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ke Huang\Documents\ChatGPT\New project\outputs\framing_01a093aa\desktop\FramingStudio_E2.72_Windows\Excel\"/>
    </mc:Choice>
  </mc:AlternateContent>
  <xr:revisionPtr revIDLastSave="0" documentId="13_ncr:1_{ED71C4C6-FC38-4A03-B8F6-C9938FD94059}" xr6:coauthVersionLast="47" xr6:coauthVersionMax="47" xr10:uidLastSave="{00000000-0000-0000-0000-000000000000}"/>
  <bookViews>
    <workbookView xWindow="-96" yWindow="-96" windowWidth="18912" windowHeight="11952" firstSheet="1" activeTab="3" xr2:uid="{00000000-000D-0000-FFFF-FFFF00000000}"/>
  </bookViews>
  <sheets>
    <sheet name="_Deflection Meta" sheetId="8" state="veryHidden" r:id="rId1"/>
    <sheet name="Deflection Check" sheetId="6" r:id="rId2"/>
    <sheet name="Core Wall" sheetId="7" r:id="rId3"/>
    <sheet name="Deflection 抄" sheetId="10" r:id="rId4"/>
    <sheet name="Layered Wind" sheetId="9" r:id="rId5"/>
  </sheets>
  <functionGroups builtInGroupCount="19"/>
  <definedNames>
    <definedName name="_xleta.AVERAGE" hidden="1" xlm="1">#NAME?</definedName>
    <definedName name="B_SavedInputs">"170393826"</definedName>
    <definedName name="D_SavedInputs">"1364287028"</definedName>
    <definedName name="_xlnm.Print_Area" localSheetId="2">'Core Wall'!$A$1:$M$94</definedName>
    <definedName name="_xlnm.Print_Area" localSheetId="1">'Deflection Check'!$A$1:$I$83</definedName>
    <definedName name="_xlnm.Print_Area" localSheetId="3">'Deflection 抄'!$A$1:$L$60</definedName>
    <definedName name="_xlnm.Print_Area" localSheetId="4">'Layered Wind'!$A$1:$W$35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512" i="9" l="1"/>
  <c r="T512" i="9" s="1"/>
  <c r="V511" i="9"/>
  <c r="T511" i="9" s="1"/>
  <c r="V510" i="9"/>
  <c r="T510" i="9" s="1"/>
  <c r="V509" i="9"/>
  <c r="V508" i="9"/>
  <c r="T508" i="9" s="1"/>
  <c r="V507" i="9"/>
  <c r="V506" i="9"/>
  <c r="R506" i="9" s="1"/>
  <c r="V505" i="9"/>
  <c r="T505" i="9" s="1"/>
  <c r="V504" i="9"/>
  <c r="V503" i="9"/>
  <c r="T503" i="9" s="1"/>
  <c r="V502" i="9"/>
  <c r="T502" i="9" s="1"/>
  <c r="V501" i="9"/>
  <c r="V500" i="9"/>
  <c r="T500" i="9" s="1"/>
  <c r="V499" i="9"/>
  <c r="R499" i="9" s="1"/>
  <c r="V498" i="9"/>
  <c r="V497" i="9"/>
  <c r="T497" i="9" s="1"/>
  <c r="V496" i="9"/>
  <c r="V495" i="9"/>
  <c r="R495" i="9" s="1"/>
  <c r="V494" i="9"/>
  <c r="T494" i="9" s="1"/>
  <c r="V493" i="9"/>
  <c r="T493" i="9" s="1"/>
  <c r="V492" i="9"/>
  <c r="V491" i="9"/>
  <c r="V490" i="9"/>
  <c r="V489" i="9"/>
  <c r="T489" i="9" s="1"/>
  <c r="V488" i="9"/>
  <c r="V487" i="9"/>
  <c r="T487" i="9" s="1"/>
  <c r="V486" i="9"/>
  <c r="T486" i="9" s="1"/>
  <c r="V485" i="9"/>
  <c r="V484" i="9"/>
  <c r="T484" i="9" s="1"/>
  <c r="V483" i="9"/>
  <c r="V482" i="9"/>
  <c r="V481" i="9"/>
  <c r="T481" i="9" s="1"/>
  <c r="V480" i="9"/>
  <c r="V479" i="9"/>
  <c r="R479" i="9" s="1"/>
  <c r="V478" i="9"/>
  <c r="R478" i="9" s="1"/>
  <c r="V477" i="9"/>
  <c r="T477" i="9" s="1"/>
  <c r="V476" i="9"/>
  <c r="T476" i="9" s="1"/>
  <c r="V475" i="9"/>
  <c r="T475" i="9" s="1"/>
  <c r="V474" i="9"/>
  <c r="V473" i="9"/>
  <c r="T473" i="9" s="1"/>
  <c r="V472" i="9"/>
  <c r="V471" i="9"/>
  <c r="S471" i="9" s="1"/>
  <c r="V470" i="9"/>
  <c r="V469" i="9"/>
  <c r="R469" i="9" s="1"/>
  <c r="V468" i="9"/>
  <c r="R468" i="9" s="1"/>
  <c r="V467" i="9"/>
  <c r="T467" i="9" s="1"/>
  <c r="V466" i="9"/>
  <c r="T466" i="9" s="1"/>
  <c r="V465" i="9"/>
  <c r="T465" i="9" s="1"/>
  <c r="V464" i="9"/>
  <c r="T464" i="9" s="1"/>
  <c r="V463" i="9"/>
  <c r="T463" i="9" s="1"/>
  <c r="V462" i="9"/>
  <c r="T462" i="9" s="1"/>
  <c r="V461" i="9"/>
  <c r="V460" i="9"/>
  <c r="V459" i="9"/>
  <c r="S459" i="9" s="1"/>
  <c r="V458" i="9"/>
  <c r="V457" i="9"/>
  <c r="R457" i="9" s="1"/>
  <c r="V456" i="9"/>
  <c r="V455" i="9"/>
  <c r="S455" i="9" s="1"/>
  <c r="V454" i="9"/>
  <c r="S454" i="9" s="1"/>
  <c r="V453" i="9"/>
  <c r="R453" i="9" s="1"/>
  <c r="V452" i="9"/>
  <c r="V451" i="9"/>
  <c r="V450" i="9"/>
  <c r="R450" i="9" s="1"/>
  <c r="V449" i="9"/>
  <c r="V448" i="9"/>
  <c r="T448" i="9" s="1"/>
  <c r="V447" i="9"/>
  <c r="T447" i="9" s="1"/>
  <c r="V446" i="9"/>
  <c r="T446" i="9" s="1"/>
  <c r="V445" i="9"/>
  <c r="V444" i="9"/>
  <c r="V443" i="9"/>
  <c r="V442" i="9"/>
  <c r="V441" i="9"/>
  <c r="R441" i="9" s="1"/>
  <c r="V440" i="9"/>
  <c r="V439" i="9"/>
  <c r="S439" i="9" s="1"/>
  <c r="V438" i="9"/>
  <c r="S438" i="9" s="1"/>
  <c r="V437" i="9"/>
  <c r="T437" i="9" s="1"/>
  <c r="R436" i="9"/>
  <c r="V436" i="9"/>
  <c r="T436" i="9" s="1"/>
  <c r="V435" i="9"/>
  <c r="V434" i="9"/>
  <c r="R434" i="9" s="1"/>
  <c r="V433" i="9"/>
  <c r="V432" i="9"/>
  <c r="R432" i="9" s="1"/>
  <c r="V431" i="9"/>
  <c r="V430" i="9"/>
  <c r="T430" i="9" s="1"/>
  <c r="V429" i="9"/>
  <c r="S429" i="9" s="1"/>
  <c r="V428" i="9"/>
  <c r="V427" i="9"/>
  <c r="S427" i="9" s="1"/>
  <c r="V426" i="9"/>
  <c r="V425" i="9"/>
  <c r="V424" i="9"/>
  <c r="V423" i="9"/>
  <c r="V422" i="9"/>
  <c r="S422" i="9" s="1"/>
  <c r="V421" i="9"/>
  <c r="S421" i="9" s="1"/>
  <c r="V420" i="9"/>
  <c r="S420" i="9" s="1"/>
  <c r="V419" i="9"/>
  <c r="R419" i="9" s="1"/>
  <c r="V418" i="9"/>
  <c r="V417" i="9"/>
  <c r="V416" i="9"/>
  <c r="S416" i="9" s="1"/>
  <c r="V415" i="9"/>
  <c r="S415" i="9" s="1"/>
  <c r="V414" i="9"/>
  <c r="S414" i="9" s="1"/>
  <c r="V413" i="9"/>
  <c r="R413" i="9" s="1"/>
  <c r="V412" i="9"/>
  <c r="V411" i="9"/>
  <c r="S411" i="9" s="1"/>
  <c r="V410" i="9"/>
  <c r="S410" i="9" s="1"/>
  <c r="V409" i="9"/>
  <c r="V408" i="9"/>
  <c r="S408" i="9" s="1"/>
  <c r="V407" i="9"/>
  <c r="S407" i="9" s="1"/>
  <c r="V406" i="9"/>
  <c r="V405" i="9"/>
  <c r="V404" i="9"/>
  <c r="V403" i="9"/>
  <c r="S403" i="9" s="1"/>
  <c r="V402" i="9"/>
  <c r="V401" i="9"/>
  <c r="V400" i="9"/>
  <c r="S400" i="9" s="1"/>
  <c r="V399" i="9"/>
  <c r="S399" i="9" s="1"/>
  <c r="V398" i="9"/>
  <c r="V397" i="9"/>
  <c r="V396" i="9"/>
  <c r="V395" i="9"/>
  <c r="S395" i="9" s="1"/>
  <c r="V394" i="9"/>
  <c r="V393" i="9"/>
  <c r="T393" i="9" s="1"/>
  <c r="V392" i="9"/>
  <c r="T392" i="9" s="1"/>
  <c r="V391" i="9"/>
  <c r="V390" i="9"/>
  <c r="V389" i="9"/>
  <c r="T389" i="9" s="1"/>
  <c r="V388" i="9"/>
  <c r="T388" i="9" s="1"/>
  <c r="V387" i="9"/>
  <c r="V386" i="9"/>
  <c r="R386" i="9" s="1"/>
  <c r="V385" i="9"/>
  <c r="V384" i="9"/>
  <c r="T384" i="9" s="1"/>
  <c r="V383" i="9"/>
  <c r="V382" i="9"/>
  <c r="V381" i="9"/>
  <c r="T381" i="9" s="1"/>
  <c r="V380" i="9"/>
  <c r="R380" i="9" s="1"/>
  <c r="V379" i="9"/>
  <c r="V378" i="9"/>
  <c r="R378" i="9" s="1"/>
  <c r="V377" i="9"/>
  <c r="T377" i="9" s="1"/>
  <c r="V376" i="9"/>
  <c r="T376" i="9" s="1"/>
  <c r="V375" i="9"/>
  <c r="V374" i="9"/>
  <c r="T374" i="9" s="1"/>
  <c r="V373" i="9"/>
  <c r="V372" i="9"/>
  <c r="R372" i="9" s="1"/>
  <c r="V371" i="9"/>
  <c r="R371" i="9" s="1"/>
  <c r="V370" i="9"/>
  <c r="R370" i="9" s="1"/>
  <c r="V369" i="9"/>
  <c r="V368" i="9"/>
  <c r="R368" i="9" s="1"/>
  <c r="V367" i="9"/>
  <c r="R367" i="9" s="1"/>
  <c r="V366" i="9"/>
  <c r="V365" i="9"/>
  <c r="R365" i="9" s="1"/>
  <c r="V364" i="9"/>
  <c r="V363" i="9"/>
  <c r="R363" i="9" s="1"/>
  <c r="V362" i="9"/>
  <c r="V361" i="9"/>
  <c r="V360" i="9"/>
  <c r="V359" i="9"/>
  <c r="R359" i="9" s="1"/>
  <c r="V358" i="9"/>
  <c r="V357" i="9"/>
  <c r="V356" i="9"/>
  <c r="V355" i="9"/>
  <c r="V354" i="9"/>
  <c r="R354" i="9" s="1"/>
  <c r="V353" i="9"/>
  <c r="V352" i="9"/>
  <c r="V351" i="9"/>
  <c r="R351" i="9" s="1"/>
  <c r="V350" i="9"/>
  <c r="R350" i="9" s="1"/>
  <c r="V349" i="9"/>
  <c r="R349" i="9" s="1"/>
  <c r="V348" i="9"/>
  <c r="V347" i="9"/>
  <c r="V346" i="9"/>
  <c r="V345" i="9"/>
  <c r="V344" i="9"/>
  <c r="V343" i="9"/>
  <c r="R343" i="9" s="1"/>
  <c r="V342" i="9"/>
  <c r="R342" i="9" s="1"/>
  <c r="V341" i="9"/>
  <c r="R341" i="9" s="1"/>
  <c r="V340" i="9"/>
  <c r="V339" i="9"/>
  <c r="V338" i="9"/>
  <c r="V337" i="9"/>
  <c r="R337" i="9" s="1"/>
  <c r="V336" i="9"/>
  <c r="V335" i="9"/>
  <c r="R335" i="9" s="1"/>
  <c r="V334" i="9"/>
  <c r="R334" i="9" s="1"/>
  <c r="V333" i="9"/>
  <c r="R333" i="9" s="1"/>
  <c r="V332" i="9"/>
  <c r="R332" i="9" s="1"/>
  <c r="V331" i="9"/>
  <c r="V330" i="9"/>
  <c r="V329" i="9"/>
  <c r="R329" i="9" s="1"/>
  <c r="V328" i="9"/>
  <c r="V327" i="9"/>
  <c r="R327" i="9" s="1"/>
  <c r="V326" i="9"/>
  <c r="V325" i="9"/>
  <c r="R325" i="9" s="1"/>
  <c r="V324" i="9"/>
  <c r="R324" i="9" s="1"/>
  <c r="V323" i="9"/>
  <c r="R323" i="9" s="1"/>
  <c r="V322" i="9"/>
  <c r="V321" i="9"/>
  <c r="R321" i="9" s="1"/>
  <c r="V320" i="9"/>
  <c r="V319" i="9"/>
  <c r="R319" i="9" s="1"/>
  <c r="V318" i="9"/>
  <c r="V317" i="9"/>
  <c r="R317" i="9" s="1"/>
  <c r="V316" i="9"/>
  <c r="R316" i="9" s="1"/>
  <c r="V315" i="9"/>
  <c r="V314" i="9"/>
  <c r="V313" i="9"/>
  <c r="R313" i="9" s="1"/>
  <c r="V312" i="9"/>
  <c r="V311" i="9"/>
  <c r="T311" i="9" s="1"/>
  <c r="V310" i="9"/>
  <c r="V309" i="9"/>
  <c r="V308" i="9"/>
  <c r="S308" i="9" s="1"/>
  <c r="V307" i="9"/>
  <c r="R307" i="9" s="1"/>
  <c r="V306" i="9"/>
  <c r="S306" i="9" s="1"/>
  <c r="V305" i="9"/>
  <c r="S305" i="9" s="1"/>
  <c r="V304" i="9"/>
  <c r="S304" i="9" s="1"/>
  <c r="V303" i="9"/>
  <c r="S303" i="9" s="1"/>
  <c r="V302" i="9"/>
  <c r="R302" i="9" s="1"/>
  <c r="V301" i="9"/>
  <c r="R301" i="9" s="1"/>
  <c r="V300" i="9"/>
  <c r="V299" i="9"/>
  <c r="V298" i="9"/>
  <c r="T298" i="9" s="1"/>
  <c r="V297" i="9"/>
  <c r="R297" i="9" s="1"/>
  <c r="V296" i="9"/>
  <c r="V295" i="9"/>
  <c r="V294" i="9"/>
  <c r="T294" i="9" s="1"/>
  <c r="V293" i="9"/>
  <c r="S293" i="9" s="1"/>
  <c r="V292" i="9"/>
  <c r="S292" i="9" s="1"/>
  <c r="V291" i="9"/>
  <c r="S291" i="9" s="1"/>
  <c r="V290" i="9"/>
  <c r="V289" i="9"/>
  <c r="S289" i="9" s="1"/>
  <c r="V288" i="9"/>
  <c r="V287" i="9"/>
  <c r="V286" i="9"/>
  <c r="V285" i="9"/>
  <c r="S285" i="9" s="1"/>
  <c r="V284" i="9"/>
  <c r="R284" i="9" s="1"/>
  <c r="V283" i="9"/>
  <c r="V282" i="9"/>
  <c r="V281" i="9"/>
  <c r="S281" i="9" s="1"/>
  <c r="V280" i="9"/>
  <c r="V279" i="9"/>
  <c r="V278" i="9"/>
  <c r="V277" i="9"/>
  <c r="V276" i="9"/>
  <c r="S276" i="9" s="1"/>
  <c r="V275" i="9"/>
  <c r="V274" i="9"/>
  <c r="V273" i="9"/>
  <c r="V272" i="9"/>
  <c r="S272" i="9" s="1"/>
  <c r="V271" i="9"/>
  <c r="R271" i="9" s="1"/>
  <c r="V270" i="9"/>
  <c r="S270" i="9" s="1"/>
  <c r="V269" i="9"/>
  <c r="R269" i="9" s="1"/>
  <c r="V268" i="9"/>
  <c r="S268" i="9" s="1"/>
  <c r="V267" i="9"/>
  <c r="V266" i="9"/>
  <c r="R266" i="9" s="1"/>
  <c r="V265" i="9"/>
  <c r="V264" i="9"/>
  <c r="S264" i="9" s="1"/>
  <c r="V263" i="9"/>
  <c r="R263" i="9" s="1"/>
  <c r="V262" i="9"/>
  <c r="S262" i="9" s="1"/>
  <c r="V261" i="9"/>
  <c r="V260" i="9"/>
  <c r="S260" i="9" s="1"/>
  <c r="V259" i="9"/>
  <c r="S259" i="9" s="1"/>
  <c r="V258" i="9"/>
  <c r="V257" i="9"/>
  <c r="S257" i="9" s="1"/>
  <c r="V256" i="9"/>
  <c r="S256" i="9" s="1"/>
  <c r="V255" i="9"/>
  <c r="V254" i="9"/>
  <c r="S254" i="9" s="1"/>
  <c r="V253" i="9"/>
  <c r="R253" i="9" s="1"/>
  <c r="V252" i="9"/>
  <c r="S252" i="9" s="1"/>
  <c r="V251" i="9"/>
  <c r="R251" i="9" s="1"/>
  <c r="V250" i="9"/>
  <c r="S250" i="9" s="1"/>
  <c r="V249" i="9"/>
  <c r="R249" i="9" s="1"/>
  <c r="V248" i="9"/>
  <c r="S248" i="9" s="1"/>
  <c r="V247" i="9"/>
  <c r="V246" i="9"/>
  <c r="S246" i="9" s="1"/>
  <c r="V245" i="9"/>
  <c r="R245" i="9" s="1"/>
  <c r="V244" i="9"/>
  <c r="S244" i="9" s="1"/>
  <c r="V243" i="9"/>
  <c r="R243" i="9" s="1"/>
  <c r="V242" i="9"/>
  <c r="S242" i="9" s="1"/>
  <c r="V241" i="9"/>
  <c r="R241" i="9" s="1"/>
  <c r="V240" i="9"/>
  <c r="V239" i="9"/>
  <c r="V238" i="9"/>
  <c r="T238" i="9" s="1"/>
  <c r="V237" i="9"/>
  <c r="S237" i="9" s="1"/>
  <c r="V236" i="9"/>
  <c r="R236" i="9" s="1"/>
  <c r="V235" i="9"/>
  <c r="V234" i="9"/>
  <c r="V233" i="9"/>
  <c r="V232" i="9"/>
  <c r="R232" i="9" s="1"/>
  <c r="V231" i="9"/>
  <c r="S231" i="9" s="1"/>
  <c r="V230" i="9"/>
  <c r="S230" i="9" s="1"/>
  <c r="V229" i="9"/>
  <c r="V228" i="9"/>
  <c r="V227" i="9"/>
  <c r="R227" i="9" s="1"/>
  <c r="V226" i="9"/>
  <c r="T226" i="9" s="1"/>
  <c r="V225" i="9"/>
  <c r="V224" i="9"/>
  <c r="R224" i="9" s="1"/>
  <c r="V223" i="9"/>
  <c r="V222" i="9"/>
  <c r="S222" i="9" s="1"/>
  <c r="V221" i="9"/>
  <c r="V220" i="9"/>
  <c r="V219" i="9"/>
  <c r="V218" i="9"/>
  <c r="R218" i="9" s="1"/>
  <c r="V217" i="9"/>
  <c r="V216" i="9"/>
  <c r="V215" i="9"/>
  <c r="T215" i="9" s="1"/>
  <c r="V214" i="9"/>
  <c r="R214" i="9" s="1"/>
  <c r="V213" i="9"/>
  <c r="V212" i="9"/>
  <c r="T212" i="9" s="1"/>
  <c r="V211" i="9"/>
  <c r="T211" i="9" s="1"/>
  <c r="V210" i="9"/>
  <c r="T210" i="9" s="1"/>
  <c r="V209" i="9"/>
  <c r="T209" i="9" s="1"/>
  <c r="V208" i="9"/>
  <c r="T208" i="9" s="1"/>
  <c r="V207" i="9"/>
  <c r="T207" i="9" s="1"/>
  <c r="V206" i="9"/>
  <c r="S206" i="9" s="1"/>
  <c r="V205" i="9"/>
  <c r="V204" i="9"/>
  <c r="V203" i="9"/>
  <c r="T203" i="9" s="1"/>
  <c r="V202" i="9"/>
  <c r="R202" i="9" s="1"/>
  <c r="V201" i="9"/>
  <c r="T201" i="9" s="1"/>
  <c r="V200" i="9"/>
  <c r="V199" i="9"/>
  <c r="R199" i="9" s="1"/>
  <c r="V198" i="9"/>
  <c r="T198" i="9" s="1"/>
  <c r="V197" i="9"/>
  <c r="S197" i="9" s="1"/>
  <c r="V196" i="9"/>
  <c r="V195" i="9"/>
  <c r="T195" i="9" s="1"/>
  <c r="V194" i="9"/>
  <c r="V193" i="9"/>
  <c r="V192" i="9"/>
  <c r="V191" i="9"/>
  <c r="V190" i="9"/>
  <c r="S190" i="9" s="1"/>
  <c r="V189" i="9"/>
  <c r="T189" i="9" s="1"/>
  <c r="V188" i="9"/>
  <c r="V187" i="9"/>
  <c r="V186" i="9"/>
  <c r="V185" i="9"/>
  <c r="V184" i="9"/>
  <c r="T184" i="9" s="1"/>
  <c r="V183" i="9"/>
  <c r="S183" i="9" s="1"/>
  <c r="V182" i="9"/>
  <c r="T182" i="9" s="1"/>
  <c r="V181" i="9"/>
  <c r="R181" i="9" s="1"/>
  <c r="V180" i="9"/>
  <c r="T180" i="9" s="1"/>
  <c r="V179" i="9"/>
  <c r="V178" i="9"/>
  <c r="T178" i="9" s="1"/>
  <c r="V177" i="9"/>
  <c r="R177" i="9" s="1"/>
  <c r="V176" i="9"/>
  <c r="R176" i="9" s="1"/>
  <c r="V175" i="9"/>
  <c r="V174" i="9"/>
  <c r="R174" i="9" s="1"/>
  <c r="V173" i="9"/>
  <c r="T173" i="9" s="1"/>
  <c r="V172" i="9"/>
  <c r="V171" i="9"/>
  <c r="R171" i="9" s="1"/>
  <c r="V170" i="9"/>
  <c r="R170" i="9" s="1"/>
  <c r="V169" i="9"/>
  <c r="R169" i="9" s="1"/>
  <c r="V168" i="9"/>
  <c r="R168" i="9" s="1"/>
  <c r="V167" i="9"/>
  <c r="V166" i="9"/>
  <c r="R166" i="9" s="1"/>
  <c r="V165" i="9"/>
  <c r="R165" i="9" s="1"/>
  <c r="V164" i="9"/>
  <c r="V163" i="9"/>
  <c r="R163" i="9" s="1"/>
  <c r="V162" i="9"/>
  <c r="S162" i="9" s="1"/>
  <c r="V161" i="9"/>
  <c r="R161" i="9" s="1"/>
  <c r="V160" i="9"/>
  <c r="R160" i="9" s="1"/>
  <c r="V159" i="9"/>
  <c r="V158" i="9"/>
  <c r="R158" i="9" s="1"/>
  <c r="V157" i="9"/>
  <c r="V156" i="9"/>
  <c r="R156" i="9" s="1"/>
  <c r="V155" i="9"/>
  <c r="R155" i="9" s="1"/>
  <c r="V154" i="9"/>
  <c r="R154" i="9" s="1"/>
  <c r="V153" i="9"/>
  <c r="R153" i="9" s="1"/>
  <c r="V152" i="9"/>
  <c r="R152" i="9" s="1"/>
  <c r="V151" i="9"/>
  <c r="R151" i="9" s="1"/>
  <c r="V150" i="9"/>
  <c r="R150" i="9" s="1"/>
  <c r="V149" i="9"/>
  <c r="R149" i="9" s="1"/>
  <c r="V148" i="9"/>
  <c r="R148" i="9" s="1"/>
  <c r="V147" i="9"/>
  <c r="R147" i="9" s="1"/>
  <c r="V146" i="9"/>
  <c r="R146" i="9" s="1"/>
  <c r="V145" i="9"/>
  <c r="V144" i="9"/>
  <c r="S144" i="9" s="1"/>
  <c r="V143" i="9"/>
  <c r="S143" i="9" s="1"/>
  <c r="V142" i="9"/>
  <c r="S142" i="9" s="1"/>
  <c r="V141" i="9"/>
  <c r="V140" i="9"/>
  <c r="V139" i="9"/>
  <c r="V138" i="9"/>
  <c r="S138" i="9" s="1"/>
  <c r="V137" i="9"/>
  <c r="V136" i="9"/>
  <c r="V135" i="9"/>
  <c r="V134" i="9"/>
  <c r="S134" i="9" s="1"/>
  <c r="V133" i="9"/>
  <c r="V132" i="9"/>
  <c r="V131" i="9"/>
  <c r="V130" i="9"/>
  <c r="S130" i="9" s="1"/>
  <c r="V129" i="9"/>
  <c r="T129" i="9" s="1"/>
  <c r="V128" i="9"/>
  <c r="V127" i="9"/>
  <c r="V126" i="9"/>
  <c r="V125" i="9"/>
  <c r="T125" i="9" s="1"/>
  <c r="V124" i="9"/>
  <c r="V123" i="9"/>
  <c r="V122" i="9"/>
  <c r="S122" i="9" s="1"/>
  <c r="V121" i="9"/>
  <c r="T121" i="9" s="1"/>
  <c r="V120" i="9"/>
  <c r="V119" i="9"/>
  <c r="S119" i="9" s="1"/>
  <c r="V118" i="9"/>
  <c r="T118" i="9" s="1"/>
  <c r="V117" i="9"/>
  <c r="T117" i="9" s="1"/>
  <c r="V116" i="9"/>
  <c r="V115" i="9"/>
  <c r="S115" i="9" s="1"/>
  <c r="V114" i="9"/>
  <c r="T114" i="9" s="1"/>
  <c r="V113" i="9"/>
  <c r="T113" i="9" s="1"/>
  <c r="V112" i="9"/>
  <c r="T112" i="9" s="1"/>
  <c r="V111" i="9"/>
  <c r="T111" i="9" s="1"/>
  <c r="V110" i="9"/>
  <c r="S110" i="9" s="1"/>
  <c r="V109" i="9"/>
  <c r="T109" i="9" s="1"/>
  <c r="V108" i="9"/>
  <c r="V107" i="9"/>
  <c r="V106" i="9"/>
  <c r="S106" i="9" s="1"/>
  <c r="V105" i="9"/>
  <c r="T105" i="9" s="1"/>
  <c r="V104" i="9"/>
  <c r="T104" i="9" s="1"/>
  <c r="V103" i="9"/>
  <c r="S103" i="9" s="1"/>
  <c r="V102" i="9"/>
  <c r="V101" i="9"/>
  <c r="T101" i="9" s="1"/>
  <c r="V100" i="9"/>
  <c r="T100" i="9" s="1"/>
  <c r="V99" i="9"/>
  <c r="R99" i="9" s="1"/>
  <c r="V98" i="9"/>
  <c r="T98" i="9" s="1"/>
  <c r="V97" i="9"/>
  <c r="V96" i="9"/>
  <c r="V95" i="9"/>
  <c r="V94" i="9"/>
  <c r="R94" i="9" s="1"/>
  <c r="V93" i="9"/>
  <c r="T93" i="9" s="1"/>
  <c r="V92" i="9"/>
  <c r="T92" i="9" s="1"/>
  <c r="V91" i="9"/>
  <c r="T91" i="9" s="1"/>
  <c r="V90" i="9"/>
  <c r="R90" i="9" s="1"/>
  <c r="V89" i="9"/>
  <c r="T89" i="9" s="1"/>
  <c r="V88" i="9"/>
  <c r="V87" i="9"/>
  <c r="S87" i="9" s="1"/>
  <c r="V86" i="9"/>
  <c r="R86" i="9" s="1"/>
  <c r="V85" i="9"/>
  <c r="T85" i="9" s="1"/>
  <c r="V84" i="9"/>
  <c r="S84" i="9" s="1"/>
  <c r="V83" i="9"/>
  <c r="V82" i="9"/>
  <c r="V81" i="9"/>
  <c r="R81" i="9" s="1"/>
  <c r="V80" i="9"/>
  <c r="R80" i="9" s="1"/>
  <c r="V79" i="9"/>
  <c r="R79" i="9" s="1"/>
  <c r="V78" i="9"/>
  <c r="T78" i="9" s="1"/>
  <c r="V77" i="9"/>
  <c r="S77" i="9" s="1"/>
  <c r="V76" i="9"/>
  <c r="R76" i="9" s="1"/>
  <c r="V75" i="9"/>
  <c r="R75" i="9" s="1"/>
  <c r="V74" i="9"/>
  <c r="T74" i="9" s="1"/>
  <c r="V73" i="9"/>
  <c r="S73" i="9" s="1"/>
  <c r="V72" i="9"/>
  <c r="V71" i="9"/>
  <c r="R71" i="9" s="1"/>
  <c r="V70" i="9"/>
  <c r="R70" i="9" s="1"/>
  <c r="V69" i="9"/>
  <c r="S69" i="9" s="1"/>
  <c r="V68" i="9"/>
  <c r="T68" i="9" s="1"/>
  <c r="V67" i="9"/>
  <c r="R67" i="9" s="1"/>
  <c r="V66" i="9"/>
  <c r="S66" i="9" s="1"/>
  <c r="V65" i="9"/>
  <c r="S65" i="9" s="1"/>
  <c r="V64" i="9"/>
  <c r="T64" i="9" s="1"/>
  <c r="V63" i="9"/>
  <c r="R63" i="9" s="1"/>
  <c r="V62" i="9"/>
  <c r="T62" i="9" s="1"/>
  <c r="V61" i="9"/>
  <c r="V60" i="9"/>
  <c r="R60" i="9" s="1"/>
  <c r="V59" i="9"/>
  <c r="R59" i="9" s="1"/>
  <c r="V58" i="9"/>
  <c r="V57" i="9"/>
  <c r="V56" i="9"/>
  <c r="T56" i="9" s="1"/>
  <c r="V55" i="9"/>
  <c r="R55" i="9" s="1"/>
  <c r="V54" i="9"/>
  <c r="R54" i="9" s="1"/>
  <c r="V53" i="9"/>
  <c r="R53" i="9" s="1"/>
  <c r="V52" i="9"/>
  <c r="R52" i="9" s="1"/>
  <c r="V51" i="9"/>
  <c r="R51" i="9" s="1"/>
  <c r="V50" i="9"/>
  <c r="R50" i="9" s="1"/>
  <c r="V49" i="9"/>
  <c r="R49" i="9" s="1"/>
  <c r="V48" i="9"/>
  <c r="R48" i="9" s="1"/>
  <c r="V47" i="9"/>
  <c r="T47" i="9" s="1"/>
  <c r="V46" i="9"/>
  <c r="V45" i="9"/>
  <c r="V44" i="9"/>
  <c r="S44" i="9" s="1"/>
  <c r="V43" i="9"/>
  <c r="T43" i="9" s="1"/>
  <c r="V42" i="9"/>
  <c r="V41" i="9"/>
  <c r="T41" i="9" s="1"/>
  <c r="V40" i="9"/>
  <c r="S40" i="9" s="1"/>
  <c r="V39" i="9"/>
  <c r="V38" i="9"/>
  <c r="V37" i="9"/>
  <c r="T37" i="9" s="1"/>
  <c r="V36" i="9"/>
  <c r="V35" i="9"/>
  <c r="V34" i="9"/>
  <c r="V33" i="9"/>
  <c r="S33" i="9" s="1"/>
  <c r="V32" i="9"/>
  <c r="V31" i="9"/>
  <c r="V30" i="9"/>
  <c r="T30" i="9" s="1"/>
  <c r="V29" i="9"/>
  <c r="V28" i="9"/>
  <c r="S28" i="9" s="1"/>
  <c r="V27" i="9"/>
  <c r="R27" i="9" s="1"/>
  <c r="V26" i="9"/>
  <c r="V25" i="9"/>
  <c r="T25" i="9" s="1"/>
  <c r="V24" i="9"/>
  <c r="R24" i="9" s="1"/>
  <c r="V23" i="9"/>
  <c r="S23" i="9" s="1"/>
  <c r="V22" i="9"/>
  <c r="S22" i="9" s="1"/>
  <c r="V21" i="9"/>
  <c r="V20" i="9"/>
  <c r="S20" i="9" s="1"/>
  <c r="V19" i="9"/>
  <c r="S19" i="9" s="1"/>
  <c r="V18" i="9"/>
  <c r="T18" i="9" s="1"/>
  <c r="V17" i="9"/>
  <c r="V16" i="9"/>
  <c r="S16" i="9" s="1"/>
  <c r="V15" i="9"/>
  <c r="V14" i="9"/>
  <c r="S14" i="9" s="1"/>
  <c r="V13" i="9"/>
  <c r="N4" i="9"/>
  <c r="N3" i="9"/>
  <c r="J512" i="9"/>
  <c r="J511" i="9"/>
  <c r="H511" i="9" s="1"/>
  <c r="J510" i="9"/>
  <c r="G510" i="9" s="1"/>
  <c r="J509" i="9"/>
  <c r="H509" i="9" s="1"/>
  <c r="J508" i="9"/>
  <c r="J507" i="9"/>
  <c r="J506" i="9"/>
  <c r="H506" i="9" s="1"/>
  <c r="J505" i="9"/>
  <c r="H505" i="9" s="1"/>
  <c r="J504" i="9"/>
  <c r="G504" i="9" s="1"/>
  <c r="J503" i="9"/>
  <c r="J502" i="9"/>
  <c r="J501" i="9"/>
  <c r="G501" i="9" s="1"/>
  <c r="J500" i="9"/>
  <c r="J499" i="9"/>
  <c r="J498" i="9"/>
  <c r="J497" i="9"/>
  <c r="F497" i="9" s="1"/>
  <c r="J496" i="9"/>
  <c r="J495" i="9"/>
  <c r="H495" i="9" s="1"/>
  <c r="J494" i="9"/>
  <c r="G494" i="9" s="1"/>
  <c r="J493" i="9"/>
  <c r="H493" i="9" s="1"/>
  <c r="J492" i="9"/>
  <c r="J491" i="9"/>
  <c r="J490" i="9"/>
  <c r="J489" i="9"/>
  <c r="J488" i="9"/>
  <c r="J487" i="9"/>
  <c r="J486" i="9"/>
  <c r="F486" i="9" s="1"/>
  <c r="J485" i="9"/>
  <c r="F485" i="9" s="1"/>
  <c r="J484" i="9"/>
  <c r="J483" i="9"/>
  <c r="J482" i="9"/>
  <c r="F482" i="9" s="1"/>
  <c r="J481" i="9"/>
  <c r="G481" i="9" s="1"/>
  <c r="J480" i="9"/>
  <c r="J479" i="9"/>
  <c r="J478" i="9"/>
  <c r="J477" i="9"/>
  <c r="G477" i="9" s="1"/>
  <c r="J476" i="9"/>
  <c r="J475" i="9"/>
  <c r="J474" i="9"/>
  <c r="H474" i="9" s="1"/>
  <c r="J473" i="9"/>
  <c r="J472" i="9"/>
  <c r="G472" i="9" s="1"/>
  <c r="J471" i="9"/>
  <c r="H471" i="9" s="1"/>
  <c r="J470" i="9"/>
  <c r="F470" i="9" s="1"/>
  <c r="J469" i="9"/>
  <c r="G469" i="9" s="1"/>
  <c r="J468" i="9"/>
  <c r="F468" i="9" s="1"/>
  <c r="J467" i="9"/>
  <c r="H467" i="9" s="1"/>
  <c r="J466" i="9"/>
  <c r="J465" i="9"/>
  <c r="J464" i="9"/>
  <c r="H464" i="9" s="1"/>
  <c r="J463" i="9"/>
  <c r="J462" i="9"/>
  <c r="J461" i="9"/>
  <c r="G461" i="9" s="1"/>
  <c r="J460" i="9"/>
  <c r="J459" i="9"/>
  <c r="J458" i="9"/>
  <c r="H458" i="9" s="1"/>
  <c r="J457" i="9"/>
  <c r="H457" i="9" s="1"/>
  <c r="J456" i="9"/>
  <c r="F456" i="9" s="1"/>
  <c r="J455" i="9"/>
  <c r="J454" i="9"/>
  <c r="G454" i="9" s="1"/>
  <c r="J453" i="9"/>
  <c r="J452" i="9"/>
  <c r="G452" i="9" s="1"/>
  <c r="J451" i="9"/>
  <c r="G451" i="9" s="1"/>
  <c r="J450" i="9"/>
  <c r="J449" i="9"/>
  <c r="G449" i="9" s="1"/>
  <c r="J448" i="9"/>
  <c r="G448" i="9" s="1"/>
  <c r="J447" i="9"/>
  <c r="J446" i="9"/>
  <c r="G446" i="9" s="1"/>
  <c r="J445" i="9"/>
  <c r="J444" i="9"/>
  <c r="G444" i="9" s="1"/>
  <c r="J443" i="9"/>
  <c r="G443" i="9" s="1"/>
  <c r="J442" i="9"/>
  <c r="J441" i="9"/>
  <c r="G441" i="9" s="1"/>
  <c r="J440" i="9"/>
  <c r="G440" i="9" s="1"/>
  <c r="J439" i="9"/>
  <c r="J438" i="9"/>
  <c r="J437" i="9"/>
  <c r="J436" i="9"/>
  <c r="G436" i="9" s="1"/>
  <c r="J435" i="9"/>
  <c r="G435" i="9" s="1"/>
  <c r="J434" i="9"/>
  <c r="G434" i="9" s="1"/>
  <c r="J433" i="9"/>
  <c r="G433" i="9" s="1"/>
  <c r="J432" i="9"/>
  <c r="G432" i="9" s="1"/>
  <c r="J431" i="9"/>
  <c r="J430" i="9"/>
  <c r="J429" i="9"/>
  <c r="J428" i="9"/>
  <c r="G428" i="9" s="1"/>
  <c r="J427" i="9"/>
  <c r="G427" i="9" s="1"/>
  <c r="J426" i="9"/>
  <c r="G426" i="9" s="1"/>
  <c r="J425" i="9"/>
  <c r="G425" i="9" s="1"/>
  <c r="J424" i="9"/>
  <c r="J423" i="9"/>
  <c r="J422" i="9"/>
  <c r="J421" i="9"/>
  <c r="J420" i="9"/>
  <c r="G420" i="9" s="1"/>
  <c r="J419" i="9"/>
  <c r="G419" i="9" s="1"/>
  <c r="J418" i="9"/>
  <c r="G418" i="9" s="1"/>
  <c r="J417" i="9"/>
  <c r="J416" i="9"/>
  <c r="H416" i="9" s="1"/>
  <c r="J415" i="9"/>
  <c r="J414" i="9"/>
  <c r="G414" i="9" s="1"/>
  <c r="J413" i="9"/>
  <c r="J412" i="9"/>
  <c r="H412" i="9" s="1"/>
  <c r="J411" i="9"/>
  <c r="J410" i="9"/>
  <c r="J409" i="9"/>
  <c r="J408" i="9"/>
  <c r="G408" i="9" s="1"/>
  <c r="J407" i="9"/>
  <c r="J406" i="9"/>
  <c r="J405" i="9"/>
  <c r="H405" i="9" s="1"/>
  <c r="J404" i="9"/>
  <c r="H404" i="9" s="1"/>
  <c r="J403" i="9"/>
  <c r="J402" i="9"/>
  <c r="H402" i="9" s="1"/>
  <c r="J401" i="9"/>
  <c r="H401" i="9" s="1"/>
  <c r="J400" i="9"/>
  <c r="G400" i="9" s="1"/>
  <c r="J399" i="9"/>
  <c r="H399" i="9" s="1"/>
  <c r="J398" i="9"/>
  <c r="H398" i="9" s="1"/>
  <c r="J397" i="9"/>
  <c r="H397" i="9" s="1"/>
  <c r="J396" i="9"/>
  <c r="G396" i="9" s="1"/>
  <c r="J395" i="9"/>
  <c r="J394" i="9"/>
  <c r="H394" i="9" s="1"/>
  <c r="J393" i="9"/>
  <c r="H393" i="9" s="1"/>
  <c r="J392" i="9"/>
  <c r="F392" i="9" s="1"/>
  <c r="J391" i="9"/>
  <c r="H391" i="9" s="1"/>
  <c r="J390" i="9"/>
  <c r="H390" i="9" s="1"/>
  <c r="J389" i="9"/>
  <c r="H389" i="9" s="1"/>
  <c r="J388" i="9"/>
  <c r="G388" i="9" s="1"/>
  <c r="J387" i="9"/>
  <c r="J386" i="9"/>
  <c r="J385" i="9"/>
  <c r="F385" i="9" s="1"/>
  <c r="J384" i="9"/>
  <c r="G384" i="9" s="1"/>
  <c r="J383" i="9"/>
  <c r="J382" i="9"/>
  <c r="H382" i="9" s="1"/>
  <c r="J381" i="9"/>
  <c r="G381" i="9" s="1"/>
  <c r="J380" i="9"/>
  <c r="J379" i="9"/>
  <c r="J378" i="9"/>
  <c r="H378" i="9" s="1"/>
  <c r="J377" i="9"/>
  <c r="F377" i="9" s="1"/>
  <c r="J376" i="9"/>
  <c r="G376" i="9" s="1"/>
  <c r="J375" i="9"/>
  <c r="H375" i="9" s="1"/>
  <c r="J374" i="9"/>
  <c r="F374" i="9" s="1"/>
  <c r="J373" i="9"/>
  <c r="G373" i="9" s="1"/>
  <c r="J372" i="9"/>
  <c r="J371" i="9"/>
  <c r="H371" i="9" s="1"/>
  <c r="J370" i="9"/>
  <c r="J369" i="9"/>
  <c r="F369" i="9" s="1"/>
  <c r="J368" i="9"/>
  <c r="G368" i="9" s="1"/>
  <c r="J367" i="9"/>
  <c r="J366" i="9"/>
  <c r="J365" i="9"/>
  <c r="H365" i="9" s="1"/>
  <c r="J364" i="9"/>
  <c r="J363" i="9"/>
  <c r="J362" i="9"/>
  <c r="H362" i="9" s="1"/>
  <c r="J361" i="9"/>
  <c r="J360" i="9"/>
  <c r="H360" i="9" s="1"/>
  <c r="J359" i="9"/>
  <c r="H359" i="9" s="1"/>
  <c r="J358" i="9"/>
  <c r="J357" i="9"/>
  <c r="H357" i="9" s="1"/>
  <c r="J356" i="9"/>
  <c r="H356" i="9" s="1"/>
  <c r="J355" i="9"/>
  <c r="H355" i="9" s="1"/>
  <c r="J354" i="9"/>
  <c r="H354" i="9" s="1"/>
  <c r="J353" i="9"/>
  <c r="H353" i="9" s="1"/>
  <c r="J352" i="9"/>
  <c r="F352" i="9" s="1"/>
  <c r="J351" i="9"/>
  <c r="H351" i="9" s="1"/>
  <c r="J350" i="9"/>
  <c r="F350" i="9" s="1"/>
  <c r="J349" i="9"/>
  <c r="F349" i="9" s="1"/>
  <c r="J348" i="9"/>
  <c r="G348" i="9" s="1"/>
  <c r="J347" i="9"/>
  <c r="H347" i="9" s="1"/>
  <c r="J346" i="9"/>
  <c r="H346" i="9" s="1"/>
  <c r="J345" i="9"/>
  <c r="J344" i="9"/>
  <c r="G344" i="9" s="1"/>
  <c r="J343" i="9"/>
  <c r="F343" i="9" s="1"/>
  <c r="J342" i="9"/>
  <c r="H342" i="9" s="1"/>
  <c r="J341" i="9"/>
  <c r="H341" i="9" s="1"/>
  <c r="J340" i="9"/>
  <c r="H340" i="9" s="1"/>
  <c r="J339" i="9"/>
  <c r="H339" i="9" s="1"/>
  <c r="J338" i="9"/>
  <c r="H338" i="9" s="1"/>
  <c r="J337" i="9"/>
  <c r="H337" i="9" s="1"/>
  <c r="J336" i="9"/>
  <c r="H336" i="9" s="1"/>
  <c r="J335" i="9"/>
  <c r="G335" i="9" s="1"/>
  <c r="J334" i="9"/>
  <c r="H334" i="9" s="1"/>
  <c r="J333" i="9"/>
  <c r="H333" i="9" s="1"/>
  <c r="J332" i="9"/>
  <c r="F332" i="9" s="1"/>
  <c r="J331" i="9"/>
  <c r="F331" i="9" s="1"/>
  <c r="J330" i="9"/>
  <c r="H330" i="9" s="1"/>
  <c r="J329" i="9"/>
  <c r="H329" i="9" s="1"/>
  <c r="J328" i="9"/>
  <c r="H328" i="9" s="1"/>
  <c r="J327" i="9"/>
  <c r="H327" i="9" s="1"/>
  <c r="J326" i="9"/>
  <c r="F326" i="9" s="1"/>
  <c r="J325" i="9"/>
  <c r="H325" i="9" s="1"/>
  <c r="J324" i="9"/>
  <c r="G324" i="9" s="1"/>
  <c r="J323" i="9"/>
  <c r="H323" i="9" s="1"/>
  <c r="J322" i="9"/>
  <c r="H322" i="9" s="1"/>
  <c r="J321" i="9"/>
  <c r="H321" i="9" s="1"/>
  <c r="J320" i="9"/>
  <c r="G320" i="9" s="1"/>
  <c r="J319" i="9"/>
  <c r="H319" i="9" s="1"/>
  <c r="J318" i="9"/>
  <c r="G318" i="9" s="1"/>
  <c r="J317" i="9"/>
  <c r="H317" i="9" s="1"/>
  <c r="J316" i="9"/>
  <c r="H316" i="9" s="1"/>
  <c r="J315" i="9"/>
  <c r="F315" i="9" s="1"/>
  <c r="J314" i="9"/>
  <c r="J313" i="9"/>
  <c r="F313" i="9" s="1"/>
  <c r="J312" i="9"/>
  <c r="H312" i="9" s="1"/>
  <c r="J311" i="9"/>
  <c r="J310" i="9"/>
  <c r="J309" i="9"/>
  <c r="J308" i="9"/>
  <c r="H308" i="9" s="1"/>
  <c r="J307" i="9"/>
  <c r="H307" i="9" s="1"/>
  <c r="J306" i="9"/>
  <c r="H306" i="9" s="1"/>
  <c r="J305" i="9"/>
  <c r="H305" i="9" s="1"/>
  <c r="J304" i="9"/>
  <c r="H304" i="9" s="1"/>
  <c r="J303" i="9"/>
  <c r="J302" i="9"/>
  <c r="J301" i="9"/>
  <c r="J300" i="9"/>
  <c r="H300" i="9" s="1"/>
  <c r="J299" i="9"/>
  <c r="H299" i="9" s="1"/>
  <c r="J298" i="9"/>
  <c r="J297" i="9"/>
  <c r="H297" i="9" s="1"/>
  <c r="J296" i="9"/>
  <c r="G296" i="9" s="1"/>
  <c r="J295" i="9"/>
  <c r="F295" i="9" s="1"/>
  <c r="J294" i="9"/>
  <c r="J293" i="9"/>
  <c r="J292" i="9"/>
  <c r="H292" i="9" s="1"/>
  <c r="J291" i="9"/>
  <c r="F291" i="9" s="1"/>
  <c r="J290" i="9"/>
  <c r="G290" i="9" s="1"/>
  <c r="J289" i="9"/>
  <c r="G289" i="9" s="1"/>
  <c r="J288" i="9"/>
  <c r="J287" i="9"/>
  <c r="H287" i="9" s="1"/>
  <c r="J286" i="9"/>
  <c r="H286" i="9" s="1"/>
  <c r="J285" i="9"/>
  <c r="J284" i="9"/>
  <c r="F284" i="9" s="1"/>
  <c r="J283" i="9"/>
  <c r="F283" i="9" s="1"/>
  <c r="J282" i="9"/>
  <c r="J281" i="9"/>
  <c r="H281" i="9" s="1"/>
  <c r="J280" i="9"/>
  <c r="G280" i="9" s="1"/>
  <c r="J279" i="9"/>
  <c r="H279" i="9" s="1"/>
  <c r="J278" i="9"/>
  <c r="F278" i="9" s="1"/>
  <c r="J277" i="9"/>
  <c r="J276" i="9"/>
  <c r="H276" i="9" s="1"/>
  <c r="J275" i="9"/>
  <c r="F275" i="9" s="1"/>
  <c r="J274" i="9"/>
  <c r="J273" i="9"/>
  <c r="F273" i="9" s="1"/>
  <c r="J272" i="9"/>
  <c r="F272" i="9" s="1"/>
  <c r="J271" i="9"/>
  <c r="F271" i="9" s="1"/>
  <c r="J270" i="9"/>
  <c r="J269" i="9"/>
  <c r="J268" i="9"/>
  <c r="H268" i="9" s="1"/>
  <c r="J267" i="9"/>
  <c r="H267" i="9" s="1"/>
  <c r="J266" i="9"/>
  <c r="H266" i="9" s="1"/>
  <c r="J265" i="9"/>
  <c r="F265" i="9" s="1"/>
  <c r="J264" i="9"/>
  <c r="J263" i="9"/>
  <c r="F263" i="9" s="1"/>
  <c r="J262" i="9"/>
  <c r="F262" i="9" s="1"/>
  <c r="J261" i="9"/>
  <c r="H261" i="9" s="1"/>
  <c r="J260" i="9"/>
  <c r="H260" i="9" s="1"/>
  <c r="J259" i="9"/>
  <c r="H259" i="9" s="1"/>
  <c r="J258" i="9"/>
  <c r="H258" i="9" s="1"/>
  <c r="J257" i="9"/>
  <c r="J256" i="9"/>
  <c r="J255" i="9"/>
  <c r="J254" i="9"/>
  <c r="J253" i="9"/>
  <c r="J252" i="9"/>
  <c r="H252" i="9" s="1"/>
  <c r="J251" i="9"/>
  <c r="H251" i="9" s="1"/>
  <c r="J250" i="9"/>
  <c r="F250" i="9" s="1"/>
  <c r="J249" i="9"/>
  <c r="H249" i="9" s="1"/>
  <c r="J248" i="9"/>
  <c r="J247" i="9"/>
  <c r="G247" i="9" s="1"/>
  <c r="J246" i="9"/>
  <c r="J245" i="9"/>
  <c r="H245" i="9" s="1"/>
  <c r="J244" i="9"/>
  <c r="J243" i="9"/>
  <c r="G243" i="9" s="1"/>
  <c r="J242" i="9"/>
  <c r="J241" i="9"/>
  <c r="G241" i="9" s="1"/>
  <c r="J240" i="9"/>
  <c r="J239" i="9"/>
  <c r="J238" i="9"/>
  <c r="J237" i="9"/>
  <c r="J236" i="9"/>
  <c r="F236" i="9" s="1"/>
  <c r="J235" i="9"/>
  <c r="G235" i="9" s="1"/>
  <c r="J234" i="9"/>
  <c r="H234" i="9" s="1"/>
  <c r="J233" i="9"/>
  <c r="F233" i="9" s="1"/>
  <c r="J232" i="9"/>
  <c r="H232" i="9" s="1"/>
  <c r="J231" i="9"/>
  <c r="G231" i="9" s="1"/>
  <c r="J230" i="9"/>
  <c r="G230" i="9" s="1"/>
  <c r="J229" i="9"/>
  <c r="G229" i="9" s="1"/>
  <c r="J228" i="9"/>
  <c r="J227" i="9"/>
  <c r="H227" i="9" s="1"/>
  <c r="J226" i="9"/>
  <c r="G226" i="9" s="1"/>
  <c r="J225" i="9"/>
  <c r="G225" i="9" s="1"/>
  <c r="J224" i="9"/>
  <c r="J223" i="9"/>
  <c r="J222" i="9"/>
  <c r="J221" i="9"/>
  <c r="H221" i="9" s="1"/>
  <c r="J220" i="9"/>
  <c r="H220" i="9" s="1"/>
  <c r="J219" i="9"/>
  <c r="H219" i="9" s="1"/>
  <c r="J218" i="9"/>
  <c r="H218" i="9" s="1"/>
  <c r="J217" i="9"/>
  <c r="H217" i="9" s="1"/>
  <c r="J216" i="9"/>
  <c r="H216" i="9" s="1"/>
  <c r="J215" i="9"/>
  <c r="H215" i="9" s="1"/>
  <c r="J214" i="9"/>
  <c r="J213" i="9"/>
  <c r="H213" i="9" s="1"/>
  <c r="J212" i="9"/>
  <c r="F212" i="9" s="1"/>
  <c r="J211" i="9"/>
  <c r="G211" i="9" s="1"/>
  <c r="J210" i="9"/>
  <c r="J209" i="9"/>
  <c r="H209" i="9" s="1"/>
  <c r="J208" i="9"/>
  <c r="G208" i="9" s="1"/>
  <c r="J207" i="9"/>
  <c r="H207" i="9" s="1"/>
  <c r="J206" i="9"/>
  <c r="G206" i="9" s="1"/>
  <c r="J205" i="9"/>
  <c r="H205" i="9" s="1"/>
  <c r="J204" i="9"/>
  <c r="G204" i="9" s="1"/>
  <c r="J203" i="9"/>
  <c r="H203" i="9" s="1"/>
  <c r="J202" i="9"/>
  <c r="G202" i="9" s="1"/>
  <c r="J201" i="9"/>
  <c r="J200" i="9"/>
  <c r="F200" i="9" s="1"/>
  <c r="J199" i="9"/>
  <c r="H199" i="9" s="1"/>
  <c r="J198" i="9"/>
  <c r="G198" i="9" s="1"/>
  <c r="J197" i="9"/>
  <c r="J196" i="9"/>
  <c r="G196" i="9" s="1"/>
  <c r="J195" i="9"/>
  <c r="F195" i="9" s="1"/>
  <c r="J194" i="9"/>
  <c r="F194" i="9" s="1"/>
  <c r="J193" i="9"/>
  <c r="H193" i="9" s="1"/>
  <c r="J192" i="9"/>
  <c r="F192" i="9" s="1"/>
  <c r="J191" i="9"/>
  <c r="H191" i="9" s="1"/>
  <c r="J190" i="9"/>
  <c r="G190" i="9" s="1"/>
  <c r="J189" i="9"/>
  <c r="H189" i="9" s="1"/>
  <c r="J188" i="9"/>
  <c r="G188" i="9" s="1"/>
  <c r="J187" i="9"/>
  <c r="G187" i="9" s="1"/>
  <c r="J186" i="9"/>
  <c r="H186" i="9" s="1"/>
  <c r="J185" i="9"/>
  <c r="H185" i="9" s="1"/>
  <c r="J184" i="9"/>
  <c r="J183" i="9"/>
  <c r="F183" i="9" s="1"/>
  <c r="J182" i="9"/>
  <c r="H182" i="9" s="1"/>
  <c r="J181" i="9"/>
  <c r="H181" i="9" s="1"/>
  <c r="J180" i="9"/>
  <c r="J179" i="9"/>
  <c r="H179" i="9" s="1"/>
  <c r="J178" i="9"/>
  <c r="F178" i="9" s="1"/>
  <c r="J177" i="9"/>
  <c r="H177" i="9" s="1"/>
  <c r="J176" i="9"/>
  <c r="H176" i="9" s="1"/>
  <c r="J175" i="9"/>
  <c r="F175" i="9" s="1"/>
  <c r="J174" i="9"/>
  <c r="H174" i="9" s="1"/>
  <c r="J173" i="9"/>
  <c r="H173" i="9" s="1"/>
  <c r="J172" i="9"/>
  <c r="F172" i="9" s="1"/>
  <c r="J171" i="9"/>
  <c r="F171" i="9" s="1"/>
  <c r="J170" i="9"/>
  <c r="G170" i="9" s="1"/>
  <c r="J169" i="9"/>
  <c r="H169" i="9" s="1"/>
  <c r="J168" i="9"/>
  <c r="F168" i="9" s="1"/>
  <c r="J167" i="9"/>
  <c r="J166" i="9"/>
  <c r="F166" i="9" s="1"/>
  <c r="J165" i="9"/>
  <c r="H165" i="9" s="1"/>
  <c r="J164" i="9"/>
  <c r="G164" i="9" s="1"/>
  <c r="J163" i="9"/>
  <c r="J162" i="9"/>
  <c r="G162" i="9" s="1"/>
  <c r="J161" i="9"/>
  <c r="H161" i="9" s="1"/>
  <c r="J160" i="9"/>
  <c r="G160" i="9" s="1"/>
  <c r="J159" i="9"/>
  <c r="J158" i="9"/>
  <c r="F158" i="9" s="1"/>
  <c r="J157" i="9"/>
  <c r="J156" i="9"/>
  <c r="J155" i="9"/>
  <c r="J154" i="9"/>
  <c r="F154" i="9" s="1"/>
  <c r="J153" i="9"/>
  <c r="J152" i="9"/>
  <c r="J151" i="9"/>
  <c r="J150" i="9"/>
  <c r="J149" i="9"/>
  <c r="J148" i="9"/>
  <c r="J147" i="9"/>
  <c r="J146" i="9"/>
  <c r="F146" i="9" s="1"/>
  <c r="J145" i="9"/>
  <c r="J144" i="9"/>
  <c r="J143" i="9"/>
  <c r="J142" i="9"/>
  <c r="J141" i="9"/>
  <c r="J140" i="9"/>
  <c r="G140" i="9" s="1"/>
  <c r="J139" i="9"/>
  <c r="J138" i="9"/>
  <c r="J137" i="9"/>
  <c r="F137" i="9" s="1"/>
  <c r="J136" i="9"/>
  <c r="J135" i="9"/>
  <c r="J134" i="9"/>
  <c r="G134" i="9" s="1"/>
  <c r="J133" i="9"/>
  <c r="J132" i="9"/>
  <c r="G132" i="9" s="1"/>
  <c r="J131" i="9"/>
  <c r="J130" i="9"/>
  <c r="G130" i="9" s="1"/>
  <c r="J129" i="9"/>
  <c r="J128" i="9"/>
  <c r="G128" i="9" s="1"/>
  <c r="J127" i="9"/>
  <c r="J126" i="9"/>
  <c r="F126" i="9" s="1"/>
  <c r="J125" i="9"/>
  <c r="G125" i="9" s="1"/>
  <c r="J124" i="9"/>
  <c r="J123" i="9"/>
  <c r="F123" i="9" s="1"/>
  <c r="J122" i="9"/>
  <c r="J121" i="9"/>
  <c r="F121" i="9" s="1"/>
  <c r="J120" i="9"/>
  <c r="G120" i="9" s="1"/>
  <c r="J119" i="9"/>
  <c r="J118" i="9"/>
  <c r="G118" i="9" s="1"/>
  <c r="J117" i="9"/>
  <c r="J116" i="9"/>
  <c r="G116" i="9" s="1"/>
  <c r="J115" i="9"/>
  <c r="F115" i="9" s="1"/>
  <c r="J114" i="9"/>
  <c r="J113" i="9"/>
  <c r="J112" i="9"/>
  <c r="J111" i="9"/>
  <c r="J110" i="9"/>
  <c r="G110" i="9" s="1"/>
  <c r="J109" i="9"/>
  <c r="F109" i="9" s="1"/>
  <c r="J108" i="9"/>
  <c r="G108" i="9" s="1"/>
  <c r="J107" i="9"/>
  <c r="J106" i="9"/>
  <c r="J105" i="9"/>
  <c r="G105" i="9" s="1"/>
  <c r="J104" i="9"/>
  <c r="J103" i="9"/>
  <c r="J102" i="9"/>
  <c r="G102" i="9" s="1"/>
  <c r="J101" i="9"/>
  <c r="G101" i="9" s="1"/>
  <c r="J100" i="9"/>
  <c r="H100" i="9" s="1"/>
  <c r="J99" i="9"/>
  <c r="H99" i="9" s="1"/>
  <c r="J98" i="9"/>
  <c r="H98" i="9" s="1"/>
  <c r="J97" i="9"/>
  <c r="J96" i="9"/>
  <c r="J95" i="9"/>
  <c r="J94" i="9"/>
  <c r="H94" i="9" s="1"/>
  <c r="J93" i="9"/>
  <c r="H93" i="9" s="1"/>
  <c r="J92" i="9"/>
  <c r="H92" i="9" s="1"/>
  <c r="J91" i="9"/>
  <c r="J90" i="9"/>
  <c r="H90" i="9" s="1"/>
  <c r="J89" i="9"/>
  <c r="H89" i="9" s="1"/>
  <c r="J88" i="9"/>
  <c r="H88" i="9" s="1"/>
  <c r="J87" i="9"/>
  <c r="H87" i="9" s="1"/>
  <c r="J86" i="9"/>
  <c r="H86" i="9" s="1"/>
  <c r="J85" i="9"/>
  <c r="J84" i="9"/>
  <c r="G84" i="9" s="1"/>
  <c r="J83" i="9"/>
  <c r="H83" i="9" s="1"/>
  <c r="J82" i="9"/>
  <c r="H82" i="9" s="1"/>
  <c r="J81" i="9"/>
  <c r="J80" i="9"/>
  <c r="J79" i="9"/>
  <c r="J78" i="9"/>
  <c r="J77" i="9"/>
  <c r="H77" i="9" s="1"/>
  <c r="J76" i="9"/>
  <c r="J75" i="9"/>
  <c r="J74" i="9"/>
  <c r="H74" i="9" s="1"/>
  <c r="J73" i="9"/>
  <c r="H73" i="9" s="1"/>
  <c r="J72" i="9"/>
  <c r="H72" i="9" s="1"/>
  <c r="J71" i="9"/>
  <c r="H71" i="9" s="1"/>
  <c r="J70" i="9"/>
  <c r="H70" i="9" s="1"/>
  <c r="J69" i="9"/>
  <c r="H69" i="9" s="1"/>
  <c r="J68" i="9"/>
  <c r="J67" i="9"/>
  <c r="J66" i="9"/>
  <c r="H66" i="9" s="1"/>
  <c r="J65" i="9"/>
  <c r="J64" i="9"/>
  <c r="J63" i="9"/>
  <c r="J62" i="9"/>
  <c r="J61" i="9"/>
  <c r="H61" i="9" s="1"/>
  <c r="J60" i="9"/>
  <c r="H60" i="9" s="1"/>
  <c r="J59" i="9"/>
  <c r="J58" i="9"/>
  <c r="J57" i="9"/>
  <c r="H57" i="9" s="1"/>
  <c r="J56" i="9"/>
  <c r="H56" i="9" s="1"/>
  <c r="J55" i="9"/>
  <c r="H55" i="9" s="1"/>
  <c r="J54" i="9"/>
  <c r="H54" i="9" s="1"/>
  <c r="J53" i="9"/>
  <c r="H53" i="9" s="1"/>
  <c r="J52" i="9"/>
  <c r="H52" i="9" s="1"/>
  <c r="J51" i="9"/>
  <c r="G51" i="9" s="1"/>
  <c r="J50" i="9"/>
  <c r="G50" i="9" s="1"/>
  <c r="J49" i="9"/>
  <c r="H49" i="9" s="1"/>
  <c r="J48" i="9"/>
  <c r="H48" i="9" s="1"/>
  <c r="J47" i="9"/>
  <c r="H47" i="9" s="1"/>
  <c r="J46" i="9"/>
  <c r="G46" i="9" s="1"/>
  <c r="J45" i="9"/>
  <c r="H45" i="9" s="1"/>
  <c r="J44" i="9"/>
  <c r="G44" i="9" s="1"/>
  <c r="J43" i="9"/>
  <c r="F43" i="9" s="1"/>
  <c r="J42" i="9"/>
  <c r="G42" i="9" s="1"/>
  <c r="J41" i="9"/>
  <c r="H41" i="9" s="1"/>
  <c r="J40" i="9"/>
  <c r="J39" i="9"/>
  <c r="H39" i="9" s="1"/>
  <c r="J38" i="9"/>
  <c r="F38" i="9" s="1"/>
  <c r="J37" i="9"/>
  <c r="H37" i="9" s="1"/>
  <c r="J36" i="9"/>
  <c r="J35" i="9"/>
  <c r="J34" i="9"/>
  <c r="J33" i="9"/>
  <c r="J32" i="9"/>
  <c r="J31" i="9"/>
  <c r="J30" i="9"/>
  <c r="H30" i="9" s="1"/>
  <c r="J29" i="9"/>
  <c r="G29" i="9" s="1"/>
  <c r="J28" i="9"/>
  <c r="J27" i="9"/>
  <c r="J26" i="9"/>
  <c r="F26" i="9" s="1"/>
  <c r="J25" i="9"/>
  <c r="J24" i="9"/>
  <c r="J23" i="9"/>
  <c r="J22" i="9"/>
  <c r="H22" i="9" s="1"/>
  <c r="J21" i="9"/>
  <c r="G21" i="9" s="1"/>
  <c r="J20" i="9"/>
  <c r="F20" i="9" s="1"/>
  <c r="J19" i="9"/>
  <c r="G19" i="9" s="1"/>
  <c r="J18" i="9"/>
  <c r="J17" i="9"/>
  <c r="G17" i="9" s="1"/>
  <c r="J16" i="9"/>
  <c r="J15" i="9"/>
  <c r="J14" i="9"/>
  <c r="H14" i="9" s="1"/>
  <c r="J13" i="9"/>
  <c r="B4" i="9"/>
  <c r="B3" i="9"/>
  <c r="I49" i="9" s="1"/>
  <c r="B24" i="6"/>
  <c r="B20" i="6" s="1"/>
  <c r="B21" i="6"/>
  <c r="B19" i="6"/>
  <c r="B18" i="6"/>
  <c r="B17" i="6"/>
  <c r="M7" i="6"/>
  <c r="M6" i="6"/>
  <c r="M5" i="6"/>
  <c r="B22" i="6"/>
  <c r="S168" i="9" l="1"/>
  <c r="R183" i="9"/>
  <c r="F193" i="9"/>
  <c r="F357" i="9"/>
  <c r="AO41" i="9"/>
  <c r="G236" i="9"/>
  <c r="H236" i="9"/>
  <c r="T33" i="9"/>
  <c r="G392" i="9"/>
  <c r="T110" i="9"/>
  <c r="T49" i="9"/>
  <c r="F176" i="9"/>
  <c r="S71" i="9"/>
  <c r="F130" i="9"/>
  <c r="G161" i="9"/>
  <c r="G218" i="9"/>
  <c r="H414" i="9"/>
  <c r="T122" i="9"/>
  <c r="T222" i="9"/>
  <c r="S298" i="9"/>
  <c r="T156" i="9"/>
  <c r="T183" i="9"/>
  <c r="S224" i="9"/>
  <c r="H208" i="9"/>
  <c r="T53" i="9"/>
  <c r="T158" i="9"/>
  <c r="S214" i="9"/>
  <c r="G377" i="9"/>
  <c r="S202" i="9"/>
  <c r="T214" i="9"/>
  <c r="F196" i="9"/>
  <c r="H377" i="9"/>
  <c r="T115" i="9"/>
  <c r="T202" i="9"/>
  <c r="AK79" i="9"/>
  <c r="H171" i="9"/>
  <c r="G352" i="9"/>
  <c r="T478" i="9"/>
  <c r="F50" i="9"/>
  <c r="F186" i="9"/>
  <c r="H290" i="9"/>
  <c r="H352" i="9"/>
  <c r="S372" i="9"/>
  <c r="R494" i="9"/>
  <c r="H50" i="9"/>
  <c r="H381" i="9"/>
  <c r="F457" i="9"/>
  <c r="R33" i="9"/>
  <c r="T106" i="9"/>
  <c r="T372" i="9"/>
  <c r="R465" i="9"/>
  <c r="F231" i="9"/>
  <c r="T19" i="9"/>
  <c r="S180" i="9"/>
  <c r="G200" i="9"/>
  <c r="F320" i="9"/>
  <c r="F213" i="9"/>
  <c r="F467" i="9"/>
  <c r="G178" i="9"/>
  <c r="F339" i="9"/>
  <c r="H510" i="9"/>
  <c r="G265" i="9"/>
  <c r="G339" i="9"/>
  <c r="H348" i="9"/>
  <c r="F398" i="9"/>
  <c r="G412" i="9"/>
  <c r="H456" i="9"/>
  <c r="T71" i="9"/>
  <c r="S163" i="9"/>
  <c r="S176" i="9"/>
  <c r="F328" i="9"/>
  <c r="H320" i="9"/>
  <c r="F348" i="9"/>
  <c r="G371" i="9"/>
  <c r="G109" i="9"/>
  <c r="G166" i="9"/>
  <c r="H178" i="9"/>
  <c r="G192" i="9"/>
  <c r="H42" i="9"/>
  <c r="H265" i="9"/>
  <c r="F322" i="9"/>
  <c r="G331" i="9"/>
  <c r="F360" i="9"/>
  <c r="H385" i="9"/>
  <c r="T23" i="9"/>
  <c r="R298" i="9"/>
  <c r="G217" i="9"/>
  <c r="F258" i="9"/>
  <c r="G313" i="9"/>
  <c r="G332" i="9"/>
  <c r="S50" i="9"/>
  <c r="S63" i="9"/>
  <c r="G171" i="9"/>
  <c r="F218" i="9"/>
  <c r="G258" i="9"/>
  <c r="H324" i="9"/>
  <c r="H332" i="9"/>
  <c r="T50" i="9"/>
  <c r="T63" i="9"/>
  <c r="T75" i="9"/>
  <c r="T87" i="9"/>
  <c r="S101" i="9"/>
  <c r="R180" i="9"/>
  <c r="R503" i="9"/>
  <c r="G55" i="9"/>
  <c r="F74" i="9"/>
  <c r="H461" i="9"/>
  <c r="S41" i="9"/>
  <c r="T168" i="9"/>
  <c r="R246" i="9"/>
  <c r="F47" i="9"/>
  <c r="F162" i="9"/>
  <c r="H196" i="9"/>
  <c r="F209" i="9"/>
  <c r="G259" i="9"/>
  <c r="F316" i="9"/>
  <c r="G326" i="9"/>
  <c r="F334" i="9"/>
  <c r="F344" i="9"/>
  <c r="F504" i="9"/>
  <c r="R77" i="9"/>
  <c r="S378" i="9"/>
  <c r="F340" i="9"/>
  <c r="G47" i="9"/>
  <c r="H229" i="9"/>
  <c r="F323" i="9"/>
  <c r="H344" i="9"/>
  <c r="H162" i="9"/>
  <c r="T67" i="9"/>
  <c r="R78" i="9"/>
  <c r="R182" i="9"/>
  <c r="R407" i="9"/>
  <c r="AB33" i="9"/>
  <c r="I35" i="9"/>
  <c r="G209" i="9"/>
  <c r="H326" i="9"/>
  <c r="F134" i="9"/>
  <c r="F260" i="9"/>
  <c r="F92" i="9"/>
  <c r="F327" i="9"/>
  <c r="F336" i="9"/>
  <c r="H477" i="9"/>
  <c r="R92" i="9"/>
  <c r="T380" i="9"/>
  <c r="T479" i="9"/>
  <c r="T80" i="9"/>
  <c r="S148" i="9"/>
  <c r="R281" i="9"/>
  <c r="R381" i="9"/>
  <c r="R454" i="9"/>
  <c r="F299" i="9"/>
  <c r="F359" i="9"/>
  <c r="R195" i="9"/>
  <c r="F45" i="9"/>
  <c r="F173" i="9"/>
  <c r="S149" i="9"/>
  <c r="G100" i="9"/>
  <c r="F66" i="9"/>
  <c r="G195" i="9"/>
  <c r="AC97" i="9"/>
  <c r="AC15" i="9"/>
  <c r="I30" i="9"/>
  <c r="F42" i="9"/>
  <c r="H192" i="9"/>
  <c r="H200" i="9"/>
  <c r="F297" i="9"/>
  <c r="G305" i="9"/>
  <c r="H313" i="9"/>
  <c r="H331" i="9"/>
  <c r="F351" i="9"/>
  <c r="G357" i="9"/>
  <c r="S59" i="9"/>
  <c r="S67" i="9"/>
  <c r="S75" i="9"/>
  <c r="R101" i="9"/>
  <c r="R293" i="9"/>
  <c r="R389" i="9"/>
  <c r="R411" i="9"/>
  <c r="R448" i="9"/>
  <c r="T469" i="9"/>
  <c r="F458" i="9"/>
  <c r="F179" i="9"/>
  <c r="H250" i="9"/>
  <c r="G66" i="9"/>
  <c r="S294" i="9"/>
  <c r="R306" i="9"/>
  <c r="T471" i="9"/>
  <c r="F307" i="9"/>
  <c r="F188" i="9"/>
  <c r="F203" i="9"/>
  <c r="G250" i="9"/>
  <c r="G266" i="9"/>
  <c r="G299" i="9"/>
  <c r="G307" i="9"/>
  <c r="F346" i="9"/>
  <c r="G369" i="9"/>
  <c r="G389" i="9"/>
  <c r="S51" i="9"/>
  <c r="R62" i="9"/>
  <c r="S76" i="9"/>
  <c r="T84" i="9"/>
  <c r="T103" i="9"/>
  <c r="S169" i="9"/>
  <c r="S184" i="9"/>
  <c r="G87" i="9"/>
  <c r="H230" i="9"/>
  <c r="G346" i="9"/>
  <c r="H369" i="9"/>
  <c r="T51" i="9"/>
  <c r="S62" i="9"/>
  <c r="S70" i="9"/>
  <c r="T76" i="9"/>
  <c r="S94" i="9"/>
  <c r="S114" i="9"/>
  <c r="S178" i="9"/>
  <c r="S226" i="9"/>
  <c r="T237" i="9"/>
  <c r="R415" i="9"/>
  <c r="R463" i="9"/>
  <c r="T70" i="9"/>
  <c r="S151" i="9"/>
  <c r="T170" i="9"/>
  <c r="T206" i="9"/>
  <c r="R285" i="9"/>
  <c r="R374" i="9"/>
  <c r="R393" i="9"/>
  <c r="R473" i="9"/>
  <c r="T506" i="9"/>
  <c r="F321" i="9"/>
  <c r="G179" i="9"/>
  <c r="H188" i="9"/>
  <c r="H195" i="9"/>
  <c r="G212" i="9"/>
  <c r="F220" i="9"/>
  <c r="G316" i="9"/>
  <c r="G322" i="9"/>
  <c r="G327" i="9"/>
  <c r="G333" i="9"/>
  <c r="G340" i="9"/>
  <c r="F353" i="9"/>
  <c r="G360" i="9"/>
  <c r="F481" i="9"/>
  <c r="F493" i="9"/>
  <c r="H35" i="9"/>
  <c r="G54" i="9"/>
  <c r="G165" i="9"/>
  <c r="F174" i="9"/>
  <c r="F205" i="9"/>
  <c r="H212" i="9"/>
  <c r="H231" i="9"/>
  <c r="F243" i="9"/>
  <c r="G251" i="9"/>
  <c r="F268" i="9"/>
  <c r="G291" i="9"/>
  <c r="G353" i="9"/>
  <c r="F471" i="9"/>
  <c r="G493" i="9"/>
  <c r="H504" i="9"/>
  <c r="R23" i="9"/>
  <c r="R198" i="9"/>
  <c r="S227" i="9"/>
  <c r="R308" i="9"/>
  <c r="S374" i="9"/>
  <c r="T495" i="9"/>
  <c r="G137" i="9"/>
  <c r="S177" i="9"/>
  <c r="F54" i="9"/>
  <c r="F101" i="9"/>
  <c r="G174" i="9"/>
  <c r="G205" i="9"/>
  <c r="H243" i="9"/>
  <c r="H291" i="9"/>
  <c r="S171" i="9"/>
  <c r="S198" i="9"/>
  <c r="T218" i="9"/>
  <c r="F100" i="9"/>
  <c r="F206" i="9"/>
  <c r="F252" i="9"/>
  <c r="G283" i="9"/>
  <c r="G323" i="9"/>
  <c r="G328" i="9"/>
  <c r="F342" i="9"/>
  <c r="F362" i="9"/>
  <c r="F382" i="9"/>
  <c r="H494" i="9"/>
  <c r="T16" i="9"/>
  <c r="T154" i="9"/>
  <c r="S199" i="9"/>
  <c r="R395" i="9"/>
  <c r="T20" i="9"/>
  <c r="I47" i="9"/>
  <c r="F245" i="9"/>
  <c r="G271" i="9"/>
  <c r="H283" i="9"/>
  <c r="F356" i="9"/>
  <c r="F393" i="9"/>
  <c r="G416" i="9"/>
  <c r="S24" i="9"/>
  <c r="S48" i="9"/>
  <c r="S64" i="9"/>
  <c r="S79" i="9"/>
  <c r="T99" i="9"/>
  <c r="S189" i="9"/>
  <c r="T230" i="9"/>
  <c r="R476" i="9"/>
  <c r="R487" i="9"/>
  <c r="R510" i="9"/>
  <c r="H166" i="9"/>
  <c r="F191" i="9"/>
  <c r="G191" i="9"/>
  <c r="F319" i="9"/>
  <c r="G175" i="9"/>
  <c r="G183" i="9"/>
  <c r="G245" i="9"/>
  <c r="G263" i="9"/>
  <c r="H271" i="9"/>
  <c r="F304" i="9"/>
  <c r="F312" i="9"/>
  <c r="G319" i="9"/>
  <c r="G336" i="9"/>
  <c r="G343" i="9"/>
  <c r="G356" i="9"/>
  <c r="H373" i="9"/>
  <c r="G393" i="9"/>
  <c r="F474" i="9"/>
  <c r="T24" i="9"/>
  <c r="T48" i="9"/>
  <c r="T73" i="9"/>
  <c r="T79" i="9"/>
  <c r="R89" i="9"/>
  <c r="T155" i="9"/>
  <c r="S165" i="9"/>
  <c r="S181" i="9"/>
  <c r="T386" i="9"/>
  <c r="T432" i="9"/>
  <c r="T499" i="9"/>
  <c r="F70" i="9"/>
  <c r="G93" i="9"/>
  <c r="F49" i="9"/>
  <c r="G71" i="9"/>
  <c r="G83" i="9"/>
  <c r="H175" i="9"/>
  <c r="H183" i="9"/>
  <c r="F208" i="9"/>
  <c r="H263" i="9"/>
  <c r="G304" i="9"/>
  <c r="F324" i="9"/>
  <c r="H343" i="9"/>
  <c r="G350" i="9"/>
  <c r="R18" i="9"/>
  <c r="S89" i="9"/>
  <c r="S100" i="9"/>
  <c r="T130" i="9"/>
  <c r="T165" i="9"/>
  <c r="S174" i="9"/>
  <c r="T181" i="9"/>
  <c r="S201" i="9"/>
  <c r="S211" i="9"/>
  <c r="R222" i="9"/>
  <c r="T231" i="9"/>
  <c r="R254" i="9"/>
  <c r="S266" i="9"/>
  <c r="R420" i="9"/>
  <c r="F82" i="9"/>
  <c r="G213" i="9"/>
  <c r="G82" i="9"/>
  <c r="G121" i="9"/>
  <c r="F161" i="9"/>
  <c r="H350" i="9"/>
  <c r="H374" i="9"/>
  <c r="G385" i="9"/>
  <c r="S18" i="9"/>
  <c r="S49" i="9"/>
  <c r="T66" i="9"/>
  <c r="R74" i="9"/>
  <c r="S80" i="9"/>
  <c r="S156" i="9"/>
  <c r="T174" i="9"/>
  <c r="S370" i="9"/>
  <c r="G167" i="9"/>
  <c r="H167" i="9"/>
  <c r="H58" i="9"/>
  <c r="F58" i="9"/>
  <c r="F167" i="9"/>
  <c r="G214" i="9"/>
  <c r="H214" i="9"/>
  <c r="F400" i="9"/>
  <c r="AW14" i="9"/>
  <c r="H76" i="9"/>
  <c r="F76" i="9"/>
  <c r="H295" i="9"/>
  <c r="G295" i="9"/>
  <c r="G505" i="9"/>
  <c r="AW95" i="9"/>
  <c r="T95" i="9"/>
  <c r="T34" i="9"/>
  <c r="S34" i="9"/>
  <c r="T126" i="9"/>
  <c r="S126" i="9"/>
  <c r="T72" i="9"/>
  <c r="S72" i="9"/>
  <c r="R72" i="9"/>
  <c r="H210" i="9"/>
  <c r="F210" i="9"/>
  <c r="G210" i="9"/>
  <c r="G184" i="9"/>
  <c r="H184" i="9"/>
  <c r="F184" i="9"/>
  <c r="G272" i="9"/>
  <c r="H272" i="9"/>
  <c r="H349" i="9"/>
  <c r="G349" i="9"/>
  <c r="G163" i="9"/>
  <c r="F163" i="9"/>
  <c r="H163" i="9"/>
  <c r="H68" i="9"/>
  <c r="G68" i="9"/>
  <c r="F68" i="9"/>
  <c r="R57" i="9"/>
  <c r="S57" i="9"/>
  <c r="T57" i="9"/>
  <c r="H197" i="9"/>
  <c r="F197" i="9"/>
  <c r="G197" i="9"/>
  <c r="H43" i="9"/>
  <c r="G43" i="9"/>
  <c r="F214" i="9"/>
  <c r="F51" i="9"/>
  <c r="H51" i="9"/>
  <c r="H201" i="9"/>
  <c r="G201" i="9"/>
  <c r="F201" i="9"/>
  <c r="H315" i="9"/>
  <c r="G315" i="9"/>
  <c r="H345" i="9"/>
  <c r="G345" i="9"/>
  <c r="F345" i="9"/>
  <c r="H358" i="9"/>
  <c r="G358" i="9"/>
  <c r="F358" i="9"/>
  <c r="H476" i="9"/>
  <c r="G476" i="9"/>
  <c r="G27" i="9"/>
  <c r="H27" i="9"/>
  <c r="H180" i="9"/>
  <c r="F180" i="9"/>
  <c r="G180" i="9"/>
  <c r="H85" i="9"/>
  <c r="G85" i="9"/>
  <c r="F85" i="9"/>
  <c r="F27" i="9"/>
  <c r="H468" i="9"/>
  <c r="G468" i="9"/>
  <c r="I28" i="9"/>
  <c r="AD28" i="9"/>
  <c r="I37" i="9"/>
  <c r="F48" i="9"/>
  <c r="G77" i="9"/>
  <c r="G115" i="9"/>
  <c r="F202" i="9"/>
  <c r="G48" i="9"/>
  <c r="F98" i="9"/>
  <c r="G168" i="9"/>
  <c r="H202" i="9"/>
  <c r="T217" i="9"/>
  <c r="S217" i="9"/>
  <c r="R217" i="9"/>
  <c r="H164" i="9"/>
  <c r="H211" i="9"/>
  <c r="AK65" i="9"/>
  <c r="AB34" i="9"/>
  <c r="H46" i="9"/>
  <c r="H170" i="9"/>
  <c r="H187" i="9"/>
  <c r="H204" i="9"/>
  <c r="H318" i="9"/>
  <c r="H335" i="9"/>
  <c r="R56" i="9"/>
  <c r="S56" i="9"/>
  <c r="R162" i="9"/>
  <c r="T162" i="9"/>
  <c r="S417" i="9"/>
  <c r="R417" i="9"/>
  <c r="F125" i="9"/>
  <c r="G176" i="9"/>
  <c r="F60" i="9"/>
  <c r="F86" i="9"/>
  <c r="G189" i="9"/>
  <c r="F198" i="9"/>
  <c r="H206" i="9"/>
  <c r="F215" i="9"/>
  <c r="H226" i="9"/>
  <c r="H280" i="9"/>
  <c r="H19" i="9"/>
  <c r="H44" i="9"/>
  <c r="G69" i="9"/>
  <c r="F164" i="9"/>
  <c r="G185" i="9"/>
  <c r="G215" i="9"/>
  <c r="H247" i="9"/>
  <c r="H296" i="9"/>
  <c r="T310" i="9"/>
  <c r="S310" i="9"/>
  <c r="G126" i="9"/>
  <c r="G177" i="9"/>
  <c r="H194" i="9"/>
  <c r="I41" i="9"/>
  <c r="H84" i="9"/>
  <c r="F84" i="9"/>
  <c r="R175" i="9"/>
  <c r="T175" i="9"/>
  <c r="S175" i="9"/>
  <c r="T295" i="9"/>
  <c r="S295" i="9"/>
  <c r="S273" i="9"/>
  <c r="R273" i="9"/>
  <c r="T442" i="9"/>
  <c r="R442" i="9"/>
  <c r="S13" i="9"/>
  <c r="R13" i="9"/>
  <c r="R157" i="9"/>
  <c r="S157" i="9"/>
  <c r="T163" i="9"/>
  <c r="T169" i="9"/>
  <c r="T176" i="9"/>
  <c r="S182" i="9"/>
  <c r="R190" i="9"/>
  <c r="S443" i="9"/>
  <c r="T443" i="9"/>
  <c r="F341" i="9"/>
  <c r="F354" i="9"/>
  <c r="F365" i="9"/>
  <c r="F388" i="9"/>
  <c r="F394" i="9"/>
  <c r="H410" i="9"/>
  <c r="G410" i="9"/>
  <c r="T13" i="9"/>
  <c r="R58" i="9"/>
  <c r="T58" i="9"/>
  <c r="S58" i="9"/>
  <c r="R68" i="9"/>
  <c r="S96" i="9"/>
  <c r="R96" i="9"/>
  <c r="S150" i="9"/>
  <c r="T157" i="9"/>
  <c r="R164" i="9"/>
  <c r="T164" i="9"/>
  <c r="S207" i="9"/>
  <c r="T233" i="9"/>
  <c r="S233" i="9"/>
  <c r="T433" i="9"/>
  <c r="R433" i="9"/>
  <c r="R443" i="9"/>
  <c r="F247" i="9"/>
  <c r="G252" i="9"/>
  <c r="G260" i="9"/>
  <c r="F337" i="9"/>
  <c r="G341" i="9"/>
  <c r="G354" i="9"/>
  <c r="G365" i="9"/>
  <c r="F373" i="9"/>
  <c r="F401" i="9"/>
  <c r="F461" i="9"/>
  <c r="F477" i="9"/>
  <c r="R20" i="9"/>
  <c r="S52" i="9"/>
  <c r="AO58" i="9"/>
  <c r="S68" i="9"/>
  <c r="T77" i="9"/>
  <c r="T96" i="9"/>
  <c r="R103" i="9"/>
  <c r="S118" i="9"/>
  <c r="S164" i="9"/>
  <c r="R233" i="9"/>
  <c r="T485" i="9"/>
  <c r="R485" i="9"/>
  <c r="F296" i="9"/>
  <c r="F333" i="9"/>
  <c r="G337" i="9"/>
  <c r="F381" i="9"/>
  <c r="F389" i="9"/>
  <c r="G401" i="9"/>
  <c r="R14" i="9"/>
  <c r="T52" i="9"/>
  <c r="R64" i="9"/>
  <c r="R73" i="9"/>
  <c r="S158" i="9"/>
  <c r="T177" i="9"/>
  <c r="R201" i="9"/>
  <c r="S278" i="9"/>
  <c r="R278" i="9"/>
  <c r="T455" i="9"/>
  <c r="T507" i="9"/>
  <c r="R507" i="9"/>
  <c r="R486" i="9"/>
  <c r="F52" i="9"/>
  <c r="G172" i="9"/>
  <c r="F211" i="9"/>
  <c r="H273" i="9"/>
  <c r="F53" i="9"/>
  <c r="G61" i="9"/>
  <c r="F79" i="9"/>
  <c r="G98" i="9"/>
  <c r="F160" i="9"/>
  <c r="H168" i="9"/>
  <c r="F177" i="9"/>
  <c r="G181" i="9"/>
  <c r="F190" i="9"/>
  <c r="G194" i="9"/>
  <c r="H198" i="9"/>
  <c r="F207" i="9"/>
  <c r="G227" i="9"/>
  <c r="H233" i="9"/>
  <c r="F241" i="9"/>
  <c r="F325" i="9"/>
  <c r="G329" i="9"/>
  <c r="F338" i="9"/>
  <c r="G342" i="9"/>
  <c r="F355" i="9"/>
  <c r="G359" i="9"/>
  <c r="F396" i="9"/>
  <c r="F402" i="9"/>
  <c r="F509" i="9"/>
  <c r="T14" i="9"/>
  <c r="S37" i="9"/>
  <c r="T59" i="9"/>
  <c r="R69" i="9"/>
  <c r="S78" i="9"/>
  <c r="S85" i="9"/>
  <c r="R85" i="9"/>
  <c r="S98" i="9"/>
  <c r="S152" i="9"/>
  <c r="R159" i="9"/>
  <c r="T159" i="9"/>
  <c r="S159" i="9"/>
  <c r="T171" i="9"/>
  <c r="S209" i="9"/>
  <c r="R310" i="9"/>
  <c r="R172" i="9"/>
  <c r="T172" i="9"/>
  <c r="S236" i="9"/>
  <c r="R403" i="9"/>
  <c r="R447" i="9"/>
  <c r="R477" i="9"/>
  <c r="F44" i="9"/>
  <c r="F189" i="9"/>
  <c r="F19" i="9"/>
  <c r="F69" i="9"/>
  <c r="F185" i="9"/>
  <c r="H172" i="9"/>
  <c r="F329" i="9"/>
  <c r="T299" i="9"/>
  <c r="S299" i="9"/>
  <c r="G207" i="9"/>
  <c r="G338" i="9"/>
  <c r="G355" i="9"/>
  <c r="G509" i="9"/>
  <c r="T69" i="9"/>
  <c r="G45" i="9"/>
  <c r="G49" i="9"/>
  <c r="AA53" i="9"/>
  <c r="G70" i="9"/>
  <c r="G99" i="9"/>
  <c r="H160" i="9"/>
  <c r="F169" i="9"/>
  <c r="G173" i="9"/>
  <c r="F182" i="9"/>
  <c r="G186" i="9"/>
  <c r="H190" i="9"/>
  <c r="F199" i="9"/>
  <c r="G203" i="9"/>
  <c r="F216" i="9"/>
  <c r="G220" i="9"/>
  <c r="F234" i="9"/>
  <c r="F249" i="9"/>
  <c r="G268" i="9"/>
  <c r="G275" i="9"/>
  <c r="G297" i="9"/>
  <c r="G312" i="9"/>
  <c r="F317" i="9"/>
  <c r="G321" i="9"/>
  <c r="F330" i="9"/>
  <c r="G334" i="9"/>
  <c r="F347" i="9"/>
  <c r="G351" i="9"/>
  <c r="F390" i="9"/>
  <c r="F397" i="9"/>
  <c r="G471" i="9"/>
  <c r="T22" i="9"/>
  <c r="T38" i="9"/>
  <c r="S38" i="9"/>
  <c r="S54" i="9"/>
  <c r="S60" i="9"/>
  <c r="R65" i="9"/>
  <c r="S74" i="9"/>
  <c r="S92" i="9"/>
  <c r="S153" i="9"/>
  <c r="S160" i="9"/>
  <c r="S166" i="9"/>
  <c r="S172" i="9"/>
  <c r="S195" i="9"/>
  <c r="T219" i="9"/>
  <c r="S219" i="9"/>
  <c r="T236" i="9"/>
  <c r="R292" i="9"/>
  <c r="S458" i="9"/>
  <c r="T458" i="9"/>
  <c r="R458" i="9"/>
  <c r="F219" i="9"/>
  <c r="G52" i="9"/>
  <c r="G219" i="9"/>
  <c r="G498" i="9"/>
  <c r="F498" i="9"/>
  <c r="G325" i="9"/>
  <c r="AB31" i="9"/>
  <c r="F165" i="9"/>
  <c r="G169" i="9"/>
  <c r="G182" i="9"/>
  <c r="G199" i="9"/>
  <c r="G216" i="9"/>
  <c r="G234" i="9"/>
  <c r="H275" i="9"/>
  <c r="F305" i="9"/>
  <c r="G317" i="9"/>
  <c r="G330" i="9"/>
  <c r="G347" i="9"/>
  <c r="G397" i="9"/>
  <c r="T54" i="9"/>
  <c r="T60" i="9"/>
  <c r="T65" i="9"/>
  <c r="T160" i="9"/>
  <c r="T166" i="9"/>
  <c r="R173" i="9"/>
  <c r="S173" i="9"/>
  <c r="S210" i="9"/>
  <c r="R219" i="9"/>
  <c r="G193" i="9"/>
  <c r="G86" i="9"/>
  <c r="F181" i="9"/>
  <c r="T32" i="9"/>
  <c r="S32" i="9"/>
  <c r="R61" i="9"/>
  <c r="S61" i="9"/>
  <c r="R167" i="9"/>
  <c r="S167" i="9"/>
  <c r="S406" i="9"/>
  <c r="R406" i="9"/>
  <c r="R427" i="9"/>
  <c r="F46" i="9"/>
  <c r="F65" i="9"/>
  <c r="F170" i="9"/>
  <c r="F187" i="9"/>
  <c r="F204" i="9"/>
  <c r="G221" i="9"/>
  <c r="F276" i="9"/>
  <c r="F318" i="9"/>
  <c r="F335" i="9"/>
  <c r="H466" i="9"/>
  <c r="G466" i="9"/>
  <c r="AN32" i="9"/>
  <c r="S55" i="9"/>
  <c r="T61" i="9"/>
  <c r="R66" i="9"/>
  <c r="R87" i="9"/>
  <c r="R93" i="9"/>
  <c r="S161" i="9"/>
  <c r="T167" i="9"/>
  <c r="R197" i="9"/>
  <c r="R203" i="9"/>
  <c r="S470" i="9"/>
  <c r="T470" i="9"/>
  <c r="R470" i="9"/>
  <c r="G53" i="9"/>
  <c r="F217" i="9"/>
  <c r="H235" i="9"/>
  <c r="T55" i="9"/>
  <c r="S147" i="9"/>
  <c r="S155" i="9"/>
  <c r="T161" i="9"/>
  <c r="S203" i="9"/>
  <c r="S376" i="9"/>
  <c r="R376" i="9"/>
  <c r="T439" i="9"/>
  <c r="R502" i="9"/>
  <c r="S53" i="9"/>
  <c r="S146" i="9"/>
  <c r="S154" i="9"/>
  <c r="S170" i="9"/>
  <c r="R294" i="9"/>
  <c r="R459" i="9"/>
  <c r="T459" i="9"/>
  <c r="R467" i="9"/>
  <c r="R231" i="9"/>
  <c r="R237" i="9"/>
  <c r="R262" i="9"/>
  <c r="R270" i="9"/>
  <c r="R304" i="9"/>
  <c r="R421" i="9"/>
  <c r="R430" i="9"/>
  <c r="R437" i="9"/>
  <c r="R481" i="9"/>
  <c r="R497" i="9"/>
  <c r="R511" i="9"/>
  <c r="R211" i="9"/>
  <c r="S311" i="9"/>
  <c r="R489" i="9"/>
  <c r="R505" i="9"/>
  <c r="R399" i="9"/>
  <c r="R422" i="9"/>
  <c r="R438" i="9"/>
  <c r="R446" i="9"/>
  <c r="R512" i="9"/>
  <c r="T438" i="9"/>
  <c r="T454" i="9"/>
  <c r="AE511" i="9"/>
  <c r="AC510" i="9"/>
  <c r="AB509" i="9"/>
  <c r="AD495" i="9"/>
  <c r="AC494" i="9"/>
  <c r="AB493" i="9"/>
  <c r="AD511" i="9"/>
  <c r="AB510" i="9"/>
  <c r="I509" i="9"/>
  <c r="AC495" i="9"/>
  <c r="AB494" i="9"/>
  <c r="I493" i="9"/>
  <c r="AC511" i="9"/>
  <c r="I510" i="9"/>
  <c r="AK504" i="9"/>
  <c r="AB495" i="9"/>
  <c r="I494" i="9"/>
  <c r="AK510" i="9"/>
  <c r="AJ509" i="9"/>
  <c r="AG506" i="9"/>
  <c r="AF505" i="9"/>
  <c r="AE504" i="9"/>
  <c r="AJ510" i="9"/>
  <c r="AI509" i="9"/>
  <c r="AI511" i="9"/>
  <c r="AH509" i="9"/>
  <c r="AB504" i="9"/>
  <c r="AH497" i="9"/>
  <c r="AJ495" i="9"/>
  <c r="AD494" i="9"/>
  <c r="AC486" i="9"/>
  <c r="AC474" i="9"/>
  <c r="AA468" i="9"/>
  <c r="AC458" i="9"/>
  <c r="AH511" i="9"/>
  <c r="AG509" i="9"/>
  <c r="I504" i="9"/>
  <c r="AG502" i="9"/>
  <c r="AG497" i="9"/>
  <c r="AI495" i="9"/>
  <c r="AH492" i="9"/>
  <c r="I491" i="9"/>
  <c r="AB486" i="9"/>
  <c r="AB474" i="9"/>
  <c r="AC469" i="9"/>
  <c r="I468" i="9"/>
  <c r="AG511" i="9"/>
  <c r="AF509" i="9"/>
  <c r="AK505" i="9"/>
  <c r="AC497" i="9"/>
  <c r="AH495" i="9"/>
  <c r="AA486" i="9"/>
  <c r="AA474" i="9"/>
  <c r="AA458" i="9"/>
  <c r="AB511" i="9"/>
  <c r="AD509" i="9"/>
  <c r="AD507" i="9"/>
  <c r="AE505" i="9"/>
  <c r="I502" i="9"/>
  <c r="AF500" i="9"/>
  <c r="AK498" i="9"/>
  <c r="AF495" i="9"/>
  <c r="AJ493" i="9"/>
  <c r="AE492" i="9"/>
  <c r="AC509" i="9"/>
  <c r="AD505" i="9"/>
  <c r="AE495" i="9"/>
  <c r="AI493" i="9"/>
  <c r="AC505" i="9"/>
  <c r="AI510" i="9"/>
  <c r="AB505" i="9"/>
  <c r="AG493" i="9"/>
  <c r="AK512" i="9"/>
  <c r="AH510" i="9"/>
  <c r="I505" i="9"/>
  <c r="AF493" i="9"/>
  <c r="AG488" i="9"/>
  <c r="AF485" i="9"/>
  <c r="AG482" i="9"/>
  <c r="AD477" i="9"/>
  <c r="AF467" i="9"/>
  <c r="AD461" i="9"/>
  <c r="AF456" i="9"/>
  <c r="AJ512" i="9"/>
  <c r="AG510" i="9"/>
  <c r="AK506" i="9"/>
  <c r="AK494" i="9"/>
  <c r="AE493" i="9"/>
  <c r="AF488" i="9"/>
  <c r="AE485" i="9"/>
  <c r="AF482" i="9"/>
  <c r="AC477" i="9"/>
  <c r="AK468" i="9"/>
  <c r="AE467" i="9"/>
  <c r="AC461" i="9"/>
  <c r="AE456" i="9"/>
  <c r="AH512" i="9"/>
  <c r="AF510" i="9"/>
  <c r="AG508" i="9"/>
  <c r="AF506" i="9"/>
  <c r="AG501" i="9"/>
  <c r="AG496" i="9"/>
  <c r="AJ494" i="9"/>
  <c r="AD493" i="9"/>
  <c r="AH491" i="9"/>
  <c r="AA490" i="9"/>
  <c r="AE488" i="9"/>
  <c r="AD485" i="9"/>
  <c r="AE482" i="9"/>
  <c r="AA481" i="9"/>
  <c r="AD512" i="9"/>
  <c r="AE510" i="9"/>
  <c r="AF508" i="9"/>
  <c r="AE506" i="9"/>
  <c r="AF501" i="9"/>
  <c r="AF496" i="9"/>
  <c r="AI494" i="9"/>
  <c r="AC493" i="9"/>
  <c r="AG491" i="9"/>
  <c r="I490" i="9"/>
  <c r="AD488" i="9"/>
  <c r="AK486" i="9"/>
  <c r="AC485" i="9"/>
  <c r="AD482" i="9"/>
  <c r="I481" i="9"/>
  <c r="AC512" i="9"/>
  <c r="AD510" i="9"/>
  <c r="AE508" i="9"/>
  <c r="AD506" i="9"/>
  <c r="AJ504" i="9"/>
  <c r="AB501" i="9"/>
  <c r="AB496" i="9"/>
  <c r="AH494" i="9"/>
  <c r="AF491" i="9"/>
  <c r="AC488" i="9"/>
  <c r="AG486" i="9"/>
  <c r="AB485" i="9"/>
  <c r="AC482" i="9"/>
  <c r="I477" i="9"/>
  <c r="AG474" i="9"/>
  <c r="AD508" i="9"/>
  <c r="AC506" i="9"/>
  <c r="AI504" i="9"/>
  <c r="I501" i="9"/>
  <c r="AK497" i="9"/>
  <c r="I496" i="9"/>
  <c r="AG494" i="9"/>
  <c r="AE491" i="9"/>
  <c r="AB488" i="9"/>
  <c r="AF486" i="9"/>
  <c r="AA485" i="9"/>
  <c r="AB482" i="9"/>
  <c r="AK511" i="9"/>
  <c r="AB506" i="9"/>
  <c r="AD504" i="9"/>
  <c r="AJ497" i="9"/>
  <c r="AF494" i="9"/>
  <c r="AD491" i="9"/>
  <c r="AA488" i="9"/>
  <c r="AE486" i="9"/>
  <c r="I485" i="9"/>
  <c r="AA482" i="9"/>
  <c r="AE474" i="9"/>
  <c r="AF469" i="9"/>
  <c r="AC468" i="9"/>
  <c r="I467" i="9"/>
  <c r="AE458" i="9"/>
  <c r="I456" i="9"/>
  <c r="AB497" i="9"/>
  <c r="AA480" i="9"/>
  <c r="AG469" i="9"/>
  <c r="AD467" i="9"/>
  <c r="AA461" i="9"/>
  <c r="AC459" i="9"/>
  <c r="AC457" i="9"/>
  <c r="AB448" i="9"/>
  <c r="AG446" i="9"/>
  <c r="AA441" i="9"/>
  <c r="AA435" i="9"/>
  <c r="AB432" i="9"/>
  <c r="AD426" i="9"/>
  <c r="AA419" i="9"/>
  <c r="AC416" i="9"/>
  <c r="AC412" i="9"/>
  <c r="AB401" i="9"/>
  <c r="I400" i="9"/>
  <c r="AB393" i="9"/>
  <c r="I392" i="9"/>
  <c r="AB385" i="9"/>
  <c r="I384" i="9"/>
  <c r="AB377" i="9"/>
  <c r="I376" i="9"/>
  <c r="AF487" i="9"/>
  <c r="AF476" i="9"/>
  <c r="AG471" i="9"/>
  <c r="AE469" i="9"/>
  <c r="AC467" i="9"/>
  <c r="I461" i="9"/>
  <c r="AF492" i="9"/>
  <c r="AE487" i="9"/>
  <c r="AE476" i="9"/>
  <c r="AF471" i="9"/>
  <c r="AA469" i="9"/>
  <c r="AB467" i="9"/>
  <c r="I459" i="9"/>
  <c r="I448" i="9"/>
  <c r="AB446" i="9"/>
  <c r="I432" i="9"/>
  <c r="AB426" i="9"/>
  <c r="AA416" i="9"/>
  <c r="AA412" i="9"/>
  <c r="I401" i="9"/>
  <c r="AJ397" i="9"/>
  <c r="I393" i="9"/>
  <c r="AJ389" i="9"/>
  <c r="I385" i="9"/>
  <c r="AB508" i="9"/>
  <c r="AC492" i="9"/>
  <c r="AC487" i="9"/>
  <c r="AC476" i="9"/>
  <c r="AD471" i="9"/>
  <c r="I469" i="9"/>
  <c r="AA467" i="9"/>
  <c r="AA446" i="9"/>
  <c r="AA426" i="9"/>
  <c r="I416" i="9"/>
  <c r="I412" i="9"/>
  <c r="AI381" i="9"/>
  <c r="AI373" i="9"/>
  <c r="AI365" i="9"/>
  <c r="AB502" i="9"/>
  <c r="AK495" i="9"/>
  <c r="I482" i="9"/>
  <c r="I471" i="9"/>
  <c r="AK458" i="9"/>
  <c r="AG381" i="9"/>
  <c r="AG373" i="9"/>
  <c r="AG365" i="9"/>
  <c r="AE507" i="9"/>
  <c r="AG495" i="9"/>
  <c r="AC491" i="9"/>
  <c r="AD486" i="9"/>
  <c r="I495" i="9"/>
  <c r="I486" i="9"/>
  <c r="AG468" i="9"/>
  <c r="AK464" i="9"/>
  <c r="AF458" i="9"/>
  <c r="AD456" i="9"/>
  <c r="AF511" i="9"/>
  <c r="AJ500" i="9"/>
  <c r="AG490" i="9"/>
  <c r="AG481" i="9"/>
  <c r="AE468" i="9"/>
  <c r="AG466" i="9"/>
  <c r="AD464" i="9"/>
  <c r="AB458" i="9"/>
  <c r="AB456" i="9"/>
  <c r="AG454" i="9"/>
  <c r="AJ452" i="9"/>
  <c r="AJ438" i="9"/>
  <c r="AD434" i="9"/>
  <c r="AG428" i="9"/>
  <c r="AI425" i="9"/>
  <c r="AJ422" i="9"/>
  <c r="AD418" i="9"/>
  <c r="AI415" i="9"/>
  <c r="AC414" i="9"/>
  <c r="AI411" i="9"/>
  <c r="AC410" i="9"/>
  <c r="AI406" i="9"/>
  <c r="AJ400" i="9"/>
  <c r="AG399" i="9"/>
  <c r="AD398" i="9"/>
  <c r="AB397" i="9"/>
  <c r="AE494" i="9"/>
  <c r="AE490" i="9"/>
  <c r="AK485" i="9"/>
  <c r="AE481" i="9"/>
  <c r="AK477" i="9"/>
  <c r="AK470" i="9"/>
  <c r="AD468" i="9"/>
  <c r="AE466" i="9"/>
  <c r="AB464" i="9"/>
  <c r="I458" i="9"/>
  <c r="AA456" i="9"/>
  <c r="AC454" i="9"/>
  <c r="AI452" i="9"/>
  <c r="AJ443" i="9"/>
  <c r="AI438" i="9"/>
  <c r="AJ435" i="9"/>
  <c r="AC434" i="9"/>
  <c r="AE428" i="9"/>
  <c r="AG425" i="9"/>
  <c r="AI422" i="9"/>
  <c r="AJ419" i="9"/>
  <c r="AC418" i="9"/>
  <c r="AG415" i="9"/>
  <c r="AB414" i="9"/>
  <c r="AG411" i="9"/>
  <c r="AB410" i="9"/>
  <c r="AG406" i="9"/>
  <c r="AK401" i="9"/>
  <c r="AI400" i="9"/>
  <c r="AE399" i="9"/>
  <c r="AC398" i="9"/>
  <c r="AA397" i="9"/>
  <c r="AK393" i="9"/>
  <c r="AI392" i="9"/>
  <c r="AE391" i="9"/>
  <c r="AC390" i="9"/>
  <c r="AA389" i="9"/>
  <c r="AK385" i="9"/>
  <c r="AI384" i="9"/>
  <c r="AA381" i="9"/>
  <c r="AK377" i="9"/>
  <c r="AI376" i="9"/>
  <c r="AA373" i="9"/>
  <c r="AK369" i="9"/>
  <c r="AI368" i="9"/>
  <c r="AA365" i="9"/>
  <c r="AJ360" i="9"/>
  <c r="AI359" i="9"/>
  <c r="AI358" i="9"/>
  <c r="AI357" i="9"/>
  <c r="AI356" i="9"/>
  <c r="AI355" i="9"/>
  <c r="AI354" i="9"/>
  <c r="AI353" i="9"/>
  <c r="AI352" i="9"/>
  <c r="AI351" i="9"/>
  <c r="AI350" i="9"/>
  <c r="AI349" i="9"/>
  <c r="AJ505" i="9"/>
  <c r="AF477" i="9"/>
  <c r="AG472" i="9"/>
  <c r="AD470" i="9"/>
  <c r="AB468" i="9"/>
  <c r="AA466" i="9"/>
  <c r="AA464" i="9"/>
  <c r="AE509" i="9"/>
  <c r="AC504" i="9"/>
  <c r="AC484" i="9"/>
  <c r="AD480" i="9"/>
  <c r="AD474" i="9"/>
  <c r="I472" i="9"/>
  <c r="AF461" i="9"/>
  <c r="AG459" i="9"/>
  <c r="AE457" i="9"/>
  <c r="I452" i="9"/>
  <c r="AB450" i="9"/>
  <c r="AG448" i="9"/>
  <c r="AJ446" i="9"/>
  <c r="AA443" i="9"/>
  <c r="AC441" i="9"/>
  <c r="AC435" i="9"/>
  <c r="AD432" i="9"/>
  <c r="AG426" i="9"/>
  <c r="AA425" i="9"/>
  <c r="AC419" i="9"/>
  <c r="AE416" i="9"/>
  <c r="AE412" i="9"/>
  <c r="AD401" i="9"/>
  <c r="AB400" i="9"/>
  <c r="AD393" i="9"/>
  <c r="AB392" i="9"/>
  <c r="AD385" i="9"/>
  <c r="AD377" i="9"/>
  <c r="AD369" i="9"/>
  <c r="AD360" i="9"/>
  <c r="AD359" i="9"/>
  <c r="AD358" i="9"/>
  <c r="AD357" i="9"/>
  <c r="AD356" i="9"/>
  <c r="AD355" i="9"/>
  <c r="AD354" i="9"/>
  <c r="AD353" i="9"/>
  <c r="AD352" i="9"/>
  <c r="AD351" i="9"/>
  <c r="AD350" i="9"/>
  <c r="AD349" i="9"/>
  <c r="AD348" i="9"/>
  <c r="AD347" i="9"/>
  <c r="AD346" i="9"/>
  <c r="AD345" i="9"/>
  <c r="AD344" i="9"/>
  <c r="AD343" i="9"/>
  <c r="AJ511" i="9"/>
  <c r="AC472" i="9"/>
  <c r="AF468" i="9"/>
  <c r="AF464" i="9"/>
  <c r="AC456" i="9"/>
  <c r="AG452" i="9"/>
  <c r="AI436" i="9"/>
  <c r="AB428" i="9"/>
  <c r="AC425" i="9"/>
  <c r="AD422" i="9"/>
  <c r="AE419" i="9"/>
  <c r="AJ416" i="9"/>
  <c r="AA414" i="9"/>
  <c r="AJ411" i="9"/>
  <c r="AE406" i="9"/>
  <c r="AG401" i="9"/>
  <c r="AK399" i="9"/>
  <c r="AE397" i="9"/>
  <c r="AC391" i="9"/>
  <c r="AB389" i="9"/>
  <c r="AC381" i="9"/>
  <c r="AG377" i="9"/>
  <c r="AC365" i="9"/>
  <c r="AB360" i="9"/>
  <c r="AK357" i="9"/>
  <c r="AG356" i="9"/>
  <c r="AC355" i="9"/>
  <c r="AH351" i="9"/>
  <c r="AE350" i="9"/>
  <c r="I349" i="9"/>
  <c r="AJ345" i="9"/>
  <c r="AH344" i="9"/>
  <c r="AF343" i="9"/>
  <c r="AC342" i="9"/>
  <c r="I341" i="9"/>
  <c r="AJ337" i="9"/>
  <c r="AH336" i="9"/>
  <c r="AF335" i="9"/>
  <c r="AC334" i="9"/>
  <c r="I333" i="9"/>
  <c r="AJ329" i="9"/>
  <c r="AH328" i="9"/>
  <c r="AF327" i="9"/>
  <c r="AC326" i="9"/>
  <c r="I325" i="9"/>
  <c r="AJ321" i="9"/>
  <c r="AH320" i="9"/>
  <c r="AF319" i="9"/>
  <c r="AC318" i="9"/>
  <c r="I317" i="9"/>
  <c r="AF489" i="9"/>
  <c r="AB472" i="9"/>
  <c r="AC452" i="9"/>
  <c r="AA436" i="9"/>
  <c r="AA428" i="9"/>
  <c r="AB425" i="9"/>
  <c r="AC422" i="9"/>
  <c r="AD419" i="9"/>
  <c r="AI416" i="9"/>
  <c r="I414" i="9"/>
  <c r="AE411" i="9"/>
  <c r="AD406" i="9"/>
  <c r="AE401" i="9"/>
  <c r="AI399" i="9"/>
  <c r="AC397" i="9"/>
  <c r="AB391" i="9"/>
  <c r="I389" i="9"/>
  <c r="AB381" i="9"/>
  <c r="AE377" i="9"/>
  <c r="AK368" i="9"/>
  <c r="AB365" i="9"/>
  <c r="I360" i="9"/>
  <c r="AJ357" i="9"/>
  <c r="AF356" i="9"/>
  <c r="AB355" i="9"/>
  <c r="AK352" i="9"/>
  <c r="AG351" i="9"/>
  <c r="AC350" i="9"/>
  <c r="AK346" i="9"/>
  <c r="AI345" i="9"/>
  <c r="AG344" i="9"/>
  <c r="AE343" i="9"/>
  <c r="AB342" i="9"/>
  <c r="AK338" i="9"/>
  <c r="AI337" i="9"/>
  <c r="AG336" i="9"/>
  <c r="AE335" i="9"/>
  <c r="AB334" i="9"/>
  <c r="AK330" i="9"/>
  <c r="AI329" i="9"/>
  <c r="AG328" i="9"/>
  <c r="AE327" i="9"/>
  <c r="AB326" i="9"/>
  <c r="AK322" i="9"/>
  <c r="AI321" i="9"/>
  <c r="AG320" i="9"/>
  <c r="AE319" i="9"/>
  <c r="AB318" i="9"/>
  <c r="AB489" i="9"/>
  <c r="AK481" i="9"/>
  <c r="AA472" i="9"/>
  <c r="AB452" i="9"/>
  <c r="AJ433" i="9"/>
  <c r="I425" i="9"/>
  <c r="AA422" i="9"/>
  <c r="AB419" i="9"/>
  <c r="AG416" i="9"/>
  <c r="AD411" i="9"/>
  <c r="AC406" i="9"/>
  <c r="AC401" i="9"/>
  <c r="AD399" i="9"/>
  <c r="I397" i="9"/>
  <c r="AK394" i="9"/>
  <c r="AK392" i="9"/>
  <c r="AA391" i="9"/>
  <c r="I381" i="9"/>
  <c r="AC377" i="9"/>
  <c r="AJ368" i="9"/>
  <c r="I365" i="9"/>
  <c r="AH357" i="9"/>
  <c r="AE356" i="9"/>
  <c r="I355" i="9"/>
  <c r="AJ352" i="9"/>
  <c r="AF351" i="9"/>
  <c r="AB350" i="9"/>
  <c r="AJ346" i="9"/>
  <c r="AH345" i="9"/>
  <c r="AF344" i="9"/>
  <c r="AC343" i="9"/>
  <c r="I342" i="9"/>
  <c r="AJ338" i="9"/>
  <c r="AH337" i="9"/>
  <c r="AF336" i="9"/>
  <c r="AC335" i="9"/>
  <c r="I334" i="9"/>
  <c r="AJ330" i="9"/>
  <c r="AH329" i="9"/>
  <c r="AF328" i="9"/>
  <c r="AC327" i="9"/>
  <c r="I326" i="9"/>
  <c r="AJ322" i="9"/>
  <c r="AH321" i="9"/>
  <c r="AF320" i="9"/>
  <c r="AC319" i="9"/>
  <c r="I318" i="9"/>
  <c r="AA489" i="9"/>
  <c r="AE459" i="9"/>
  <c r="AA452" i="9"/>
  <c r="AB433" i="9"/>
  <c r="AD416" i="9"/>
  <c r="AC411" i="9"/>
  <c r="AK408" i="9"/>
  <c r="AB406" i="9"/>
  <c r="AC399" i="9"/>
  <c r="AJ394" i="9"/>
  <c r="AJ392" i="9"/>
  <c r="AK384" i="9"/>
  <c r="I377" i="9"/>
  <c r="AJ373" i="9"/>
  <c r="AG368" i="9"/>
  <c r="AK358" i="9"/>
  <c r="AG357" i="9"/>
  <c r="AC356" i="9"/>
  <c r="AH352" i="9"/>
  <c r="AE351" i="9"/>
  <c r="I350" i="9"/>
  <c r="AK347" i="9"/>
  <c r="AI346" i="9"/>
  <c r="AG345" i="9"/>
  <c r="AE344" i="9"/>
  <c r="AB343" i="9"/>
  <c r="AK339" i="9"/>
  <c r="AI338" i="9"/>
  <c r="AG337" i="9"/>
  <c r="AE336" i="9"/>
  <c r="AB335" i="9"/>
  <c r="AK331" i="9"/>
  <c r="AI330" i="9"/>
  <c r="AG329" i="9"/>
  <c r="AE328" i="9"/>
  <c r="AB327" i="9"/>
  <c r="AK323" i="9"/>
  <c r="AI322" i="9"/>
  <c r="AG321" i="9"/>
  <c r="AE320" i="9"/>
  <c r="AB319" i="9"/>
  <c r="AK315" i="9"/>
  <c r="AK307" i="9"/>
  <c r="AK299" i="9"/>
  <c r="AJ448" i="9"/>
  <c r="AB445" i="9"/>
  <c r="AG438" i="9"/>
  <c r="AI435" i="9"/>
  <c r="I433" i="9"/>
  <c r="AD427" i="9"/>
  <c r="AB411" i="9"/>
  <c r="AJ408" i="9"/>
  <c r="I406" i="9"/>
  <c r="AB399" i="9"/>
  <c r="I488" i="9"/>
  <c r="AK467" i="9"/>
  <c r="AG458" i="9"/>
  <c r="AI448" i="9"/>
  <c r="AC480" i="9"/>
  <c r="AK474" i="9"/>
  <c r="AI454" i="9"/>
  <c r="I451" i="9"/>
  <c r="AG441" i="9"/>
  <c r="AC438" i="9"/>
  <c r="AD435" i="9"/>
  <c r="AJ432" i="9"/>
  <c r="AB418" i="9"/>
  <c r="AJ415" i="9"/>
  <c r="AG410" i="9"/>
  <c r="AE405" i="9"/>
  <c r="AK402" i="9"/>
  <c r="AK400" i="9"/>
  <c r="AK396" i="9"/>
  <c r="AH493" i="9"/>
  <c r="AF474" i="9"/>
  <c r="AB454" i="9"/>
  <c r="AA444" i="9"/>
  <c r="AB441" i="9"/>
  <c r="AA438" i="9"/>
  <c r="AB435" i="9"/>
  <c r="AI432" i="9"/>
  <c r="AJ429" i="9"/>
  <c r="AJ426" i="9"/>
  <c r="AA418" i="9"/>
  <c r="AE415" i="9"/>
  <c r="AD410" i="9"/>
  <c r="AB405" i="9"/>
  <c r="AJ402" i="9"/>
  <c r="AG400" i="9"/>
  <c r="AI398" i="9"/>
  <c r="AC396" i="9"/>
  <c r="AA392" i="9"/>
  <c r="AB390" i="9"/>
  <c r="AA388" i="9"/>
  <c r="AC384" i="9"/>
  <c r="AB382" i="9"/>
  <c r="I506" i="9"/>
  <c r="AF484" i="9"/>
  <c r="AB477" i="9"/>
  <c r="AG450" i="9"/>
  <c r="AG443" i="9"/>
  <c r="AD440" i="9"/>
  <c r="AE434" i="9"/>
  <c r="I415" i="9"/>
  <c r="AD412" i="9"/>
  <c r="AA400" i="9"/>
  <c r="I398" i="9"/>
  <c r="AE393" i="9"/>
  <c r="AK391" i="9"/>
  <c r="AG385" i="9"/>
  <c r="AD376" i="9"/>
  <c r="AD374" i="9"/>
  <c r="I369" i="9"/>
  <c r="AD362" i="9"/>
  <c r="AH360" i="9"/>
  <c r="AC359" i="9"/>
  <c r="AH355" i="9"/>
  <c r="AE354" i="9"/>
  <c r="I353" i="9"/>
  <c r="AJ350" i="9"/>
  <c r="AF349" i="9"/>
  <c r="AC348" i="9"/>
  <c r="I347" i="9"/>
  <c r="AJ343" i="9"/>
  <c r="AH342" i="9"/>
  <c r="AF341" i="9"/>
  <c r="AC340" i="9"/>
  <c r="I339" i="9"/>
  <c r="AJ335" i="9"/>
  <c r="AH334" i="9"/>
  <c r="AF333" i="9"/>
  <c r="AC332" i="9"/>
  <c r="I331" i="9"/>
  <c r="AJ327" i="9"/>
  <c r="AH326" i="9"/>
  <c r="AF325" i="9"/>
  <c r="AC324" i="9"/>
  <c r="I323" i="9"/>
  <c r="AJ319" i="9"/>
  <c r="AH318" i="9"/>
  <c r="AF317" i="9"/>
  <c r="AC316" i="9"/>
  <c r="I315" i="9"/>
  <c r="AC308" i="9"/>
  <c r="I307" i="9"/>
  <c r="AC300" i="9"/>
  <c r="I299" i="9"/>
  <c r="AB443" i="9"/>
  <c r="AD438" i="9"/>
  <c r="I434" i="9"/>
  <c r="AI429" i="9"/>
  <c r="AJ425" i="9"/>
  <c r="AJ412" i="9"/>
  <c r="AG408" i="9"/>
  <c r="AD404" i="9"/>
  <c r="AI391" i="9"/>
  <c r="AE378" i="9"/>
  <c r="AE373" i="9"/>
  <c r="AA371" i="9"/>
  <c r="AK359" i="9"/>
  <c r="AE358" i="9"/>
  <c r="AJ353" i="9"/>
  <c r="I352" i="9"/>
  <c r="AG350" i="9"/>
  <c r="AH347" i="9"/>
  <c r="I346" i="9"/>
  <c r="AJ344" i="9"/>
  <c r="AG341" i="9"/>
  <c r="I340" i="9"/>
  <c r="AB337" i="9"/>
  <c r="AK335" i="9"/>
  <c r="AJ332" i="9"/>
  <c r="AF331" i="9"/>
  <c r="AC328" i="9"/>
  <c r="AK326" i="9"/>
  <c r="AC325" i="9"/>
  <c r="AG322" i="9"/>
  <c r="AH319" i="9"/>
  <c r="AH316" i="9"/>
  <c r="AC315" i="9"/>
  <c r="AK313" i="9"/>
  <c r="AJ308" i="9"/>
  <c r="AC307" i="9"/>
  <c r="AK305" i="9"/>
  <c r="AJ300" i="9"/>
  <c r="AC299" i="9"/>
  <c r="AK297" i="9"/>
  <c r="AE283" i="9"/>
  <c r="I276" i="9"/>
  <c r="AK247" i="9"/>
  <c r="AA238" i="9"/>
  <c r="I237" i="9"/>
  <c r="AK231" i="9"/>
  <c r="AA222" i="9"/>
  <c r="I221" i="9"/>
  <c r="AD473" i="9"/>
  <c r="AF457" i="9"/>
  <c r="I443" i="9"/>
  <c r="AG429" i="9"/>
  <c r="AE425" i="9"/>
  <c r="AI420" i="9"/>
  <c r="AI412" i="9"/>
  <c r="I408" i="9"/>
  <c r="AB404" i="9"/>
  <c r="AE400" i="9"/>
  <c r="AJ393" i="9"/>
  <c r="AG391" i="9"/>
  <c r="AB378" i="9"/>
  <c r="AC373" i="9"/>
  <c r="AJ359" i="9"/>
  <c r="AC358" i="9"/>
  <c r="AK356" i="9"/>
  <c r="AH353" i="9"/>
  <c r="AF350" i="9"/>
  <c r="AK348" i="9"/>
  <c r="AG347" i="9"/>
  <c r="AI344" i="9"/>
  <c r="AE341" i="9"/>
  <c r="AH338" i="9"/>
  <c r="I337" i="9"/>
  <c r="AI335" i="9"/>
  <c r="AI332" i="9"/>
  <c r="AE331" i="9"/>
  <c r="AB328" i="9"/>
  <c r="AJ326" i="9"/>
  <c r="AB325" i="9"/>
  <c r="AF322" i="9"/>
  <c r="AG319" i="9"/>
  <c r="AK317" i="9"/>
  <c r="AG316" i="9"/>
  <c r="AB315" i="9"/>
  <c r="AF313" i="9"/>
  <c r="AI308" i="9"/>
  <c r="AB307" i="9"/>
  <c r="AF305" i="9"/>
  <c r="AI300" i="9"/>
  <c r="AB299" i="9"/>
  <c r="AF297" i="9"/>
  <c r="AK291" i="9"/>
  <c r="AC283" i="9"/>
  <c r="I222" i="9"/>
  <c r="I478" i="9"/>
  <c r="AA473" i="9"/>
  <c r="AD462" i="9"/>
  <c r="AD457" i="9"/>
  <c r="AD429" i="9"/>
  <c r="AD425" i="9"/>
  <c r="AA420" i="9"/>
  <c r="AG412" i="9"/>
  <c r="AD400" i="9"/>
  <c r="AI393" i="9"/>
  <c r="AD391" i="9"/>
  <c r="AJ385" i="9"/>
  <c r="AB373" i="9"/>
  <c r="AH359" i="9"/>
  <c r="AB358" i="9"/>
  <c r="AJ356" i="9"/>
  <c r="AG353" i="9"/>
  <c r="AJ348" i="9"/>
  <c r="AF347" i="9"/>
  <c r="AC344" i="9"/>
  <c r="AK342" i="9"/>
  <c r="AC341" i="9"/>
  <c r="AG338" i="9"/>
  <c r="AH335" i="9"/>
  <c r="AH332" i="9"/>
  <c r="AC331" i="9"/>
  <c r="I328" i="9"/>
  <c r="AI326" i="9"/>
  <c r="AE322" i="9"/>
  <c r="I319" i="9"/>
  <c r="AJ317" i="9"/>
  <c r="AF316" i="9"/>
  <c r="AE313" i="9"/>
  <c r="AH308" i="9"/>
  <c r="AE305" i="9"/>
  <c r="AH300" i="9"/>
  <c r="AE297" i="9"/>
  <c r="AJ291" i="9"/>
  <c r="AB283" i="9"/>
  <c r="AC400" i="9"/>
  <c r="AG393" i="9"/>
  <c r="AK388" i="9"/>
  <c r="AI385" i="9"/>
  <c r="I373" i="9"/>
  <c r="AE368" i="9"/>
  <c r="AG359" i="9"/>
  <c r="I358" i="9"/>
  <c r="AH356" i="9"/>
  <c r="AK354" i="9"/>
  <c r="AF353" i="9"/>
  <c r="AI348" i="9"/>
  <c r="AE347" i="9"/>
  <c r="AB344" i="9"/>
  <c r="AJ342" i="9"/>
  <c r="AB341" i="9"/>
  <c r="AF338" i="9"/>
  <c r="AG335" i="9"/>
  <c r="AK333" i="9"/>
  <c r="AG332" i="9"/>
  <c r="AB331" i="9"/>
  <c r="AK329" i="9"/>
  <c r="AG326" i="9"/>
  <c r="AJ323" i="9"/>
  <c r="AC322" i="9"/>
  <c r="AI317" i="9"/>
  <c r="AE316" i="9"/>
  <c r="AC313" i="9"/>
  <c r="AG308" i="9"/>
  <c r="AC305" i="9"/>
  <c r="AG300" i="9"/>
  <c r="AC297" i="9"/>
  <c r="AI291" i="9"/>
  <c r="I283" i="9"/>
  <c r="AA477" i="9"/>
  <c r="AK461" i="9"/>
  <c r="AB451" i="9"/>
  <c r="AI428" i="9"/>
  <c r="AD415" i="9"/>
  <c r="AA396" i="9"/>
  <c r="AC393" i="9"/>
  <c r="AC388" i="9"/>
  <c r="AE385" i="9"/>
  <c r="AJ377" i="9"/>
  <c r="AD368" i="9"/>
  <c r="AF359" i="9"/>
  <c r="AB356" i="9"/>
  <c r="AJ354" i="9"/>
  <c r="AE353" i="9"/>
  <c r="AH348" i="9"/>
  <c r="AC347" i="9"/>
  <c r="I344" i="9"/>
  <c r="AI342" i="9"/>
  <c r="AE338" i="9"/>
  <c r="I335" i="9"/>
  <c r="AJ333" i="9"/>
  <c r="AF332" i="9"/>
  <c r="AF329" i="9"/>
  <c r="AF326" i="9"/>
  <c r="AI323" i="9"/>
  <c r="AB322" i="9"/>
  <c r="AK320" i="9"/>
  <c r="AH317" i="9"/>
  <c r="AB316" i="9"/>
  <c r="AB313" i="9"/>
  <c r="AF308" i="9"/>
  <c r="AB305" i="9"/>
  <c r="AF300" i="9"/>
  <c r="AB297" i="9"/>
  <c r="AH291" i="9"/>
  <c r="AK275" i="9"/>
  <c r="AK267" i="9"/>
  <c r="AJ266" i="9"/>
  <c r="AI265" i="9"/>
  <c r="AK251" i="9"/>
  <c r="AJ250" i="9"/>
  <c r="AK219" i="9"/>
  <c r="AK218" i="9"/>
  <c r="AK217" i="9"/>
  <c r="AK216" i="9"/>
  <c r="AK215" i="9"/>
  <c r="AK214" i="9"/>
  <c r="AK213" i="9"/>
  <c r="AK212" i="9"/>
  <c r="AK211" i="9"/>
  <c r="AK210" i="9"/>
  <c r="AK209" i="9"/>
  <c r="AK208" i="9"/>
  <c r="AK207" i="9"/>
  <c r="AK206" i="9"/>
  <c r="AK205" i="9"/>
  <c r="AK204" i="9"/>
  <c r="AK203" i="9"/>
  <c r="AK202" i="9"/>
  <c r="AK201" i="9"/>
  <c r="AK200" i="9"/>
  <c r="AK199" i="9"/>
  <c r="AK198" i="9"/>
  <c r="AK197" i="9"/>
  <c r="AK196" i="9"/>
  <c r="AK195" i="9"/>
  <c r="AK194" i="9"/>
  <c r="AK193" i="9"/>
  <c r="AK192" i="9"/>
  <c r="AK191" i="9"/>
  <c r="AK190" i="9"/>
  <c r="AK189" i="9"/>
  <c r="AK188" i="9"/>
  <c r="AK187" i="9"/>
  <c r="AK186" i="9"/>
  <c r="AK185" i="9"/>
  <c r="AK184" i="9"/>
  <c r="AK183" i="9"/>
  <c r="AK182" i="9"/>
  <c r="AK181" i="9"/>
  <c r="AK180" i="9"/>
  <c r="AK179" i="9"/>
  <c r="AK178" i="9"/>
  <c r="AK177" i="9"/>
  <c r="AK176" i="9"/>
  <c r="AK175" i="9"/>
  <c r="AB461" i="9"/>
  <c r="AJ441" i="9"/>
  <c r="AG432" i="9"/>
  <c r="AD428" i="9"/>
  <c r="AI419" i="9"/>
  <c r="AC415" i="9"/>
  <c r="AI390" i="9"/>
  <c r="I388" i="9"/>
  <c r="AC385" i="9"/>
  <c r="AI382" i="9"/>
  <c r="AI377" i="9"/>
  <c r="AC368" i="9"/>
  <c r="AE359" i="9"/>
  <c r="I356" i="9"/>
  <c r="AH354" i="9"/>
  <c r="AC353" i="9"/>
  <c r="AK351" i="9"/>
  <c r="AG348" i="9"/>
  <c r="AB347" i="9"/>
  <c r="AK345" i="9"/>
  <c r="AG342" i="9"/>
  <c r="AJ339" i="9"/>
  <c r="AC338" i="9"/>
  <c r="AI333" i="9"/>
  <c r="AE332" i="9"/>
  <c r="AE329" i="9"/>
  <c r="AE326" i="9"/>
  <c r="AH323" i="9"/>
  <c r="I322" i="9"/>
  <c r="AJ320" i="9"/>
  <c r="AG317" i="9"/>
  <c r="I316" i="9"/>
  <c r="I313" i="9"/>
  <c r="AE308" i="9"/>
  <c r="I305" i="9"/>
  <c r="AE300" i="9"/>
  <c r="I297" i="9"/>
  <c r="AK292" i="9"/>
  <c r="AG291" i="9"/>
  <c r="AJ275" i="9"/>
  <c r="AJ267" i="9"/>
  <c r="AI266" i="9"/>
  <c r="AH265" i="9"/>
  <c r="AK252" i="9"/>
  <c r="AJ251" i="9"/>
  <c r="AI250" i="9"/>
  <c r="AK236" i="9"/>
  <c r="AK220" i="9"/>
  <c r="AJ219" i="9"/>
  <c r="AJ218" i="9"/>
  <c r="AJ217" i="9"/>
  <c r="AJ216" i="9"/>
  <c r="AJ215" i="9"/>
  <c r="AJ214" i="9"/>
  <c r="AJ213" i="9"/>
  <c r="AJ212" i="9"/>
  <c r="AJ211" i="9"/>
  <c r="AJ210" i="9"/>
  <c r="AJ209" i="9"/>
  <c r="AJ208" i="9"/>
  <c r="AJ207" i="9"/>
  <c r="AJ206" i="9"/>
  <c r="AJ205" i="9"/>
  <c r="AJ204" i="9"/>
  <c r="AJ203" i="9"/>
  <c r="AJ202" i="9"/>
  <c r="AJ201" i="9"/>
  <c r="AJ200" i="9"/>
  <c r="AJ199" i="9"/>
  <c r="AJ198" i="9"/>
  <c r="AJ197" i="9"/>
  <c r="AJ196" i="9"/>
  <c r="AJ195" i="9"/>
  <c r="AJ194" i="9"/>
  <c r="AJ193" i="9"/>
  <c r="AJ192" i="9"/>
  <c r="AJ191" i="9"/>
  <c r="AJ190" i="9"/>
  <c r="AJ189" i="9"/>
  <c r="AJ188" i="9"/>
  <c r="AJ187" i="9"/>
  <c r="AJ186" i="9"/>
  <c r="AJ185" i="9"/>
  <c r="AJ184" i="9"/>
  <c r="AH456" i="9"/>
  <c r="AI446" i="9"/>
  <c r="AI441" i="9"/>
  <c r="AE432" i="9"/>
  <c r="AC428" i="9"/>
  <c r="AC424" i="9"/>
  <c r="AG419" i="9"/>
  <c r="AB415" i="9"/>
  <c r="I411" i="9"/>
  <c r="AI402" i="9"/>
  <c r="AE390" i="9"/>
  <c r="AE382" i="9"/>
  <c r="AI370" i="9"/>
  <c r="AA368" i="9"/>
  <c r="AB359" i="9"/>
  <c r="AG354" i="9"/>
  <c r="AB353" i="9"/>
  <c r="AJ351" i="9"/>
  <c r="AK349" i="9"/>
  <c r="AF348" i="9"/>
  <c r="AF345" i="9"/>
  <c r="AF342" i="9"/>
  <c r="AI339" i="9"/>
  <c r="AB338" i="9"/>
  <c r="AK336" i="9"/>
  <c r="AH333" i="9"/>
  <c r="AB332" i="9"/>
  <c r="AC329" i="9"/>
  <c r="AE484" i="9"/>
  <c r="AJ450" i="9"/>
  <c r="AC432" i="9"/>
  <c r="AE402" i="9"/>
  <c r="AA399" i="9"/>
  <c r="AD390" i="9"/>
  <c r="AD382" i="9"/>
  <c r="I368" i="9"/>
  <c r="AJ365" i="9"/>
  <c r="AK360" i="9"/>
  <c r="I359" i="9"/>
  <c r="AF354" i="9"/>
  <c r="AC351" i="9"/>
  <c r="AJ349" i="9"/>
  <c r="AE348" i="9"/>
  <c r="AE345" i="9"/>
  <c r="AE342" i="9"/>
  <c r="AH339" i="9"/>
  <c r="I338" i="9"/>
  <c r="AJ336" i="9"/>
  <c r="AG333" i="9"/>
  <c r="I332" i="9"/>
  <c r="AB329" i="9"/>
  <c r="AK327" i="9"/>
  <c r="AJ324" i="9"/>
  <c r="AF323" i="9"/>
  <c r="AC320" i="9"/>
  <c r="AK318" i="9"/>
  <c r="AC317" i="9"/>
  <c r="I308" i="9"/>
  <c r="I300" i="9"/>
  <c r="AI292" i="9"/>
  <c r="AE291" i="9"/>
  <c r="AJ287" i="9"/>
  <c r="AK466" i="9"/>
  <c r="AI450" i="9"/>
  <c r="AG414" i="9"/>
  <c r="AA410" i="9"/>
  <c r="AK395" i="9"/>
  <c r="AA390" i="9"/>
  <c r="AA382" i="9"/>
  <c r="AI374" i="9"/>
  <c r="AE365" i="9"/>
  <c r="AI360" i="9"/>
  <c r="AF357" i="9"/>
  <c r="AC354" i="9"/>
  <c r="AB351" i="9"/>
  <c r="AH349" i="9"/>
  <c r="AB348" i="9"/>
  <c r="AC345" i="9"/>
  <c r="AK340" i="9"/>
  <c r="AG339" i="9"/>
  <c r="AI336" i="9"/>
  <c r="AE333" i="9"/>
  <c r="AH330" i="9"/>
  <c r="I329" i="9"/>
  <c r="AI327" i="9"/>
  <c r="AI324" i="9"/>
  <c r="AE323" i="9"/>
  <c r="I466" i="9"/>
  <c r="AC450" i="9"/>
  <c r="AA445" i="9"/>
  <c r="AI440" i="9"/>
  <c r="AG435" i="9"/>
  <c r="AB427" i="9"/>
  <c r="AI418" i="9"/>
  <c r="AD414" i="9"/>
  <c r="I410" i="9"/>
  <c r="AJ406" i="9"/>
  <c r="AI395" i="9"/>
  <c r="AG392" i="9"/>
  <c r="I390" i="9"/>
  <c r="AK387" i="9"/>
  <c r="I382" i="9"/>
  <c r="AE374" i="9"/>
  <c r="AJ369" i="9"/>
  <c r="AK362" i="9"/>
  <c r="AG360" i="9"/>
  <c r="AE357" i="9"/>
  <c r="AB354" i="9"/>
  <c r="I351" i="9"/>
  <c r="AG349" i="9"/>
  <c r="I348" i="9"/>
  <c r="AB345" i="9"/>
  <c r="AK343" i="9"/>
  <c r="AJ340" i="9"/>
  <c r="AF339" i="9"/>
  <c r="AC336" i="9"/>
  <c r="AK334" i="9"/>
  <c r="AC333" i="9"/>
  <c r="AG330" i="9"/>
  <c r="AH327" i="9"/>
  <c r="AH324" i="9"/>
  <c r="AC323" i="9"/>
  <c r="I320" i="9"/>
  <c r="AI318" i="9"/>
  <c r="AH309" i="9"/>
  <c r="AC470" i="9"/>
  <c r="AF460" i="9"/>
  <c r="AA450" i="9"/>
  <c r="I445" i="9"/>
  <c r="AA440" i="9"/>
  <c r="AE435" i="9"/>
  <c r="AJ431" i="9"/>
  <c r="AE418" i="9"/>
  <c r="AE398" i="9"/>
  <c r="AA395" i="9"/>
  <c r="AE392" i="9"/>
  <c r="AI387" i="9"/>
  <c r="AJ384" i="9"/>
  <c r="AK376" i="9"/>
  <c r="AB374" i="9"/>
  <c r="AC372" i="9"/>
  <c r="AI369" i="9"/>
  <c r="AK367" i="9"/>
  <c r="AJ362" i="9"/>
  <c r="AE360" i="9"/>
  <c r="AC357" i="9"/>
  <c r="AK355" i="9"/>
  <c r="I354" i="9"/>
  <c r="AE349" i="9"/>
  <c r="AH346" i="9"/>
  <c r="I345" i="9"/>
  <c r="AI343" i="9"/>
  <c r="AI340" i="9"/>
  <c r="AE339" i="9"/>
  <c r="AB336" i="9"/>
  <c r="AJ334" i="9"/>
  <c r="AB333" i="9"/>
  <c r="AF330" i="9"/>
  <c r="AG327" i="9"/>
  <c r="AK325" i="9"/>
  <c r="AG324" i="9"/>
  <c r="AB323" i="9"/>
  <c r="AK321" i="9"/>
  <c r="AG318" i="9"/>
  <c r="AJ315" i="9"/>
  <c r="AK312" i="9"/>
  <c r="AG309" i="9"/>
  <c r="AJ307" i="9"/>
  <c r="AK304" i="9"/>
  <c r="AG301" i="9"/>
  <c r="AJ299" i="9"/>
  <c r="AK296" i="9"/>
  <c r="I295" i="9"/>
  <c r="AK293" i="9"/>
  <c r="AF292" i="9"/>
  <c r="I291" i="9"/>
  <c r="AJ288" i="9"/>
  <c r="AG287" i="9"/>
  <c r="AA470" i="9"/>
  <c r="AA454" i="9"/>
  <c r="I440" i="9"/>
  <c r="AG431" i="9"/>
  <c r="AG422" i="9"/>
  <c r="I418" i="9"/>
  <c r="AI405" i="9"/>
  <c r="AJ401" i="9"/>
  <c r="AB398" i="9"/>
  <c r="AD392" i="9"/>
  <c r="AA387" i="9"/>
  <c r="AG384" i="9"/>
  <c r="AJ376" i="9"/>
  <c r="AA374" i="9"/>
  <c r="AG369" i="9"/>
  <c r="AG367" i="9"/>
  <c r="AI362" i="9"/>
  <c r="AC360" i="9"/>
  <c r="AB357" i="9"/>
  <c r="AJ355" i="9"/>
  <c r="AG352" i="9"/>
  <c r="AC349" i="9"/>
  <c r="AG346" i="9"/>
  <c r="AH343" i="9"/>
  <c r="AH340" i="9"/>
  <c r="AC339" i="9"/>
  <c r="I336" i="9"/>
  <c r="AI334" i="9"/>
  <c r="AE330" i="9"/>
  <c r="I327" i="9"/>
  <c r="AJ325" i="9"/>
  <c r="AF324" i="9"/>
  <c r="AF321" i="9"/>
  <c r="AF318" i="9"/>
  <c r="AI315" i="9"/>
  <c r="AJ312" i="9"/>
  <c r="AE309" i="9"/>
  <c r="AI307" i="9"/>
  <c r="AJ304" i="9"/>
  <c r="AE301" i="9"/>
  <c r="AI299" i="9"/>
  <c r="AJ296" i="9"/>
  <c r="AJ293" i="9"/>
  <c r="AE292" i="9"/>
  <c r="AI288" i="9"/>
  <c r="AE287" i="9"/>
  <c r="AJ283" i="9"/>
  <c r="AH282" i="9"/>
  <c r="AE281" i="9"/>
  <c r="AG276" i="9"/>
  <c r="AC275" i="9"/>
  <c r="AH269" i="9"/>
  <c r="AF268" i="9"/>
  <c r="AC267" i="9"/>
  <c r="AB266" i="9"/>
  <c r="AA265" i="9"/>
  <c r="AG254" i="9"/>
  <c r="AF253" i="9"/>
  <c r="AE252" i="9"/>
  <c r="AC251" i="9"/>
  <c r="AK490" i="9"/>
  <c r="AK469" i="9"/>
  <c r="AC448" i="9"/>
  <c r="AI443" i="9"/>
  <c r="AB434" i="9"/>
  <c r="AA430" i="9"/>
  <c r="AD421" i="9"/>
  <c r="AB417" i="9"/>
  <c r="AB413" i="9"/>
  <c r="AC409" i="9"/>
  <c r="AC389" i="9"/>
  <c r="AI386" i="9"/>
  <c r="AA384" i="9"/>
  <c r="AE381" i="9"/>
  <c r="AJ378" i="9"/>
  <c r="AC376" i="9"/>
  <c r="AG371" i="9"/>
  <c r="AB369" i="9"/>
  <c r="AJ364" i="9"/>
  <c r="AG358" i="9"/>
  <c r="AE355" i="9"/>
  <c r="AC352" i="9"/>
  <c r="AK350" i="9"/>
  <c r="AJ347" i="9"/>
  <c r="AC346" i="9"/>
  <c r="AI341" i="9"/>
  <c r="AE340" i="9"/>
  <c r="AE337" i="9"/>
  <c r="AE334" i="9"/>
  <c r="AH331" i="9"/>
  <c r="I330" i="9"/>
  <c r="AJ328" i="9"/>
  <c r="AG325" i="9"/>
  <c r="I324" i="9"/>
  <c r="AB321" i="9"/>
  <c r="AK319" i="9"/>
  <c r="AJ316" i="9"/>
  <c r="AF315" i="9"/>
  <c r="AB312" i="9"/>
  <c r="AJ310" i="9"/>
  <c r="AF307" i="9"/>
  <c r="AB304" i="9"/>
  <c r="AJ302" i="9"/>
  <c r="AF299" i="9"/>
  <c r="AB296" i="9"/>
  <c r="AG293" i="9"/>
  <c r="I292" i="9"/>
  <c r="AE288" i="9"/>
  <c r="I287" i="9"/>
  <c r="AG283" i="9"/>
  <c r="AE282" i="9"/>
  <c r="I281" i="9"/>
  <c r="AC276" i="9"/>
  <c r="AC269" i="9"/>
  <c r="AA268" i="9"/>
  <c r="I267" i="9"/>
  <c r="AC254" i="9"/>
  <c r="AB253" i="9"/>
  <c r="AA252" i="9"/>
  <c r="I251" i="9"/>
  <c r="AC238" i="9"/>
  <c r="AB237" i="9"/>
  <c r="AA236" i="9"/>
  <c r="I235" i="9"/>
  <c r="AC222" i="9"/>
  <c r="AB221" i="9"/>
  <c r="AA220" i="9"/>
  <c r="AA219" i="9"/>
  <c r="AA218" i="9"/>
  <c r="AA217" i="9"/>
  <c r="AA216" i="9"/>
  <c r="AA215" i="9"/>
  <c r="AA214" i="9"/>
  <c r="AA213" i="9"/>
  <c r="AA212" i="9"/>
  <c r="AA211" i="9"/>
  <c r="AA210" i="9"/>
  <c r="AA209" i="9"/>
  <c r="AA208" i="9"/>
  <c r="AA207" i="9"/>
  <c r="AA206" i="9"/>
  <c r="AA205" i="9"/>
  <c r="AA204" i="9"/>
  <c r="AA203" i="9"/>
  <c r="AA202" i="9"/>
  <c r="AA201" i="9"/>
  <c r="AA200" i="9"/>
  <c r="AA199" i="9"/>
  <c r="AA198" i="9"/>
  <c r="AA197" i="9"/>
  <c r="AA196" i="9"/>
  <c r="AA195" i="9"/>
  <c r="AA194" i="9"/>
  <c r="AA193" i="9"/>
  <c r="AA192" i="9"/>
  <c r="AA191" i="9"/>
  <c r="AA190" i="9"/>
  <c r="AA189" i="9"/>
  <c r="AA188" i="9"/>
  <c r="AA187" i="9"/>
  <c r="AA186" i="9"/>
  <c r="AA185" i="9"/>
  <c r="AA184" i="9"/>
  <c r="AA183" i="9"/>
  <c r="AA182" i="9"/>
  <c r="AA181" i="9"/>
  <c r="AA180" i="9"/>
  <c r="AA179" i="9"/>
  <c r="AA178" i="9"/>
  <c r="AA177" i="9"/>
  <c r="AA176" i="9"/>
  <c r="AA175" i="9"/>
  <c r="AC392" i="9"/>
  <c r="AG376" i="9"/>
  <c r="AK371" i="9"/>
  <c r="AC367" i="9"/>
  <c r="AE318" i="9"/>
  <c r="AC309" i="9"/>
  <c r="AE306" i="9"/>
  <c r="AH299" i="9"/>
  <c r="AB291" i="9"/>
  <c r="AG288" i="9"/>
  <c r="AC281" i="9"/>
  <c r="AH276" i="9"/>
  <c r="AI270" i="9"/>
  <c r="AG268" i="9"/>
  <c r="I265" i="9"/>
  <c r="AA263" i="9"/>
  <c r="AA261" i="9"/>
  <c r="I259" i="9"/>
  <c r="AA253" i="9"/>
  <c r="AG251" i="9"/>
  <c r="AE237" i="9"/>
  <c r="AC234" i="9"/>
  <c r="I229" i="9"/>
  <c r="I227" i="9"/>
  <c r="AH225" i="9"/>
  <c r="AH223" i="9"/>
  <c r="AI221" i="9"/>
  <c r="AC220" i="9"/>
  <c r="AG216" i="9"/>
  <c r="AD215" i="9"/>
  <c r="I214" i="9"/>
  <c r="AH211" i="9"/>
  <c r="AE210" i="9"/>
  <c r="AB209" i="9"/>
  <c r="AI206" i="9"/>
  <c r="AF205" i="9"/>
  <c r="AC204" i="9"/>
  <c r="AG200" i="9"/>
  <c r="AD199" i="9"/>
  <c r="I198" i="9"/>
  <c r="AH195" i="9"/>
  <c r="AE194" i="9"/>
  <c r="AB193" i="9"/>
  <c r="AI190" i="9"/>
  <c r="AF189" i="9"/>
  <c r="AC188" i="9"/>
  <c r="AG184" i="9"/>
  <c r="AE183" i="9"/>
  <c r="AC182" i="9"/>
  <c r="I181" i="9"/>
  <c r="AI177" i="9"/>
  <c r="AG176" i="9"/>
  <c r="AE175" i="9"/>
  <c r="AD174" i="9"/>
  <c r="AD173" i="9"/>
  <c r="AD172" i="9"/>
  <c r="AD171" i="9"/>
  <c r="AD170" i="9"/>
  <c r="AD169" i="9"/>
  <c r="AD168" i="9"/>
  <c r="AD167" i="9"/>
  <c r="AD166" i="9"/>
  <c r="AD165" i="9"/>
  <c r="AD164" i="9"/>
  <c r="AD163" i="9"/>
  <c r="AD162" i="9"/>
  <c r="AD161" i="9"/>
  <c r="AD160" i="9"/>
  <c r="AK409" i="9"/>
  <c r="AI401" i="9"/>
  <c r="AJ381" i="9"/>
  <c r="AE376" i="9"/>
  <c r="AI371" i="9"/>
  <c r="I357" i="9"/>
  <c r="AK341" i="9"/>
  <c r="AK332" i="9"/>
  <c r="AH315" i="9"/>
  <c r="AI312" i="9"/>
  <c r="AB309" i="9"/>
  <c r="I306" i="9"/>
  <c r="AG299" i="9"/>
  <c r="AI296" i="9"/>
  <c r="AF288" i="9"/>
  <c r="AB281" i="9"/>
  <c r="AF276" i="9"/>
  <c r="AJ272" i="9"/>
  <c r="AH270" i="9"/>
  <c r="AC268" i="9"/>
  <c r="AH266" i="9"/>
  <c r="I263" i="9"/>
  <c r="I261" i="9"/>
  <c r="AK254" i="9"/>
  <c r="AF251" i="9"/>
  <c r="AB248" i="9"/>
  <c r="AK238" i="9"/>
  <c r="AC237" i="9"/>
  <c r="AG465" i="9"/>
  <c r="AJ386" i="9"/>
  <c r="AA376" i="9"/>
  <c r="AD371" i="9"/>
  <c r="AI366" i="9"/>
  <c r="AI347" i="9"/>
  <c r="AK344" i="9"/>
  <c r="AJ341" i="9"/>
  <c r="AG315" i="9"/>
  <c r="AC312" i="9"/>
  <c r="AE299" i="9"/>
  <c r="AC296" i="9"/>
  <c r="AC288" i="9"/>
  <c r="AE285" i="9"/>
  <c r="AK278" i="9"/>
  <c r="AE276" i="9"/>
  <c r="AA272" i="9"/>
  <c r="AE270" i="9"/>
  <c r="AB268" i="9"/>
  <c r="AG266" i="9"/>
  <c r="AE386" i="9"/>
  <c r="AH341" i="9"/>
  <c r="AG323" i="9"/>
  <c r="AE315" i="9"/>
  <c r="I312" i="9"/>
  <c r="AK308" i="9"/>
  <c r="AK302" i="9"/>
  <c r="I296" i="9"/>
  <c r="AI293" i="9"/>
  <c r="AB276" i="9"/>
  <c r="I272" i="9"/>
  <c r="I268" i="9"/>
  <c r="AF266" i="9"/>
  <c r="AI254" i="9"/>
  <c r="AI252" i="9"/>
  <c r="AB251" i="9"/>
  <c r="AI238" i="9"/>
  <c r="AG235" i="9"/>
  <c r="I234" i="9"/>
  <c r="AF221" i="9"/>
  <c r="AG217" i="9"/>
  <c r="AD216" i="9"/>
  <c r="I215" i="9"/>
  <c r="AH212" i="9"/>
  <c r="AE211" i="9"/>
  <c r="AB210" i="9"/>
  <c r="AI207" i="9"/>
  <c r="AF206" i="9"/>
  <c r="AC205" i="9"/>
  <c r="AG201" i="9"/>
  <c r="AD200" i="9"/>
  <c r="I199" i="9"/>
  <c r="AH196" i="9"/>
  <c r="AE195" i="9"/>
  <c r="AB194" i="9"/>
  <c r="AI191" i="9"/>
  <c r="AF190" i="9"/>
  <c r="AC189" i="9"/>
  <c r="AG185" i="9"/>
  <c r="AD184" i="9"/>
  <c r="AB183" i="9"/>
  <c r="AJ179" i="9"/>
  <c r="AH178" i="9"/>
  <c r="AF177" i="9"/>
  <c r="AD176" i="9"/>
  <c r="AB175" i="9"/>
  <c r="AA174" i="9"/>
  <c r="AA173" i="9"/>
  <c r="AA172" i="9"/>
  <c r="AA171" i="9"/>
  <c r="AA170" i="9"/>
  <c r="AA169" i="9"/>
  <c r="AA168" i="9"/>
  <c r="AA167" i="9"/>
  <c r="AA166" i="9"/>
  <c r="AA165" i="9"/>
  <c r="AA164" i="9"/>
  <c r="AA163" i="9"/>
  <c r="AA162" i="9"/>
  <c r="AA161" i="9"/>
  <c r="AA160" i="9"/>
  <c r="AK353" i="9"/>
  <c r="AH350" i="9"/>
  <c r="AI320" i="9"/>
  <c r="AB308" i="9"/>
  <c r="AI302" i="9"/>
  <c r="AH293" i="9"/>
  <c r="AK287" i="9"/>
  <c r="AK282" i="9"/>
  <c r="AE266" i="9"/>
  <c r="AH254" i="9"/>
  <c r="AH252" i="9"/>
  <c r="AA251" i="9"/>
  <c r="AG249" i="9"/>
  <c r="AH238" i="9"/>
  <c r="AJ236" i="9"/>
  <c r="AF235" i="9"/>
  <c r="AE221" i="9"/>
  <c r="AI218" i="9"/>
  <c r="AF217" i="9"/>
  <c r="AC216" i="9"/>
  <c r="AG212" i="9"/>
  <c r="AD211" i="9"/>
  <c r="I210" i="9"/>
  <c r="AH207" i="9"/>
  <c r="AE206" i="9"/>
  <c r="AB205" i="9"/>
  <c r="AI202" i="9"/>
  <c r="AF201" i="9"/>
  <c r="AC200" i="9"/>
  <c r="AG196" i="9"/>
  <c r="AD195" i="9"/>
  <c r="I194" i="9"/>
  <c r="AH191" i="9"/>
  <c r="AE190" i="9"/>
  <c r="AB189" i="9"/>
  <c r="AI186" i="9"/>
  <c r="AF185" i="9"/>
  <c r="AC184" i="9"/>
  <c r="I183" i="9"/>
  <c r="AI179" i="9"/>
  <c r="AG178" i="9"/>
  <c r="AE177" i="9"/>
  <c r="AC176" i="9"/>
  <c r="I175" i="9"/>
  <c r="I174" i="9"/>
  <c r="I173" i="9"/>
  <c r="I172" i="9"/>
  <c r="I171" i="9"/>
  <c r="I170" i="9"/>
  <c r="I169" i="9"/>
  <c r="I168" i="9"/>
  <c r="I167" i="9"/>
  <c r="I166" i="9"/>
  <c r="I165" i="9"/>
  <c r="I164" i="9"/>
  <c r="I163" i="9"/>
  <c r="I162" i="9"/>
  <c r="I161" i="9"/>
  <c r="I160" i="9"/>
  <c r="AE422" i="9"/>
  <c r="AI325" i="9"/>
  <c r="AB320" i="9"/>
  <c r="AE317" i="9"/>
  <c r="AF293" i="9"/>
  <c r="AJ290" i="9"/>
  <c r="AI287" i="9"/>
  <c r="AJ282" i="9"/>
  <c r="AK269" i="9"/>
  <c r="AC266" i="9"/>
  <c r="AK260" i="9"/>
  <c r="AF254" i="9"/>
  <c r="AG252" i="9"/>
  <c r="AF249" i="9"/>
  <c r="AG238" i="9"/>
  <c r="AI236" i="9"/>
  <c r="AE235" i="9"/>
  <c r="AK222" i="9"/>
  <c r="AC221" i="9"/>
  <c r="AH218" i="9"/>
  <c r="AE217" i="9"/>
  <c r="AB216" i="9"/>
  <c r="AI213" i="9"/>
  <c r="AF212" i="9"/>
  <c r="AC211" i="9"/>
  <c r="AG207" i="9"/>
  <c r="AD206" i="9"/>
  <c r="I205" i="9"/>
  <c r="AH202" i="9"/>
  <c r="AE201" i="9"/>
  <c r="AB200" i="9"/>
  <c r="AI197" i="9"/>
  <c r="AF196" i="9"/>
  <c r="AC195" i="9"/>
  <c r="AG191" i="9"/>
  <c r="AD190" i="9"/>
  <c r="I189" i="9"/>
  <c r="AH186" i="9"/>
  <c r="AE185" i="9"/>
  <c r="AB184" i="9"/>
  <c r="AJ180" i="9"/>
  <c r="AH179" i="9"/>
  <c r="AF178" i="9"/>
  <c r="AD177" i="9"/>
  <c r="AB176" i="9"/>
  <c r="AE438" i="9"/>
  <c r="AC430" i="9"/>
  <c r="AJ331" i="9"/>
  <c r="AH325" i="9"/>
  <c r="AB317" i="9"/>
  <c r="AK301" i="9"/>
  <c r="AB290" i="9"/>
  <c r="AH287" i="9"/>
  <c r="AI282" i="9"/>
  <c r="AJ269" i="9"/>
  <c r="AA266" i="9"/>
  <c r="AI260" i="9"/>
  <c r="AE254" i="9"/>
  <c r="AF252" i="9"/>
  <c r="AE249" i="9"/>
  <c r="AF238" i="9"/>
  <c r="AH236" i="9"/>
  <c r="AC235" i="9"/>
  <c r="AJ222" i="9"/>
  <c r="AA221" i="9"/>
  <c r="AG218" i="9"/>
  <c r="AD217" i="9"/>
  <c r="I216" i="9"/>
  <c r="AH213" i="9"/>
  <c r="AE212" i="9"/>
  <c r="AB211" i="9"/>
  <c r="AI208" i="9"/>
  <c r="AF207" i="9"/>
  <c r="AC206" i="9"/>
  <c r="AG202" i="9"/>
  <c r="AD201" i="9"/>
  <c r="I200" i="9"/>
  <c r="AH197" i="9"/>
  <c r="AE196" i="9"/>
  <c r="AB195" i="9"/>
  <c r="AI192" i="9"/>
  <c r="AF191" i="9"/>
  <c r="AC190" i="9"/>
  <c r="AG186" i="9"/>
  <c r="AD185" i="9"/>
  <c r="I184" i="9"/>
  <c r="AI180" i="9"/>
  <c r="AG179" i="9"/>
  <c r="AE178" i="9"/>
  <c r="AC177" i="9"/>
  <c r="I176" i="9"/>
  <c r="AA421" i="9"/>
  <c r="AA405" i="9"/>
  <c r="AI394" i="9"/>
  <c r="I374" i="9"/>
  <c r="AE369" i="9"/>
  <c r="AF346" i="9"/>
  <c r="AG343" i="9"/>
  <c r="AG334" i="9"/>
  <c r="AI331" i="9"/>
  <c r="AK328" i="9"/>
  <c r="AE325" i="9"/>
  <c r="AH307" i="9"/>
  <c r="AI301" i="9"/>
  <c r="AJ292" i="9"/>
  <c r="AC287" i="9"/>
  <c r="AG282" i="9"/>
  <c r="AI275" i="9"/>
  <c r="AI269" i="9"/>
  <c r="I266" i="9"/>
  <c r="AA260" i="9"/>
  <c r="AB254" i="9"/>
  <c r="AC252" i="9"/>
  <c r="AC249" i="9"/>
  <c r="AE247" i="9"/>
  <c r="AE238" i="9"/>
  <c r="AG236" i="9"/>
  <c r="AB235" i="9"/>
  <c r="AI222" i="9"/>
  <c r="AI219" i="9"/>
  <c r="AF218" i="9"/>
  <c r="AC217" i="9"/>
  <c r="AG213" i="9"/>
  <c r="AD212" i="9"/>
  <c r="I211" i="9"/>
  <c r="AH208" i="9"/>
  <c r="AE207" i="9"/>
  <c r="AB206" i="9"/>
  <c r="AI203" i="9"/>
  <c r="AF202" i="9"/>
  <c r="AC201" i="9"/>
  <c r="AG197" i="9"/>
  <c r="AD196" i="9"/>
  <c r="I195" i="9"/>
  <c r="AH192" i="9"/>
  <c r="AE191" i="9"/>
  <c r="AB190" i="9"/>
  <c r="AI187" i="9"/>
  <c r="AF186" i="9"/>
  <c r="AC185" i="9"/>
  <c r="AJ181" i="9"/>
  <c r="AH180" i="9"/>
  <c r="AF179" i="9"/>
  <c r="AD178" i="9"/>
  <c r="AB177" i="9"/>
  <c r="AJ413" i="9"/>
  <c r="I405" i="9"/>
  <c r="AE394" i="9"/>
  <c r="AK378" i="9"/>
  <c r="AC369" i="9"/>
  <c r="AK364" i="9"/>
  <c r="AE346" i="9"/>
  <c r="I343" i="9"/>
  <c r="AG340" i="9"/>
  <c r="AK337" i="9"/>
  <c r="AF334" i="9"/>
  <c r="AG331" i="9"/>
  <c r="AI328" i="9"/>
  <c r="AH322" i="9"/>
  <c r="AG307" i="9"/>
  <c r="AI304" i="9"/>
  <c r="AH301" i="9"/>
  <c r="AI295" i="9"/>
  <c r="AH292" i="9"/>
  <c r="AB287" i="9"/>
  <c r="AI284" i="9"/>
  <c r="AF282" i="9"/>
  <c r="AB280" i="9"/>
  <c r="AH275" i="9"/>
  <c r="AK271" i="9"/>
  <c r="AG269" i="9"/>
  <c r="AI267" i="9"/>
  <c r="I260" i="9"/>
  <c r="AB252" i="9"/>
  <c r="AH250" i="9"/>
  <c r="AB249" i="9"/>
  <c r="AC247" i="9"/>
  <c r="I474" i="9"/>
  <c r="I454" i="9"/>
  <c r="AE389" i="9"/>
  <c r="AE384" i="9"/>
  <c r="AI378" i="9"/>
  <c r="AG364" i="9"/>
  <c r="AF352" i="9"/>
  <c r="AB349" i="9"/>
  <c r="AB346" i="9"/>
  <c r="AF340" i="9"/>
  <c r="AF337" i="9"/>
  <c r="AE307" i="9"/>
  <c r="AC304" i="9"/>
  <c r="AC301" i="9"/>
  <c r="AG295" i="9"/>
  <c r="AG292" i="9"/>
  <c r="I284" i="9"/>
  <c r="AC282" i="9"/>
  <c r="AG275" i="9"/>
  <c r="AJ271" i="9"/>
  <c r="AE269" i="9"/>
  <c r="AH267" i="9"/>
  <c r="AD384" i="9"/>
  <c r="AJ358" i="9"/>
  <c r="AG355" i="9"/>
  <c r="AE352" i="9"/>
  <c r="AB340" i="9"/>
  <c r="AC337" i="9"/>
  <c r="AI319" i="9"/>
  <c r="I304" i="9"/>
  <c r="AB301" i="9"/>
  <c r="AB295" i="9"/>
  <c r="AC292" i="9"/>
  <c r="AK289" i="9"/>
  <c r="AF275" i="9"/>
  <c r="AC273" i="9"/>
  <c r="AG271" i="9"/>
  <c r="AB269" i="9"/>
  <c r="AG267" i="9"/>
  <c r="AA398" i="9"/>
  <c r="AH358" i="9"/>
  <c r="AF355" i="9"/>
  <c r="AB352" i="9"/>
  <c r="AK316" i="9"/>
  <c r="AK310" i="9"/>
  <c r="AB292" i="9"/>
  <c r="AI289" i="9"/>
  <c r="AK281" i="9"/>
  <c r="AE275" i="9"/>
  <c r="AB273" i="9"/>
  <c r="AF267" i="9"/>
  <c r="AG265" i="9"/>
  <c r="AJ255" i="9"/>
  <c r="AI253" i="9"/>
  <c r="AE250" i="9"/>
  <c r="I247" i="9"/>
  <c r="AA245" i="9"/>
  <c r="AH243" i="9"/>
  <c r="AI241" i="9"/>
  <c r="AI239" i="9"/>
  <c r="AJ237" i="9"/>
  <c r="AB236" i="9"/>
  <c r="AC233" i="9"/>
  <c r="AE231" i="9"/>
  <c r="AE222" i="9"/>
  <c r="AI220" i="9"/>
  <c r="AE219" i="9"/>
  <c r="AB218" i="9"/>
  <c r="AI215" i="9"/>
  <c r="AF214" i="9"/>
  <c r="AC213" i="9"/>
  <c r="AG209" i="9"/>
  <c r="AD208" i="9"/>
  <c r="I207" i="9"/>
  <c r="AH204" i="9"/>
  <c r="AE203" i="9"/>
  <c r="AB202" i="9"/>
  <c r="AI199" i="9"/>
  <c r="AF198" i="9"/>
  <c r="AC197" i="9"/>
  <c r="AD458" i="9"/>
  <c r="AA434" i="9"/>
  <c r="AE426" i="9"/>
  <c r="AB330" i="9"/>
  <c r="AB324" i="9"/>
  <c r="AC321" i="9"/>
  <c r="AK309" i="9"/>
  <c r="AH306" i="9"/>
  <c r="AF291" i="9"/>
  <c r="AH283" i="9"/>
  <c r="AG281" i="9"/>
  <c r="AJ276" i="9"/>
  <c r="AI268" i="9"/>
  <c r="AA267" i="9"/>
  <c r="AC265" i="9"/>
  <c r="AC263" i="9"/>
  <c r="AJ261" i="9"/>
  <c r="AJ259" i="9"/>
  <c r="AF255" i="9"/>
  <c r="AE253" i="9"/>
  <c r="AI251" i="9"/>
  <c r="AA250" i="9"/>
  <c r="AF248" i="9"/>
  <c r="AF239" i="9"/>
  <c r="AG237" i="9"/>
  <c r="AF234" i="9"/>
  <c r="I233" i="9"/>
  <c r="AA231" i="9"/>
  <c r="AB229" i="9"/>
  <c r="AJ227" i="9"/>
  <c r="AJ225" i="9"/>
  <c r="AJ223" i="9"/>
  <c r="AK221" i="9"/>
  <c r="AF220" i="9"/>
  <c r="AB219" i="9"/>
  <c r="AI216" i="9"/>
  <c r="AF215" i="9"/>
  <c r="AC214" i="9"/>
  <c r="AG210" i="9"/>
  <c r="AD209" i="9"/>
  <c r="I208" i="9"/>
  <c r="AH205" i="9"/>
  <c r="AE204" i="9"/>
  <c r="AB203" i="9"/>
  <c r="AI200" i="9"/>
  <c r="AF199" i="9"/>
  <c r="AC198" i="9"/>
  <c r="AG194" i="9"/>
  <c r="AD193" i="9"/>
  <c r="I192" i="9"/>
  <c r="AH189" i="9"/>
  <c r="AE188" i="9"/>
  <c r="AB187" i="9"/>
  <c r="AI184" i="9"/>
  <c r="AG183" i="9"/>
  <c r="AE182" i="9"/>
  <c r="AC181" i="9"/>
  <c r="I180" i="9"/>
  <c r="AI176" i="9"/>
  <c r="AG175" i="9"/>
  <c r="AF174" i="9"/>
  <c r="AF173" i="9"/>
  <c r="AF172" i="9"/>
  <c r="AF171" i="9"/>
  <c r="AF170" i="9"/>
  <c r="AF169" i="9"/>
  <c r="AF168" i="9"/>
  <c r="AF167" i="9"/>
  <c r="AF166" i="9"/>
  <c r="AF165" i="9"/>
  <c r="AF164" i="9"/>
  <c r="AF163" i="9"/>
  <c r="AF162" i="9"/>
  <c r="AF161" i="9"/>
  <c r="AF160" i="9"/>
  <c r="AG289" i="9"/>
  <c r="AF283" i="9"/>
  <c r="AE265" i="9"/>
  <c r="AG253" i="9"/>
  <c r="AC250" i="9"/>
  <c r="AA247" i="9"/>
  <c r="AK243" i="9"/>
  <c r="AJ240" i="9"/>
  <c r="AG234" i="9"/>
  <c r="AF232" i="9"/>
  <c r="AA229" i="9"/>
  <c r="AG222" i="9"/>
  <c r="AC218" i="9"/>
  <c r="AE216" i="9"/>
  <c r="AG214" i="9"/>
  <c r="AI210" i="9"/>
  <c r="AC203" i="9"/>
  <c r="AB201" i="9"/>
  <c r="AC199" i="9"/>
  <c r="AF197" i="9"/>
  <c r="AC192" i="9"/>
  <c r="I190" i="9"/>
  <c r="AF188" i="9"/>
  <c r="AC183" i="9"/>
  <c r="AC180" i="9"/>
  <c r="AI178" i="9"/>
  <c r="AJ176" i="9"/>
  <c r="AI173" i="9"/>
  <c r="AC172" i="9"/>
  <c r="AI169" i="9"/>
  <c r="AC168" i="9"/>
  <c r="AI165" i="9"/>
  <c r="AC164" i="9"/>
  <c r="AI161" i="9"/>
  <c r="AC160" i="9"/>
  <c r="AC157" i="9"/>
  <c r="AG152" i="9"/>
  <c r="AC149" i="9"/>
  <c r="AG144" i="9"/>
  <c r="AC141" i="9"/>
  <c r="AE138" i="9"/>
  <c r="AG135" i="9"/>
  <c r="AC131" i="9"/>
  <c r="AC127" i="9"/>
  <c r="AC122" i="9"/>
  <c r="AD117" i="9"/>
  <c r="I116" i="9"/>
  <c r="AB111" i="9"/>
  <c r="I110" i="9"/>
  <c r="AB103" i="9"/>
  <c r="I102" i="9"/>
  <c r="AC90" i="9"/>
  <c r="AB89" i="9"/>
  <c r="AA88" i="9"/>
  <c r="I87" i="9"/>
  <c r="AC74" i="9"/>
  <c r="AA72" i="9"/>
  <c r="I71" i="9"/>
  <c r="AC58" i="9"/>
  <c r="AB57" i="9"/>
  <c r="AA56" i="9"/>
  <c r="I55" i="9"/>
  <c r="AA273" i="9"/>
  <c r="AK268" i="9"/>
  <c r="AB265" i="9"/>
  <c r="AB261" i="9"/>
  <c r="AK257" i="9"/>
  <c r="AC253" i="9"/>
  <c r="AB250" i="9"/>
  <c r="AJ243" i="9"/>
  <c r="AF236" i="9"/>
  <c r="AE234" i="9"/>
  <c r="AK225" i="9"/>
  <c r="AF222" i="9"/>
  <c r="I218" i="9"/>
  <c r="AE214" i="9"/>
  <c r="AI212" i="9"/>
  <c r="AH210" i="9"/>
  <c r="I203" i="9"/>
  <c r="I201" i="9"/>
  <c r="AB199" i="9"/>
  <c r="AE197" i="9"/>
  <c r="AI195" i="9"/>
  <c r="AI193" i="9"/>
  <c r="AB192" i="9"/>
  <c r="AD188" i="9"/>
  <c r="AI181" i="9"/>
  <c r="AB180" i="9"/>
  <c r="AC178" i="9"/>
  <c r="AH176" i="9"/>
  <c r="AH173" i="9"/>
  <c r="AB172" i="9"/>
  <c r="AH169" i="9"/>
  <c r="AB168" i="9"/>
  <c r="AH165" i="9"/>
  <c r="AB164" i="9"/>
  <c r="AH161" i="9"/>
  <c r="AB160" i="9"/>
  <c r="AB157" i="9"/>
  <c r="AE152" i="9"/>
  <c r="AB149" i="9"/>
  <c r="AE144" i="9"/>
  <c r="AB141" i="9"/>
  <c r="AC138" i="9"/>
  <c r="AE135" i="9"/>
  <c r="AB131" i="9"/>
  <c r="AB127" i="9"/>
  <c r="AB122" i="9"/>
  <c r="AC117" i="9"/>
  <c r="AA111" i="9"/>
  <c r="AA103" i="9"/>
  <c r="AB90" i="9"/>
  <c r="AA89" i="9"/>
  <c r="I88" i="9"/>
  <c r="AB74" i="9"/>
  <c r="I72" i="9"/>
  <c r="AB58" i="9"/>
  <c r="I56" i="9"/>
  <c r="AF358" i="9"/>
  <c r="AI316" i="9"/>
  <c r="I273" i="9"/>
  <c r="AJ268" i="9"/>
  <c r="I250" i="9"/>
  <c r="I243" i="9"/>
  <c r="AK239" i="9"/>
  <c r="AE236" i="9"/>
  <c r="AB234" i="9"/>
  <c r="AI225" i="9"/>
  <c r="AB222" i="9"/>
  <c r="AD214" i="9"/>
  <c r="AC212" i="9"/>
  <c r="AF210" i="9"/>
  <c r="AI204" i="9"/>
  <c r="AD197" i="9"/>
  <c r="AG195" i="9"/>
  <c r="AH193" i="9"/>
  <c r="AB188" i="9"/>
  <c r="AH181" i="9"/>
  <c r="AB178" i="9"/>
  <c r="AF176" i="9"/>
  <c r="AK174" i="9"/>
  <c r="AG173" i="9"/>
  <c r="AK170" i="9"/>
  <c r="AG169" i="9"/>
  <c r="AK166" i="9"/>
  <c r="AG165" i="9"/>
  <c r="AK162" i="9"/>
  <c r="AG161" i="9"/>
  <c r="AK294" i="9"/>
  <c r="AK288" i="9"/>
  <c r="AH268" i="9"/>
  <c r="AJ252" i="9"/>
  <c r="AJ239" i="9"/>
  <c r="AC236" i="9"/>
  <c r="AA234" i="9"/>
  <c r="AF225" i="9"/>
  <c r="AB214" i="9"/>
  <c r="AB212" i="9"/>
  <c r="AD210" i="9"/>
  <c r="AG208" i="9"/>
  <c r="AH206" i="9"/>
  <c r="AG204" i="9"/>
  <c r="AB197" i="9"/>
  <c r="AF195" i="9"/>
  <c r="AG193" i="9"/>
  <c r="I188" i="9"/>
  <c r="AE186" i="9"/>
  <c r="AG181" i="9"/>
  <c r="I178" i="9"/>
  <c r="AE176" i="9"/>
  <c r="AJ174" i="9"/>
  <c r="AE173" i="9"/>
  <c r="AJ170" i="9"/>
  <c r="AE169" i="9"/>
  <c r="AJ166" i="9"/>
  <c r="AE165" i="9"/>
  <c r="AJ162" i="9"/>
  <c r="AE161" i="9"/>
  <c r="AJ70" i="9"/>
  <c r="AE362" i="9"/>
  <c r="AC330" i="9"/>
  <c r="I252" i="9"/>
  <c r="AH239" i="9"/>
  <c r="I236" i="9"/>
  <c r="AC231" i="9"/>
  <c r="AJ221" i="9"/>
  <c r="AH219" i="9"/>
  <c r="I212" i="9"/>
  <c r="AC210" i="9"/>
  <c r="AF208" i="9"/>
  <c r="AG206" i="9"/>
  <c r="AF204" i="9"/>
  <c r="I197" i="9"/>
  <c r="AF193" i="9"/>
  <c r="AD186" i="9"/>
  <c r="AH184" i="9"/>
  <c r="AF181" i="9"/>
  <c r="AI174" i="9"/>
  <c r="AC173" i="9"/>
  <c r="AI170" i="9"/>
  <c r="AC169" i="9"/>
  <c r="AI166" i="9"/>
  <c r="AC165" i="9"/>
  <c r="AI162" i="9"/>
  <c r="AC161" i="9"/>
  <c r="AK86" i="9"/>
  <c r="AK70" i="9"/>
  <c r="AK54" i="9"/>
  <c r="AJ54" i="9"/>
  <c r="I417" i="9"/>
  <c r="AB362" i="9"/>
  <c r="AI310" i="9"/>
  <c r="AK276" i="9"/>
  <c r="AB246" i="9"/>
  <c r="AG239" i="9"/>
  <c r="AB231" i="9"/>
  <c r="AH221" i="9"/>
  <c r="AG219" i="9"/>
  <c r="AH215" i="9"/>
  <c r="AE208" i="9"/>
  <c r="I206" i="9"/>
  <c r="AD204" i="9"/>
  <c r="AE193" i="9"/>
  <c r="AI189" i="9"/>
  <c r="AC186" i="9"/>
  <c r="AF184" i="9"/>
  <c r="AJ182" i="9"/>
  <c r="AE181" i="9"/>
  <c r="AH174" i="9"/>
  <c r="AB173" i="9"/>
  <c r="AH170" i="9"/>
  <c r="AB169" i="9"/>
  <c r="AH166" i="9"/>
  <c r="AB165" i="9"/>
  <c r="AH162" i="9"/>
  <c r="AB161" i="9"/>
  <c r="AK87" i="9"/>
  <c r="AJ86" i="9"/>
  <c r="AK71" i="9"/>
  <c r="AI69" i="9"/>
  <c r="AK55" i="9"/>
  <c r="AI53" i="9"/>
  <c r="AI426" i="9"/>
  <c r="AI281" i="9"/>
  <c r="AI276" i="9"/>
  <c r="AK255" i="9"/>
  <c r="AC239" i="9"/>
  <c r="I231" i="9"/>
  <c r="AG221" i="9"/>
  <c r="AF219" i="9"/>
  <c r="AI217" i="9"/>
  <c r="AG215" i="9"/>
  <c r="AC208" i="9"/>
  <c r="AB204" i="9"/>
  <c r="AE202" i="9"/>
  <c r="AH200" i="9"/>
  <c r="AI198" i="9"/>
  <c r="AC193" i="9"/>
  <c r="AD191" i="9"/>
  <c r="AG189" i="9"/>
  <c r="AB186" i="9"/>
  <c r="AE184" i="9"/>
  <c r="AI182" i="9"/>
  <c r="AD181" i="9"/>
  <c r="AE179" i="9"/>
  <c r="AG174" i="9"/>
  <c r="AK171" i="9"/>
  <c r="AG170" i="9"/>
  <c r="AK167" i="9"/>
  <c r="AG166" i="9"/>
  <c r="AK163" i="9"/>
  <c r="AG162" i="9"/>
  <c r="AK121" i="9"/>
  <c r="AK110" i="9"/>
  <c r="AK102" i="9"/>
  <c r="AK88" i="9"/>
  <c r="AJ87" i="9"/>
  <c r="AI86" i="9"/>
  <c r="AK72" i="9"/>
  <c r="AJ71" i="9"/>
  <c r="AI70" i="9"/>
  <c r="AK56" i="9"/>
  <c r="AJ55" i="9"/>
  <c r="AI54" i="9"/>
  <c r="AI309" i="9"/>
  <c r="AF286" i="9"/>
  <c r="AI255" i="9"/>
  <c r="AA249" i="9"/>
  <c r="AJ245" i="9"/>
  <c r="AJ242" i="9"/>
  <c r="AJ453" i="9"/>
  <c r="AI434" i="9"/>
  <c r="AC291" i="9"/>
  <c r="AE286" i="9"/>
  <c r="AF281" i="9"/>
  <c r="AE267" i="9"/>
  <c r="AE263" i="9"/>
  <c r="AK259" i="9"/>
  <c r="AG255" i="9"/>
  <c r="I249" i="9"/>
  <c r="AB245" i="9"/>
  <c r="AJ238" i="9"/>
  <c r="AG233" i="9"/>
  <c r="AK227" i="9"/>
  <c r="AC219" i="9"/>
  <c r="AB217" i="9"/>
  <c r="AC215" i="9"/>
  <c r="AF213" i="9"/>
  <c r="AC202" i="9"/>
  <c r="AE200" i="9"/>
  <c r="AG198" i="9"/>
  <c r="AI194" i="9"/>
  <c r="AB191" i="9"/>
  <c r="AD189" i="9"/>
  <c r="AH187" i="9"/>
  <c r="AG182" i="9"/>
  <c r="AC179" i="9"/>
  <c r="AJ177" i="9"/>
  <c r="AJ175" i="9"/>
  <c r="AC174" i="9"/>
  <c r="AI171" i="9"/>
  <c r="AC170" i="9"/>
  <c r="AI167" i="9"/>
  <c r="AC166" i="9"/>
  <c r="AI163" i="9"/>
  <c r="AC162" i="9"/>
  <c r="AK154" i="9"/>
  <c r="AK146" i="9"/>
  <c r="AJ134" i="9"/>
  <c r="AI130" i="9"/>
  <c r="AI126" i="9"/>
  <c r="AI121" i="9"/>
  <c r="AJ116" i="9"/>
  <c r="AK111" i="9"/>
  <c r="AI110" i="9"/>
  <c r="AG109" i="9"/>
  <c r="AK103" i="9"/>
  <c r="AI102" i="9"/>
  <c r="AG101" i="9"/>
  <c r="AK90" i="9"/>
  <c r="AJ89" i="9"/>
  <c r="AI88" i="9"/>
  <c r="AH87" i="9"/>
  <c r="AG86" i="9"/>
  <c r="AF85" i="9"/>
  <c r="AK74" i="9"/>
  <c r="AI72" i="9"/>
  <c r="AH71" i="9"/>
  <c r="AG70" i="9"/>
  <c r="AF69" i="9"/>
  <c r="AK58" i="9"/>
  <c r="AJ57" i="9"/>
  <c r="AI56" i="9"/>
  <c r="AH55" i="9"/>
  <c r="AG54" i="9"/>
  <c r="AF53" i="9"/>
  <c r="AC443" i="9"/>
  <c r="AJ318" i="9"/>
  <c r="AB267" i="9"/>
  <c r="AB263" i="9"/>
  <c r="AH259" i="9"/>
  <c r="AC255" i="9"/>
  <c r="AH251" i="9"/>
  <c r="I245" i="9"/>
  <c r="AK241" i="9"/>
  <c r="AB238" i="9"/>
  <c r="AI235" i="9"/>
  <c r="AF233" i="9"/>
  <c r="AH227" i="9"/>
  <c r="I219" i="9"/>
  <c r="I217" i="9"/>
  <c r="AB215" i="9"/>
  <c r="AE213" i="9"/>
  <c r="AI211" i="9"/>
  <c r="AI209" i="9"/>
  <c r="I202" i="9"/>
  <c r="AE198" i="9"/>
  <c r="AI196" i="9"/>
  <c r="AH194" i="9"/>
  <c r="I191" i="9"/>
  <c r="AG187" i="9"/>
  <c r="AF182" i="9"/>
  <c r="AB179" i="9"/>
  <c r="AH177" i="9"/>
  <c r="AI175" i="9"/>
  <c r="AB174" i="9"/>
  <c r="AH171" i="9"/>
  <c r="AB170" i="9"/>
  <c r="AH167" i="9"/>
  <c r="AB166" i="9"/>
  <c r="AH163" i="9"/>
  <c r="AB162" i="9"/>
  <c r="AJ154" i="9"/>
  <c r="AJ146" i="9"/>
  <c r="AI134" i="9"/>
  <c r="AH130" i="9"/>
  <c r="AH126" i="9"/>
  <c r="AK122" i="9"/>
  <c r="AH121" i="9"/>
  <c r="AI116" i="9"/>
  <c r="AJ111" i="9"/>
  <c r="AH110" i="9"/>
  <c r="AE109" i="9"/>
  <c r="AJ103" i="9"/>
  <c r="AH102" i="9"/>
  <c r="AE101" i="9"/>
  <c r="AJ90" i="9"/>
  <c r="AI89" i="9"/>
  <c r="AH88" i="9"/>
  <c r="AG87" i="9"/>
  <c r="AF86" i="9"/>
  <c r="AE85" i="9"/>
  <c r="AJ74" i="9"/>
  <c r="AH72" i="9"/>
  <c r="AG71" i="9"/>
  <c r="AF70" i="9"/>
  <c r="AE69" i="9"/>
  <c r="AJ58" i="9"/>
  <c r="AI57" i="9"/>
  <c r="AH56" i="9"/>
  <c r="AG55" i="9"/>
  <c r="AF54" i="9"/>
  <c r="AE53" i="9"/>
  <c r="AH303" i="9"/>
  <c r="AB275" i="9"/>
  <c r="AE251" i="9"/>
  <c r="AJ241" i="9"/>
  <c r="AH235" i="9"/>
  <c r="AE233" i="9"/>
  <c r="AK223" i="9"/>
  <c r="AJ220" i="9"/>
  <c r="AD213" i="9"/>
  <c r="AG211" i="9"/>
  <c r="AH209" i="9"/>
  <c r="AI205" i="9"/>
  <c r="AD198" i="9"/>
  <c r="AC196" i="9"/>
  <c r="AF194" i="9"/>
  <c r="AF187" i="9"/>
  <c r="AD182" i="9"/>
  <c r="I179" i="9"/>
  <c r="AG177" i="9"/>
  <c r="AH175" i="9"/>
  <c r="AK172" i="9"/>
  <c r="AG171" i="9"/>
  <c r="AK168" i="9"/>
  <c r="AG167" i="9"/>
  <c r="AK164" i="9"/>
  <c r="AG163" i="9"/>
  <c r="AK160" i="9"/>
  <c r="AK157" i="9"/>
  <c r="AI154" i="9"/>
  <c r="AK149" i="9"/>
  <c r="AI146" i="9"/>
  <c r="AK141" i="9"/>
  <c r="AG137" i="9"/>
  <c r="AH134" i="9"/>
  <c r="AK131" i="9"/>
  <c r="AG130" i="9"/>
  <c r="AK127" i="9"/>
  <c r="AG126" i="9"/>
  <c r="AB125" i="9"/>
  <c r="AJ122" i="9"/>
  <c r="AG121" i="9"/>
  <c r="AC120" i="9"/>
  <c r="AK117" i="9"/>
  <c r="AH116" i="9"/>
  <c r="AD115" i="9"/>
  <c r="AI111" i="9"/>
  <c r="AG110" i="9"/>
  <c r="AD109" i="9"/>
  <c r="AB108" i="9"/>
  <c r="AI103" i="9"/>
  <c r="AG102" i="9"/>
  <c r="AD101" i="9"/>
  <c r="AC100" i="9"/>
  <c r="AB99" i="9"/>
  <c r="AA98" i="9"/>
  <c r="AK92" i="9"/>
  <c r="AI90" i="9"/>
  <c r="AH89" i="9"/>
  <c r="AG88" i="9"/>
  <c r="AF87" i="9"/>
  <c r="AE86" i="9"/>
  <c r="AD85" i="9"/>
  <c r="AC84" i="9"/>
  <c r="AB83" i="9"/>
  <c r="AA82" i="9"/>
  <c r="AD367" i="9"/>
  <c r="AE321" i="9"/>
  <c r="I275" i="9"/>
  <c r="AJ254" i="9"/>
  <c r="AH241" i="9"/>
  <c r="AK237" i="9"/>
  <c r="AA235" i="9"/>
  <c r="AB233" i="9"/>
  <c r="AI223" i="9"/>
  <c r="AH220" i="9"/>
  <c r="AB213" i="9"/>
  <c r="AF211" i="9"/>
  <c r="AF209" i="9"/>
  <c r="AG205" i="9"/>
  <c r="AB198" i="9"/>
  <c r="AB196" i="9"/>
  <c r="AD194" i="9"/>
  <c r="AE187" i="9"/>
  <c r="AJ183" i="9"/>
  <c r="AB182" i="9"/>
  <c r="I177" i="9"/>
  <c r="AF175" i="9"/>
  <c r="AJ172" i="9"/>
  <c r="AE171" i="9"/>
  <c r="AJ168" i="9"/>
  <c r="AE167" i="9"/>
  <c r="AJ164" i="9"/>
  <c r="AE163" i="9"/>
  <c r="AJ160" i="9"/>
  <c r="AE159" i="9"/>
  <c r="AJ157" i="9"/>
  <c r="AH154" i="9"/>
  <c r="AE151" i="9"/>
  <c r="AJ149" i="9"/>
  <c r="AH146" i="9"/>
  <c r="AE143" i="9"/>
  <c r="AJ141" i="9"/>
  <c r="AC140" i="9"/>
  <c r="AK138" i="9"/>
  <c r="AE137" i="9"/>
  <c r="AG134" i="9"/>
  <c r="AJ131" i="9"/>
  <c r="AE130" i="9"/>
  <c r="AJ127" i="9"/>
  <c r="AE126" i="9"/>
  <c r="I125" i="9"/>
  <c r="AI122" i="9"/>
  <c r="AE121" i="9"/>
  <c r="AB120" i="9"/>
  <c r="AJ117" i="9"/>
  <c r="AG116" i="9"/>
  <c r="AC115" i="9"/>
  <c r="AH111" i="9"/>
  <c r="AE110" i="9"/>
  <c r="AC109" i="9"/>
  <c r="AA108" i="9"/>
  <c r="AH103" i="9"/>
  <c r="AE102" i="9"/>
  <c r="AE324" i="9"/>
  <c r="AK300" i="9"/>
  <c r="AK283" i="9"/>
  <c r="AC279" i="9"/>
  <c r="AK270" i="9"/>
  <c r="AA262" i="9"/>
  <c r="AJ253" i="9"/>
  <c r="AG250" i="9"/>
  <c r="AI244" i="9"/>
  <c r="AF237" i="9"/>
  <c r="AB220" i="9"/>
  <c r="AE218" i="9"/>
  <c r="AH216" i="9"/>
  <c r="AI214" i="9"/>
  <c r="I209" i="9"/>
  <c r="AB207" i="9"/>
  <c r="AF203" i="9"/>
  <c r="AI201" i="9"/>
  <c r="AG199" i="9"/>
  <c r="AE192" i="9"/>
  <c r="AH190" i="9"/>
  <c r="AH188" i="9"/>
  <c r="I187" i="9"/>
  <c r="AB185" i="9"/>
  <c r="AF183" i="9"/>
  <c r="AE180" i="9"/>
  <c r="AK173" i="9"/>
  <c r="AG172" i="9"/>
  <c r="AK169" i="9"/>
  <c r="AG168" i="9"/>
  <c r="AK165" i="9"/>
  <c r="AG164" i="9"/>
  <c r="AK161" i="9"/>
  <c r="AG160" i="9"/>
  <c r="AG157" i="9"/>
  <c r="AC154" i="9"/>
  <c r="AI152" i="9"/>
  <c r="AG149" i="9"/>
  <c r="AC146" i="9"/>
  <c r="AI144" i="9"/>
  <c r="AG141" i="9"/>
  <c r="AH138" i="9"/>
  <c r="AI135" i="9"/>
  <c r="AB134" i="9"/>
  <c r="AK132" i="9"/>
  <c r="AG131" i="9"/>
  <c r="I130" i="9"/>
  <c r="AK128" i="9"/>
  <c r="AG127" i="9"/>
  <c r="I126" i="9"/>
  <c r="AI123" i="9"/>
  <c r="AE122" i="9"/>
  <c r="AB121" i="9"/>
  <c r="AJ118" i="9"/>
  <c r="AG117" i="9"/>
  <c r="AC116" i="9"/>
  <c r="AD111" i="9"/>
  <c r="AB110" i="9"/>
  <c r="I109" i="9"/>
  <c r="AI105" i="9"/>
  <c r="AD103" i="9"/>
  <c r="AB102" i="9"/>
  <c r="I101" i="9"/>
  <c r="AH93" i="9"/>
  <c r="AG92" i="9"/>
  <c r="AE90" i="9"/>
  <c r="AD89" i="9"/>
  <c r="AC88" i="9"/>
  <c r="AB87" i="9"/>
  <c r="AA86" i="9"/>
  <c r="I85" i="9"/>
  <c r="AH77" i="9"/>
  <c r="AG76" i="9"/>
  <c r="AE74" i="9"/>
  <c r="AC72" i="9"/>
  <c r="AB71" i="9"/>
  <c r="AA70" i="9"/>
  <c r="I69" i="9"/>
  <c r="AH61" i="9"/>
  <c r="AG60" i="9"/>
  <c r="AE58" i="9"/>
  <c r="AD57" i="9"/>
  <c r="AC56" i="9"/>
  <c r="AI497" i="9"/>
  <c r="AB339" i="9"/>
  <c r="AF306" i="9"/>
  <c r="AB300" i="9"/>
  <c r="AI283" i="9"/>
  <c r="AB279" i="9"/>
  <c r="AF265" i="9"/>
  <c r="AH253" i="9"/>
  <c r="AF250" i="9"/>
  <c r="AB247" i="9"/>
  <c r="AA237" i="9"/>
  <c r="AH234" i="9"/>
  <c r="AJ229" i="9"/>
  <c r="AH222" i="9"/>
  <c r="I220" i="9"/>
  <c r="AD218" i="9"/>
  <c r="AF216" i="9"/>
  <c r="AH214" i="9"/>
  <c r="AD203" i="9"/>
  <c r="AH201" i="9"/>
  <c r="AE199" i="9"/>
  <c r="AD192" i="9"/>
  <c r="AG190" i="9"/>
  <c r="AG188" i="9"/>
  <c r="I185" i="9"/>
  <c r="AD183" i="9"/>
  <c r="AD180" i="9"/>
  <c r="AJ178" i="9"/>
  <c r="AJ173" i="9"/>
  <c r="AE172" i="9"/>
  <c r="AJ169" i="9"/>
  <c r="AE168" i="9"/>
  <c r="AJ165" i="9"/>
  <c r="AE164" i="9"/>
  <c r="AJ161" i="9"/>
  <c r="AE160" i="9"/>
  <c r="AE157" i="9"/>
  <c r="AB154" i="9"/>
  <c r="AH152" i="9"/>
  <c r="AE149" i="9"/>
  <c r="AB146" i="9"/>
  <c r="AH144" i="9"/>
  <c r="AE141" i="9"/>
  <c r="AG138" i="9"/>
  <c r="AH135" i="9"/>
  <c r="AJ132" i="9"/>
  <c r="AE131" i="9"/>
  <c r="AJ128" i="9"/>
  <c r="AE127" i="9"/>
  <c r="AH123" i="9"/>
  <c r="AD122" i="9"/>
  <c r="I121" i="9"/>
  <c r="AI118" i="9"/>
  <c r="AE117" i="9"/>
  <c r="AB116" i="9"/>
  <c r="AC111" i="9"/>
  <c r="AA110" i="9"/>
  <c r="AH105" i="9"/>
  <c r="AC103" i="9"/>
  <c r="AA102" i="9"/>
  <c r="AG93" i="9"/>
  <c r="AF92" i="9"/>
  <c r="AD90" i="9"/>
  <c r="AC89" i="9"/>
  <c r="AB88" i="9"/>
  <c r="AA87" i="9"/>
  <c r="I86" i="9"/>
  <c r="I14" i="9"/>
  <c r="AK16" i="9"/>
  <c r="AJ16" i="9"/>
  <c r="AI16" i="9"/>
  <c r="AG16" i="9"/>
  <c r="AH16" i="9"/>
  <c r="AF16" i="9"/>
  <c r="AB17" i="9"/>
  <c r="AD20" i="9"/>
  <c r="I22" i="9"/>
  <c r="AK24" i="9"/>
  <c r="AJ24" i="9"/>
  <c r="AI24" i="9"/>
  <c r="AH24" i="9"/>
  <c r="AG24" i="9"/>
  <c r="AF24" i="9"/>
  <c r="AB25" i="9"/>
  <c r="AK32" i="9"/>
  <c r="AJ32" i="9"/>
  <c r="AI32" i="9"/>
  <c r="AH32" i="9"/>
  <c r="AG32" i="9"/>
  <c r="AF32" i="9"/>
  <c r="I39" i="9"/>
  <c r="I43" i="9"/>
  <c r="I45" i="9"/>
  <c r="I51" i="9"/>
  <c r="AC57" i="9"/>
  <c r="AH59" i="9"/>
  <c r="H62" i="9"/>
  <c r="AG62" i="9"/>
  <c r="AF62" i="9"/>
  <c r="AE62" i="9"/>
  <c r="AD62" i="9"/>
  <c r="AC62" i="9"/>
  <c r="AB62" i="9"/>
  <c r="AA62" i="9"/>
  <c r="G62" i="9"/>
  <c r="F62" i="9"/>
  <c r="AI62" i="9"/>
  <c r="AE67" i="9"/>
  <c r="AF71" i="9"/>
  <c r="AH76" i="9"/>
  <c r="AB85" i="9"/>
  <c r="AH91" i="9"/>
  <c r="H95" i="9"/>
  <c r="AH95" i="9"/>
  <c r="AG95" i="9"/>
  <c r="AF95" i="9"/>
  <c r="AE95" i="9"/>
  <c r="AD95" i="9"/>
  <c r="AC95" i="9"/>
  <c r="AB95" i="9"/>
  <c r="I95" i="9"/>
  <c r="G95" i="9"/>
  <c r="F95" i="9"/>
  <c r="AJ95" i="9"/>
  <c r="AI95" i="9"/>
  <c r="AC101" i="9"/>
  <c r="AK105" i="9"/>
  <c r="AK115" i="9"/>
  <c r="AK118" i="9"/>
  <c r="AI131" i="9"/>
  <c r="AC136" i="9"/>
  <c r="AE146" i="9"/>
  <c r="AJ152" i="9"/>
  <c r="AH164" i="9"/>
  <c r="AC167" i="9"/>
  <c r="AE170" i="9"/>
  <c r="AG223" i="9"/>
  <c r="AA14" i="9"/>
  <c r="F16" i="9"/>
  <c r="AC17" i="9"/>
  <c r="AE20" i="9"/>
  <c r="AA22" i="9"/>
  <c r="F24" i="9"/>
  <c r="AC25" i="9"/>
  <c r="AE28" i="9"/>
  <c r="AA30" i="9"/>
  <c r="F32" i="9"/>
  <c r="AC33" i="9"/>
  <c r="AA35" i="9"/>
  <c r="AA37" i="9"/>
  <c r="AA39" i="9"/>
  <c r="AA41" i="9"/>
  <c r="AA43" i="9"/>
  <c r="AA45" i="9"/>
  <c r="AA47" i="9"/>
  <c r="AA49" i="9"/>
  <c r="AA51" i="9"/>
  <c r="AB53" i="9"/>
  <c r="AA55" i="9"/>
  <c r="AE57" i="9"/>
  <c r="AI59" i="9"/>
  <c r="I62" i="9"/>
  <c r="G65" i="9"/>
  <c r="AI71" i="9"/>
  <c r="AI76" i="9"/>
  <c r="AA79" i="9"/>
  <c r="AC85" i="9"/>
  <c r="AD88" i="9"/>
  <c r="AI91" i="9"/>
  <c r="AA95" i="9"/>
  <c r="I99" i="9"/>
  <c r="AH101" i="9"/>
  <c r="AK106" i="9"/>
  <c r="AA119" i="9"/>
  <c r="H119" i="9"/>
  <c r="AF119" i="9"/>
  <c r="AK119" i="9"/>
  <c r="AJ119" i="9"/>
  <c r="AI119" i="9"/>
  <c r="AH119" i="9"/>
  <c r="AG119" i="9"/>
  <c r="AE119" i="9"/>
  <c r="AD119" i="9"/>
  <c r="AB119" i="9"/>
  <c r="I119" i="9"/>
  <c r="G119" i="9"/>
  <c r="F119" i="9"/>
  <c r="AH127" i="9"/>
  <c r="AK137" i="9"/>
  <c r="AH141" i="9"/>
  <c r="AG146" i="9"/>
  <c r="AK152" i="9"/>
  <c r="AB158" i="9"/>
  <c r="AI164" i="9"/>
  <c r="AJ167" i="9"/>
  <c r="AF192" i="9"/>
  <c r="AD202" i="9"/>
  <c r="AD205" i="9"/>
  <c r="AB208" i="9"/>
  <c r="AE215" i="9"/>
  <c r="AF241" i="9"/>
  <c r="I321" i="9"/>
  <c r="AK13" i="9"/>
  <c r="B10" i="9"/>
  <c r="B8" i="9" s="1"/>
  <c r="AJ13" i="9"/>
  <c r="B9" i="9"/>
  <c r="AI13" i="9"/>
  <c r="AH13" i="9"/>
  <c r="AG13" i="9"/>
  <c r="AF13" i="9"/>
  <c r="AB14" i="9"/>
  <c r="G16" i="9"/>
  <c r="AD17" i="9"/>
  <c r="I19" i="9"/>
  <c r="AK21" i="9"/>
  <c r="AJ21" i="9"/>
  <c r="AI21" i="9"/>
  <c r="AG21" i="9"/>
  <c r="AH21" i="9"/>
  <c r="AF21" i="9"/>
  <c r="AB22" i="9"/>
  <c r="G24" i="9"/>
  <c r="AD25" i="9"/>
  <c r="I27" i="9"/>
  <c r="AK29" i="9"/>
  <c r="AJ29" i="9"/>
  <c r="AI29" i="9"/>
  <c r="AH29" i="9"/>
  <c r="AG29" i="9"/>
  <c r="AF29" i="9"/>
  <c r="AB30" i="9"/>
  <c r="G32" i="9"/>
  <c r="AD33" i="9"/>
  <c r="AB35" i="9"/>
  <c r="AB37" i="9"/>
  <c r="AB39" i="9"/>
  <c r="AB41" i="9"/>
  <c r="AB43" i="9"/>
  <c r="AB45" i="9"/>
  <c r="AB47" i="9"/>
  <c r="AB49" i="9"/>
  <c r="AB51" i="9"/>
  <c r="AC53" i="9"/>
  <c r="AB55" i="9"/>
  <c r="AF57" i="9"/>
  <c r="AJ59" i="9"/>
  <c r="AH62" i="9"/>
  <c r="I65" i="9"/>
  <c r="AD74" i="9"/>
  <c r="AJ76" i="9"/>
  <c r="I83" i="9"/>
  <c r="AG85" i="9"/>
  <c r="AE88" i="9"/>
  <c r="AK95" i="9"/>
  <c r="AA99" i="9"/>
  <c r="AA106" i="9"/>
  <c r="AC110" i="9"/>
  <c r="AC119" i="9"/>
  <c r="AJ123" i="9"/>
  <c r="AI127" i="9"/>
  <c r="AI141" i="9"/>
  <c r="AD147" i="9"/>
  <c r="AA147" i="9"/>
  <c r="I147" i="9"/>
  <c r="H147" i="9"/>
  <c r="G147" i="9"/>
  <c r="AF147" i="9"/>
  <c r="AI147" i="9"/>
  <c r="AH147" i="9"/>
  <c r="AG147" i="9"/>
  <c r="AE147" i="9"/>
  <c r="AC147" i="9"/>
  <c r="AB147" i="9"/>
  <c r="F147" i="9"/>
  <c r="AK147" i="9"/>
  <c r="AJ147" i="9"/>
  <c r="AF180" i="9"/>
  <c r="AG192" i="9"/>
  <c r="AE205" i="9"/>
  <c r="AG224" i="9"/>
  <c r="AA248" i="9"/>
  <c r="F13" i="9"/>
  <c r="AC14" i="9"/>
  <c r="H16" i="9"/>
  <c r="AE17" i="9"/>
  <c r="AA19" i="9"/>
  <c r="F21" i="9"/>
  <c r="AC22" i="9"/>
  <c r="H24" i="9"/>
  <c r="AE25" i="9"/>
  <c r="AA27" i="9"/>
  <c r="F29" i="9"/>
  <c r="AC30" i="9"/>
  <c r="H32" i="9"/>
  <c r="AE33" i="9"/>
  <c r="AE35" i="9"/>
  <c r="AE37" i="9"/>
  <c r="AE39" i="9"/>
  <c r="AE41" i="9"/>
  <c r="AE43" i="9"/>
  <c r="AE45" i="9"/>
  <c r="AE47" i="9"/>
  <c r="AE49" i="9"/>
  <c r="AE51" i="9"/>
  <c r="AD53" i="9"/>
  <c r="AC55" i="9"/>
  <c r="AG57" i="9"/>
  <c r="AJ62" i="9"/>
  <c r="AC65" i="9"/>
  <c r="AB72" i="9"/>
  <c r="AF74" i="9"/>
  <c r="AK76" i="9"/>
  <c r="H80" i="9"/>
  <c r="AI80" i="9"/>
  <c r="AH80" i="9"/>
  <c r="AG80" i="9"/>
  <c r="AF80" i="9"/>
  <c r="AE80" i="9"/>
  <c r="AD80" i="9"/>
  <c r="AC80" i="9"/>
  <c r="AA80" i="9"/>
  <c r="I80" i="9"/>
  <c r="AK80" i="9"/>
  <c r="AJ80" i="9"/>
  <c r="AA83" i="9"/>
  <c r="AF88" i="9"/>
  <c r="H96" i="9"/>
  <c r="AI96" i="9"/>
  <c r="AH96" i="9"/>
  <c r="AG96" i="9"/>
  <c r="AF96" i="9"/>
  <c r="AE96" i="9"/>
  <c r="AD96" i="9"/>
  <c r="AC96" i="9"/>
  <c r="AA96" i="9"/>
  <c r="I96" i="9"/>
  <c r="G96" i="9"/>
  <c r="AK96" i="9"/>
  <c r="AJ96" i="9"/>
  <c r="AE99" i="9"/>
  <c r="H107" i="9"/>
  <c r="AF107" i="9"/>
  <c r="AK107" i="9"/>
  <c r="AJ107" i="9"/>
  <c r="AI107" i="9"/>
  <c r="AH107" i="9"/>
  <c r="AG107" i="9"/>
  <c r="AE107" i="9"/>
  <c r="AD107" i="9"/>
  <c r="AB107" i="9"/>
  <c r="AA107" i="9"/>
  <c r="I107" i="9"/>
  <c r="G107" i="9"/>
  <c r="AD110" i="9"/>
  <c r="I115" i="9"/>
  <c r="AK123" i="9"/>
  <c r="AD133" i="9"/>
  <c r="AA133" i="9"/>
  <c r="H133" i="9"/>
  <c r="AF133" i="9"/>
  <c r="AK133" i="9"/>
  <c r="AJ133" i="9"/>
  <c r="AI133" i="9"/>
  <c r="AH133" i="9"/>
  <c r="AG133" i="9"/>
  <c r="AC133" i="9"/>
  <c r="AB133" i="9"/>
  <c r="I133" i="9"/>
  <c r="G133" i="9"/>
  <c r="AD148" i="9"/>
  <c r="AA148" i="9"/>
  <c r="I148" i="9"/>
  <c r="H148" i="9"/>
  <c r="G148" i="9"/>
  <c r="AF148" i="9"/>
  <c r="AK148" i="9"/>
  <c r="AJ148" i="9"/>
  <c r="AI148" i="9"/>
  <c r="AG148" i="9"/>
  <c r="AE148" i="9"/>
  <c r="AC148" i="9"/>
  <c r="AB148" i="9"/>
  <c r="AE153" i="9"/>
  <c r="AB159" i="9"/>
  <c r="AG180" i="9"/>
  <c r="AH183" i="9"/>
  <c r="I186" i="9"/>
  <c r="AE189" i="9"/>
  <c r="AH199" i="9"/>
  <c r="AD219" i="9"/>
  <c r="AE248" i="9"/>
  <c r="AK253" i="9"/>
  <c r="AK480" i="9"/>
  <c r="AK18" i="9"/>
  <c r="AJ18" i="9"/>
  <c r="AI18" i="9"/>
  <c r="AG18" i="9"/>
  <c r="AH18" i="9"/>
  <c r="AF18" i="9"/>
  <c r="AK40" i="9"/>
  <c r="AJ40" i="9"/>
  <c r="AI40" i="9"/>
  <c r="AG40" i="9"/>
  <c r="AH40" i="9"/>
  <c r="AF40" i="9"/>
  <c r="AD40" i="9"/>
  <c r="AC40" i="9"/>
  <c r="AK42" i="9"/>
  <c r="AK44" i="9"/>
  <c r="AK46" i="9"/>
  <c r="AK48" i="9"/>
  <c r="AK50" i="9"/>
  <c r="AG53" i="9"/>
  <c r="AD55" i="9"/>
  <c r="AH57" i="9"/>
  <c r="AK62" i="9"/>
  <c r="I68" i="9"/>
  <c r="I70" i="9"/>
  <c r="AD72" i="9"/>
  <c r="AG74" i="9"/>
  <c r="F80" i="9"/>
  <c r="AE83" i="9"/>
  <c r="AJ88" i="9"/>
  <c r="AH92" i="9"/>
  <c r="F96" i="9"/>
  <c r="AC102" i="9"/>
  <c r="F107" i="9"/>
  <c r="AJ110" i="9"/>
  <c r="AB115" i="9"/>
  <c r="AK124" i="9"/>
  <c r="F133" i="9"/>
  <c r="AB137" i="9"/>
  <c r="AB142" i="9"/>
  <c r="F148" i="9"/>
  <c r="AC159" i="9"/>
  <c r="AE162" i="9"/>
  <c r="AI183" i="9"/>
  <c r="H63" i="9"/>
  <c r="AH63" i="9"/>
  <c r="AG63" i="9"/>
  <c r="AF63" i="9"/>
  <c r="AE63" i="9"/>
  <c r="AD63" i="9"/>
  <c r="AC63" i="9"/>
  <c r="AB63" i="9"/>
  <c r="I63" i="9"/>
  <c r="G63" i="9"/>
  <c r="AJ63" i="9"/>
  <c r="AE72" i="9"/>
  <c r="AH74" i="9"/>
  <c r="G80" i="9"/>
  <c r="AI92" i="9"/>
  <c r="AB96" i="9"/>
  <c r="AD102" i="9"/>
  <c r="AC107" i="9"/>
  <c r="AH115" i="9"/>
  <c r="I120" i="9"/>
  <c r="AB124" i="9"/>
  <c r="AD129" i="9"/>
  <c r="AA129" i="9"/>
  <c r="H129" i="9"/>
  <c r="AF129" i="9"/>
  <c r="AK129" i="9"/>
  <c r="AJ129" i="9"/>
  <c r="AI129" i="9"/>
  <c r="AH129" i="9"/>
  <c r="AG129" i="9"/>
  <c r="AC129" i="9"/>
  <c r="AB129" i="9"/>
  <c r="I129" i="9"/>
  <c r="G129" i="9"/>
  <c r="AE133" i="9"/>
  <c r="AC137" i="9"/>
  <c r="AH148" i="9"/>
  <c r="AJ159" i="9"/>
  <c r="AB171" i="9"/>
  <c r="I196" i="9"/>
  <c r="AB86" i="9"/>
  <c r="AE111" i="9"/>
  <c r="AG120" i="9"/>
  <c r="F129" i="9"/>
  <c r="AJ137" i="9"/>
  <c r="AB143" i="9"/>
  <c r="AE154" i="9"/>
  <c r="AH168" i="9"/>
  <c r="AC171" i="9"/>
  <c r="AE174" i="9"/>
  <c r="AG203" i="9"/>
  <c r="AC209" i="9"/>
  <c r="AD30" i="9"/>
  <c r="AE14" i="9"/>
  <c r="AA68" i="9"/>
  <c r="G18" i="9"/>
  <c r="G26" i="9"/>
  <c r="AB32" i="9"/>
  <c r="G40" i="9"/>
  <c r="AC70" i="9"/>
  <c r="AI74" i="9"/>
  <c r="AE89" i="9"/>
  <c r="AA21" i="9"/>
  <c r="AA29" i="9"/>
  <c r="H34" i="9"/>
  <c r="I52" i="9"/>
  <c r="AI55" i="9"/>
  <c r="AI60" i="9"/>
  <c r="AA63" i="9"/>
  <c r="AC68" i="9"/>
  <c r="AD70" i="9"/>
  <c r="AG72" i="9"/>
  <c r="H75" i="9"/>
  <c r="AD75" i="9"/>
  <c r="AC75" i="9"/>
  <c r="AB75" i="9"/>
  <c r="AA75" i="9"/>
  <c r="I75" i="9"/>
  <c r="G75" i="9"/>
  <c r="F75" i="9"/>
  <c r="AK75" i="9"/>
  <c r="AF75" i="9"/>
  <c r="AI77" i="9"/>
  <c r="H81" i="9"/>
  <c r="AJ81" i="9"/>
  <c r="AI81" i="9"/>
  <c r="AH81" i="9"/>
  <c r="AG81" i="9"/>
  <c r="AF81" i="9"/>
  <c r="AE81" i="9"/>
  <c r="AD81" i="9"/>
  <c r="AB81" i="9"/>
  <c r="AA81" i="9"/>
  <c r="I81" i="9"/>
  <c r="AK81" i="9"/>
  <c r="AC86" i="9"/>
  <c r="AF89" i="9"/>
  <c r="F97" i="9"/>
  <c r="I100" i="9"/>
  <c r="AG111" i="9"/>
  <c r="AE129" i="9"/>
  <c r="AC143" i="9"/>
  <c r="AH149" i="9"/>
  <c r="AG154" i="9"/>
  <c r="AI168" i="9"/>
  <c r="AJ171" i="9"/>
  <c r="I193" i="9"/>
  <c r="AH203" i="9"/>
  <c r="AE209" i="9"/>
  <c r="AK38" i="9"/>
  <c r="AJ38" i="9"/>
  <c r="AI38" i="9"/>
  <c r="AH38" i="9"/>
  <c r="AG38" i="9"/>
  <c r="AF38" i="9"/>
  <c r="AD38" i="9"/>
  <c r="AC38" i="9"/>
  <c r="AC19" i="9"/>
  <c r="AC27" i="9"/>
  <c r="F34" i="9"/>
  <c r="AB80" i="9"/>
  <c r="I26" i="9"/>
  <c r="I34" i="9"/>
  <c r="I38" i="9"/>
  <c r="I40" i="9"/>
  <c r="I42" i="9"/>
  <c r="I44" i="9"/>
  <c r="I46" i="9"/>
  <c r="I48" i="9"/>
  <c r="I50" i="9"/>
  <c r="AA52" i="9"/>
  <c r="I54" i="9"/>
  <c r="AD58" i="9"/>
  <c r="AJ60" i="9"/>
  <c r="AI63" i="9"/>
  <c r="I66" i="9"/>
  <c r="AF68" i="9"/>
  <c r="AE70" i="9"/>
  <c r="AJ72" i="9"/>
  <c r="AE75" i="9"/>
  <c r="AJ77" i="9"/>
  <c r="F81" i="9"/>
  <c r="I84" i="9"/>
  <c r="AD86" i="9"/>
  <c r="AG89" i="9"/>
  <c r="G97" i="9"/>
  <c r="AA100" i="9"/>
  <c r="AE103" i="9"/>
  <c r="I108" i="9"/>
  <c r="AA112" i="9"/>
  <c r="H112" i="9"/>
  <c r="AF112" i="9"/>
  <c r="AE112" i="9"/>
  <c r="AD112" i="9"/>
  <c r="AC112" i="9"/>
  <c r="AB112" i="9"/>
  <c r="I112" i="9"/>
  <c r="G112" i="9"/>
  <c r="F112" i="9"/>
  <c r="AK112" i="9"/>
  <c r="AH112" i="9"/>
  <c r="AG112" i="9"/>
  <c r="AD116" i="9"/>
  <c r="AK130" i="9"/>
  <c r="AI138" i="9"/>
  <c r="AJ143" i="9"/>
  <c r="AI149" i="9"/>
  <c r="AD155" i="9"/>
  <c r="AA155" i="9"/>
  <c r="I155" i="9"/>
  <c r="H155" i="9"/>
  <c r="G155" i="9"/>
  <c r="AF155" i="9"/>
  <c r="AI155" i="9"/>
  <c r="AH155" i="9"/>
  <c r="AG155" i="9"/>
  <c r="AE155" i="9"/>
  <c r="AC155" i="9"/>
  <c r="AB155" i="9"/>
  <c r="F155" i="9"/>
  <c r="AK155" i="9"/>
  <c r="AJ155" i="9"/>
  <c r="AB181" i="9"/>
  <c r="AC187" i="9"/>
  <c r="AF200" i="9"/>
  <c r="I213" i="9"/>
  <c r="AE220" i="9"/>
  <c r="AG226" i="9"/>
  <c r="AH281" i="9"/>
  <c r="AK36" i="9"/>
  <c r="AJ36" i="9"/>
  <c r="AI36" i="9"/>
  <c r="AG36" i="9"/>
  <c r="AH36" i="9"/>
  <c r="AF36" i="9"/>
  <c r="AD36" i="9"/>
  <c r="AC36" i="9"/>
  <c r="H21" i="9"/>
  <c r="H29" i="9"/>
  <c r="AA32" i="9"/>
  <c r="F40" i="9"/>
  <c r="AK57" i="9"/>
  <c r="G36" i="9"/>
  <c r="F63" i="9"/>
  <c r="F28" i="9"/>
  <c r="AA34" i="9"/>
  <c r="AA40" i="9"/>
  <c r="AA42" i="9"/>
  <c r="AA46" i="9"/>
  <c r="AA48" i="9"/>
  <c r="AB52" i="9"/>
  <c r="AA54" i="9"/>
  <c r="AB56" i="9"/>
  <c r="AF58" i="9"/>
  <c r="AK60" i="9"/>
  <c r="AK63" i="9"/>
  <c r="AA66" i="9"/>
  <c r="AH70" i="9"/>
  <c r="AG75" i="9"/>
  <c r="AK77" i="9"/>
  <c r="G81" i="9"/>
  <c r="AA84" i="9"/>
  <c r="AH86" i="9"/>
  <c r="AK89" i="9"/>
  <c r="AI93" i="9"/>
  <c r="AB100" i="9"/>
  <c r="AG103" i="9"/>
  <c r="AE108" i="9"/>
  <c r="AI112" i="9"/>
  <c r="AE116" i="9"/>
  <c r="AE125" i="9"/>
  <c r="AC134" i="9"/>
  <c r="AJ138" i="9"/>
  <c r="AD156" i="9"/>
  <c r="AA156" i="9"/>
  <c r="I156" i="9"/>
  <c r="H156" i="9"/>
  <c r="G156" i="9"/>
  <c r="AF156" i="9"/>
  <c r="AK156" i="9"/>
  <c r="AJ156" i="9"/>
  <c r="AI156" i="9"/>
  <c r="AG156" i="9"/>
  <c r="AE156" i="9"/>
  <c r="AC156" i="9"/>
  <c r="AB156" i="9"/>
  <c r="AB163" i="9"/>
  <c r="AD187" i="9"/>
  <c r="AG220" i="9"/>
  <c r="AH237" i="9"/>
  <c r="AK26" i="9"/>
  <c r="AJ26" i="9"/>
  <c r="AI26" i="9"/>
  <c r="AG26" i="9"/>
  <c r="AH26" i="9"/>
  <c r="AF26" i="9"/>
  <c r="I32" i="9"/>
  <c r="AA24" i="9"/>
  <c r="AK23" i="9"/>
  <c r="AJ23" i="9"/>
  <c r="AI23" i="9"/>
  <c r="AG23" i="9"/>
  <c r="AH23" i="9"/>
  <c r="AF23" i="9"/>
  <c r="AJ102" i="9"/>
  <c r="H18" i="9"/>
  <c r="F23" i="9"/>
  <c r="F31" i="9"/>
  <c r="AK20" i="9"/>
  <c r="AJ20" i="9"/>
  <c r="AI20" i="9"/>
  <c r="AH20" i="9"/>
  <c r="AG20" i="9"/>
  <c r="AF20" i="9"/>
  <c r="AB29" i="9"/>
  <c r="AC13" i="9"/>
  <c r="AA18" i="9"/>
  <c r="AE24" i="9"/>
  <c r="H31" i="9"/>
  <c r="AA44" i="9"/>
  <c r="AD13" i="9"/>
  <c r="AB18" i="9"/>
  <c r="AK25" i="9"/>
  <c r="AJ25" i="9"/>
  <c r="AI25" i="9"/>
  <c r="AH25" i="9"/>
  <c r="AG25" i="9"/>
  <c r="AF25" i="9"/>
  <c r="AB26" i="9"/>
  <c r="AD29" i="9"/>
  <c r="I31" i="9"/>
  <c r="AK33" i="9"/>
  <c r="AJ33" i="9"/>
  <c r="AI33" i="9"/>
  <c r="AH33" i="9"/>
  <c r="AG33" i="9"/>
  <c r="AF33" i="9"/>
  <c r="AB36" i="9"/>
  <c r="AB38" i="9"/>
  <c r="AB40" i="9"/>
  <c r="AB42" i="9"/>
  <c r="AB44" i="9"/>
  <c r="AB46" i="9"/>
  <c r="AB48" i="9"/>
  <c r="AB50" i="9"/>
  <c r="AC52" i="9"/>
  <c r="AB54" i="9"/>
  <c r="AD56" i="9"/>
  <c r="AG58" i="9"/>
  <c r="H64" i="9"/>
  <c r="AI64" i="9"/>
  <c r="AH64" i="9"/>
  <c r="AG64" i="9"/>
  <c r="AF64" i="9"/>
  <c r="AE64" i="9"/>
  <c r="AD64" i="9"/>
  <c r="AC64" i="9"/>
  <c r="AA64" i="9"/>
  <c r="I64" i="9"/>
  <c r="AK64" i="9"/>
  <c r="AD66" i="9"/>
  <c r="AC73" i="9"/>
  <c r="AH75" i="9"/>
  <c r="H78" i="9"/>
  <c r="AG78" i="9"/>
  <c r="AF78" i="9"/>
  <c r="AE78" i="9"/>
  <c r="AD78" i="9"/>
  <c r="AC78" i="9"/>
  <c r="AB78" i="9"/>
  <c r="AA78" i="9"/>
  <c r="G78" i="9"/>
  <c r="F78" i="9"/>
  <c r="AI78" i="9"/>
  <c r="AC81" i="9"/>
  <c r="AB84" i="9"/>
  <c r="AJ93" i="9"/>
  <c r="AF100" i="9"/>
  <c r="H104" i="9"/>
  <c r="AF104" i="9"/>
  <c r="AD104" i="9"/>
  <c r="AC104" i="9"/>
  <c r="AB104" i="9"/>
  <c r="AA104" i="9"/>
  <c r="I104" i="9"/>
  <c r="G104" i="9"/>
  <c r="F104" i="9"/>
  <c r="AK104" i="9"/>
  <c r="AJ104" i="9"/>
  <c r="AG104" i="9"/>
  <c r="AE104" i="9"/>
  <c r="AK109" i="9"/>
  <c r="AJ112" i="9"/>
  <c r="AK116" i="9"/>
  <c r="AC121" i="9"/>
  <c r="AK126" i="9"/>
  <c r="AE134" i="9"/>
  <c r="AJ144" i="9"/>
  <c r="AB150" i="9"/>
  <c r="F156" i="9"/>
  <c r="AH160" i="9"/>
  <c r="AC163" i="9"/>
  <c r="AE166" i="9"/>
  <c r="AH217" i="9"/>
  <c r="AI237" i="9"/>
  <c r="I16" i="9"/>
  <c r="AK34" i="9"/>
  <c r="AJ34" i="9"/>
  <c r="AI34" i="9"/>
  <c r="AG34" i="9"/>
  <c r="AH34" i="9"/>
  <c r="AF34" i="9"/>
  <c r="AD34" i="9"/>
  <c r="AC34" i="9"/>
  <c r="AE22" i="9"/>
  <c r="AE30" i="9"/>
  <c r="AE55" i="9"/>
  <c r="I13" i="9"/>
  <c r="G34" i="9"/>
  <c r="AF55" i="9"/>
  <c r="H97" i="9"/>
  <c r="AJ97" i="9"/>
  <c r="AI97" i="9"/>
  <c r="AH97" i="9"/>
  <c r="AG97" i="9"/>
  <c r="AF97" i="9"/>
  <c r="AE97" i="9"/>
  <c r="AD97" i="9"/>
  <c r="AB97" i="9"/>
  <c r="AA97" i="9"/>
  <c r="I97" i="9"/>
  <c r="AK97" i="9"/>
  <c r="AA13" i="9"/>
  <c r="AE19" i="9"/>
  <c r="AC32" i="9"/>
  <c r="AD24" i="9"/>
  <c r="AE13" i="9"/>
  <c r="AA15" i="9"/>
  <c r="F17" i="9"/>
  <c r="AC18" i="9"/>
  <c r="H20" i="9"/>
  <c r="AE21" i="9"/>
  <c r="AA23" i="9"/>
  <c r="F25" i="9"/>
  <c r="AC26" i="9"/>
  <c r="H28" i="9"/>
  <c r="AE29" i="9"/>
  <c r="AA31" i="9"/>
  <c r="F33" i="9"/>
  <c r="AE34" i="9"/>
  <c r="AE36" i="9"/>
  <c r="AE38" i="9"/>
  <c r="AE40" i="9"/>
  <c r="AE42" i="9"/>
  <c r="AE44" i="9"/>
  <c r="AE46" i="9"/>
  <c r="AE48" i="9"/>
  <c r="AE50" i="9"/>
  <c r="AF52" i="9"/>
  <c r="AC54" i="9"/>
  <c r="AE56" i="9"/>
  <c r="AH58" i="9"/>
  <c r="F64" i="9"/>
  <c r="H67" i="9"/>
  <c r="AK67" i="9"/>
  <c r="AJ67" i="9"/>
  <c r="AI67" i="9"/>
  <c r="AH67" i="9"/>
  <c r="AG67" i="9"/>
  <c r="AF67" i="9"/>
  <c r="AD67" i="9"/>
  <c r="AC67" i="9"/>
  <c r="F67" i="9"/>
  <c r="AE73" i="9"/>
  <c r="AI75" i="9"/>
  <c r="I78" i="9"/>
  <c r="AF84" i="9"/>
  <c r="AF90" i="9"/>
  <c r="AK93" i="9"/>
  <c r="AK101" i="9"/>
  <c r="AH104" i="9"/>
  <c r="AK113" i="9"/>
  <c r="AD121" i="9"/>
  <c r="AB130" i="9"/>
  <c r="AK134" i="9"/>
  <c r="AB139" i="9"/>
  <c r="AK144" i="9"/>
  <c r="AH156" i="9"/>
  <c r="AI160" i="9"/>
  <c r="AJ163" i="9"/>
  <c r="AC175" i="9"/>
  <c r="AC207" i="9"/>
  <c r="AD14" i="9"/>
  <c r="AB19" i="9"/>
  <c r="I24" i="9"/>
  <c r="F18" i="9"/>
  <c r="AB16" i="9"/>
  <c r="AD27" i="9"/>
  <c r="G38" i="9"/>
  <c r="AH60" i="9"/>
  <c r="AF72" i="9"/>
  <c r="AJ92" i="9"/>
  <c r="AC16" i="9"/>
  <c r="H26" i="9"/>
  <c r="H36" i="9"/>
  <c r="G15" i="9"/>
  <c r="AB21" i="9"/>
  <c r="G31" i="9"/>
  <c r="AC21" i="9"/>
  <c r="AA38" i="9"/>
  <c r="AB15" i="9"/>
  <c r="AD18" i="9"/>
  <c r="I20" i="9"/>
  <c r="AB23" i="9"/>
  <c r="G25" i="9"/>
  <c r="AD26" i="9"/>
  <c r="AK30" i="9"/>
  <c r="AJ30" i="9"/>
  <c r="AI30" i="9"/>
  <c r="AH30" i="9"/>
  <c r="AG30" i="9"/>
  <c r="AF30" i="9"/>
  <c r="G33" i="9"/>
  <c r="AK35" i="9"/>
  <c r="AJ35" i="9"/>
  <c r="AI35" i="9"/>
  <c r="AH35" i="9"/>
  <c r="AG35" i="9"/>
  <c r="AF35" i="9"/>
  <c r="AD35" i="9"/>
  <c r="AC35" i="9"/>
  <c r="AK37" i="9"/>
  <c r="AJ37" i="9"/>
  <c r="AI37" i="9"/>
  <c r="AH37" i="9"/>
  <c r="AG37" i="9"/>
  <c r="AF37" i="9"/>
  <c r="AD37" i="9"/>
  <c r="AC37" i="9"/>
  <c r="AK39" i="9"/>
  <c r="AJ39" i="9"/>
  <c r="AI39" i="9"/>
  <c r="AG39" i="9"/>
  <c r="AH39" i="9"/>
  <c r="AF39" i="9"/>
  <c r="AD39" i="9"/>
  <c r="AC39" i="9"/>
  <c r="AK41" i="9"/>
  <c r="AJ41" i="9"/>
  <c r="AI41" i="9"/>
  <c r="AH41" i="9"/>
  <c r="AG41" i="9"/>
  <c r="AF41" i="9"/>
  <c r="AD41" i="9"/>
  <c r="AC41" i="9"/>
  <c r="AK43" i="9"/>
  <c r="AK45" i="9"/>
  <c r="AK47" i="9"/>
  <c r="AK49" i="9"/>
  <c r="AK51" i="9"/>
  <c r="AD54" i="9"/>
  <c r="AF56" i="9"/>
  <c r="AI58" i="9"/>
  <c r="AG61" i="9"/>
  <c r="G64" i="9"/>
  <c r="G67" i="9"/>
  <c r="AA69" i="9"/>
  <c r="AA71" i="9"/>
  <c r="AF73" i="9"/>
  <c r="AJ75" i="9"/>
  <c r="AH78" i="9"/>
  <c r="AC87" i="9"/>
  <c r="AG90" i="9"/>
  <c r="AI104" i="9"/>
  <c r="I113" i="9"/>
  <c r="AH117" i="9"/>
  <c r="AJ121" i="9"/>
  <c r="AC130" i="9"/>
  <c r="AB151" i="9"/>
  <c r="AH172" i="9"/>
  <c r="AD175" i="9"/>
  <c r="AC191" i="9"/>
  <c r="AC194" i="9"/>
  <c r="I204" i="9"/>
  <c r="AD207" i="9"/>
  <c r="AD228" i="9"/>
  <c r="AH228" i="9"/>
  <c r="AG228" i="9"/>
  <c r="AF228" i="9"/>
  <c r="AE228" i="9"/>
  <c r="AC228" i="9"/>
  <c r="AB228" i="9"/>
  <c r="AJ228" i="9"/>
  <c r="AK228" i="9"/>
  <c r="AI228" i="9"/>
  <c r="AA228" i="9"/>
  <c r="F228" i="9"/>
  <c r="I228" i="9"/>
  <c r="H228" i="9"/>
  <c r="G228" i="9"/>
  <c r="AA233" i="9"/>
  <c r="AD22" i="9"/>
  <c r="AB27" i="9"/>
  <c r="H13" i="9"/>
  <c r="F36" i="9"/>
  <c r="AB70" i="9"/>
  <c r="I21" i="9"/>
  <c r="AK31" i="9"/>
  <c r="AJ31" i="9"/>
  <c r="AI31" i="9"/>
  <c r="AG31" i="9"/>
  <c r="AH31" i="9"/>
  <c r="AF31" i="9"/>
  <c r="AB68" i="9"/>
  <c r="AC24" i="9"/>
  <c r="H38" i="9"/>
  <c r="AD16" i="9"/>
  <c r="AK28" i="9"/>
  <c r="AJ28" i="9"/>
  <c r="AI28" i="9"/>
  <c r="AG28" i="9"/>
  <c r="AH28" i="9"/>
  <c r="AF28" i="9"/>
  <c r="AD32" i="9"/>
  <c r="AE16" i="9"/>
  <c r="AE32" i="9"/>
  <c r="AK17" i="9"/>
  <c r="AJ17" i="9"/>
  <c r="AI17" i="9"/>
  <c r="AH17" i="9"/>
  <c r="AG17" i="9"/>
  <c r="AF17" i="9"/>
  <c r="G20" i="9"/>
  <c r="I23" i="9"/>
  <c r="AK14" i="9"/>
  <c r="AJ14" i="9"/>
  <c r="AI14" i="9"/>
  <c r="AH14" i="9"/>
  <c r="AG14" i="9"/>
  <c r="AF14" i="9"/>
  <c r="AK22" i="9"/>
  <c r="AJ22" i="9"/>
  <c r="AI22" i="9"/>
  <c r="AH22" i="9"/>
  <c r="AG22" i="9"/>
  <c r="AF22" i="9"/>
  <c r="F14" i="9"/>
  <c r="H17" i="9"/>
  <c r="AE18" i="9"/>
  <c r="AA20" i="9"/>
  <c r="F22" i="9"/>
  <c r="AC23" i="9"/>
  <c r="H25" i="9"/>
  <c r="AE26" i="9"/>
  <c r="AA28" i="9"/>
  <c r="F30" i="9"/>
  <c r="AC31" i="9"/>
  <c r="H33" i="9"/>
  <c r="F35" i="9"/>
  <c r="F37" i="9"/>
  <c r="F39" i="9"/>
  <c r="F41" i="9"/>
  <c r="AE54" i="9"/>
  <c r="AG56" i="9"/>
  <c r="H59" i="9"/>
  <c r="AD59" i="9"/>
  <c r="AC59" i="9"/>
  <c r="AB59" i="9"/>
  <c r="AA59" i="9"/>
  <c r="I59" i="9"/>
  <c r="G59" i="9"/>
  <c r="F59" i="9"/>
  <c r="AK59" i="9"/>
  <c r="AF59" i="9"/>
  <c r="AI61" i="9"/>
  <c r="AB64" i="9"/>
  <c r="I67" i="9"/>
  <c r="AB69" i="9"/>
  <c r="AC71" i="9"/>
  <c r="AG73" i="9"/>
  <c r="AJ78" i="9"/>
  <c r="AD87" i="9"/>
  <c r="AH90" i="9"/>
  <c r="I94" i="9"/>
  <c r="I98" i="9"/>
  <c r="AA109" i="9"/>
  <c r="AA114" i="9"/>
  <c r="H114" i="9"/>
  <c r="AF114" i="9"/>
  <c r="AK114" i="9"/>
  <c r="AJ114" i="9"/>
  <c r="AI114" i="9"/>
  <c r="AH114" i="9"/>
  <c r="AG114" i="9"/>
  <c r="AE114" i="9"/>
  <c r="AC114" i="9"/>
  <c r="AB114" i="9"/>
  <c r="I114" i="9"/>
  <c r="G114" i="9"/>
  <c r="AI117" i="9"/>
  <c r="AB126" i="9"/>
  <c r="AJ130" i="9"/>
  <c r="AJ135" i="9"/>
  <c r="AE145" i="9"/>
  <c r="AC151" i="9"/>
  <c r="AH157" i="9"/>
  <c r="AI172" i="9"/>
  <c r="AD179" i="9"/>
  <c r="I182" i="9"/>
  <c r="AH185" i="9"/>
  <c r="AG69" i="9"/>
  <c r="G13" i="9"/>
  <c r="AA16" i="9"/>
  <c r="AF60" i="9"/>
  <c r="AK15" i="9"/>
  <c r="AJ15" i="9"/>
  <c r="AH15" i="9"/>
  <c r="AI15" i="9"/>
  <c r="AG15" i="9"/>
  <c r="AF15" i="9"/>
  <c r="AD19" i="9"/>
  <c r="AB24" i="9"/>
  <c r="I29" i="9"/>
  <c r="AG77" i="9"/>
  <c r="F15" i="9"/>
  <c r="AE27" i="9"/>
  <c r="H40" i="9"/>
  <c r="AB13" i="9"/>
  <c r="I18" i="9"/>
  <c r="G23" i="9"/>
  <c r="I36" i="9"/>
  <c r="H15" i="9"/>
  <c r="H23" i="9"/>
  <c r="AA26" i="9"/>
  <c r="AC29" i="9"/>
  <c r="AA36" i="9"/>
  <c r="AA50" i="9"/>
  <c r="I15" i="9"/>
  <c r="AD21" i="9"/>
  <c r="G28" i="9"/>
  <c r="G14" i="9"/>
  <c r="AD15" i="9"/>
  <c r="I17" i="9"/>
  <c r="AK19" i="9"/>
  <c r="AJ19" i="9"/>
  <c r="AI19" i="9"/>
  <c r="AH19" i="9"/>
  <c r="AG19" i="9"/>
  <c r="AF19" i="9"/>
  <c r="AB20" i="9"/>
  <c r="G22" i="9"/>
  <c r="AD23" i="9"/>
  <c r="I25" i="9"/>
  <c r="AK27" i="9"/>
  <c r="AJ27" i="9"/>
  <c r="AI27" i="9"/>
  <c r="AH27" i="9"/>
  <c r="AG27" i="9"/>
  <c r="AF27" i="9"/>
  <c r="AB28" i="9"/>
  <c r="G30" i="9"/>
  <c r="AD31" i="9"/>
  <c r="I33" i="9"/>
  <c r="G35" i="9"/>
  <c r="G37" i="9"/>
  <c r="G39" i="9"/>
  <c r="G41" i="9"/>
  <c r="AH54" i="9"/>
  <c r="AJ56" i="9"/>
  <c r="AE59" i="9"/>
  <c r="AJ61" i="9"/>
  <c r="AJ64" i="9"/>
  <c r="AA67" i="9"/>
  <c r="AC69" i="9"/>
  <c r="AD71" i="9"/>
  <c r="AH73" i="9"/>
  <c r="AK78" i="9"/>
  <c r="I82" i="9"/>
  <c r="AE87" i="9"/>
  <c r="H91" i="9"/>
  <c r="AD91" i="9"/>
  <c r="AC91" i="9"/>
  <c r="AB91" i="9"/>
  <c r="AA91" i="9"/>
  <c r="I91" i="9"/>
  <c r="G91" i="9"/>
  <c r="F91" i="9"/>
  <c r="AK91" i="9"/>
  <c r="AJ91" i="9"/>
  <c r="AF91" i="9"/>
  <c r="AE91" i="9"/>
  <c r="AJ94" i="9"/>
  <c r="AD98" i="9"/>
  <c r="AA101" i="9"/>
  <c r="AB109" i="9"/>
  <c r="F114" i="9"/>
  <c r="AG122" i="9"/>
  <c r="AC126" i="9"/>
  <c r="AK135" i="9"/>
  <c r="AB140" i="9"/>
  <c r="AJ151" i="9"/>
  <c r="AI157" i="9"/>
  <c r="AH182" i="9"/>
  <c r="AI185" i="9"/>
  <c r="AI188" i="9"/>
  <c r="AH198" i="9"/>
  <c r="AK324" i="9"/>
  <c r="AE15" i="9"/>
  <c r="AA17" i="9"/>
  <c r="AC20" i="9"/>
  <c r="AE23" i="9"/>
  <c r="AA25" i="9"/>
  <c r="AC28" i="9"/>
  <c r="AE31" i="9"/>
  <c r="AA33" i="9"/>
  <c r="I53" i="9"/>
  <c r="AG59" i="9"/>
  <c r="AK61" i="9"/>
  <c r="H65" i="9"/>
  <c r="AJ65" i="9"/>
  <c r="AI65" i="9"/>
  <c r="AH65" i="9"/>
  <c r="AG65" i="9"/>
  <c r="AF65" i="9"/>
  <c r="AE65" i="9"/>
  <c r="AD65" i="9"/>
  <c r="AB65" i="9"/>
  <c r="AA65" i="9"/>
  <c r="AB67" i="9"/>
  <c r="AD69" i="9"/>
  <c r="AE71" i="9"/>
  <c r="AK73" i="9"/>
  <c r="AF76" i="9"/>
  <c r="H79" i="9"/>
  <c r="AH79" i="9"/>
  <c r="AG79" i="9"/>
  <c r="AF79" i="9"/>
  <c r="AE79" i="9"/>
  <c r="AD79" i="9"/>
  <c r="AC79" i="9"/>
  <c r="AB79" i="9"/>
  <c r="I79" i="9"/>
  <c r="G79" i="9"/>
  <c r="AJ79" i="9"/>
  <c r="AI79" i="9"/>
  <c r="AD82" i="9"/>
  <c r="AA85" i="9"/>
  <c r="AI87" i="9"/>
  <c r="AG91" i="9"/>
  <c r="AK94" i="9"/>
  <c r="AB101" i="9"/>
  <c r="AJ105" i="9"/>
  <c r="AH109" i="9"/>
  <c r="AD114" i="9"/>
  <c r="AH122" i="9"/>
  <c r="AJ126" i="9"/>
  <c r="AH131" i="9"/>
  <c r="AI140" i="9"/>
  <c r="AB167" i="9"/>
  <c r="AF223" i="9"/>
  <c r="AH94" i="9"/>
  <c r="AJ106" i="9"/>
  <c r="H108" i="9"/>
  <c r="AF108" i="9"/>
  <c r="AJ113" i="9"/>
  <c r="AA120" i="9"/>
  <c r="H120" i="9"/>
  <c r="AF120" i="9"/>
  <c r="AD140" i="9"/>
  <c r="AA140" i="9"/>
  <c r="I140" i="9"/>
  <c r="H140" i="9"/>
  <c r="AF140" i="9"/>
  <c r="AD143" i="9"/>
  <c r="AA143" i="9"/>
  <c r="I143" i="9"/>
  <c r="H143" i="9"/>
  <c r="G143" i="9"/>
  <c r="AF143" i="9"/>
  <c r="AD151" i="9"/>
  <c r="AA151" i="9"/>
  <c r="I151" i="9"/>
  <c r="H151" i="9"/>
  <c r="G151" i="9"/>
  <c r="AF151" i="9"/>
  <c r="AD159" i="9"/>
  <c r="AA159" i="9"/>
  <c r="I159" i="9"/>
  <c r="H159" i="9"/>
  <c r="G159" i="9"/>
  <c r="AF159" i="9"/>
  <c r="AK233" i="9"/>
  <c r="AD73" i="9"/>
  <c r="F83" i="9"/>
  <c r="AI94" i="9"/>
  <c r="F99" i="9"/>
  <c r="F108" i="9"/>
  <c r="F120" i="9"/>
  <c r="AA125" i="9"/>
  <c r="H125" i="9"/>
  <c r="AF125" i="9"/>
  <c r="F140" i="9"/>
  <c r="F143" i="9"/>
  <c r="F151" i="9"/>
  <c r="F159" i="9"/>
  <c r="AD230" i="9"/>
  <c r="AJ230" i="9"/>
  <c r="AI230" i="9"/>
  <c r="AH230" i="9"/>
  <c r="AG230" i="9"/>
  <c r="AF230" i="9"/>
  <c r="AE230" i="9"/>
  <c r="AK230" i="9"/>
  <c r="AC230" i="9"/>
  <c r="AB230" i="9"/>
  <c r="AA230" i="9"/>
  <c r="F230" i="9"/>
  <c r="H106" i="9"/>
  <c r="AF106" i="9"/>
  <c r="AA124" i="9"/>
  <c r="H124" i="9"/>
  <c r="AF124" i="9"/>
  <c r="AD136" i="9"/>
  <c r="AA136" i="9"/>
  <c r="I136" i="9"/>
  <c r="H136" i="9"/>
  <c r="AF136" i="9"/>
  <c r="AD145" i="9"/>
  <c r="AA145" i="9"/>
  <c r="I145" i="9"/>
  <c r="H145" i="9"/>
  <c r="G145" i="9"/>
  <c r="AF145" i="9"/>
  <c r="AD153" i="9"/>
  <c r="AA153" i="9"/>
  <c r="I153" i="9"/>
  <c r="H153" i="9"/>
  <c r="G153" i="9"/>
  <c r="AF153" i="9"/>
  <c r="I230" i="9"/>
  <c r="AK249" i="9"/>
  <c r="AA314" i="9"/>
  <c r="AD314" i="9"/>
  <c r="AK314" i="9"/>
  <c r="AJ314" i="9"/>
  <c r="AI314" i="9"/>
  <c r="G314" i="9"/>
  <c r="AG314" i="9"/>
  <c r="AE314" i="9"/>
  <c r="AC314" i="9"/>
  <c r="AB314" i="9"/>
  <c r="F314" i="9"/>
  <c r="AH314" i="9"/>
  <c r="AF314" i="9"/>
  <c r="I314" i="9"/>
  <c r="H314" i="9"/>
  <c r="F106" i="9"/>
  <c r="AA113" i="9"/>
  <c r="H113" i="9"/>
  <c r="AF113" i="9"/>
  <c r="F124" i="9"/>
  <c r="F136" i="9"/>
  <c r="AD139" i="9"/>
  <c r="AA139" i="9"/>
  <c r="I139" i="9"/>
  <c r="H139" i="9"/>
  <c r="AF139" i="9"/>
  <c r="AE140" i="9"/>
  <c r="AG143" i="9"/>
  <c r="F145" i="9"/>
  <c r="AG151" i="9"/>
  <c r="F153" i="9"/>
  <c r="AG159" i="9"/>
  <c r="AH286" i="9"/>
  <c r="AC42" i="9"/>
  <c r="AC43" i="9"/>
  <c r="AC44" i="9"/>
  <c r="AC45" i="9"/>
  <c r="AC46" i="9"/>
  <c r="AC47" i="9"/>
  <c r="AC48" i="9"/>
  <c r="AC49" i="9"/>
  <c r="AC50" i="9"/>
  <c r="AC51" i="9"/>
  <c r="AD52" i="9"/>
  <c r="AB66" i="9"/>
  <c r="AD68" i="9"/>
  <c r="AI73" i="9"/>
  <c r="AB82" i="9"/>
  <c r="AC83" i="9"/>
  <c r="AD84" i="9"/>
  <c r="F94" i="9"/>
  <c r="AB98" i="9"/>
  <c r="AC99" i="9"/>
  <c r="AD100" i="9"/>
  <c r="H105" i="9"/>
  <c r="AF105" i="9"/>
  <c r="G106" i="9"/>
  <c r="AC108" i="9"/>
  <c r="F113" i="9"/>
  <c r="AE115" i="9"/>
  <c r="AA118" i="9"/>
  <c r="H118" i="9"/>
  <c r="AF118" i="9"/>
  <c r="AD120" i="9"/>
  <c r="G124" i="9"/>
  <c r="AC125" i="9"/>
  <c r="AD128" i="9"/>
  <c r="AA128" i="9"/>
  <c r="H128" i="9"/>
  <c r="AF128" i="9"/>
  <c r="AD132" i="9"/>
  <c r="AA132" i="9"/>
  <c r="H132" i="9"/>
  <c r="AF132" i="9"/>
  <c r="G136" i="9"/>
  <c r="AH137" i="9"/>
  <c r="F139" i="9"/>
  <c r="AG140" i="9"/>
  <c r="AD142" i="9"/>
  <c r="AA142" i="9"/>
  <c r="I142" i="9"/>
  <c r="H142" i="9"/>
  <c r="G142" i="9"/>
  <c r="AF142" i="9"/>
  <c r="AH143" i="9"/>
  <c r="AB145" i="9"/>
  <c r="AD150" i="9"/>
  <c r="AA150" i="9"/>
  <c r="I150" i="9"/>
  <c r="H150" i="9"/>
  <c r="G150" i="9"/>
  <c r="AF150" i="9"/>
  <c r="AH151" i="9"/>
  <c r="AB153" i="9"/>
  <c r="AD158" i="9"/>
  <c r="AA158" i="9"/>
  <c r="I158" i="9"/>
  <c r="H158" i="9"/>
  <c r="G158" i="9"/>
  <c r="AF158" i="9"/>
  <c r="AH159" i="9"/>
  <c r="AD224" i="9"/>
  <c r="AC224" i="9"/>
  <c r="AB224" i="9"/>
  <c r="AA224" i="9"/>
  <c r="I224" i="9"/>
  <c r="H224" i="9"/>
  <c r="G224" i="9"/>
  <c r="AF224" i="9"/>
  <c r="AK224" i="9"/>
  <c r="AJ224" i="9"/>
  <c r="AI224" i="9"/>
  <c r="F224" i="9"/>
  <c r="AD42" i="9"/>
  <c r="AD43" i="9"/>
  <c r="AD44" i="9"/>
  <c r="AD45" i="9"/>
  <c r="AD46" i="9"/>
  <c r="AD47" i="9"/>
  <c r="AD48" i="9"/>
  <c r="AD49" i="9"/>
  <c r="AD50" i="9"/>
  <c r="AD51" i="9"/>
  <c r="AE52" i="9"/>
  <c r="F61" i="9"/>
  <c r="AC66" i="9"/>
  <c r="AE68" i="9"/>
  <c r="AJ73" i="9"/>
  <c r="F77" i="9"/>
  <c r="AC82" i="9"/>
  <c r="AD83" i="9"/>
  <c r="AE84" i="9"/>
  <c r="F93" i="9"/>
  <c r="G94" i="9"/>
  <c r="AC98" i="9"/>
  <c r="AD99" i="9"/>
  <c r="AE100" i="9"/>
  <c r="F105" i="9"/>
  <c r="I106" i="9"/>
  <c r="AD108" i="9"/>
  <c r="G113" i="9"/>
  <c r="AG115" i="9"/>
  <c r="F118" i="9"/>
  <c r="AE120" i="9"/>
  <c r="AA123" i="9"/>
  <c r="H123" i="9"/>
  <c r="AF123" i="9"/>
  <c r="I124" i="9"/>
  <c r="AD125" i="9"/>
  <c r="F128" i="9"/>
  <c r="F132" i="9"/>
  <c r="AB136" i="9"/>
  <c r="AI137" i="9"/>
  <c r="G139" i="9"/>
  <c r="AH140" i="9"/>
  <c r="F142" i="9"/>
  <c r="AI143" i="9"/>
  <c r="AC145" i="9"/>
  <c r="F150" i="9"/>
  <c r="AI151" i="9"/>
  <c r="AC153" i="9"/>
  <c r="AI159" i="9"/>
  <c r="AE224" i="9"/>
  <c r="AJ260" i="9"/>
  <c r="AD264" i="9"/>
  <c r="AK264" i="9"/>
  <c r="AJ264" i="9"/>
  <c r="AI264" i="9"/>
  <c r="AH264" i="9"/>
  <c r="AG264" i="9"/>
  <c r="I264" i="9"/>
  <c r="F264" i="9"/>
  <c r="AF264" i="9"/>
  <c r="AE264" i="9"/>
  <c r="AC264" i="9"/>
  <c r="AB264" i="9"/>
  <c r="H264" i="9"/>
  <c r="G264" i="9"/>
  <c r="AF42" i="9"/>
  <c r="AF43" i="9"/>
  <c r="AF44" i="9"/>
  <c r="AF45" i="9"/>
  <c r="AF46" i="9"/>
  <c r="AF47" i="9"/>
  <c r="AF48" i="9"/>
  <c r="AF49" i="9"/>
  <c r="AF50" i="9"/>
  <c r="AF51" i="9"/>
  <c r="AG52" i="9"/>
  <c r="AH53" i="9"/>
  <c r="G60" i="9"/>
  <c r="I61" i="9"/>
  <c r="AE66" i="9"/>
  <c r="AG68" i="9"/>
  <c r="AH69" i="9"/>
  <c r="G76" i="9"/>
  <c r="I77" i="9"/>
  <c r="AE82" i="9"/>
  <c r="AF83" i="9"/>
  <c r="AG84" i="9"/>
  <c r="AH85" i="9"/>
  <c r="G92" i="9"/>
  <c r="I93" i="9"/>
  <c r="AA94" i="9"/>
  <c r="AE98" i="9"/>
  <c r="AF99" i="9"/>
  <c r="AG100" i="9"/>
  <c r="AI101" i="9"/>
  <c r="I105" i="9"/>
  <c r="AB106" i="9"/>
  <c r="AG108" i="9"/>
  <c r="AI109" i="9"/>
  <c r="AB113" i="9"/>
  <c r="AI115" i="9"/>
  <c r="AA117" i="9"/>
  <c r="H117" i="9"/>
  <c r="AF117" i="9"/>
  <c r="I118" i="9"/>
  <c r="AH120" i="9"/>
  <c r="G123" i="9"/>
  <c r="AC124" i="9"/>
  <c r="AG125" i="9"/>
  <c r="I128" i="9"/>
  <c r="I132" i="9"/>
  <c r="AD135" i="9"/>
  <c r="AA135" i="9"/>
  <c r="I135" i="9"/>
  <c r="H135" i="9"/>
  <c r="AF135" i="9"/>
  <c r="AE136" i="9"/>
  <c r="AC139" i="9"/>
  <c r="AJ140" i="9"/>
  <c r="AC142" i="9"/>
  <c r="AK143" i="9"/>
  <c r="AG145" i="9"/>
  <c r="AC150" i="9"/>
  <c r="AK151" i="9"/>
  <c r="AG153" i="9"/>
  <c r="AC158" i="9"/>
  <c r="AK159" i="9"/>
  <c r="AH224" i="9"/>
  <c r="AA264" i="9"/>
  <c r="AA298" i="9"/>
  <c r="AD298" i="9"/>
  <c r="AK298" i="9"/>
  <c r="AJ298" i="9"/>
  <c r="AI298" i="9"/>
  <c r="G298" i="9"/>
  <c r="AG298" i="9"/>
  <c r="AC298" i="9"/>
  <c r="AB298" i="9"/>
  <c r="F298" i="9"/>
  <c r="AH298" i="9"/>
  <c r="AF298" i="9"/>
  <c r="AE298" i="9"/>
  <c r="I298" i="9"/>
  <c r="H298" i="9"/>
  <c r="AG43" i="9"/>
  <c r="AG46" i="9"/>
  <c r="AG51" i="9"/>
  <c r="AF66" i="9"/>
  <c r="I76" i="9"/>
  <c r="AA77" i="9"/>
  <c r="AF82" i="9"/>
  <c r="AG83" i="9"/>
  <c r="AH84" i="9"/>
  <c r="AI85" i="9"/>
  <c r="F90" i="9"/>
  <c r="I92" i="9"/>
  <c r="AA93" i="9"/>
  <c r="AB94" i="9"/>
  <c r="AF98" i="9"/>
  <c r="AG99" i="9"/>
  <c r="AH100" i="9"/>
  <c r="AJ101" i="9"/>
  <c r="H103" i="9"/>
  <c r="AF103" i="9"/>
  <c r="AA105" i="9"/>
  <c r="AC106" i="9"/>
  <c r="AH108" i="9"/>
  <c r="AJ109" i="9"/>
  <c r="H111" i="9"/>
  <c r="AF111" i="9"/>
  <c r="AC113" i="9"/>
  <c r="AJ115" i="9"/>
  <c r="F117" i="9"/>
  <c r="AB118" i="9"/>
  <c r="AI120" i="9"/>
  <c r="AA122" i="9"/>
  <c r="H122" i="9"/>
  <c r="AF122" i="9"/>
  <c r="I123" i="9"/>
  <c r="AD124" i="9"/>
  <c r="AH125" i="9"/>
  <c r="AD127" i="9"/>
  <c r="AA127" i="9"/>
  <c r="H127" i="9"/>
  <c r="AF127" i="9"/>
  <c r="AB128" i="9"/>
  <c r="AD131" i="9"/>
  <c r="AA131" i="9"/>
  <c r="H131" i="9"/>
  <c r="AF131" i="9"/>
  <c r="AB132" i="9"/>
  <c r="F135" i="9"/>
  <c r="AG136" i="9"/>
  <c r="AD138" i="9"/>
  <c r="AA138" i="9"/>
  <c r="I138" i="9"/>
  <c r="H138" i="9"/>
  <c r="AF138" i="9"/>
  <c r="AE139" i="9"/>
  <c r="AK140" i="9"/>
  <c r="AE142" i="9"/>
  <c r="AD144" i="9"/>
  <c r="AA144" i="9"/>
  <c r="I144" i="9"/>
  <c r="H144" i="9"/>
  <c r="G144" i="9"/>
  <c r="AF144" i="9"/>
  <c r="AH145" i="9"/>
  <c r="AE150" i="9"/>
  <c r="AD152" i="9"/>
  <c r="AA152" i="9"/>
  <c r="I152" i="9"/>
  <c r="H152" i="9"/>
  <c r="G152" i="9"/>
  <c r="AF152" i="9"/>
  <c r="AH153" i="9"/>
  <c r="AE158" i="9"/>
  <c r="AD256" i="9"/>
  <c r="AC256" i="9"/>
  <c r="AB256" i="9"/>
  <c r="AA256" i="9"/>
  <c r="I256" i="9"/>
  <c r="H256" i="9"/>
  <c r="G256" i="9"/>
  <c r="AI256" i="9"/>
  <c r="AF256" i="9"/>
  <c r="AK256" i="9"/>
  <c r="AJ256" i="9"/>
  <c r="AH256" i="9"/>
  <c r="AG256" i="9"/>
  <c r="AE256" i="9"/>
  <c r="F256" i="9"/>
  <c r="AG44" i="9"/>
  <c r="AG47" i="9"/>
  <c r="AG49" i="9"/>
  <c r="AH52" i="9"/>
  <c r="AA61" i="9"/>
  <c r="AH68" i="9"/>
  <c r="AH42" i="9"/>
  <c r="AH43" i="9"/>
  <c r="AH44" i="9"/>
  <c r="AH45" i="9"/>
  <c r="AH46" i="9"/>
  <c r="AH47" i="9"/>
  <c r="AH48" i="9"/>
  <c r="AH49" i="9"/>
  <c r="AH50" i="9"/>
  <c r="AH51" i="9"/>
  <c r="AI52" i="9"/>
  <c r="AJ53" i="9"/>
  <c r="F57" i="9"/>
  <c r="G58" i="9"/>
  <c r="AA60" i="9"/>
  <c r="AB61" i="9"/>
  <c r="AG66" i="9"/>
  <c r="AI68" i="9"/>
  <c r="AJ69" i="9"/>
  <c r="F73" i="9"/>
  <c r="G74" i="9"/>
  <c r="AA76" i="9"/>
  <c r="AB77" i="9"/>
  <c r="AG82" i="9"/>
  <c r="AH83" i="9"/>
  <c r="AI84" i="9"/>
  <c r="AJ85" i="9"/>
  <c r="F89" i="9"/>
  <c r="G90" i="9"/>
  <c r="AA92" i="9"/>
  <c r="AB93" i="9"/>
  <c r="AC94" i="9"/>
  <c r="AG98" i="9"/>
  <c r="AH99" i="9"/>
  <c r="AI100" i="9"/>
  <c r="F103" i="9"/>
  <c r="AB105" i="9"/>
  <c r="AD106" i="9"/>
  <c r="AI108" i="9"/>
  <c r="F111" i="9"/>
  <c r="AD113" i="9"/>
  <c r="G117" i="9"/>
  <c r="AC118" i="9"/>
  <c r="AJ120" i="9"/>
  <c r="F122" i="9"/>
  <c r="AB123" i="9"/>
  <c r="AE124" i="9"/>
  <c r="AI125" i="9"/>
  <c r="F127" i="9"/>
  <c r="AC128" i="9"/>
  <c r="F131" i="9"/>
  <c r="AC132" i="9"/>
  <c r="G135" i="9"/>
  <c r="AH136" i="9"/>
  <c r="F138" i="9"/>
  <c r="AG139" i="9"/>
  <c r="AD141" i="9"/>
  <c r="AA141" i="9"/>
  <c r="I141" i="9"/>
  <c r="H141" i="9"/>
  <c r="AF141" i="9"/>
  <c r="AG142" i="9"/>
  <c r="F144" i="9"/>
  <c r="AI145" i="9"/>
  <c r="AG150" i="9"/>
  <c r="F152" i="9"/>
  <c r="AI153" i="9"/>
  <c r="AG158" i="9"/>
  <c r="AD257" i="9"/>
  <c r="AE257" i="9"/>
  <c r="AC257" i="9"/>
  <c r="AB257" i="9"/>
  <c r="AA257" i="9"/>
  <c r="I257" i="9"/>
  <c r="H257" i="9"/>
  <c r="AJ257" i="9"/>
  <c r="AG257" i="9"/>
  <c r="G257" i="9"/>
  <c r="F257" i="9"/>
  <c r="AH257" i="9"/>
  <c r="AA277" i="9"/>
  <c r="AD277" i="9"/>
  <c r="I277" i="9"/>
  <c r="AE277" i="9"/>
  <c r="AC277" i="9"/>
  <c r="AB277" i="9"/>
  <c r="H277" i="9"/>
  <c r="G277" i="9"/>
  <c r="F277" i="9"/>
  <c r="AJ277" i="9"/>
  <c r="AG277" i="9"/>
  <c r="AK277" i="9"/>
  <c r="AI277" i="9"/>
  <c r="AH277" i="9"/>
  <c r="AF277" i="9"/>
  <c r="AG42" i="9"/>
  <c r="AG45" i="9"/>
  <c r="AG48" i="9"/>
  <c r="AG50" i="9"/>
  <c r="I60" i="9"/>
  <c r="AI42" i="9"/>
  <c r="AI43" i="9"/>
  <c r="AI44" i="9"/>
  <c r="AI45" i="9"/>
  <c r="AI46" i="9"/>
  <c r="AI47" i="9"/>
  <c r="AI48" i="9"/>
  <c r="AI49" i="9"/>
  <c r="AI50" i="9"/>
  <c r="AI51" i="9"/>
  <c r="AJ52" i="9"/>
  <c r="AK53" i="9"/>
  <c r="F56" i="9"/>
  <c r="G57" i="9"/>
  <c r="I58" i="9"/>
  <c r="AB60" i="9"/>
  <c r="AC61" i="9"/>
  <c r="AH66" i="9"/>
  <c r="AJ68" i="9"/>
  <c r="AK69" i="9"/>
  <c r="F72" i="9"/>
  <c r="G73" i="9"/>
  <c r="I74" i="9"/>
  <c r="AB76" i="9"/>
  <c r="AC77" i="9"/>
  <c r="AH82" i="9"/>
  <c r="AI83" i="9"/>
  <c r="AJ84" i="9"/>
  <c r="AK85" i="9"/>
  <c r="F88" i="9"/>
  <c r="G89" i="9"/>
  <c r="I90" i="9"/>
  <c r="AB92" i="9"/>
  <c r="AC93" i="9"/>
  <c r="AD94" i="9"/>
  <c r="AH98" i="9"/>
  <c r="AI99" i="9"/>
  <c r="AJ100" i="9"/>
  <c r="H102" i="9"/>
  <c r="AF102" i="9"/>
  <c r="G103" i="9"/>
  <c r="AC105" i="9"/>
  <c r="AE106" i="9"/>
  <c r="AJ108" i="9"/>
  <c r="H110" i="9"/>
  <c r="AF110" i="9"/>
  <c r="G111" i="9"/>
  <c r="AE113" i="9"/>
  <c r="AA116" i="9"/>
  <c r="H116" i="9"/>
  <c r="AF116" i="9"/>
  <c r="I117" i="9"/>
  <c r="AD118" i="9"/>
  <c r="AK120" i="9"/>
  <c r="G122" i="9"/>
  <c r="AC123" i="9"/>
  <c r="AG124" i="9"/>
  <c r="AJ125" i="9"/>
  <c r="G127" i="9"/>
  <c r="AE128" i="9"/>
  <c r="G131" i="9"/>
  <c r="AE132" i="9"/>
  <c r="AB135" i="9"/>
  <c r="AI136" i="9"/>
  <c r="G138" i="9"/>
  <c r="AH139" i="9"/>
  <c r="F141" i="9"/>
  <c r="AH142" i="9"/>
  <c r="AB144" i="9"/>
  <c r="AJ145" i="9"/>
  <c r="AD149" i="9"/>
  <c r="AA149" i="9"/>
  <c r="I149" i="9"/>
  <c r="H149" i="9"/>
  <c r="G149" i="9"/>
  <c r="AF149" i="9"/>
  <c r="AH150" i="9"/>
  <c r="AB152" i="9"/>
  <c r="AJ153" i="9"/>
  <c r="AD157" i="9"/>
  <c r="AA157" i="9"/>
  <c r="I157" i="9"/>
  <c r="H157" i="9"/>
  <c r="G157" i="9"/>
  <c r="AF157" i="9"/>
  <c r="AH158" i="9"/>
  <c r="AD232" i="9"/>
  <c r="AK232" i="9"/>
  <c r="AJ232" i="9"/>
  <c r="AI232" i="9"/>
  <c r="AH232" i="9"/>
  <c r="AG232" i="9"/>
  <c r="F232" i="9"/>
  <c r="AE232" i="9"/>
  <c r="AC232" i="9"/>
  <c r="AB232" i="9"/>
  <c r="AA232" i="9"/>
  <c r="I232" i="9"/>
  <c r="AF257" i="9"/>
  <c r="AJ42" i="9"/>
  <c r="AJ43" i="9"/>
  <c r="AJ44" i="9"/>
  <c r="AJ45" i="9"/>
  <c r="AJ46" i="9"/>
  <c r="AJ47" i="9"/>
  <c r="AJ48" i="9"/>
  <c r="AJ49" i="9"/>
  <c r="AJ50" i="9"/>
  <c r="AJ51" i="9"/>
  <c r="AK52" i="9"/>
  <c r="F55" i="9"/>
  <c r="G56" i="9"/>
  <c r="I57" i="9"/>
  <c r="AA58" i="9"/>
  <c r="AC60" i="9"/>
  <c r="AD61" i="9"/>
  <c r="AI66" i="9"/>
  <c r="AK68" i="9"/>
  <c r="F71" i="9"/>
  <c r="G72" i="9"/>
  <c r="I73" i="9"/>
  <c r="AA74" i="9"/>
  <c r="AC76" i="9"/>
  <c r="AD77" i="9"/>
  <c r="AI82" i="9"/>
  <c r="AJ83" i="9"/>
  <c r="AK84" i="9"/>
  <c r="F87" i="9"/>
  <c r="G88" i="9"/>
  <c r="I89" i="9"/>
  <c r="AA90" i="9"/>
  <c r="AC92" i="9"/>
  <c r="AD93" i="9"/>
  <c r="AE94" i="9"/>
  <c r="AI98" i="9"/>
  <c r="AJ99" i="9"/>
  <c r="AK100" i="9"/>
  <c r="F102" i="9"/>
  <c r="I103" i="9"/>
  <c r="AD105" i="9"/>
  <c r="AG106" i="9"/>
  <c r="AK108" i="9"/>
  <c r="F110" i="9"/>
  <c r="I111" i="9"/>
  <c r="AG113" i="9"/>
  <c r="F116" i="9"/>
  <c r="AB117" i="9"/>
  <c r="AE118" i="9"/>
  <c r="AA121" i="9"/>
  <c r="H121" i="9"/>
  <c r="AF121" i="9"/>
  <c r="I122" i="9"/>
  <c r="AD123" i="9"/>
  <c r="AH124" i="9"/>
  <c r="AK125" i="9"/>
  <c r="I127" i="9"/>
  <c r="AG128" i="9"/>
  <c r="I131" i="9"/>
  <c r="AG132" i="9"/>
  <c r="AC135" i="9"/>
  <c r="AJ136" i="9"/>
  <c r="AB138" i="9"/>
  <c r="AI139" i="9"/>
  <c r="G141" i="9"/>
  <c r="AI142" i="9"/>
  <c r="AC144" i="9"/>
  <c r="AK145" i="9"/>
  <c r="F149" i="9"/>
  <c r="AI150" i="9"/>
  <c r="AC152" i="9"/>
  <c r="AK153" i="9"/>
  <c r="F157" i="9"/>
  <c r="AI158" i="9"/>
  <c r="G232" i="9"/>
  <c r="AI257" i="9"/>
  <c r="AA57" i="9"/>
  <c r="AD60" i="9"/>
  <c r="AE61" i="9"/>
  <c r="AJ66" i="9"/>
  <c r="AA73" i="9"/>
  <c r="AD76" i="9"/>
  <c r="AE77" i="9"/>
  <c r="AJ82" i="9"/>
  <c r="AK83" i="9"/>
  <c r="AD92" i="9"/>
  <c r="AE93" i="9"/>
  <c r="AF94" i="9"/>
  <c r="AJ98" i="9"/>
  <c r="AK99" i="9"/>
  <c r="H101" i="9"/>
  <c r="AF101" i="9"/>
  <c r="AE105" i="9"/>
  <c r="AH106" i="9"/>
  <c r="H109" i="9"/>
  <c r="AF109" i="9"/>
  <c r="AH113" i="9"/>
  <c r="AG118" i="9"/>
  <c r="AE123" i="9"/>
  <c r="AI124" i="9"/>
  <c r="AD126" i="9"/>
  <c r="AA126" i="9"/>
  <c r="H126" i="9"/>
  <c r="AF126" i="9"/>
  <c r="AH128" i="9"/>
  <c r="AD130" i="9"/>
  <c r="AA130" i="9"/>
  <c r="H130" i="9"/>
  <c r="AF130" i="9"/>
  <c r="AH132" i="9"/>
  <c r="AD134" i="9"/>
  <c r="AA134" i="9"/>
  <c r="I134" i="9"/>
  <c r="H134" i="9"/>
  <c r="AF134" i="9"/>
  <c r="AK136" i="9"/>
  <c r="AJ139" i="9"/>
  <c r="AJ142" i="9"/>
  <c r="AD146" i="9"/>
  <c r="AA146" i="9"/>
  <c r="I146" i="9"/>
  <c r="H146" i="9"/>
  <c r="G146" i="9"/>
  <c r="AF146" i="9"/>
  <c r="AJ150" i="9"/>
  <c r="AD154" i="9"/>
  <c r="AA154" i="9"/>
  <c r="I154" i="9"/>
  <c r="H154" i="9"/>
  <c r="G154" i="9"/>
  <c r="AF154" i="9"/>
  <c r="AJ158" i="9"/>
  <c r="I279" i="9"/>
  <c r="AE60" i="9"/>
  <c r="AF61" i="9"/>
  <c r="AK66" i="9"/>
  <c r="AB73" i="9"/>
  <c r="AE76" i="9"/>
  <c r="AF77" i="9"/>
  <c r="AK82" i="9"/>
  <c r="AE92" i="9"/>
  <c r="AF93" i="9"/>
  <c r="AG94" i="9"/>
  <c r="AK98" i="9"/>
  <c r="AG105" i="9"/>
  <c r="AI106" i="9"/>
  <c r="AI113" i="9"/>
  <c r="AA115" i="9"/>
  <c r="H115" i="9"/>
  <c r="AF115" i="9"/>
  <c r="AH118" i="9"/>
  <c r="AG123" i="9"/>
  <c r="AJ124" i="9"/>
  <c r="AI128" i="9"/>
  <c r="AI132" i="9"/>
  <c r="AD137" i="9"/>
  <c r="AA137" i="9"/>
  <c r="I137" i="9"/>
  <c r="H137" i="9"/>
  <c r="AF137" i="9"/>
  <c r="AK139" i="9"/>
  <c r="AK142" i="9"/>
  <c r="AK150" i="9"/>
  <c r="AK158" i="9"/>
  <c r="AD226" i="9"/>
  <c r="AF226" i="9"/>
  <c r="AE226" i="9"/>
  <c r="AC226" i="9"/>
  <c r="AB226" i="9"/>
  <c r="AA226" i="9"/>
  <c r="I226" i="9"/>
  <c r="AH226" i="9"/>
  <c r="AK226" i="9"/>
  <c r="AJ226" i="9"/>
  <c r="AI226" i="9"/>
  <c r="F226" i="9"/>
  <c r="AD262" i="9"/>
  <c r="AJ262" i="9"/>
  <c r="AI262" i="9"/>
  <c r="AH262" i="9"/>
  <c r="AG262" i="9"/>
  <c r="AF262" i="9"/>
  <c r="AE262" i="9"/>
  <c r="G262" i="9"/>
  <c r="AK262" i="9"/>
  <c r="AC262" i="9"/>
  <c r="AB262" i="9"/>
  <c r="I262" i="9"/>
  <c r="H262" i="9"/>
  <c r="AD271" i="9"/>
  <c r="AH271" i="9"/>
  <c r="AF271" i="9"/>
  <c r="AE271" i="9"/>
  <c r="AC271" i="9"/>
  <c r="AB271" i="9"/>
  <c r="AA271" i="9"/>
  <c r="I271" i="9"/>
  <c r="AI271" i="9"/>
  <c r="AB286" i="9"/>
  <c r="AA289" i="9"/>
  <c r="AD289" i="9"/>
  <c r="AJ289" i="9"/>
  <c r="AF289" i="9"/>
  <c r="AE289" i="9"/>
  <c r="AC289" i="9"/>
  <c r="AB289" i="9"/>
  <c r="I289" i="9"/>
  <c r="H289" i="9"/>
  <c r="F289" i="9"/>
  <c r="AH289" i="9"/>
  <c r="AA319" i="9"/>
  <c r="AK398" i="9"/>
  <c r="AK235" i="9"/>
  <c r="AD258" i="9"/>
  <c r="AF258" i="9"/>
  <c r="AE258" i="9"/>
  <c r="AC258" i="9"/>
  <c r="AB258" i="9"/>
  <c r="AA258" i="9"/>
  <c r="I258" i="9"/>
  <c r="AK258" i="9"/>
  <c r="AH258" i="9"/>
  <c r="AA280" i="9"/>
  <c r="AD280" i="9"/>
  <c r="AH280" i="9"/>
  <c r="AK280" i="9"/>
  <c r="AJ280" i="9"/>
  <c r="AI280" i="9"/>
  <c r="I280" i="9"/>
  <c r="F280" i="9"/>
  <c r="AA284" i="9"/>
  <c r="AD284" i="9"/>
  <c r="G284" i="9"/>
  <c r="AH284" i="9"/>
  <c r="AG284" i="9"/>
  <c r="AF284" i="9"/>
  <c r="AE284" i="9"/>
  <c r="AC284" i="9"/>
  <c r="AB284" i="9"/>
  <c r="H284" i="9"/>
  <c r="AJ284" i="9"/>
  <c r="AK266" i="9"/>
  <c r="AA311" i="9"/>
  <c r="AD311" i="9"/>
  <c r="AF311" i="9"/>
  <c r="AE311" i="9"/>
  <c r="AC311" i="9"/>
  <c r="AB311" i="9"/>
  <c r="AJ311" i="9"/>
  <c r="AK311" i="9"/>
  <c r="AI311" i="9"/>
  <c r="AG311" i="9"/>
  <c r="H311" i="9"/>
  <c r="G311" i="9"/>
  <c r="F311" i="9"/>
  <c r="AA317" i="9"/>
  <c r="AA274" i="9"/>
  <c r="AD274" i="9"/>
  <c r="AK274" i="9"/>
  <c r="AJ274" i="9"/>
  <c r="AI274" i="9"/>
  <c r="AH274" i="9"/>
  <c r="I274" i="9"/>
  <c r="F274" i="9"/>
  <c r="I311" i="9"/>
  <c r="AA320" i="9"/>
  <c r="AD240" i="9"/>
  <c r="AC240" i="9"/>
  <c r="AB240" i="9"/>
  <c r="AA240" i="9"/>
  <c r="I240" i="9"/>
  <c r="H240" i="9"/>
  <c r="G240" i="9"/>
  <c r="AF240" i="9"/>
  <c r="AD242" i="9"/>
  <c r="AF242" i="9"/>
  <c r="AE242" i="9"/>
  <c r="AC242" i="9"/>
  <c r="AB242" i="9"/>
  <c r="AA242" i="9"/>
  <c r="I242" i="9"/>
  <c r="AH242" i="9"/>
  <c r="AD244" i="9"/>
  <c r="AH244" i="9"/>
  <c r="AG244" i="9"/>
  <c r="AF244" i="9"/>
  <c r="AE244" i="9"/>
  <c r="AC244" i="9"/>
  <c r="AB244" i="9"/>
  <c r="AJ244" i="9"/>
  <c r="AD246" i="9"/>
  <c r="AJ246" i="9"/>
  <c r="AI246" i="9"/>
  <c r="AH246" i="9"/>
  <c r="AG246" i="9"/>
  <c r="AF246" i="9"/>
  <c r="AE246" i="9"/>
  <c r="G274" i="9"/>
  <c r="AH311" i="9"/>
  <c r="AK390" i="9"/>
  <c r="AJ475" i="9"/>
  <c r="AI475" i="9"/>
  <c r="AH475" i="9"/>
  <c r="AF475" i="9"/>
  <c r="AE475" i="9"/>
  <c r="AD475" i="9"/>
  <c r="AA475" i="9"/>
  <c r="H475" i="9"/>
  <c r="G475" i="9"/>
  <c r="F475" i="9"/>
  <c r="AK475" i="9"/>
  <c r="AC475" i="9"/>
  <c r="AB475" i="9"/>
  <c r="I475" i="9"/>
  <c r="AG475" i="9"/>
  <c r="AK234" i="9"/>
  <c r="F240" i="9"/>
  <c r="F242" i="9"/>
  <c r="F244" i="9"/>
  <c r="F246" i="9"/>
  <c r="AG258" i="9"/>
  <c r="AK272" i="9"/>
  <c r="H274" i="9"/>
  <c r="AA278" i="9"/>
  <c r="AD278" i="9"/>
  <c r="AC278" i="9"/>
  <c r="AH278" i="9"/>
  <c r="AG278" i="9"/>
  <c r="AF278" i="9"/>
  <c r="AE278" i="9"/>
  <c r="AB278" i="9"/>
  <c r="I278" i="9"/>
  <c r="AJ278" i="9"/>
  <c r="AC280" i="9"/>
  <c r="AK284" i="9"/>
  <c r="AH379" i="9"/>
  <c r="AF379" i="9"/>
  <c r="AG379" i="9"/>
  <c r="AE379" i="9"/>
  <c r="AC379" i="9"/>
  <c r="AB379" i="9"/>
  <c r="I379" i="9"/>
  <c r="F379" i="9"/>
  <c r="AJ379" i="9"/>
  <c r="AI379" i="9"/>
  <c r="AD379" i="9"/>
  <c r="AA379" i="9"/>
  <c r="H379" i="9"/>
  <c r="AK379" i="9"/>
  <c r="G379" i="9"/>
  <c r="AE240" i="9"/>
  <c r="G242" i="9"/>
  <c r="G244" i="9"/>
  <c r="G246" i="9"/>
  <c r="AD248" i="9"/>
  <c r="AK248" i="9"/>
  <c r="AJ248" i="9"/>
  <c r="AI248" i="9"/>
  <c r="AH248" i="9"/>
  <c r="AG248" i="9"/>
  <c r="F248" i="9"/>
  <c r="AI258" i="9"/>
  <c r="AB274" i="9"/>
  <c r="AE280" i="9"/>
  <c r="AA285" i="9"/>
  <c r="AD285" i="9"/>
  <c r="I285" i="9"/>
  <c r="AK285" i="9"/>
  <c r="AJ285" i="9"/>
  <c r="AI285" i="9"/>
  <c r="AH285" i="9"/>
  <c r="AG285" i="9"/>
  <c r="AF285" i="9"/>
  <c r="AC285" i="9"/>
  <c r="F285" i="9"/>
  <c r="AG240" i="9"/>
  <c r="H242" i="9"/>
  <c r="H244" i="9"/>
  <c r="H246" i="9"/>
  <c r="G248" i="9"/>
  <c r="AJ258" i="9"/>
  <c r="AC274" i="9"/>
  <c r="G278" i="9"/>
  <c r="AF280" i="9"/>
  <c r="G285" i="9"/>
  <c r="AD223" i="9"/>
  <c r="AB223" i="9"/>
  <c r="AA223" i="9"/>
  <c r="I223" i="9"/>
  <c r="H223" i="9"/>
  <c r="G223" i="9"/>
  <c r="F223" i="9"/>
  <c r="AE223" i="9"/>
  <c r="AD225" i="9"/>
  <c r="AE225" i="9"/>
  <c r="AC225" i="9"/>
  <c r="AB225" i="9"/>
  <c r="AA225" i="9"/>
  <c r="I225" i="9"/>
  <c r="H225" i="9"/>
  <c r="AG225" i="9"/>
  <c r="AD227" i="9"/>
  <c r="AG227" i="9"/>
  <c r="AF227" i="9"/>
  <c r="AE227" i="9"/>
  <c r="AC227" i="9"/>
  <c r="AB227" i="9"/>
  <c r="AA227" i="9"/>
  <c r="AI227" i="9"/>
  <c r="AD229" i="9"/>
  <c r="AI229" i="9"/>
  <c r="AH229" i="9"/>
  <c r="AG229" i="9"/>
  <c r="AF229" i="9"/>
  <c r="AE229" i="9"/>
  <c r="AC229" i="9"/>
  <c r="AK229" i="9"/>
  <c r="AH240" i="9"/>
  <c r="AG242" i="9"/>
  <c r="I244" i="9"/>
  <c r="I246" i="9"/>
  <c r="H248" i="9"/>
  <c r="AD259" i="9"/>
  <c r="AG259" i="9"/>
  <c r="AF259" i="9"/>
  <c r="AE259" i="9"/>
  <c r="AC259" i="9"/>
  <c r="AB259" i="9"/>
  <c r="AA259" i="9"/>
  <c r="AI259" i="9"/>
  <c r="AD261" i="9"/>
  <c r="AI261" i="9"/>
  <c r="AH261" i="9"/>
  <c r="AG261" i="9"/>
  <c r="AF261" i="9"/>
  <c r="AE261" i="9"/>
  <c r="AC261" i="9"/>
  <c r="F261" i="9"/>
  <c r="AK261" i="9"/>
  <c r="AK265" i="9"/>
  <c r="AD270" i="9"/>
  <c r="AG270" i="9"/>
  <c r="AC270" i="9"/>
  <c r="AB270" i="9"/>
  <c r="AA270" i="9"/>
  <c r="I270" i="9"/>
  <c r="H270" i="9"/>
  <c r="G270" i="9"/>
  <c r="AJ270" i="9"/>
  <c r="AF270" i="9"/>
  <c r="AE274" i="9"/>
  <c r="H278" i="9"/>
  <c r="AG280" i="9"/>
  <c r="H285" i="9"/>
  <c r="AC223" i="9"/>
  <c r="F225" i="9"/>
  <c r="F227" i="9"/>
  <c r="F229" i="9"/>
  <c r="AI240" i="9"/>
  <c r="AI242" i="9"/>
  <c r="AA244" i="9"/>
  <c r="AA246" i="9"/>
  <c r="I248" i="9"/>
  <c r="AK250" i="9"/>
  <c r="F259" i="9"/>
  <c r="G261" i="9"/>
  <c r="F270" i="9"/>
  <c r="AF274" i="9"/>
  <c r="AI278" i="9"/>
  <c r="AB285" i="9"/>
  <c r="AA306" i="9"/>
  <c r="AD306" i="9"/>
  <c r="AK306" i="9"/>
  <c r="AJ306" i="9"/>
  <c r="AI306" i="9"/>
  <c r="G306" i="9"/>
  <c r="AG306" i="9"/>
  <c r="AC306" i="9"/>
  <c r="AB306" i="9"/>
  <c r="F306" i="9"/>
  <c r="AA351" i="9"/>
  <c r="AG274" i="9"/>
  <c r="AA294" i="9"/>
  <c r="AD294" i="9"/>
  <c r="AC294" i="9"/>
  <c r="AB294" i="9"/>
  <c r="I294" i="9"/>
  <c r="AJ294" i="9"/>
  <c r="AI294" i="9"/>
  <c r="AH294" i="9"/>
  <c r="AG294" i="9"/>
  <c r="AF294" i="9"/>
  <c r="AE294" i="9"/>
  <c r="G294" i="9"/>
  <c r="AA303" i="9"/>
  <c r="AD303" i="9"/>
  <c r="AF303" i="9"/>
  <c r="AE303" i="9"/>
  <c r="AC303" i="9"/>
  <c r="AB303" i="9"/>
  <c r="AJ303" i="9"/>
  <c r="AK303" i="9"/>
  <c r="AI303" i="9"/>
  <c r="AG303" i="9"/>
  <c r="G303" i="9"/>
  <c r="F303" i="9"/>
  <c r="AA336" i="9"/>
  <c r="AK240" i="9"/>
  <c r="AK242" i="9"/>
  <c r="AK244" i="9"/>
  <c r="AC246" i="9"/>
  <c r="AA279" i="9"/>
  <c r="AD279" i="9"/>
  <c r="AF279" i="9"/>
  <c r="AK279" i="9"/>
  <c r="AJ279" i="9"/>
  <c r="AI279" i="9"/>
  <c r="AH279" i="9"/>
  <c r="AG279" i="9"/>
  <c r="AE279" i="9"/>
  <c r="F279" i="9"/>
  <c r="AA286" i="9"/>
  <c r="AD286" i="9"/>
  <c r="AC286" i="9"/>
  <c r="AK286" i="9"/>
  <c r="AJ286" i="9"/>
  <c r="AI286" i="9"/>
  <c r="AG286" i="9"/>
  <c r="I286" i="9"/>
  <c r="F286" i="9"/>
  <c r="F294" i="9"/>
  <c r="H303" i="9"/>
  <c r="AD239" i="9"/>
  <c r="AB239" i="9"/>
  <c r="AA239" i="9"/>
  <c r="I239" i="9"/>
  <c r="H239" i="9"/>
  <c r="G239" i="9"/>
  <c r="F239" i="9"/>
  <c r="AE239" i="9"/>
  <c r="AD241" i="9"/>
  <c r="AE241" i="9"/>
  <c r="AC241" i="9"/>
  <c r="AB241" i="9"/>
  <c r="AA241" i="9"/>
  <c r="I241" i="9"/>
  <c r="H241" i="9"/>
  <c r="AG241" i="9"/>
  <c r="AD243" i="9"/>
  <c r="AG243" i="9"/>
  <c r="AF243" i="9"/>
  <c r="AE243" i="9"/>
  <c r="AC243" i="9"/>
  <c r="AB243" i="9"/>
  <c r="AA243" i="9"/>
  <c r="AI243" i="9"/>
  <c r="AD245" i="9"/>
  <c r="AI245" i="9"/>
  <c r="AH245" i="9"/>
  <c r="AG245" i="9"/>
  <c r="AF245" i="9"/>
  <c r="AE245" i="9"/>
  <c r="AC245" i="9"/>
  <c r="AK245" i="9"/>
  <c r="AK246" i="9"/>
  <c r="AC248" i="9"/>
  <c r="AD255" i="9"/>
  <c r="AB255" i="9"/>
  <c r="AA255" i="9"/>
  <c r="I255" i="9"/>
  <c r="H255" i="9"/>
  <c r="G255" i="9"/>
  <c r="F255" i="9"/>
  <c r="AH255" i="9"/>
  <c r="AE255" i="9"/>
  <c r="AD273" i="9"/>
  <c r="AJ273" i="9"/>
  <c r="AK273" i="9"/>
  <c r="AI273" i="9"/>
  <c r="AH273" i="9"/>
  <c r="AG273" i="9"/>
  <c r="AF273" i="9"/>
  <c r="AE273" i="9"/>
  <c r="G273" i="9"/>
  <c r="G279" i="9"/>
  <c r="G286" i="9"/>
  <c r="H294" i="9"/>
  <c r="I303" i="9"/>
  <c r="AA327" i="9"/>
  <c r="AK382" i="9"/>
  <c r="AD231" i="9"/>
  <c r="G233" i="9"/>
  <c r="AD247" i="9"/>
  <c r="G249" i="9"/>
  <c r="AD263" i="9"/>
  <c r="AA295" i="9"/>
  <c r="AD295" i="9"/>
  <c r="AF295" i="9"/>
  <c r="AE295" i="9"/>
  <c r="AC295" i="9"/>
  <c r="AA301" i="9"/>
  <c r="AD301" i="9"/>
  <c r="I301" i="9"/>
  <c r="H301" i="9"/>
  <c r="G301" i="9"/>
  <c r="F301" i="9"/>
  <c r="AF301" i="9"/>
  <c r="AA309" i="9"/>
  <c r="AD309" i="9"/>
  <c r="I309" i="9"/>
  <c r="H309" i="9"/>
  <c r="G309" i="9"/>
  <c r="F309" i="9"/>
  <c r="AF309" i="9"/>
  <c r="AA333" i="9"/>
  <c r="AH367" i="9"/>
  <c r="AF367" i="9"/>
  <c r="F367" i="9"/>
  <c r="AJ367" i="9"/>
  <c r="AE367" i="9"/>
  <c r="I367" i="9"/>
  <c r="AB367" i="9"/>
  <c r="AA367" i="9"/>
  <c r="H367" i="9"/>
  <c r="G367" i="9"/>
  <c r="AI367" i="9"/>
  <c r="AJ465" i="9"/>
  <c r="AI465" i="9"/>
  <c r="AH465" i="9"/>
  <c r="AK465" i="9"/>
  <c r="AF465" i="9"/>
  <c r="AC465" i="9"/>
  <c r="AA465" i="9"/>
  <c r="I465" i="9"/>
  <c r="H465" i="9"/>
  <c r="AE465" i="9"/>
  <c r="AD465" i="9"/>
  <c r="AB465" i="9"/>
  <c r="G465" i="9"/>
  <c r="F465" i="9"/>
  <c r="AD260" i="9"/>
  <c r="AD272" i="9"/>
  <c r="AI272" i="9"/>
  <c r="AA290" i="9"/>
  <c r="AD290" i="9"/>
  <c r="AK290" i="9"/>
  <c r="AA338" i="9"/>
  <c r="AA342" i="9"/>
  <c r="AH372" i="9"/>
  <c r="AF372" i="9"/>
  <c r="AI372" i="9"/>
  <c r="AE372" i="9"/>
  <c r="AD372" i="9"/>
  <c r="AB372" i="9"/>
  <c r="H372" i="9"/>
  <c r="AA372" i="9"/>
  <c r="I372" i="9"/>
  <c r="G372" i="9"/>
  <c r="F372" i="9"/>
  <c r="AK372" i="9"/>
  <c r="AA499" i="9"/>
  <c r="AH499" i="9"/>
  <c r="AG499" i="9"/>
  <c r="AF499" i="9"/>
  <c r="AC499" i="9"/>
  <c r="AB499" i="9"/>
  <c r="I499" i="9"/>
  <c r="H499" i="9"/>
  <c r="G499" i="9"/>
  <c r="F499" i="9"/>
  <c r="AK499" i="9"/>
  <c r="AJ499" i="9"/>
  <c r="AI499" i="9"/>
  <c r="AE499" i="9"/>
  <c r="AD499" i="9"/>
  <c r="F290" i="9"/>
  <c r="AG402" i="9"/>
  <c r="AK406" i="9"/>
  <c r="F423" i="9"/>
  <c r="AK423" i="9"/>
  <c r="AH423" i="9"/>
  <c r="AF423" i="9"/>
  <c r="H423" i="9"/>
  <c r="AE423" i="9"/>
  <c r="AD423" i="9"/>
  <c r="AC423" i="9"/>
  <c r="AB423" i="9"/>
  <c r="AA423" i="9"/>
  <c r="G423" i="9"/>
  <c r="AI423" i="9"/>
  <c r="I423" i="9"/>
  <c r="AJ455" i="9"/>
  <c r="F455" i="9"/>
  <c r="AH455" i="9"/>
  <c r="AF455" i="9"/>
  <c r="AE455" i="9"/>
  <c r="AD455" i="9"/>
  <c r="H455" i="9"/>
  <c r="AC455" i="9"/>
  <c r="AB455" i="9"/>
  <c r="AA455" i="9"/>
  <c r="I455" i="9"/>
  <c r="G455" i="9"/>
  <c r="AI455" i="9"/>
  <c r="AK455" i="9"/>
  <c r="AG455" i="9"/>
  <c r="AA322" i="9"/>
  <c r="AA326" i="9"/>
  <c r="AA356" i="9"/>
  <c r="AB368" i="9"/>
  <c r="AG372" i="9"/>
  <c r="AH380" i="9"/>
  <c r="AF380" i="9"/>
  <c r="AJ380" i="9"/>
  <c r="AI380" i="9"/>
  <c r="AE380" i="9"/>
  <c r="AD380" i="9"/>
  <c r="AB380" i="9"/>
  <c r="H380" i="9"/>
  <c r="G380" i="9"/>
  <c r="AG423" i="9"/>
  <c r="AG461" i="9"/>
  <c r="AK501" i="9"/>
  <c r="AA335" i="9"/>
  <c r="AA344" i="9"/>
  <c r="AH363" i="9"/>
  <c r="AF363" i="9"/>
  <c r="AE363" i="9"/>
  <c r="AC363" i="9"/>
  <c r="AB363" i="9"/>
  <c r="I363" i="9"/>
  <c r="F363" i="9"/>
  <c r="AJ363" i="9"/>
  <c r="AK363" i="9"/>
  <c r="AI363" i="9"/>
  <c r="AG363" i="9"/>
  <c r="AD363" i="9"/>
  <c r="AH370" i="9"/>
  <c r="AF370" i="9"/>
  <c r="AC370" i="9"/>
  <c r="AA370" i="9"/>
  <c r="I370" i="9"/>
  <c r="G370" i="9"/>
  <c r="AG370" i="9"/>
  <c r="AE370" i="9"/>
  <c r="AD370" i="9"/>
  <c r="AB370" i="9"/>
  <c r="H370" i="9"/>
  <c r="AJ372" i="9"/>
  <c r="F380" i="9"/>
  <c r="F407" i="9"/>
  <c r="AH407" i="9"/>
  <c r="AF407" i="9"/>
  <c r="AB407" i="9"/>
  <c r="AA407" i="9"/>
  <c r="I407" i="9"/>
  <c r="H407" i="9"/>
  <c r="G407" i="9"/>
  <c r="AK407" i="9"/>
  <c r="AD407" i="9"/>
  <c r="AE407" i="9"/>
  <c r="AJ423" i="9"/>
  <c r="I290" i="9"/>
  <c r="AH295" i="9"/>
  <c r="AJ301" i="9"/>
  <c r="AJ309" i="9"/>
  <c r="AA341" i="9"/>
  <c r="AA358" i="9"/>
  <c r="G363" i="9"/>
  <c r="F370" i="9"/>
  <c r="AH375" i="9"/>
  <c r="AF375" i="9"/>
  <c r="G375" i="9"/>
  <c r="F375" i="9"/>
  <c r="AJ375" i="9"/>
  <c r="AE375" i="9"/>
  <c r="I375" i="9"/>
  <c r="AK375" i="9"/>
  <c r="AI375" i="9"/>
  <c r="AG375" i="9"/>
  <c r="I380" i="9"/>
  <c r="AC407" i="9"/>
  <c r="AA411" i="9"/>
  <c r="AA415" i="9"/>
  <c r="F424" i="9"/>
  <c r="AK424" i="9"/>
  <c r="AH424" i="9"/>
  <c r="AF424" i="9"/>
  <c r="H424" i="9"/>
  <c r="AJ424" i="9"/>
  <c r="AI424" i="9"/>
  <c r="AG424" i="9"/>
  <c r="AD424" i="9"/>
  <c r="AB424" i="9"/>
  <c r="AA424" i="9"/>
  <c r="I424" i="9"/>
  <c r="G424" i="9"/>
  <c r="AA328" i="9"/>
  <c r="AF361" i="9"/>
  <c r="AB361" i="9"/>
  <c r="I361" i="9"/>
  <c r="H361" i="9"/>
  <c r="F361" i="9"/>
  <c r="AK361" i="9"/>
  <c r="AE361" i="9"/>
  <c r="AJ361" i="9"/>
  <c r="AI361" i="9"/>
  <c r="AH361" i="9"/>
  <c r="H363" i="9"/>
  <c r="AH366" i="9"/>
  <c r="AF366" i="9"/>
  <c r="AK366" i="9"/>
  <c r="AJ366" i="9"/>
  <c r="AG366" i="9"/>
  <c r="AC366" i="9"/>
  <c r="G366" i="9"/>
  <c r="F366" i="9"/>
  <c r="AA380" i="9"/>
  <c r="AG407" i="9"/>
  <c r="F437" i="9"/>
  <c r="AK437" i="9"/>
  <c r="AH437" i="9"/>
  <c r="AF437" i="9"/>
  <c r="H437" i="9"/>
  <c r="AJ437" i="9"/>
  <c r="AI437" i="9"/>
  <c r="AE437" i="9"/>
  <c r="AC437" i="9"/>
  <c r="AB437" i="9"/>
  <c r="AA437" i="9"/>
  <c r="AG485" i="9"/>
  <c r="AD222" i="9"/>
  <c r="AF231" i="9"/>
  <c r="AH233" i="9"/>
  <c r="AI234" i="9"/>
  <c r="AJ235" i="9"/>
  <c r="AD238" i="9"/>
  <c r="AF247" i="9"/>
  <c r="AH249" i="9"/>
  <c r="AD254" i="9"/>
  <c r="AB260" i="9"/>
  <c r="AF263" i="9"/>
  <c r="AD269" i="9"/>
  <c r="AF269" i="9"/>
  <c r="AB272" i="9"/>
  <c r="AA282" i="9"/>
  <c r="AD282" i="9"/>
  <c r="AA288" i="9"/>
  <c r="AD288" i="9"/>
  <c r="AH288" i="9"/>
  <c r="AC290" i="9"/>
  <c r="AJ295" i="9"/>
  <c r="AA302" i="9"/>
  <c r="AD302" i="9"/>
  <c r="AC302" i="9"/>
  <c r="AB302" i="9"/>
  <c r="I302" i="9"/>
  <c r="H302" i="9"/>
  <c r="AH302" i="9"/>
  <c r="AA310" i="9"/>
  <c r="AD310" i="9"/>
  <c r="AC310" i="9"/>
  <c r="AB310" i="9"/>
  <c r="I310" i="9"/>
  <c r="H310" i="9"/>
  <c r="AH310" i="9"/>
  <c r="AA325" i="9"/>
  <c r="AA350" i="9"/>
  <c r="G361" i="9"/>
  <c r="AA363" i="9"/>
  <c r="H366" i="9"/>
  <c r="AJ370" i="9"/>
  <c r="AA375" i="9"/>
  <c r="AC380" i="9"/>
  <c r="AH403" i="9"/>
  <c r="AF403" i="9"/>
  <c r="AG403" i="9"/>
  <c r="AE403" i="9"/>
  <c r="AD403" i="9"/>
  <c r="AC403" i="9"/>
  <c r="AB403" i="9"/>
  <c r="I403" i="9"/>
  <c r="G403" i="9"/>
  <c r="F403" i="9"/>
  <c r="AJ403" i="9"/>
  <c r="AK403" i="9"/>
  <c r="AI403" i="9"/>
  <c r="AA403" i="9"/>
  <c r="AI407" i="9"/>
  <c r="AE424" i="9"/>
  <c r="G437" i="9"/>
  <c r="F447" i="9"/>
  <c r="AK447" i="9"/>
  <c r="AH447" i="9"/>
  <c r="AF447" i="9"/>
  <c r="AE447" i="9"/>
  <c r="AD447" i="9"/>
  <c r="H447" i="9"/>
  <c r="AI447" i="9"/>
  <c r="AC447" i="9"/>
  <c r="AB447" i="9"/>
  <c r="I447" i="9"/>
  <c r="AD221" i="9"/>
  <c r="F222" i="9"/>
  <c r="AG231" i="9"/>
  <c r="AI233" i="9"/>
  <c r="AJ234" i="9"/>
  <c r="AD237" i="9"/>
  <c r="F238" i="9"/>
  <c r="AG247" i="9"/>
  <c r="AI249" i="9"/>
  <c r="AD253" i="9"/>
  <c r="F254" i="9"/>
  <c r="AC260" i="9"/>
  <c r="AG263" i="9"/>
  <c r="F269" i="9"/>
  <c r="AC272" i="9"/>
  <c r="F282" i="9"/>
  <c r="F288" i="9"/>
  <c r="AE290" i="9"/>
  <c r="AA293" i="9"/>
  <c r="AD293" i="9"/>
  <c r="I293" i="9"/>
  <c r="H293" i="9"/>
  <c r="G293" i="9"/>
  <c r="AK295" i="9"/>
  <c r="F302" i="9"/>
  <c r="F310" i="9"/>
  <c r="AA346" i="9"/>
  <c r="AA352" i="9"/>
  <c r="AA361" i="9"/>
  <c r="AH364" i="9"/>
  <c r="AF364" i="9"/>
  <c r="AI364" i="9"/>
  <c r="AE364" i="9"/>
  <c r="AD364" i="9"/>
  <c r="AB364" i="9"/>
  <c r="H364" i="9"/>
  <c r="I364" i="9"/>
  <c r="I366" i="9"/>
  <c r="AK370" i="9"/>
  <c r="AB375" i="9"/>
  <c r="AG380" i="9"/>
  <c r="AH383" i="9"/>
  <c r="AF383" i="9"/>
  <c r="G383" i="9"/>
  <c r="F383" i="9"/>
  <c r="AJ383" i="9"/>
  <c r="AE383" i="9"/>
  <c r="I383" i="9"/>
  <c r="AC383" i="9"/>
  <c r="AB383" i="9"/>
  <c r="AA383" i="9"/>
  <c r="H383" i="9"/>
  <c r="AK383" i="9"/>
  <c r="AJ391" i="9"/>
  <c r="H403" i="9"/>
  <c r="AJ407" i="9"/>
  <c r="AJ420" i="9"/>
  <c r="I437" i="9"/>
  <c r="G447" i="9"/>
  <c r="AD220" i="9"/>
  <c r="F221" i="9"/>
  <c r="G222" i="9"/>
  <c r="AH231" i="9"/>
  <c r="AJ233" i="9"/>
  <c r="AD236" i="9"/>
  <c r="F237" i="9"/>
  <c r="G238" i="9"/>
  <c r="AH247" i="9"/>
  <c r="AJ249" i="9"/>
  <c r="AD252" i="9"/>
  <c r="F253" i="9"/>
  <c r="G254" i="9"/>
  <c r="AE260" i="9"/>
  <c r="AH263" i="9"/>
  <c r="AJ265" i="9"/>
  <c r="AD268" i="9"/>
  <c r="AE268" i="9"/>
  <c r="G269" i="9"/>
  <c r="AE272" i="9"/>
  <c r="AA276" i="9"/>
  <c r="AD276" i="9"/>
  <c r="G276" i="9"/>
  <c r="G282" i="9"/>
  <c r="G288" i="9"/>
  <c r="AF290" i="9"/>
  <c r="F293" i="9"/>
  <c r="AA296" i="9"/>
  <c r="AD296" i="9"/>
  <c r="AH296" i="9"/>
  <c r="AG296" i="9"/>
  <c r="AF296" i="9"/>
  <c r="AE296" i="9"/>
  <c r="G302" i="9"/>
  <c r="AA304" i="9"/>
  <c r="AD304" i="9"/>
  <c r="AH304" i="9"/>
  <c r="AG304" i="9"/>
  <c r="AF304" i="9"/>
  <c r="AE304" i="9"/>
  <c r="G310" i="9"/>
  <c r="AA312" i="9"/>
  <c r="AD312" i="9"/>
  <c r="AH312" i="9"/>
  <c r="AG312" i="9"/>
  <c r="AF312" i="9"/>
  <c r="AE312" i="9"/>
  <c r="AC361" i="9"/>
  <c r="F364" i="9"/>
  <c r="AA366" i="9"/>
  <c r="AC375" i="9"/>
  <c r="AH378" i="9"/>
  <c r="AF378" i="9"/>
  <c r="AD378" i="9"/>
  <c r="AC378" i="9"/>
  <c r="AA378" i="9"/>
  <c r="I378" i="9"/>
  <c r="G378" i="9"/>
  <c r="AG378" i="9"/>
  <c r="F378" i="9"/>
  <c r="AK380" i="9"/>
  <c r="AD383" i="9"/>
  <c r="AD437" i="9"/>
  <c r="AA447" i="9"/>
  <c r="H222" i="9"/>
  <c r="AI231" i="9"/>
  <c r="AD235" i="9"/>
  <c r="G237" i="9"/>
  <c r="H238" i="9"/>
  <c r="AI247" i="9"/>
  <c r="AD251" i="9"/>
  <c r="G253" i="9"/>
  <c r="H254" i="9"/>
  <c r="AF260" i="9"/>
  <c r="AI263" i="9"/>
  <c r="AD267" i="9"/>
  <c r="H269" i="9"/>
  <c r="AF272" i="9"/>
  <c r="AA281" i="9"/>
  <c r="AD281" i="9"/>
  <c r="AJ281" i="9"/>
  <c r="H282" i="9"/>
  <c r="AA287" i="9"/>
  <c r="AD287" i="9"/>
  <c r="AF287" i="9"/>
  <c r="H288" i="9"/>
  <c r="AG290" i="9"/>
  <c r="AB293" i="9"/>
  <c r="AE302" i="9"/>
  <c r="AE310" i="9"/>
  <c r="AA330" i="9"/>
  <c r="AA334" i="9"/>
  <c r="AA355" i="9"/>
  <c r="AD361" i="9"/>
  <c r="G364" i="9"/>
  <c r="AB366" i="9"/>
  <c r="AD375" i="9"/>
  <c r="AG383" i="9"/>
  <c r="AG437" i="9"/>
  <c r="AG447" i="9"/>
  <c r="AJ231" i="9"/>
  <c r="AD234" i="9"/>
  <c r="F235" i="9"/>
  <c r="H237" i="9"/>
  <c r="I238" i="9"/>
  <c r="AJ247" i="9"/>
  <c r="AD250" i="9"/>
  <c r="F251" i="9"/>
  <c r="H253" i="9"/>
  <c r="I254" i="9"/>
  <c r="AG260" i="9"/>
  <c r="AJ263" i="9"/>
  <c r="AD266" i="9"/>
  <c r="F267" i="9"/>
  <c r="I269" i="9"/>
  <c r="AG272" i="9"/>
  <c r="F281" i="9"/>
  <c r="I282" i="9"/>
  <c r="F287" i="9"/>
  <c r="I288" i="9"/>
  <c r="AH290" i="9"/>
  <c r="AC293" i="9"/>
  <c r="AF302" i="9"/>
  <c r="AF310" i="9"/>
  <c r="AA343" i="9"/>
  <c r="AG361" i="9"/>
  <c r="AA364" i="9"/>
  <c r="AD366" i="9"/>
  <c r="AI383" i="9"/>
  <c r="AH386" i="9"/>
  <c r="AF386" i="9"/>
  <c r="AD386" i="9"/>
  <c r="AC386" i="9"/>
  <c r="AB386" i="9"/>
  <c r="AA386" i="9"/>
  <c r="I386" i="9"/>
  <c r="G386" i="9"/>
  <c r="AG386" i="9"/>
  <c r="AK386" i="9"/>
  <c r="F386" i="9"/>
  <c r="AB438" i="9"/>
  <c r="AJ447" i="9"/>
  <c r="F453" i="9"/>
  <c r="AK453" i="9"/>
  <c r="AH453" i="9"/>
  <c r="AF453" i="9"/>
  <c r="AE453" i="9"/>
  <c r="AD453" i="9"/>
  <c r="H453" i="9"/>
  <c r="AI453" i="9"/>
  <c r="AG453" i="9"/>
  <c r="AC453" i="9"/>
  <c r="AB453" i="9"/>
  <c r="AA453" i="9"/>
  <c r="G453" i="9"/>
  <c r="AD233" i="9"/>
  <c r="AD249" i="9"/>
  <c r="I253" i="9"/>
  <c r="AA254" i="9"/>
  <c r="AH260" i="9"/>
  <c r="AK263" i="9"/>
  <c r="AD265" i="9"/>
  <c r="F266" i="9"/>
  <c r="G267" i="9"/>
  <c r="AA269" i="9"/>
  <c r="AH272" i="9"/>
  <c r="G281" i="9"/>
  <c r="AB282" i="9"/>
  <c r="G287" i="9"/>
  <c r="AB288" i="9"/>
  <c r="AI290" i="9"/>
  <c r="AE293" i="9"/>
  <c r="AG302" i="9"/>
  <c r="AG310" i="9"/>
  <c r="AA318" i="9"/>
  <c r="AA349" i="9"/>
  <c r="AC364" i="9"/>
  <c r="AE366" i="9"/>
  <c r="AB384" i="9"/>
  <c r="H386" i="9"/>
  <c r="F417" i="9"/>
  <c r="AK417" i="9"/>
  <c r="AH417" i="9"/>
  <c r="AF417" i="9"/>
  <c r="AI417" i="9"/>
  <c r="AG417" i="9"/>
  <c r="AE417" i="9"/>
  <c r="AD417" i="9"/>
  <c r="AC417" i="9"/>
  <c r="AA417" i="9"/>
  <c r="H417" i="9"/>
  <c r="G417" i="9"/>
  <c r="AJ417" i="9"/>
  <c r="F421" i="9"/>
  <c r="AK421" i="9"/>
  <c r="AH421" i="9"/>
  <c r="AF421" i="9"/>
  <c r="H421" i="9"/>
  <c r="AJ421" i="9"/>
  <c r="AI421" i="9"/>
  <c r="AE421" i="9"/>
  <c r="AC421" i="9"/>
  <c r="AB421" i="9"/>
  <c r="AG421" i="9"/>
  <c r="I421" i="9"/>
  <c r="G421" i="9"/>
  <c r="I453" i="9"/>
  <c r="AA297" i="9"/>
  <c r="AD297" i="9"/>
  <c r="AA305" i="9"/>
  <c r="AD305" i="9"/>
  <c r="AA313" i="9"/>
  <c r="AD313" i="9"/>
  <c r="AA321" i="9"/>
  <c r="AA329" i="9"/>
  <c r="AA337" i="9"/>
  <c r="AA345" i="9"/>
  <c r="AA357" i="9"/>
  <c r="AH371" i="9"/>
  <c r="AF371" i="9"/>
  <c r="AE371" i="9"/>
  <c r="AC371" i="9"/>
  <c r="AB371" i="9"/>
  <c r="I371" i="9"/>
  <c r="F371" i="9"/>
  <c r="AJ371" i="9"/>
  <c r="AH388" i="9"/>
  <c r="AF388" i="9"/>
  <c r="AJ388" i="9"/>
  <c r="AI388" i="9"/>
  <c r="AG388" i="9"/>
  <c r="AE388" i="9"/>
  <c r="AD388" i="9"/>
  <c r="AB388" i="9"/>
  <c r="H388" i="9"/>
  <c r="AH396" i="9"/>
  <c r="AF396" i="9"/>
  <c r="AJ396" i="9"/>
  <c r="AI396" i="9"/>
  <c r="AG396" i="9"/>
  <c r="AE396" i="9"/>
  <c r="AD396" i="9"/>
  <c r="AB396" i="9"/>
  <c r="I396" i="9"/>
  <c r="H396" i="9"/>
  <c r="F405" i="9"/>
  <c r="AH405" i="9"/>
  <c r="AF405" i="9"/>
  <c r="AK405" i="9"/>
  <c r="AJ405" i="9"/>
  <c r="AG405" i="9"/>
  <c r="AD405" i="9"/>
  <c r="AC405" i="9"/>
  <c r="G405" i="9"/>
  <c r="F429" i="9"/>
  <c r="AK429" i="9"/>
  <c r="AH429" i="9"/>
  <c r="AF429" i="9"/>
  <c r="H429" i="9"/>
  <c r="AC429" i="9"/>
  <c r="AB429" i="9"/>
  <c r="AA429" i="9"/>
  <c r="I429" i="9"/>
  <c r="G429" i="9"/>
  <c r="AE429" i="9"/>
  <c r="AG394" i="9"/>
  <c r="AI408" i="9"/>
  <c r="F413" i="9"/>
  <c r="AK413" i="9"/>
  <c r="AH413" i="9"/>
  <c r="AF413" i="9"/>
  <c r="AI413" i="9"/>
  <c r="AG413" i="9"/>
  <c r="AE413" i="9"/>
  <c r="AD413" i="9"/>
  <c r="AC413" i="9"/>
  <c r="AA413" i="9"/>
  <c r="H413" i="9"/>
  <c r="G413" i="9"/>
  <c r="AJ462" i="9"/>
  <c r="AI462" i="9"/>
  <c r="AH462" i="9"/>
  <c r="H462" i="9"/>
  <c r="F462" i="9"/>
  <c r="AK462" i="9"/>
  <c r="AG462" i="9"/>
  <c r="AF462" i="9"/>
  <c r="AA462" i="9"/>
  <c r="AE462" i="9"/>
  <c r="AC462" i="9"/>
  <c r="AB462" i="9"/>
  <c r="I462" i="9"/>
  <c r="AJ399" i="9"/>
  <c r="I413" i="9"/>
  <c r="F427" i="9"/>
  <c r="AK427" i="9"/>
  <c r="AH427" i="9"/>
  <c r="AF427" i="9"/>
  <c r="H427" i="9"/>
  <c r="AJ427" i="9"/>
  <c r="AI427" i="9"/>
  <c r="AG427" i="9"/>
  <c r="AE427" i="9"/>
  <c r="AC427" i="9"/>
  <c r="AA427" i="9"/>
  <c r="I427" i="9"/>
  <c r="F430" i="9"/>
  <c r="AK430" i="9"/>
  <c r="AH430" i="9"/>
  <c r="AF430" i="9"/>
  <c r="H430" i="9"/>
  <c r="AJ430" i="9"/>
  <c r="AI430" i="9"/>
  <c r="AG430" i="9"/>
  <c r="AE430" i="9"/>
  <c r="AD430" i="9"/>
  <c r="AB430" i="9"/>
  <c r="I430" i="9"/>
  <c r="G430" i="9"/>
  <c r="F445" i="9"/>
  <c r="AK445" i="9"/>
  <c r="AH445" i="9"/>
  <c r="AF445" i="9"/>
  <c r="AE445" i="9"/>
  <c r="AD445" i="9"/>
  <c r="H445" i="9"/>
  <c r="AI445" i="9"/>
  <c r="AG445" i="9"/>
  <c r="G445" i="9"/>
  <c r="G462" i="9"/>
  <c r="AJ463" i="9"/>
  <c r="AI463" i="9"/>
  <c r="AH463" i="9"/>
  <c r="AB463" i="9"/>
  <c r="I463" i="9"/>
  <c r="F463" i="9"/>
  <c r="AD463" i="9"/>
  <c r="AE463" i="9"/>
  <c r="AC463" i="9"/>
  <c r="AA463" i="9"/>
  <c r="H463" i="9"/>
  <c r="G463" i="9"/>
  <c r="AG463" i="9"/>
  <c r="F431" i="9"/>
  <c r="AK431" i="9"/>
  <c r="AH431" i="9"/>
  <c r="AF431" i="9"/>
  <c r="H431" i="9"/>
  <c r="AI431" i="9"/>
  <c r="AE431" i="9"/>
  <c r="AD431" i="9"/>
  <c r="G431" i="9"/>
  <c r="F442" i="9"/>
  <c r="AK442" i="9"/>
  <c r="AH442" i="9"/>
  <c r="AF442" i="9"/>
  <c r="AE442" i="9"/>
  <c r="AD442" i="9"/>
  <c r="H442" i="9"/>
  <c r="AJ442" i="9"/>
  <c r="AI442" i="9"/>
  <c r="AG442" i="9"/>
  <c r="AB442" i="9"/>
  <c r="I442" i="9"/>
  <c r="G442" i="9"/>
  <c r="AF463" i="9"/>
  <c r="AG297" i="9"/>
  <c r="AG305" i="9"/>
  <c r="AG313" i="9"/>
  <c r="AA354" i="9"/>
  <c r="AB422" i="9"/>
  <c r="AJ428" i="9"/>
  <c r="I431" i="9"/>
  <c r="AJ436" i="9"/>
  <c r="F439" i="9"/>
  <c r="AK439" i="9"/>
  <c r="AH439" i="9"/>
  <c r="AF439" i="9"/>
  <c r="AE439" i="9"/>
  <c r="H439" i="9"/>
  <c r="AG439" i="9"/>
  <c r="AD439" i="9"/>
  <c r="AC439" i="9"/>
  <c r="AB439" i="9"/>
  <c r="AA439" i="9"/>
  <c r="G439" i="9"/>
  <c r="AJ439" i="9"/>
  <c r="AA442" i="9"/>
  <c r="AC445" i="9"/>
  <c r="F449" i="9"/>
  <c r="AK449" i="9"/>
  <c r="AH449" i="9"/>
  <c r="AF449" i="9"/>
  <c r="AE449" i="9"/>
  <c r="AD449" i="9"/>
  <c r="H449" i="9"/>
  <c r="AJ449" i="9"/>
  <c r="AI449" i="9"/>
  <c r="AC449" i="9"/>
  <c r="AA449" i="9"/>
  <c r="I449" i="9"/>
  <c r="AK456" i="9"/>
  <c r="AK463" i="9"/>
  <c r="AA292" i="9"/>
  <c r="AD292" i="9"/>
  <c r="AH297" i="9"/>
  <c r="AA300" i="9"/>
  <c r="AD300" i="9"/>
  <c r="AH305" i="9"/>
  <c r="AA308" i="9"/>
  <c r="AD308" i="9"/>
  <c r="AH313" i="9"/>
  <c r="AA316" i="9"/>
  <c r="AA324" i="9"/>
  <c r="AA332" i="9"/>
  <c r="AA340" i="9"/>
  <c r="AA348" i="9"/>
  <c r="AA359" i="9"/>
  <c r="AK374" i="9"/>
  <c r="AH387" i="9"/>
  <c r="AF387" i="9"/>
  <c r="AG387" i="9"/>
  <c r="AE387" i="9"/>
  <c r="AD387" i="9"/>
  <c r="AC387" i="9"/>
  <c r="AB387" i="9"/>
  <c r="I387" i="9"/>
  <c r="F387" i="9"/>
  <c r="AJ387" i="9"/>
  <c r="F409" i="9"/>
  <c r="AH409" i="9"/>
  <c r="AF409" i="9"/>
  <c r="AJ409" i="9"/>
  <c r="AI409" i="9"/>
  <c r="AG409" i="9"/>
  <c r="AE409" i="9"/>
  <c r="AD409" i="9"/>
  <c r="AB409" i="9"/>
  <c r="I409" i="9"/>
  <c r="H409" i="9"/>
  <c r="AA431" i="9"/>
  <c r="I439" i="9"/>
  <c r="AC442" i="9"/>
  <c r="AJ445" i="9"/>
  <c r="AJ460" i="9"/>
  <c r="AI460" i="9"/>
  <c r="AH460" i="9"/>
  <c r="AG460" i="9"/>
  <c r="AD460" i="9"/>
  <c r="AB460" i="9"/>
  <c r="AA460" i="9"/>
  <c r="I460" i="9"/>
  <c r="AK460" i="9"/>
  <c r="AE460" i="9"/>
  <c r="AC460" i="9"/>
  <c r="H460" i="9"/>
  <c r="AG464" i="9"/>
  <c r="F292" i="9"/>
  <c r="AI297" i="9"/>
  <c r="F300" i="9"/>
  <c r="AI305" i="9"/>
  <c r="F308" i="9"/>
  <c r="AI313" i="9"/>
  <c r="G387" i="9"/>
  <c r="AH395" i="9"/>
  <c r="AF395" i="9"/>
  <c r="AG395" i="9"/>
  <c r="AE395" i="9"/>
  <c r="AD395" i="9"/>
  <c r="AC395" i="9"/>
  <c r="AB395" i="9"/>
  <c r="I395" i="9"/>
  <c r="G395" i="9"/>
  <c r="F395" i="9"/>
  <c r="AJ395" i="9"/>
  <c r="F404" i="9"/>
  <c r="AH404" i="9"/>
  <c r="AF404" i="9"/>
  <c r="AK404" i="9"/>
  <c r="AJ404" i="9"/>
  <c r="AI404" i="9"/>
  <c r="AG404" i="9"/>
  <c r="AE404" i="9"/>
  <c r="AC404" i="9"/>
  <c r="AA404" i="9"/>
  <c r="I404" i="9"/>
  <c r="G409" i="9"/>
  <c r="AB431" i="9"/>
  <c r="AI439" i="9"/>
  <c r="AB449" i="9"/>
  <c r="F460" i="9"/>
  <c r="AA275" i="9"/>
  <c r="AD275" i="9"/>
  <c r="AA283" i="9"/>
  <c r="AD283" i="9"/>
  <c r="AA291" i="9"/>
  <c r="AD291" i="9"/>
  <c r="G292" i="9"/>
  <c r="AJ297" i="9"/>
  <c r="AA299" i="9"/>
  <c r="AD299" i="9"/>
  <c r="G300" i="9"/>
  <c r="AJ305" i="9"/>
  <c r="AA307" i="9"/>
  <c r="AD307" i="9"/>
  <c r="G308" i="9"/>
  <c r="AJ313" i="9"/>
  <c r="AA315" i="9"/>
  <c r="AD315" i="9"/>
  <c r="AA323" i="9"/>
  <c r="AA331" i="9"/>
  <c r="AA339" i="9"/>
  <c r="AA347" i="9"/>
  <c r="AA353" i="9"/>
  <c r="AH362" i="9"/>
  <c r="AF362" i="9"/>
  <c r="AC362" i="9"/>
  <c r="AA362" i="9"/>
  <c r="I362" i="9"/>
  <c r="G362" i="9"/>
  <c r="AG362" i="9"/>
  <c r="AB376" i="9"/>
  <c r="H387" i="9"/>
  <c r="H395" i="9"/>
  <c r="G404" i="9"/>
  <c r="AA409" i="9"/>
  <c r="AC431" i="9"/>
  <c r="F440" i="9"/>
  <c r="AK440" i="9"/>
  <c r="AH440" i="9"/>
  <c r="AF440" i="9"/>
  <c r="AE440" i="9"/>
  <c r="H440" i="9"/>
  <c r="AJ440" i="9"/>
  <c r="AG440" i="9"/>
  <c r="AC440" i="9"/>
  <c r="AB440" i="9"/>
  <c r="AG449" i="9"/>
  <c r="G460" i="9"/>
  <c r="AD316" i="9"/>
  <c r="AD317" i="9"/>
  <c r="AD318" i="9"/>
  <c r="AD319" i="9"/>
  <c r="AD320" i="9"/>
  <c r="AD321" i="9"/>
  <c r="AD322" i="9"/>
  <c r="AD323" i="9"/>
  <c r="AD324" i="9"/>
  <c r="AD325" i="9"/>
  <c r="AD326" i="9"/>
  <c r="AD327" i="9"/>
  <c r="AD328" i="9"/>
  <c r="AD329" i="9"/>
  <c r="AD330" i="9"/>
  <c r="AD331" i="9"/>
  <c r="AD332" i="9"/>
  <c r="AD333" i="9"/>
  <c r="AD334" i="9"/>
  <c r="AD335" i="9"/>
  <c r="AD336" i="9"/>
  <c r="AD337" i="9"/>
  <c r="AD338" i="9"/>
  <c r="AD339" i="9"/>
  <c r="AD340" i="9"/>
  <c r="AD341" i="9"/>
  <c r="AD342" i="9"/>
  <c r="AH365" i="9"/>
  <c r="AF365" i="9"/>
  <c r="AH373" i="9"/>
  <c r="AF373" i="9"/>
  <c r="G374" i="9"/>
  <c r="AH381" i="9"/>
  <c r="AF381" i="9"/>
  <c r="G382" i="9"/>
  <c r="AH389" i="9"/>
  <c r="AF389" i="9"/>
  <c r="G390" i="9"/>
  <c r="I391" i="9"/>
  <c r="AH397" i="9"/>
  <c r="AF397" i="9"/>
  <c r="G398" i="9"/>
  <c r="I399" i="9"/>
  <c r="AA406" i="9"/>
  <c r="F410" i="9"/>
  <c r="AK410" i="9"/>
  <c r="AH410" i="9"/>
  <c r="AF410" i="9"/>
  <c r="F414" i="9"/>
  <c r="AK414" i="9"/>
  <c r="AH414" i="9"/>
  <c r="AF414" i="9"/>
  <c r="F418" i="9"/>
  <c r="AK418" i="9"/>
  <c r="AH418" i="9"/>
  <c r="AF418" i="9"/>
  <c r="H418" i="9"/>
  <c r="I428" i="9"/>
  <c r="F434" i="9"/>
  <c r="AK434" i="9"/>
  <c r="AH434" i="9"/>
  <c r="AF434" i="9"/>
  <c r="H434" i="9"/>
  <c r="F454" i="9"/>
  <c r="AK454" i="9"/>
  <c r="AH454" i="9"/>
  <c r="AF454" i="9"/>
  <c r="AE454" i="9"/>
  <c r="AD454" i="9"/>
  <c r="H454" i="9"/>
  <c r="AJ466" i="9"/>
  <c r="AI466" i="9"/>
  <c r="AH466" i="9"/>
  <c r="AF466" i="9"/>
  <c r="AD466" i="9"/>
  <c r="AC466" i="9"/>
  <c r="AB466" i="9"/>
  <c r="F466" i="9"/>
  <c r="AJ470" i="9"/>
  <c r="AI470" i="9"/>
  <c r="AH470" i="9"/>
  <c r="AG470" i="9"/>
  <c r="AF470" i="9"/>
  <c r="AE470" i="9"/>
  <c r="AB470" i="9"/>
  <c r="I470" i="9"/>
  <c r="H470" i="9"/>
  <c r="G470" i="9"/>
  <c r="H489" i="9"/>
  <c r="G489" i="9"/>
  <c r="F489" i="9"/>
  <c r="AJ489" i="9"/>
  <c r="AI489" i="9"/>
  <c r="AH489" i="9"/>
  <c r="AE489" i="9"/>
  <c r="AD489" i="9"/>
  <c r="AC489" i="9"/>
  <c r="I489" i="9"/>
  <c r="AK489" i="9"/>
  <c r="AG489" i="9"/>
  <c r="AC374" i="9"/>
  <c r="AC382" i="9"/>
  <c r="F433" i="9"/>
  <c r="AK433" i="9"/>
  <c r="AH433" i="9"/>
  <c r="AF433" i="9"/>
  <c r="H433" i="9"/>
  <c r="F451" i="9"/>
  <c r="AK451" i="9"/>
  <c r="AH451" i="9"/>
  <c r="AF451" i="9"/>
  <c r="AE451" i="9"/>
  <c r="AD451" i="9"/>
  <c r="H451" i="9"/>
  <c r="AJ473" i="9"/>
  <c r="AI473" i="9"/>
  <c r="AH473" i="9"/>
  <c r="I473" i="9"/>
  <c r="H473" i="9"/>
  <c r="G473" i="9"/>
  <c r="AK473" i="9"/>
  <c r="AG473" i="9"/>
  <c r="AB473" i="9"/>
  <c r="AQ15" i="9"/>
  <c r="AH394" i="9"/>
  <c r="AF394" i="9"/>
  <c r="AH402" i="9"/>
  <c r="AF402" i="9"/>
  <c r="F408" i="9"/>
  <c r="AH408" i="9"/>
  <c r="AF408" i="9"/>
  <c r="F420" i="9"/>
  <c r="AK420" i="9"/>
  <c r="AH420" i="9"/>
  <c r="AF420" i="9"/>
  <c r="H420" i="9"/>
  <c r="F436" i="9"/>
  <c r="AK436" i="9"/>
  <c r="AH436" i="9"/>
  <c r="AF436" i="9"/>
  <c r="H436" i="9"/>
  <c r="F444" i="9"/>
  <c r="AK444" i="9"/>
  <c r="AH444" i="9"/>
  <c r="AF444" i="9"/>
  <c r="AE444" i="9"/>
  <c r="AD444" i="9"/>
  <c r="H444" i="9"/>
  <c r="F473" i="9"/>
  <c r="AJ478" i="9"/>
  <c r="AI478" i="9"/>
  <c r="AH478" i="9"/>
  <c r="H478" i="9"/>
  <c r="G478" i="9"/>
  <c r="F478" i="9"/>
  <c r="AK478" i="9"/>
  <c r="AG478" i="9"/>
  <c r="AF478" i="9"/>
  <c r="AE478" i="9"/>
  <c r="AC478" i="9"/>
  <c r="AB478" i="9"/>
  <c r="AA478" i="9"/>
  <c r="AN20" i="9"/>
  <c r="AF360" i="9"/>
  <c r="AD365" i="9"/>
  <c r="AH369" i="9"/>
  <c r="AF369" i="9"/>
  <c r="AD373" i="9"/>
  <c r="AG374" i="9"/>
  <c r="AH377" i="9"/>
  <c r="AF377" i="9"/>
  <c r="AD381" i="9"/>
  <c r="AG382" i="9"/>
  <c r="AH385" i="9"/>
  <c r="AF385" i="9"/>
  <c r="AD389" i="9"/>
  <c r="AG390" i="9"/>
  <c r="AH393" i="9"/>
  <c r="AF393" i="9"/>
  <c r="G394" i="9"/>
  <c r="AD397" i="9"/>
  <c r="AG398" i="9"/>
  <c r="AH401" i="9"/>
  <c r="AF401" i="9"/>
  <c r="G402" i="9"/>
  <c r="H408" i="9"/>
  <c r="AE410" i="9"/>
  <c r="F412" i="9"/>
  <c r="AK412" i="9"/>
  <c r="AH412" i="9"/>
  <c r="AF412" i="9"/>
  <c r="AE414" i="9"/>
  <c r="F416" i="9"/>
  <c r="AK416" i="9"/>
  <c r="AH416" i="9"/>
  <c r="AF416" i="9"/>
  <c r="AG418" i="9"/>
  <c r="I420" i="9"/>
  <c r="F426" i="9"/>
  <c r="AK426" i="9"/>
  <c r="AH426" i="9"/>
  <c r="AF426" i="9"/>
  <c r="H426" i="9"/>
  <c r="AA433" i="9"/>
  <c r="AG434" i="9"/>
  <c r="I436" i="9"/>
  <c r="I444" i="9"/>
  <c r="F446" i="9"/>
  <c r="AK446" i="9"/>
  <c r="AH446" i="9"/>
  <c r="AF446" i="9"/>
  <c r="AE446" i="9"/>
  <c r="AD446" i="9"/>
  <c r="H446" i="9"/>
  <c r="AA451" i="9"/>
  <c r="AJ454" i="9"/>
  <c r="AG467" i="9"/>
  <c r="AC473" i="9"/>
  <c r="AD478" i="9"/>
  <c r="AK482" i="9"/>
  <c r="AT27" i="9"/>
  <c r="H479" i="9"/>
  <c r="AJ479" i="9"/>
  <c r="AI479" i="9"/>
  <c r="AH479" i="9"/>
  <c r="AC479" i="9"/>
  <c r="AB479" i="9"/>
  <c r="AA479" i="9"/>
  <c r="F479" i="9"/>
  <c r="AK479" i="9"/>
  <c r="AG479" i="9"/>
  <c r="AF479" i="9"/>
  <c r="AE479" i="9"/>
  <c r="AS512" i="9"/>
  <c r="AM511" i="9"/>
  <c r="AR512" i="9"/>
  <c r="U511" i="9"/>
  <c r="AQ512" i="9"/>
  <c r="AN512" i="9"/>
  <c r="AM512" i="9"/>
  <c r="AV495" i="9"/>
  <c r="AV487" i="9"/>
  <c r="AV479" i="9"/>
  <c r="AV471" i="9"/>
  <c r="AU470" i="9"/>
  <c r="AV455" i="9"/>
  <c r="AU454" i="9"/>
  <c r="U512" i="9"/>
  <c r="AW510" i="9"/>
  <c r="AW506" i="9"/>
  <c r="AW502" i="9"/>
  <c r="AU495" i="9"/>
  <c r="AU487" i="9"/>
  <c r="AU479" i="9"/>
  <c r="AU471" i="9"/>
  <c r="AT470" i="9"/>
  <c r="AU455" i="9"/>
  <c r="AT454" i="9"/>
  <c r="AU439" i="9"/>
  <c r="AT438" i="9"/>
  <c r="AV512" i="9"/>
  <c r="AQ511" i="9"/>
  <c r="AQ507" i="9"/>
  <c r="AQ503" i="9"/>
  <c r="AO497" i="9"/>
  <c r="AO489" i="9"/>
  <c r="AR511" i="9"/>
  <c r="AR507" i="9"/>
  <c r="AW503" i="9"/>
  <c r="U502" i="9"/>
  <c r="AQ495" i="9"/>
  <c r="U494" i="9"/>
  <c r="AN489" i="9"/>
  <c r="AR487" i="9"/>
  <c r="AS481" i="9"/>
  <c r="AO471" i="9"/>
  <c r="AV458" i="9"/>
  <c r="AV454" i="9"/>
  <c r="AR443" i="9"/>
  <c r="AS439" i="9"/>
  <c r="AP438" i="9"/>
  <c r="AN511" i="9"/>
  <c r="AN507" i="9"/>
  <c r="AV503" i="9"/>
  <c r="AP495" i="9"/>
  <c r="AQ487" i="9"/>
  <c r="AR481" i="9"/>
  <c r="AN471" i="9"/>
  <c r="AU458" i="9"/>
  <c r="AS454" i="9"/>
  <c r="AQ443" i="9"/>
  <c r="AR439" i="9"/>
  <c r="AO438" i="9"/>
  <c r="AU503" i="9"/>
  <c r="U500" i="9"/>
  <c r="AS503" i="9"/>
  <c r="AR503" i="9"/>
  <c r="AM495" i="9"/>
  <c r="AN487" i="9"/>
  <c r="AO481" i="9"/>
  <c r="AW479" i="9"/>
  <c r="AV473" i="9"/>
  <c r="AU459" i="9"/>
  <c r="AR458" i="9"/>
  <c r="AT455" i="9"/>
  <c r="AP454" i="9"/>
  <c r="U443" i="9"/>
  <c r="AO439" i="9"/>
  <c r="U438" i="9"/>
  <c r="AW422" i="9"/>
  <c r="AV510" i="9"/>
  <c r="AV506" i="9"/>
  <c r="AN503" i="9"/>
  <c r="U495" i="9"/>
  <c r="AM487" i="9"/>
  <c r="AN481" i="9"/>
  <c r="AS479" i="9"/>
  <c r="AU473" i="9"/>
  <c r="AT459" i="9"/>
  <c r="AQ458" i="9"/>
  <c r="AS455" i="9"/>
  <c r="AO454" i="9"/>
  <c r="AV441" i="9"/>
  <c r="AN439" i="9"/>
  <c r="AU436" i="9"/>
  <c r="AW432" i="9"/>
  <c r="AV422" i="9"/>
  <c r="AW512" i="9"/>
  <c r="AU512" i="9"/>
  <c r="AU511" i="9"/>
  <c r="AU507" i="9"/>
  <c r="AN502" i="9"/>
  <c r="AU500" i="9"/>
  <c r="AP497" i="9"/>
  <c r="AS495" i="9"/>
  <c r="AN494" i="9"/>
  <c r="AQ489" i="9"/>
  <c r="AW487" i="9"/>
  <c r="AO486" i="9"/>
  <c r="AV481" i="9"/>
  <c r="AO477" i="9"/>
  <c r="AQ471" i="9"/>
  <c r="AM470" i="9"/>
  <c r="AO467" i="9"/>
  <c r="AT464" i="9"/>
  <c r="AP460" i="9"/>
  <c r="AS506" i="9"/>
  <c r="AU494" i="9"/>
  <c r="AU481" i="9"/>
  <c r="AP479" i="9"/>
  <c r="AS477" i="9"/>
  <c r="AP473" i="9"/>
  <c r="AR471" i="9"/>
  <c r="AR460" i="9"/>
  <c r="AT458" i="9"/>
  <c r="AU448" i="9"/>
  <c r="AW446" i="9"/>
  <c r="AO443" i="9"/>
  <c r="AT441" i="9"/>
  <c r="AR438" i="9"/>
  <c r="AU433" i="9"/>
  <c r="AO430" i="9"/>
  <c r="U427" i="9"/>
  <c r="AM422" i="9"/>
  <c r="AM411" i="9"/>
  <c r="AM403" i="9"/>
  <c r="AM395" i="9"/>
  <c r="AR506" i="9"/>
  <c r="U501" i="9"/>
  <c r="AQ494" i="9"/>
  <c r="AM492" i="9"/>
  <c r="AW489" i="9"/>
  <c r="AS485" i="9"/>
  <c r="AQ481" i="9"/>
  <c r="AQ506" i="9"/>
  <c r="AP494" i="9"/>
  <c r="U492" i="9"/>
  <c r="AV489" i="9"/>
  <c r="AS487" i="9"/>
  <c r="AR485" i="9"/>
  <c r="AP481" i="9"/>
  <c r="AN479" i="9"/>
  <c r="AN477" i="9"/>
  <c r="AN473" i="9"/>
  <c r="AM471" i="9"/>
  <c r="AV469" i="9"/>
  <c r="AW511" i="9"/>
  <c r="AN506" i="9"/>
  <c r="AO494" i="9"/>
  <c r="AU489" i="9"/>
  <c r="AP487" i="9"/>
  <c r="AO485" i="9"/>
  <c r="AM479" i="9"/>
  <c r="U471" i="9"/>
  <c r="AQ469" i="9"/>
  <c r="AW467" i="9"/>
  <c r="AV463" i="9"/>
  <c r="AO458" i="9"/>
  <c r="AQ454" i="9"/>
  <c r="AP448" i="9"/>
  <c r="AT446" i="9"/>
  <c r="AQ441" i="9"/>
  <c r="AW439" i="9"/>
  <c r="AM438" i="9"/>
  <c r="AS436" i="9"/>
  <c r="AP433" i="9"/>
  <c r="AV511" i="9"/>
  <c r="AM506" i="9"/>
  <c r="AM494" i="9"/>
  <c r="AS489" i="9"/>
  <c r="AO487" i="9"/>
  <c r="AN485" i="9"/>
  <c r="U479" i="9"/>
  <c r="AP469" i="9"/>
  <c r="AT467" i="9"/>
  <c r="AU463" i="9"/>
  <c r="AW459" i="9"/>
  <c r="AN458" i="9"/>
  <c r="AN454" i="9"/>
  <c r="AM448" i="9"/>
  <c r="AS446" i="9"/>
  <c r="AW442" i="9"/>
  <c r="AP441" i="9"/>
  <c r="AV439" i="9"/>
  <c r="AQ436" i="9"/>
  <c r="AN433" i="9"/>
  <c r="AW429" i="9"/>
  <c r="AS511" i="9"/>
  <c r="U506" i="9"/>
  <c r="AV502" i="9"/>
  <c r="AW500" i="9"/>
  <c r="AR489" i="9"/>
  <c r="U487" i="9"/>
  <c r="AM485" i="9"/>
  <c r="AO469" i="9"/>
  <c r="AS467" i="9"/>
  <c r="AT463" i="9"/>
  <c r="AV459" i="9"/>
  <c r="AM454" i="9"/>
  <c r="U448" i="9"/>
  <c r="AR446" i="9"/>
  <c r="AV442" i="9"/>
  <c r="AO441" i="9"/>
  <c r="AT439" i="9"/>
  <c r="AP436" i="9"/>
  <c r="AV429" i="9"/>
  <c r="AQ510" i="9"/>
  <c r="AW504" i="9"/>
  <c r="AM510" i="9"/>
  <c r="AQ501" i="9"/>
  <c r="AN499" i="9"/>
  <c r="AM490" i="9"/>
  <c r="AR479" i="9"/>
  <c r="AR473" i="9"/>
  <c r="AT471" i="9"/>
  <c r="U470" i="9"/>
  <c r="AO466" i="9"/>
  <c r="AQ464" i="9"/>
  <c r="AU462" i="9"/>
  <c r="AT460" i="9"/>
  <c r="AN504" i="9"/>
  <c r="AQ497" i="9"/>
  <c r="AU490" i="9"/>
  <c r="AS470" i="9"/>
  <c r="AP468" i="9"/>
  <c r="AS460" i="9"/>
  <c r="AQ455" i="9"/>
  <c r="AQ453" i="9"/>
  <c r="AP443" i="9"/>
  <c r="AN441" i="9"/>
  <c r="AP437" i="9"/>
  <c r="AO435" i="9"/>
  <c r="U429" i="9"/>
  <c r="AM427" i="9"/>
  <c r="AR421" i="9"/>
  <c r="AN415" i="9"/>
  <c r="AM404" i="9"/>
  <c r="AU395" i="9"/>
  <c r="AM393" i="9"/>
  <c r="U376" i="9"/>
  <c r="AN497" i="9"/>
  <c r="AS490" i="9"/>
  <c r="AV486" i="9"/>
  <c r="AW475" i="9"/>
  <c r="AR470" i="9"/>
  <c r="U468" i="9"/>
  <c r="AQ460" i="9"/>
  <c r="AP455" i="9"/>
  <c r="AN453" i="9"/>
  <c r="AM441" i="9"/>
  <c r="AO437" i="9"/>
  <c r="AM435" i="9"/>
  <c r="AQ421" i="9"/>
  <c r="AT395" i="9"/>
  <c r="U393" i="9"/>
  <c r="AW507" i="9"/>
  <c r="AW499" i="9"/>
  <c r="AR493" i="9"/>
  <c r="U490" i="9"/>
  <c r="AU486" i="9"/>
  <c r="AR475" i="9"/>
  <c r="AV472" i="9"/>
  <c r="AQ470" i="9"/>
  <c r="AV507" i="9"/>
  <c r="AV499" i="9"/>
  <c r="AO493" i="9"/>
  <c r="AQ486" i="9"/>
  <c r="AW482" i="9"/>
  <c r="AW477" i="9"/>
  <c r="AR472" i="9"/>
  <c r="AP470" i="9"/>
  <c r="AV462" i="9"/>
  <c r="AS507" i="9"/>
  <c r="AU499" i="9"/>
  <c r="AP489" i="9"/>
  <c r="AP486" i="9"/>
  <c r="AS482" i="9"/>
  <c r="AR477" i="9"/>
  <c r="AO470" i="9"/>
  <c r="AP467" i="9"/>
  <c r="AR462" i="9"/>
  <c r="AS459" i="9"/>
  <c r="AU457" i="9"/>
  <c r="AM455" i="9"/>
  <c r="AU442" i="9"/>
  <c r="AU438" i="9"/>
  <c r="AU432" i="9"/>
  <c r="AW430" i="9"/>
  <c r="AS422" i="9"/>
  <c r="U421" i="9"/>
  <c r="AU403" i="9"/>
  <c r="AQ395" i="9"/>
  <c r="AU502" i="9"/>
  <c r="AR499" i="9"/>
  <c r="AN486" i="9"/>
  <c r="AR482" i="9"/>
  <c r="AN470" i="9"/>
  <c r="AN467" i="9"/>
  <c r="AW464" i="9"/>
  <c r="AN462" i="9"/>
  <c r="AR459" i="9"/>
  <c r="AS457" i="9"/>
  <c r="U455" i="9"/>
  <c r="AT442" i="9"/>
  <c r="AS438" i="9"/>
  <c r="AT432" i="9"/>
  <c r="AV430" i="9"/>
  <c r="AR422" i="9"/>
  <c r="AT403" i="9"/>
  <c r="AP395" i="9"/>
  <c r="AU392" i="9"/>
  <c r="AT381" i="9"/>
  <c r="AS374" i="9"/>
  <c r="AR510" i="9"/>
  <c r="AU506" i="9"/>
  <c r="AQ502" i="9"/>
  <c r="AR495" i="9"/>
  <c r="AS488" i="9"/>
  <c r="AM482" i="9"/>
  <c r="AO479" i="9"/>
  <c r="AV476" i="9"/>
  <c r="U464" i="9"/>
  <c r="AO459" i="9"/>
  <c r="AW454" i="9"/>
  <c r="AQ442" i="9"/>
  <c r="AN436" i="9"/>
  <c r="AO432" i="9"/>
  <c r="U422" i="9"/>
  <c r="AW420" i="9"/>
  <c r="AU411" i="9"/>
  <c r="AT407" i="9"/>
  <c r="AV404" i="9"/>
  <c r="AQ403" i="9"/>
  <c r="AU400" i="9"/>
  <c r="AU393" i="9"/>
  <c r="AR392" i="9"/>
  <c r="AQ381" i="9"/>
  <c r="AT376" i="9"/>
  <c r="AP374" i="9"/>
  <c r="AN510" i="9"/>
  <c r="AM502" i="9"/>
  <c r="AO495" i="9"/>
  <c r="AR488" i="9"/>
  <c r="U485" i="9"/>
  <c r="U510" i="9"/>
  <c r="AN495" i="9"/>
  <c r="AS497" i="9"/>
  <c r="AV494" i="9"/>
  <c r="AQ484" i="9"/>
  <c r="AM478" i="9"/>
  <c r="AO473" i="9"/>
  <c r="AW470" i="9"/>
  <c r="AO463" i="9"/>
  <c r="AV460" i="9"/>
  <c r="AS458" i="9"/>
  <c r="AW455" i="9"/>
  <c r="AV453" i="9"/>
  <c r="AM451" i="9"/>
  <c r="AQ448" i="9"/>
  <c r="AT443" i="9"/>
  <c r="AS441" i="9"/>
  <c r="AM439" i="9"/>
  <c r="AR437" i="9"/>
  <c r="AT435" i="9"/>
  <c r="AR433" i="9"/>
  <c r="AR429" i="9"/>
  <c r="AQ427" i="9"/>
  <c r="AQ425" i="9"/>
  <c r="AN423" i="9"/>
  <c r="AT421" i="9"/>
  <c r="AP415" i="9"/>
  <c r="AT412" i="9"/>
  <c r="AO411" i="9"/>
  <c r="AQ408" i="9"/>
  <c r="AU476" i="9"/>
  <c r="AQ473" i="9"/>
  <c r="AN469" i="9"/>
  <c r="U466" i="9"/>
  <c r="AO455" i="9"/>
  <c r="AW451" i="9"/>
  <c r="AV438" i="9"/>
  <c r="AM436" i="9"/>
  <c r="AR427" i="9"/>
  <c r="AV421" i="9"/>
  <c r="AV419" i="9"/>
  <c r="AN417" i="9"/>
  <c r="AM407" i="9"/>
  <c r="AO403" i="9"/>
  <c r="AO395" i="9"/>
  <c r="AR393" i="9"/>
  <c r="AR388" i="9"/>
  <c r="AP381" i="9"/>
  <c r="AQ376" i="9"/>
  <c r="AM370" i="9"/>
  <c r="AP367" i="9"/>
  <c r="AN337" i="9"/>
  <c r="AN329" i="9"/>
  <c r="AN321" i="9"/>
  <c r="AN313" i="9"/>
  <c r="AN299" i="9"/>
  <c r="AM298" i="9"/>
  <c r="AN501" i="9"/>
  <c r="AQ476" i="9"/>
  <c r="AM469" i="9"/>
  <c r="AW458" i="9"/>
  <c r="AN455" i="9"/>
  <c r="AP451" i="9"/>
  <c r="AU441" i="9"/>
  <c r="AQ438" i="9"/>
  <c r="U436" i="9"/>
  <c r="AN427" i="9"/>
  <c r="AU421" i="9"/>
  <c r="AU419" i="9"/>
  <c r="AM417" i="9"/>
  <c r="AW412" i="9"/>
  <c r="AN403" i="9"/>
  <c r="AN395" i="9"/>
  <c r="AQ393" i="9"/>
  <c r="AQ388" i="9"/>
  <c r="AO381" i="9"/>
  <c r="AP376" i="9"/>
  <c r="AM367" i="9"/>
  <c r="AM337" i="9"/>
  <c r="AM329" i="9"/>
  <c r="AM321" i="9"/>
  <c r="AM313" i="9"/>
  <c r="AM299" i="9"/>
  <c r="U298" i="9"/>
  <c r="AP476" i="9"/>
  <c r="U469" i="9"/>
  <c r="AP458" i="9"/>
  <c r="AO451" i="9"/>
  <c r="AQ500" i="9"/>
  <c r="AW495" i="9"/>
  <c r="AQ479" i="9"/>
  <c r="AM476" i="9"/>
  <c r="AN451" i="9"/>
  <c r="AW447" i="9"/>
  <c r="AW484" i="9"/>
  <c r="U476" i="9"/>
  <c r="AM472" i="9"/>
  <c r="AR454" i="9"/>
  <c r="U451" i="9"/>
  <c r="AT447" i="9"/>
  <c r="AW443" i="9"/>
  <c r="AQ432" i="9"/>
  <c r="AT429" i="9"/>
  <c r="AU423" i="9"/>
  <c r="AM421" i="9"/>
  <c r="AS412" i="9"/>
  <c r="AS410" i="9"/>
  <c r="AU408" i="9"/>
  <c r="AT404" i="9"/>
  <c r="AV400" i="9"/>
  <c r="AN393" i="9"/>
  <c r="AU389" i="9"/>
  <c r="U388" i="9"/>
  <c r="U381" i="9"/>
  <c r="AM376" i="9"/>
  <c r="AR374" i="9"/>
  <c r="AP484" i="9"/>
  <c r="U472" i="9"/>
  <c r="U454" i="9"/>
  <c r="AV443" i="9"/>
  <c r="AS435" i="9"/>
  <c r="AP432" i="9"/>
  <c r="AS429" i="9"/>
  <c r="AT423" i="9"/>
  <c r="AP412" i="9"/>
  <c r="AR410" i="9"/>
  <c r="AR408" i="9"/>
  <c r="AS404" i="9"/>
  <c r="AR400" i="9"/>
  <c r="AT389" i="9"/>
  <c r="AQ374" i="9"/>
  <c r="U493" i="9"/>
  <c r="AP482" i="9"/>
  <c r="AW463" i="9"/>
  <c r="AM453" i="9"/>
  <c r="AQ439" i="9"/>
  <c r="AN437" i="9"/>
  <c r="AV425" i="9"/>
  <c r="AT422" i="9"/>
  <c r="AN420" i="9"/>
  <c r="AT411" i="9"/>
  <c r="AW407" i="9"/>
  <c r="AM400" i="9"/>
  <c r="AQ392" i="9"/>
  <c r="AQ387" i="9"/>
  <c r="AP380" i="9"/>
  <c r="AT378" i="9"/>
  <c r="U377" i="9"/>
  <c r="AQ372" i="9"/>
  <c r="AU370" i="9"/>
  <c r="AV367" i="9"/>
  <c r="AR363" i="9"/>
  <c r="AS360" i="9"/>
  <c r="U359" i="9"/>
  <c r="AT337" i="9"/>
  <c r="AP335" i="9"/>
  <c r="U333" i="9"/>
  <c r="AT329" i="9"/>
  <c r="AP327" i="9"/>
  <c r="U325" i="9"/>
  <c r="AT321" i="9"/>
  <c r="AP319" i="9"/>
  <c r="U317" i="9"/>
  <c r="AW497" i="9"/>
  <c r="AS502" i="9"/>
  <c r="AV497" i="9"/>
  <c r="AV470" i="9"/>
  <c r="AV466" i="9"/>
  <c r="AP463" i="9"/>
  <c r="AP459" i="9"/>
  <c r="AR442" i="9"/>
  <c r="U439" i="9"/>
  <c r="U425" i="9"/>
  <c r="AN422" i="9"/>
  <c r="U420" i="9"/>
  <c r="AW417" i="9"/>
  <c r="AV415" i="9"/>
  <c r="AT413" i="9"/>
  <c r="AR411" i="9"/>
  <c r="AS407" i="9"/>
  <c r="AV405" i="9"/>
  <c r="AV403" i="9"/>
  <c r="AW395" i="9"/>
  <c r="AO392" i="9"/>
  <c r="AO387" i="9"/>
  <c r="AM380" i="9"/>
  <c r="AR378" i="9"/>
  <c r="AM372" i="9"/>
  <c r="AS370" i="9"/>
  <c r="AT367" i="9"/>
  <c r="AU364" i="9"/>
  <c r="AP363" i="9"/>
  <c r="AQ360" i="9"/>
  <c r="AR337" i="9"/>
  <c r="AN335" i="9"/>
  <c r="AR329" i="9"/>
  <c r="AN327" i="9"/>
  <c r="AR321" i="9"/>
  <c r="AN319" i="9"/>
  <c r="AR313" i="9"/>
  <c r="AN311" i="9"/>
  <c r="AM310" i="9"/>
  <c r="AN488" i="9"/>
  <c r="AS471" i="9"/>
  <c r="AS466" i="9"/>
  <c r="AV457" i="9"/>
  <c r="AM432" i="9"/>
  <c r="AW428" i="9"/>
  <c r="AV420" i="9"/>
  <c r="AO417" i="9"/>
  <c r="AV414" i="9"/>
  <c r="AV411" i="9"/>
  <c r="AN406" i="9"/>
  <c r="AW403" i="9"/>
  <c r="AS392" i="9"/>
  <c r="AO380" i="9"/>
  <c r="AT364" i="9"/>
  <c r="AT362" i="9"/>
  <c r="AP360" i="9"/>
  <c r="AT351" i="9"/>
  <c r="AR349" i="9"/>
  <c r="AO335" i="9"/>
  <c r="AS333" i="9"/>
  <c r="AQ328" i="9"/>
  <c r="AQ321" i="9"/>
  <c r="AT319" i="9"/>
  <c r="AN316" i="9"/>
  <c r="AQ311" i="9"/>
  <c r="AM304" i="9"/>
  <c r="AR301" i="9"/>
  <c r="AT298" i="9"/>
  <c r="AP297" i="9"/>
  <c r="AR294" i="9"/>
  <c r="AN293" i="9"/>
  <c r="AO278" i="9"/>
  <c r="AO270" i="9"/>
  <c r="AO262" i="9"/>
  <c r="AO254" i="9"/>
  <c r="AO246" i="9"/>
  <c r="AN237" i="9"/>
  <c r="AM236" i="9"/>
  <c r="AW481" i="9"/>
  <c r="AP471" i="9"/>
  <c r="AR466" i="9"/>
  <c r="AP457" i="9"/>
  <c r="U432" i="9"/>
  <c r="AM428" i="9"/>
  <c r="AQ420" i="9"/>
  <c r="AQ414" i="9"/>
  <c r="AS411" i="9"/>
  <c r="AS403" i="9"/>
  <c r="AQ400" i="9"/>
  <c r="AP392" i="9"/>
  <c r="AU387" i="9"/>
  <c r="U380" i="9"/>
  <c r="AS364" i="9"/>
  <c r="AQ362" i="9"/>
  <c r="AM360" i="9"/>
  <c r="AQ351" i="9"/>
  <c r="AP349" i="9"/>
  <c r="AM335" i="9"/>
  <c r="AP333" i="9"/>
  <c r="AO328" i="9"/>
  <c r="AW324" i="9"/>
  <c r="AP321" i="9"/>
  <c r="AS319" i="9"/>
  <c r="AM316" i="9"/>
  <c r="AP311" i="9"/>
  <c r="U304" i="9"/>
  <c r="AQ301" i="9"/>
  <c r="AW299" i="9"/>
  <c r="AS298" i="9"/>
  <c r="AO297" i="9"/>
  <c r="AW295" i="9"/>
  <c r="AQ294" i="9"/>
  <c r="AM293" i="9"/>
  <c r="AN278" i="9"/>
  <c r="AN270" i="9"/>
  <c r="AN262" i="9"/>
  <c r="AN254" i="9"/>
  <c r="AN246" i="9"/>
  <c r="AN466" i="9"/>
  <c r="AO457" i="9"/>
  <c r="AW438" i="9"/>
  <c r="AW423" i="9"/>
  <c r="AM420" i="9"/>
  <c r="AO499" i="9"/>
  <c r="AV446" i="9"/>
  <c r="AS442" i="9"/>
  <c r="AN438" i="9"/>
  <c r="U435" i="9"/>
  <c r="AW427" i="9"/>
  <c r="AQ423" i="9"/>
  <c r="AW460" i="9"/>
  <c r="AU446" i="9"/>
  <c r="AP442" i="9"/>
  <c r="AT427" i="9"/>
  <c r="AM423" i="9"/>
  <c r="AQ416" i="9"/>
  <c r="AN411" i="9"/>
  <c r="AP408" i="9"/>
  <c r="AW405" i="9"/>
  <c r="AN400" i="9"/>
  <c r="U392" i="9"/>
  <c r="AR389" i="9"/>
  <c r="AP387" i="9"/>
  <c r="AQ377" i="9"/>
  <c r="AT370" i="9"/>
  <c r="U364" i="9"/>
  <c r="U362" i="9"/>
  <c r="AV359" i="9"/>
  <c r="AM333" i="9"/>
  <c r="AU329" i="9"/>
  <c r="AR324" i="9"/>
  <c r="AO319" i="9"/>
  <c r="AS317" i="9"/>
  <c r="U311" i="9"/>
  <c r="AT299" i="9"/>
  <c r="AP298" i="9"/>
  <c r="AR295" i="9"/>
  <c r="AN294" i="9"/>
  <c r="AU460" i="9"/>
  <c r="AV450" i="9"/>
  <c r="AS434" i="9"/>
  <c r="AS427" i="9"/>
  <c r="AP416" i="9"/>
  <c r="AM408" i="9"/>
  <c r="AU405" i="9"/>
  <c r="AO389" i="9"/>
  <c r="AN387" i="9"/>
  <c r="AU384" i="9"/>
  <c r="AP377" i="9"/>
  <c r="AR370" i="9"/>
  <c r="AU359" i="9"/>
  <c r="AS329" i="9"/>
  <c r="AW327" i="9"/>
  <c r="AQ324" i="9"/>
  <c r="AM319" i="9"/>
  <c r="AP317" i="9"/>
  <c r="AS299" i="9"/>
  <c r="AO298" i="9"/>
  <c r="AQ295" i="9"/>
  <c r="AM294" i="9"/>
  <c r="AU497" i="9"/>
  <c r="AR491" i="9"/>
  <c r="AV464" i="9"/>
  <c r="AQ459" i="9"/>
  <c r="AR455" i="9"/>
  <c r="AU445" i="9"/>
  <c r="AR441" i="9"/>
  <c r="AU437" i="9"/>
  <c r="AR430" i="9"/>
  <c r="AO413" i="9"/>
  <c r="AV410" i="9"/>
  <c r="AV407" i="9"/>
  <c r="AV399" i="9"/>
  <c r="AT393" i="9"/>
  <c r="U384" i="9"/>
  <c r="AR381" i="9"/>
  <c r="AU374" i="9"/>
  <c r="AR372" i="9"/>
  <c r="AT365" i="9"/>
  <c r="AT363" i="9"/>
  <c r="AP359" i="9"/>
  <c r="AW337" i="9"/>
  <c r="AV332" i="9"/>
  <c r="AO329" i="9"/>
  <c r="AR327" i="9"/>
  <c r="AW325" i="9"/>
  <c r="U324" i="9"/>
  <c r="AM317" i="9"/>
  <c r="AV313" i="9"/>
  <c r="AV310" i="9"/>
  <c r="AU300" i="9"/>
  <c r="AP299" i="9"/>
  <c r="AS296" i="9"/>
  <c r="AN295" i="9"/>
  <c r="AQ292" i="9"/>
  <c r="AV289" i="9"/>
  <c r="AW278" i="9"/>
  <c r="AS276" i="9"/>
  <c r="AW270" i="9"/>
  <c r="AW262" i="9"/>
  <c r="AW254" i="9"/>
  <c r="AW246" i="9"/>
  <c r="AV237" i="9"/>
  <c r="AU236" i="9"/>
  <c r="AR497" i="9"/>
  <c r="AQ478" i="9"/>
  <c r="AW473" i="9"/>
  <c r="AU464" i="9"/>
  <c r="U459" i="9"/>
  <c r="AR445" i="9"/>
  <c r="AT437" i="9"/>
  <c r="AW433" i="9"/>
  <c r="AW415" i="9"/>
  <c r="AQ488" i="9"/>
  <c r="AQ482" i="9"/>
  <c r="AU453" i="9"/>
  <c r="AU443" i="9"/>
  <c r="AT436" i="9"/>
  <c r="AR417" i="9"/>
  <c r="AN404" i="9"/>
  <c r="AR401" i="9"/>
  <c r="AU398" i="9"/>
  <c r="AR395" i="9"/>
  <c r="AO388" i="9"/>
  <c r="AQ383" i="9"/>
  <c r="AT380" i="9"/>
  <c r="AM378" i="9"/>
  <c r="AQ369" i="9"/>
  <c r="AT360" i="9"/>
  <c r="AP356" i="9"/>
  <c r="AV351" i="9"/>
  <c r="AT349" i="9"/>
  <c r="AP343" i="9"/>
  <c r="U341" i="9"/>
  <c r="AO337" i="9"/>
  <c r="AR335" i="9"/>
  <c r="AW333" i="9"/>
  <c r="U332" i="9"/>
  <c r="AQ330" i="9"/>
  <c r="AT328" i="9"/>
  <c r="AM325" i="9"/>
  <c r="AU321" i="9"/>
  <c r="AO318" i="9"/>
  <c r="AR316" i="9"/>
  <c r="AO313" i="9"/>
  <c r="AS311" i="9"/>
  <c r="AN310" i="9"/>
  <c r="AU308" i="9"/>
  <c r="AQ304" i="9"/>
  <c r="AT301" i="9"/>
  <c r="AM300" i="9"/>
  <c r="AV298" i="9"/>
  <c r="AR297" i="9"/>
  <c r="AM296" i="9"/>
  <c r="AV294" i="9"/>
  <c r="AP293" i="9"/>
  <c r="U289" i="9"/>
  <c r="AQ278" i="9"/>
  <c r="AM276" i="9"/>
  <c r="AQ270" i="9"/>
  <c r="AM268" i="9"/>
  <c r="AQ262" i="9"/>
  <c r="AM260" i="9"/>
  <c r="AQ254" i="9"/>
  <c r="AS473" i="9"/>
  <c r="AM416" i="9"/>
  <c r="AT405" i="9"/>
  <c r="AQ398" i="9"/>
  <c r="AT387" i="9"/>
  <c r="AO384" i="9"/>
  <c r="AR377" i="9"/>
  <c r="AS368" i="9"/>
  <c r="AP365" i="9"/>
  <c r="AQ359" i="9"/>
  <c r="U356" i="9"/>
  <c r="AU352" i="9"/>
  <c r="AU349" i="9"/>
  <c r="AP337" i="9"/>
  <c r="AQ332" i="9"/>
  <c r="AW329" i="9"/>
  <c r="AO327" i="9"/>
  <c r="AO317" i="9"/>
  <c r="AU312" i="9"/>
  <c r="AQ310" i="9"/>
  <c r="AO308" i="9"/>
  <c r="AM306" i="9"/>
  <c r="U300" i="9"/>
  <c r="AO296" i="9"/>
  <c r="U294" i="9"/>
  <c r="AO292" i="9"/>
  <c r="AW281" i="9"/>
  <c r="AP276" i="9"/>
  <c r="AQ269" i="9"/>
  <c r="AM262" i="9"/>
  <c r="AR260" i="9"/>
  <c r="AP250" i="9"/>
  <c r="AP242" i="9"/>
  <c r="AS237" i="9"/>
  <c r="AP236" i="9"/>
  <c r="AS233" i="9"/>
  <c r="U231" i="9"/>
  <c r="AM226" i="9"/>
  <c r="AR222" i="9"/>
  <c r="U219" i="9"/>
  <c r="AP478" i="9"/>
  <c r="AV412" i="9"/>
  <c r="AP405" i="9"/>
  <c r="AR387" i="9"/>
  <c r="AS380" i="9"/>
  <c r="AO377" i="9"/>
  <c r="AO374" i="9"/>
  <c r="U368" i="9"/>
  <c r="AM365" i="9"/>
  <c r="AU362" i="9"/>
  <c r="AM359" i="9"/>
  <c r="AQ352" i="9"/>
  <c r="AS349" i="9"/>
  <c r="U337" i="9"/>
  <c r="AN332" i="9"/>
  <c r="AV329" i="9"/>
  <c r="AM327" i="9"/>
  <c r="AV324" i="9"/>
  <c r="AW319" i="9"/>
  <c r="AN317" i="9"/>
  <c r="AR312" i="9"/>
  <c r="AP310" i="9"/>
  <c r="AN308" i="9"/>
  <c r="U306" i="9"/>
  <c r="AW301" i="9"/>
  <c r="AN296" i="9"/>
  <c r="AN292" i="9"/>
  <c r="AW285" i="9"/>
  <c r="AT281" i="9"/>
  <c r="AO276" i="9"/>
  <c r="AV270" i="9"/>
  <c r="AP269" i="9"/>
  <c r="AQ260" i="9"/>
  <c r="AN250" i="9"/>
  <c r="AN242" i="9"/>
  <c r="AR237" i="9"/>
  <c r="AO236" i="9"/>
  <c r="AQ233" i="9"/>
  <c r="U478" i="9"/>
  <c r="AO436" i="9"/>
  <c r="AW425" i="9"/>
  <c r="AU412" i="9"/>
  <c r="AT401" i="9"/>
  <c r="AM460" i="9"/>
  <c r="AP440" i="9"/>
  <c r="AU425" i="9"/>
  <c r="AT415" i="9"/>
  <c r="AN412" i="9"/>
  <c r="AV408" i="9"/>
  <c r="AW404" i="9"/>
  <c r="AS401" i="9"/>
  <c r="AU491" i="9"/>
  <c r="AN440" i="9"/>
  <c r="AU430" i="9"/>
  <c r="AS415" i="9"/>
  <c r="AU404" i="9"/>
  <c r="AM401" i="9"/>
  <c r="AO393" i="9"/>
  <c r="AS383" i="9"/>
  <c r="AU376" i="9"/>
  <c r="U374" i="9"/>
  <c r="AU367" i="9"/>
  <c r="AP342" i="9"/>
  <c r="U329" i="9"/>
  <c r="AM324" i="9"/>
  <c r="AS321" i="9"/>
  <c r="U319" i="9"/>
  <c r="AW316" i="9"/>
  <c r="AS301" i="9"/>
  <c r="AR299" i="9"/>
  <c r="AT297" i="9"/>
  <c r="AT295" i="9"/>
  <c r="AV293" i="9"/>
  <c r="AW289" i="9"/>
  <c r="AQ285" i="9"/>
  <c r="AN281" i="9"/>
  <c r="AS270" i="9"/>
  <c r="AN260" i="9"/>
  <c r="AU254" i="9"/>
  <c r="AT246" i="9"/>
  <c r="AO237" i="9"/>
  <c r="AW471" i="9"/>
  <c r="U440" i="9"/>
  <c r="AV424" i="9"/>
  <c r="AM419" i="9"/>
  <c r="AO415" i="9"/>
  <c r="AW411" i="9"/>
  <c r="AR404" i="9"/>
  <c r="AS389" i="9"/>
  <c r="AR386" i="9"/>
  <c r="AR383" i="9"/>
  <c r="AS376" i="9"/>
  <c r="AQ370" i="9"/>
  <c r="AS367" i="9"/>
  <c r="AV364" i="9"/>
  <c r="AO321" i="9"/>
  <c r="AV316" i="9"/>
  <c r="AN301" i="9"/>
  <c r="AQ299" i="9"/>
  <c r="AS297" i="9"/>
  <c r="AS295" i="9"/>
  <c r="AU293" i="9"/>
  <c r="AU289" i="9"/>
  <c r="AN285" i="9"/>
  <c r="AM281" i="9"/>
  <c r="AR270" i="9"/>
  <c r="AU268" i="9"/>
  <c r="AT254" i="9"/>
  <c r="AS246" i="9"/>
  <c r="AM237" i="9"/>
  <c r="AU510" i="9"/>
  <c r="AP488" i="9"/>
  <c r="AS443" i="9"/>
  <c r="AV433" i="9"/>
  <c r="AM414" i="9"/>
  <c r="AP403" i="9"/>
  <c r="AW399" i="9"/>
  <c r="AS395" i="9"/>
  <c r="AM392" i="9"/>
  <c r="AU388" i="9"/>
  <c r="AQ378" i="9"/>
  <c r="AT369" i="9"/>
  <c r="AU363" i="9"/>
  <c r="AV360" i="9"/>
  <c r="AR341" i="9"/>
  <c r="AW335" i="9"/>
  <c r="AN333" i="9"/>
  <c r="AW330" i="9"/>
  <c r="AN328" i="9"/>
  <c r="AT325" i="9"/>
  <c r="AU320" i="9"/>
  <c r="AQ318" i="9"/>
  <c r="AQ313" i="9"/>
  <c r="AM311" i="9"/>
  <c r="AV300" i="9"/>
  <c r="AW298" i="9"/>
  <c r="AV286" i="9"/>
  <c r="AW284" i="9"/>
  <c r="AT278" i="9"/>
  <c r="AU271" i="9"/>
  <c r="AO268" i="9"/>
  <c r="AQ266" i="9"/>
  <c r="AV264" i="9"/>
  <c r="AV262" i="9"/>
  <c r="AR252" i="9"/>
  <c r="AR244" i="9"/>
  <c r="AW236" i="9"/>
  <c r="AS231" i="9"/>
  <c r="AT226" i="9"/>
  <c r="AR219" i="9"/>
  <c r="AR211" i="9"/>
  <c r="AS463" i="9"/>
  <c r="AQ433" i="9"/>
  <c r="AP410" i="9"/>
  <c r="AP399" i="9"/>
  <c r="AR502" i="9"/>
  <c r="U463" i="9"/>
  <c r="AT448" i="9"/>
  <c r="AQ417" i="9"/>
  <c r="AO410" i="9"/>
  <c r="AQ406" i="9"/>
  <c r="AS388" i="9"/>
  <c r="AN385" i="9"/>
  <c r="AN381" i="9"/>
  <c r="AU372" i="9"/>
  <c r="AR369" i="9"/>
  <c r="AQ363" i="9"/>
  <c r="AR360" i="9"/>
  <c r="AV356" i="9"/>
  <c r="AV343" i="9"/>
  <c r="AV337" i="9"/>
  <c r="AS335" i="9"/>
  <c r="AS330" i="9"/>
  <c r="AP325" i="9"/>
  <c r="AQ320" i="9"/>
  <c r="AM318" i="9"/>
  <c r="AT315" i="9"/>
  <c r="U313" i="9"/>
  <c r="AV304" i="9"/>
  <c r="AT302" i="9"/>
  <c r="AS300" i="9"/>
  <c r="AR298" i="9"/>
  <c r="AT296" i="9"/>
  <c r="AW294" i="9"/>
  <c r="AT286" i="9"/>
  <c r="AS284" i="9"/>
  <c r="AR278" i="9"/>
  <c r="AU276" i="9"/>
  <c r="AR271" i="9"/>
  <c r="AV269" i="9"/>
  <c r="AN266" i="9"/>
  <c r="AQ264" i="9"/>
  <c r="AT262" i="9"/>
  <c r="AO259" i="9"/>
  <c r="AR257" i="9"/>
  <c r="AP252" i="9"/>
  <c r="AS247" i="9"/>
  <c r="AP244" i="9"/>
  <c r="AT236" i="9"/>
  <c r="AP231" i="9"/>
  <c r="AQ226" i="9"/>
  <c r="AQ411" i="9"/>
  <c r="AV395" i="9"/>
  <c r="AP382" i="9"/>
  <c r="AN374" i="9"/>
  <c r="AN370" i="9"/>
  <c r="AM362" i="9"/>
  <c r="AQ343" i="9"/>
  <c r="AT335" i="9"/>
  <c r="AM332" i="9"/>
  <c r="AU328" i="9"/>
  <c r="AN325" i="9"/>
  <c r="AW321" i="9"/>
  <c r="AU318" i="9"/>
  <c r="U315" i="9"/>
  <c r="AW311" i="9"/>
  <c r="AN306" i="9"/>
  <c r="AV303" i="9"/>
  <c r="AW300" i="9"/>
  <c r="AO295" i="9"/>
  <c r="AS275" i="9"/>
  <c r="AS262" i="9"/>
  <c r="AS257" i="9"/>
  <c r="AV254" i="9"/>
  <c r="AT252" i="9"/>
  <c r="AT250" i="9"/>
  <c r="AW243" i="9"/>
  <c r="AS241" i="9"/>
  <c r="AM231" i="9"/>
  <c r="AN224" i="9"/>
  <c r="AS222" i="9"/>
  <c r="AS219" i="9"/>
  <c r="AM218" i="9"/>
  <c r="AN215" i="9"/>
  <c r="AM211" i="9"/>
  <c r="AM207" i="9"/>
  <c r="AO203" i="9"/>
  <c r="U202" i="9"/>
  <c r="U198" i="9"/>
  <c r="AR195" i="9"/>
  <c r="AO189" i="9"/>
  <c r="AP184" i="9"/>
  <c r="AN183" i="9"/>
  <c r="AM182" i="9"/>
  <c r="U181" i="9"/>
  <c r="AP411" i="9"/>
  <c r="AP400" i="9"/>
  <c r="AQ386" i="9"/>
  <c r="AM374" i="9"/>
  <c r="AS356" i="9"/>
  <c r="AP352" i="9"/>
  <c r="AQ335" i="9"/>
  <c r="AS328" i="9"/>
  <c r="AV321" i="9"/>
  <c r="AR318" i="9"/>
  <c r="AT311" i="9"/>
  <c r="AP303" i="9"/>
  <c r="AT300" i="9"/>
  <c r="AM295" i="9"/>
  <c r="AW280" i="9"/>
  <c r="AR275" i="9"/>
  <c r="AT272" i="9"/>
  <c r="AR262" i="9"/>
  <c r="AO257" i="9"/>
  <c r="AS254" i="9"/>
  <c r="AQ252" i="9"/>
  <c r="AQ250" i="9"/>
  <c r="AW247" i="9"/>
  <c r="AV243" i="9"/>
  <c r="AR241" i="9"/>
  <c r="AV238" i="9"/>
  <c r="U224" i="9"/>
  <c r="AQ222" i="9"/>
  <c r="AQ219" i="9"/>
  <c r="U218" i="9"/>
  <c r="AM215" i="9"/>
  <c r="U211" i="9"/>
  <c r="U207" i="9"/>
  <c r="AN203" i="9"/>
  <c r="AQ199" i="9"/>
  <c r="AQ195" i="9"/>
  <c r="U189" i="9"/>
  <c r="AO184" i="9"/>
  <c r="AM183" i="9"/>
  <c r="U182" i="9"/>
  <c r="AU429" i="9"/>
  <c r="AO400" i="9"/>
  <c r="AM386" i="9"/>
  <c r="AS381" i="9"/>
  <c r="AU377" i="9"/>
  <c r="AS365" i="9"/>
  <c r="AT361" i="9"/>
  <c r="AR356" i="9"/>
  <c r="AM352" i="9"/>
  <c r="U335" i="9"/>
  <c r="AM328" i="9"/>
  <c r="U321" i="9"/>
  <c r="AP318" i="9"/>
  <c r="AV314" i="9"/>
  <c r="AR311" i="9"/>
  <c r="AO303" i="9"/>
  <c r="AR300" i="9"/>
  <c r="AV297" i="9"/>
  <c r="U295" i="9"/>
  <c r="AU292" i="9"/>
  <c r="AU286" i="9"/>
  <c r="AV283" i="9"/>
  <c r="AS280" i="9"/>
  <c r="AW277" i="9"/>
  <c r="AP275" i="9"/>
  <c r="AQ272" i="9"/>
  <c r="AQ429" i="9"/>
  <c r="AS421" i="9"/>
  <c r="U386" i="9"/>
  <c r="AM381" i="9"/>
  <c r="U365" i="9"/>
  <c r="AP361" i="9"/>
  <c r="AQ356" i="9"/>
  <c r="AU347" i="9"/>
  <c r="AV342" i="9"/>
  <c r="AU324" i="9"/>
  <c r="AR314" i="9"/>
  <c r="AO311" i="9"/>
  <c r="U303" i="9"/>
  <c r="AQ300" i="9"/>
  <c r="AU297" i="9"/>
  <c r="AT292" i="9"/>
  <c r="AR289" i="9"/>
  <c r="AS286" i="9"/>
  <c r="AU283" i="9"/>
  <c r="AM280" i="9"/>
  <c r="AV277" i="9"/>
  <c r="AN275" i="9"/>
  <c r="AW269" i="9"/>
  <c r="U482" i="9"/>
  <c r="AO434" i="9"/>
  <c r="AN421" i="9"/>
  <c r="AU394" i="9"/>
  <c r="AQ390" i="9"/>
  <c r="AS369" i="9"/>
  <c r="AU351" i="9"/>
  <c r="AT342" i="9"/>
  <c r="AT327" i="9"/>
  <c r="AN324" i="9"/>
  <c r="AW317" i="9"/>
  <c r="AT308" i="9"/>
  <c r="AR305" i="9"/>
  <c r="AP300" i="9"/>
  <c r="AQ297" i="9"/>
  <c r="AP292" i="9"/>
  <c r="AQ289" i="9"/>
  <c r="AR286" i="9"/>
  <c r="AT269" i="9"/>
  <c r="AT264" i="9"/>
  <c r="AS259" i="9"/>
  <c r="AM254" i="9"/>
  <c r="AM252" i="9"/>
  <c r="AR247" i="9"/>
  <c r="AN243" i="9"/>
  <c r="AQ238" i="9"/>
  <c r="AR236" i="9"/>
  <c r="U222" i="9"/>
  <c r="AN219" i="9"/>
  <c r="AN195" i="9"/>
  <c r="U184" i="9"/>
  <c r="AP439" i="9"/>
  <c r="AN410" i="9"/>
  <c r="AT394" i="9"/>
  <c r="AR376" i="9"/>
  <c r="AM369" i="9"/>
  <c r="AU355" i="9"/>
  <c r="AP351" i="9"/>
  <c r="AS327" i="9"/>
  <c r="AV320" i="9"/>
  <c r="AT317" i="9"/>
  <c r="AW313" i="9"/>
  <c r="AQ305" i="9"/>
  <c r="AN297" i="9"/>
  <c r="AS294" i="9"/>
  <c r="AM292" i="9"/>
  <c r="AN289" i="9"/>
  <c r="AN286" i="9"/>
  <c r="AW271" i="9"/>
  <c r="AS269" i="9"/>
  <c r="AP264" i="9"/>
  <c r="AP259" i="9"/>
  <c r="AO247" i="9"/>
  <c r="AM243" i="9"/>
  <c r="AP238" i="9"/>
  <c r="AQ236" i="9"/>
  <c r="AT230" i="9"/>
  <c r="AM219" i="9"/>
  <c r="AW217" i="9"/>
  <c r="AM195" i="9"/>
  <c r="AV180" i="9"/>
  <c r="AS474" i="9"/>
  <c r="AQ445" i="9"/>
  <c r="AN414" i="9"/>
  <c r="AV398" i="9"/>
  <c r="AP393" i="9"/>
  <c r="AN372" i="9"/>
  <c r="AT354" i="9"/>
  <c r="AT341" i="9"/>
  <c r="AS337" i="9"/>
  <c r="AR330" i="9"/>
  <c r="AU323" i="9"/>
  <c r="AN320" i="9"/>
  <c r="AU316" i="9"/>
  <c r="AS313" i="9"/>
  <c r="AR310" i="9"/>
  <c r="AT307" i="9"/>
  <c r="AN302" i="9"/>
  <c r="AO299" i="9"/>
  <c r="AS285" i="9"/>
  <c r="AO271" i="9"/>
  <c r="AT266" i="9"/>
  <c r="AV251" i="9"/>
  <c r="AV246" i="9"/>
  <c r="AU244" i="9"/>
  <c r="AU242" i="9"/>
  <c r="AP230" i="9"/>
  <c r="AP217" i="9"/>
  <c r="AS214" i="9"/>
  <c r="AR210" i="9"/>
  <c r="AT202" i="9"/>
  <c r="AW183" i="9"/>
  <c r="AU182" i="9"/>
  <c r="AT181" i="9"/>
  <c r="AS180" i="9"/>
  <c r="AR403" i="9"/>
  <c r="AP384" i="9"/>
  <c r="AV363" i="9"/>
  <c r="AR359" i="9"/>
  <c r="AR354" i="9"/>
  <c r="AS341" i="9"/>
  <c r="AQ337" i="9"/>
  <c r="AT333" i="9"/>
  <c r="AN330" i="9"/>
  <c r="AT323" i="9"/>
  <c r="AM320" i="9"/>
  <c r="AQ316" i="9"/>
  <c r="AP313" i="9"/>
  <c r="AO310" i="9"/>
  <c r="AS307" i="9"/>
  <c r="AW304" i="9"/>
  <c r="U299" i="9"/>
  <c r="AU296" i="9"/>
  <c r="AM285" i="9"/>
  <c r="AT276" i="9"/>
  <c r="AN271" i="9"/>
  <c r="AP266" i="9"/>
  <c r="AV437" i="9"/>
  <c r="AU413" i="9"/>
  <c r="AT397" i="9"/>
  <c r="AP388" i="9"/>
  <c r="AQ367" i="9"/>
  <c r="AM363" i="9"/>
  <c r="AP354" i="9"/>
  <c r="AQ329" i="9"/>
  <c r="AR319" i="9"/>
  <c r="AO307" i="9"/>
  <c r="AT304" i="9"/>
  <c r="AV301" i="9"/>
  <c r="AQ296" i="9"/>
  <c r="AR293" i="9"/>
  <c r="AS291" i="9"/>
  <c r="AU278" i="9"/>
  <c r="AQ276" i="9"/>
  <c r="AV273" i="9"/>
  <c r="AR268" i="9"/>
  <c r="AU422" i="9"/>
  <c r="AT418" i="9"/>
  <c r="AN407" i="9"/>
  <c r="AO402" i="9"/>
  <c r="AM387" i="9"/>
  <c r="AN378" i="9"/>
  <c r="AM375" i="9"/>
  <c r="AV357" i="9"/>
  <c r="AR353" i="9"/>
  <c r="AU343" i="9"/>
  <c r="AQ340" i="9"/>
  <c r="AU332" i="9"/>
  <c r="AS325" i="9"/>
  <c r="AN322" i="9"/>
  <c r="AP315" i="9"/>
  <c r="AN312" i="9"/>
  <c r="AS306" i="9"/>
  <c r="AN298" i="9"/>
  <c r="U293" i="9"/>
  <c r="AP287" i="9"/>
  <c r="AN284" i="9"/>
  <c r="AM278" i="9"/>
  <c r="AP270" i="9"/>
  <c r="AN268" i="9"/>
  <c r="AP260" i="9"/>
  <c r="AQ248" i="9"/>
  <c r="AW241" i="9"/>
  <c r="AO239" i="9"/>
  <c r="U233" i="9"/>
  <c r="AO231" i="9"/>
  <c r="U226" i="9"/>
  <c r="AP224" i="9"/>
  <c r="AW222" i="9"/>
  <c r="AW219" i="9"/>
  <c r="AO218" i="9"/>
  <c r="AR215" i="9"/>
  <c r="AW212" i="9"/>
  <c r="AO211" i="9"/>
  <c r="AQ207" i="9"/>
  <c r="AQ203" i="9"/>
  <c r="AN202" i="9"/>
  <c r="AT199" i="9"/>
  <c r="AP198" i="9"/>
  <c r="AT195" i="9"/>
  <c r="AT190" i="9"/>
  <c r="AQ189" i="9"/>
  <c r="AR184" i="9"/>
  <c r="AP183" i="9"/>
  <c r="AO182" i="9"/>
  <c r="AN181" i="9"/>
  <c r="AM180" i="9"/>
  <c r="AN392" i="9"/>
  <c r="U379" i="9"/>
  <c r="AQ375" i="9"/>
  <c r="AQ327" i="9"/>
  <c r="AR322" i="9"/>
  <c r="U310" i="9"/>
  <c r="U305" i="9"/>
  <c r="AP296" i="9"/>
  <c r="U292" i="9"/>
  <c r="AO287" i="9"/>
  <c r="AS281" i="9"/>
  <c r="AN277" i="9"/>
  <c r="AT268" i="9"/>
  <c r="AN251" i="9"/>
  <c r="AN238" i="9"/>
  <c r="AT214" i="9"/>
  <c r="AN209" i="9"/>
  <c r="AN207" i="9"/>
  <c r="AR203" i="9"/>
  <c r="AO198" i="9"/>
  <c r="AV190" i="9"/>
  <c r="AO183" i="9"/>
  <c r="AQ180" i="9"/>
  <c r="AR177" i="9"/>
  <c r="AM176" i="9"/>
  <c r="AR173" i="9"/>
  <c r="AM172" i="9"/>
  <c r="AR169" i="9"/>
  <c r="AM168" i="9"/>
  <c r="AR165" i="9"/>
  <c r="AM164" i="9"/>
  <c r="AR161" i="9"/>
  <c r="AM160" i="9"/>
  <c r="AR157" i="9"/>
  <c r="AM156" i="9"/>
  <c r="AR153" i="9"/>
  <c r="U152" i="9"/>
  <c r="AS150" i="9"/>
  <c r="AM149" i="9"/>
  <c r="AV147" i="9"/>
  <c r="AN146" i="9"/>
  <c r="AW144" i="9"/>
  <c r="AO143" i="9"/>
  <c r="AN130" i="9"/>
  <c r="AN126" i="9"/>
  <c r="AN122" i="9"/>
  <c r="AN118" i="9"/>
  <c r="AN114" i="9"/>
  <c r="AN110" i="9"/>
  <c r="AN106" i="9"/>
  <c r="AS103" i="9"/>
  <c r="U101" i="9"/>
  <c r="AM96" i="9"/>
  <c r="AS87" i="9"/>
  <c r="U85" i="9"/>
  <c r="AM80" i="9"/>
  <c r="AM79" i="9"/>
  <c r="AM78" i="9"/>
  <c r="AM77" i="9"/>
  <c r="AM76" i="9"/>
  <c r="AM75" i="9"/>
  <c r="AM74" i="9"/>
  <c r="AM73" i="9"/>
  <c r="AM72" i="9"/>
  <c r="AM71" i="9"/>
  <c r="AM70" i="9"/>
  <c r="AM69" i="9"/>
  <c r="AM68" i="9"/>
  <c r="AM67" i="9"/>
  <c r="AM66" i="9"/>
  <c r="AM65" i="9"/>
  <c r="AM64" i="9"/>
  <c r="AM63" i="9"/>
  <c r="AM62" i="9"/>
  <c r="AM61" i="9"/>
  <c r="AM60" i="9"/>
  <c r="AM59" i="9"/>
  <c r="AM58" i="9"/>
  <c r="AM57" i="9"/>
  <c r="U385" i="9"/>
  <c r="AS363" i="9"/>
  <c r="AQ348" i="9"/>
  <c r="AO333" i="9"/>
  <c r="U327" i="9"/>
  <c r="AU315" i="9"/>
  <c r="U296" i="9"/>
  <c r="AQ281" i="9"/>
  <c r="AQ268" i="9"/>
  <c r="AM251" i="9"/>
  <c r="AV247" i="9"/>
  <c r="AT244" i="9"/>
  <c r="AV241" i="9"/>
  <c r="AS230" i="9"/>
  <c r="AT218" i="9"/>
  <c r="AR214" i="9"/>
  <c r="U209" i="9"/>
  <c r="AP203" i="9"/>
  <c r="AS190" i="9"/>
  <c r="AW184" i="9"/>
  <c r="U183" i="9"/>
  <c r="AV181" i="9"/>
  <c r="AP180" i="9"/>
  <c r="AP177" i="9"/>
  <c r="U176" i="9"/>
  <c r="AW174" i="9"/>
  <c r="AP173" i="9"/>
  <c r="U172" i="9"/>
  <c r="AW170" i="9"/>
  <c r="AP169" i="9"/>
  <c r="U168" i="9"/>
  <c r="AW166" i="9"/>
  <c r="AP165" i="9"/>
  <c r="U164" i="9"/>
  <c r="AW162" i="9"/>
  <c r="AP161" i="9"/>
  <c r="U160" i="9"/>
  <c r="AW158" i="9"/>
  <c r="AP157" i="9"/>
  <c r="U156" i="9"/>
  <c r="AW154" i="9"/>
  <c r="AP153" i="9"/>
  <c r="AR150" i="9"/>
  <c r="U149" i="9"/>
  <c r="AS147" i="9"/>
  <c r="AM146" i="9"/>
  <c r="AV144" i="9"/>
  <c r="AN143" i="9"/>
  <c r="AM130" i="9"/>
  <c r="AM126" i="9"/>
  <c r="AM122" i="9"/>
  <c r="AM118" i="9"/>
  <c r="AM114" i="9"/>
  <c r="AM110" i="9"/>
  <c r="AM106" i="9"/>
  <c r="AR103" i="9"/>
  <c r="U96" i="9"/>
  <c r="AV93" i="9"/>
  <c r="AR87" i="9"/>
  <c r="U80" i="9"/>
  <c r="U79" i="9"/>
  <c r="U78" i="9"/>
  <c r="U77" i="9"/>
  <c r="U76" i="9"/>
  <c r="U75" i="9"/>
  <c r="U74" i="9"/>
  <c r="U73" i="9"/>
  <c r="AU418" i="9"/>
  <c r="AU378" i="9"/>
  <c r="U363" i="9"/>
  <c r="AR355" i="9"/>
  <c r="AT340" i="9"/>
  <c r="AO315" i="9"/>
  <c r="AR276" i="9"/>
  <c r="AV271" i="9"/>
  <c r="AP268" i="9"/>
  <c r="AV263" i="9"/>
  <c r="AU260" i="9"/>
  <c r="AN257" i="9"/>
  <c r="AV253" i="9"/>
  <c r="AT247" i="9"/>
  <c r="AQ244" i="9"/>
  <c r="AN241" i="9"/>
  <c r="AQ230" i="9"/>
  <c r="AS218" i="9"/>
  <c r="AQ214" i="9"/>
  <c r="AM203" i="9"/>
  <c r="AR201" i="9"/>
  <c r="AP190" i="9"/>
  <c r="AV184" i="9"/>
  <c r="AU181" i="9"/>
  <c r="AO180" i="9"/>
  <c r="AV178" i="9"/>
  <c r="AO177" i="9"/>
  <c r="AV174" i="9"/>
  <c r="AO173" i="9"/>
  <c r="AV170" i="9"/>
  <c r="AO169" i="9"/>
  <c r="AV166" i="9"/>
  <c r="AO165" i="9"/>
  <c r="AV162" i="9"/>
  <c r="AO161" i="9"/>
  <c r="AV158" i="9"/>
  <c r="AO157" i="9"/>
  <c r="AU397" i="9"/>
  <c r="AS378" i="9"/>
  <c r="AV368" i="9"/>
  <c r="AU304" i="9"/>
  <c r="AV299" i="9"/>
  <c r="AP295" i="9"/>
  <c r="AT285" i="9"/>
  <c r="AN276" i="9"/>
  <c r="AT271" i="9"/>
  <c r="AU263" i="9"/>
  <c r="AT260" i="9"/>
  <c r="AT253" i="9"/>
  <c r="AN247" i="9"/>
  <c r="AO244" i="9"/>
  <c r="AW237" i="9"/>
  <c r="AN230" i="9"/>
  <c r="AQ227" i="9"/>
  <c r="AR218" i="9"/>
  <c r="AP214" i="9"/>
  <c r="AS212" i="9"/>
  <c r="AT210" i="9"/>
  <c r="U203" i="9"/>
  <c r="AQ201" i="9"/>
  <c r="AM190" i="9"/>
  <c r="AT184" i="9"/>
  <c r="AS181" i="9"/>
  <c r="AN180" i="9"/>
  <c r="AS178" i="9"/>
  <c r="AN177" i="9"/>
  <c r="AS174" i="9"/>
  <c r="AN173" i="9"/>
  <c r="AS170" i="9"/>
  <c r="AN169" i="9"/>
  <c r="AS166" i="9"/>
  <c r="AN165" i="9"/>
  <c r="AU468" i="9"/>
  <c r="AV432" i="9"/>
  <c r="AQ404" i="9"/>
  <c r="AQ354" i="9"/>
  <c r="AW332" i="9"/>
  <c r="AS320" i="9"/>
  <c r="AQ309" i="9"/>
  <c r="AP304" i="9"/>
  <c r="AU299" i="9"/>
  <c r="AT291" i="9"/>
  <c r="AO263" i="9"/>
  <c r="AO260" i="9"/>
  <c r="AQ253" i="9"/>
  <c r="AU250" i="9"/>
  <c r="AN244" i="9"/>
  <c r="AU237" i="9"/>
  <c r="U230" i="9"/>
  <c r="AO227" i="9"/>
  <c r="AT222" i="9"/>
  <c r="AQ218" i="9"/>
  <c r="AO214" i="9"/>
  <c r="AP212" i="9"/>
  <c r="AS210" i="9"/>
  <c r="AW206" i="9"/>
  <c r="AO201" i="9"/>
  <c r="AW199" i="9"/>
  <c r="AS184" i="9"/>
  <c r="AR181" i="9"/>
  <c r="U180" i="9"/>
  <c r="AR178" i="9"/>
  <c r="AM177" i="9"/>
  <c r="AR174" i="9"/>
  <c r="AM173" i="9"/>
  <c r="AR170" i="9"/>
  <c r="AM169" i="9"/>
  <c r="AR166" i="9"/>
  <c r="AM165" i="9"/>
  <c r="AR162" i="9"/>
  <c r="AM161" i="9"/>
  <c r="AR158" i="9"/>
  <c r="AM157" i="9"/>
  <c r="AR154" i="9"/>
  <c r="AM153" i="9"/>
  <c r="AV151" i="9"/>
  <c r="AN150" i="9"/>
  <c r="AW148" i="9"/>
  <c r="AO147" i="9"/>
  <c r="AN103" i="9"/>
  <c r="AN87" i="9"/>
  <c r="AM410" i="9"/>
  <c r="AP404" i="9"/>
  <c r="AN389" i="9"/>
  <c r="AU383" i="9"/>
  <c r="AP362" i="9"/>
  <c r="AR332" i="9"/>
  <c r="AO320" i="9"/>
  <c r="AU313" i="9"/>
  <c r="AN291" i="9"/>
  <c r="AN263" i="9"/>
  <c r="AP253" i="9"/>
  <c r="AM250" i="9"/>
  <c r="AU246" i="9"/>
  <c r="AM244" i="9"/>
  <c r="AT237" i="9"/>
  <c r="AP222" i="9"/>
  <c r="AN218" i="9"/>
  <c r="U214" i="9"/>
  <c r="AO212" i="9"/>
  <c r="AQ210" i="9"/>
  <c r="AT206" i="9"/>
  <c r="AN201" i="9"/>
  <c r="AS199" i="9"/>
  <c r="AT197" i="9"/>
  <c r="AQ184" i="9"/>
  <c r="AQ181" i="9"/>
  <c r="AP178" i="9"/>
  <c r="U177" i="9"/>
  <c r="AW175" i="9"/>
  <c r="AP174" i="9"/>
  <c r="U173" i="9"/>
  <c r="AW171" i="9"/>
  <c r="AP170" i="9"/>
  <c r="U169" i="9"/>
  <c r="AW167" i="9"/>
  <c r="AP166" i="9"/>
  <c r="U165" i="9"/>
  <c r="AW163" i="9"/>
  <c r="AP162" i="9"/>
  <c r="U161" i="9"/>
  <c r="AW159" i="9"/>
  <c r="AP158" i="9"/>
  <c r="U157" i="9"/>
  <c r="AW155" i="9"/>
  <c r="AP154" i="9"/>
  <c r="U153" i="9"/>
  <c r="AS151" i="9"/>
  <c r="AM150" i="9"/>
  <c r="AV148" i="9"/>
  <c r="AN147" i="9"/>
  <c r="AM103" i="9"/>
  <c r="AS510" i="9"/>
  <c r="AU504" i="9"/>
  <c r="AQ422" i="9"/>
  <c r="U383" i="9"/>
  <c r="U444" i="9"/>
  <c r="AQ437" i="9"/>
  <c r="AQ382" i="9"/>
  <c r="AU360" i="9"/>
  <c r="AT388" i="9"/>
  <c r="AO376" i="9"/>
  <c r="AS402" i="9"/>
  <c r="AN376" i="9"/>
  <c r="AS366" i="9"/>
  <c r="AV318" i="9"/>
  <c r="AQ312" i="9"/>
  <c r="AU302" i="9"/>
  <c r="AM289" i="9"/>
  <c r="AS278" i="9"/>
  <c r="AM259" i="9"/>
  <c r="AN252" i="9"/>
  <c r="AT239" i="9"/>
  <c r="AT231" i="9"/>
  <c r="AP226" i="9"/>
  <c r="AT219" i="9"/>
  <c r="AQ217" i="9"/>
  <c r="AS215" i="9"/>
  <c r="AT211" i="9"/>
  <c r="U206" i="9"/>
  <c r="AQ202" i="9"/>
  <c r="AN197" i="9"/>
  <c r="AO195" i="9"/>
  <c r="AS189" i="9"/>
  <c r="AQ182" i="9"/>
  <c r="AV176" i="9"/>
  <c r="AO175" i="9"/>
  <c r="AV172" i="9"/>
  <c r="AO171" i="9"/>
  <c r="AV168" i="9"/>
  <c r="AO167" i="9"/>
  <c r="AV164" i="9"/>
  <c r="AO163" i="9"/>
  <c r="AV160" i="9"/>
  <c r="AO159" i="9"/>
  <c r="AV156" i="9"/>
  <c r="AO155" i="9"/>
  <c r="AS152" i="9"/>
  <c r="AM151" i="9"/>
  <c r="AV149" i="9"/>
  <c r="AN148" i="9"/>
  <c r="AW146" i="9"/>
  <c r="AW130" i="9"/>
  <c r="AW126" i="9"/>
  <c r="AW122" i="9"/>
  <c r="AW118" i="9"/>
  <c r="AW114" i="9"/>
  <c r="AW110" i="9"/>
  <c r="AV80" i="9"/>
  <c r="AS79" i="9"/>
  <c r="AS78" i="9"/>
  <c r="AP407" i="9"/>
  <c r="AS393" i="9"/>
  <c r="AP329" i="9"/>
  <c r="AO302" i="9"/>
  <c r="AQ293" i="9"/>
  <c r="AP278" i="9"/>
  <c r="AS273" i="9"/>
  <c r="AR255" i="9"/>
  <c r="AR239" i="9"/>
  <c r="AQ231" i="9"/>
  <c r="AO226" i="9"/>
  <c r="AP219" i="9"/>
  <c r="AO217" i="9"/>
  <c r="AQ215" i="9"/>
  <c r="AS211" i="9"/>
  <c r="U204" i="9"/>
  <c r="AP202" i="9"/>
  <c r="AW198" i="9"/>
  <c r="AM197" i="9"/>
  <c r="U195" i="9"/>
  <c r="AR189" i="9"/>
  <c r="AR187" i="9"/>
  <c r="AT185" i="9"/>
  <c r="AV183" i="9"/>
  <c r="AP182" i="9"/>
  <c r="AQ179" i="9"/>
  <c r="AS176" i="9"/>
  <c r="AN175" i="9"/>
  <c r="AS172" i="9"/>
  <c r="AN171" i="9"/>
  <c r="AS168" i="9"/>
  <c r="AN167" i="9"/>
  <c r="AO407" i="9"/>
  <c r="U387" i="9"/>
  <c r="AS371" i="9"/>
  <c r="AW323" i="9"/>
  <c r="AR306" i="9"/>
  <c r="AM297" i="9"/>
  <c r="AO293" i="9"/>
  <c r="AW282" i="9"/>
  <c r="AO273" i="9"/>
  <c r="AR269" i="9"/>
  <c r="AR265" i="9"/>
  <c r="AT242" i="9"/>
  <c r="AN239" i="9"/>
  <c r="AV236" i="9"/>
  <c r="AW233" i="9"/>
  <c r="AN231" i="9"/>
  <c r="AN226" i="9"/>
  <c r="AO219" i="9"/>
  <c r="AM217" i="9"/>
  <c r="U215" i="9"/>
  <c r="AQ211" i="9"/>
  <c r="AW207" i="9"/>
  <c r="AO202" i="9"/>
  <c r="AT198" i="9"/>
  <c r="AP189" i="9"/>
  <c r="AP187" i="9"/>
  <c r="AQ185" i="9"/>
  <c r="AT183" i="9"/>
  <c r="AN182" i="9"/>
  <c r="AP179" i="9"/>
  <c r="AR176" i="9"/>
  <c r="AM175" i="9"/>
  <c r="AR172" i="9"/>
  <c r="AM171" i="9"/>
  <c r="AR168" i="9"/>
  <c r="AM167" i="9"/>
  <c r="AR164" i="9"/>
  <c r="AM163" i="9"/>
  <c r="AR160" i="9"/>
  <c r="AM159" i="9"/>
  <c r="AR156" i="9"/>
  <c r="AM155" i="9"/>
  <c r="AP152" i="9"/>
  <c r="AR149" i="9"/>
  <c r="U148" i="9"/>
  <c r="AS146" i="9"/>
  <c r="AV143" i="9"/>
  <c r="AN142" i="9"/>
  <c r="AO139" i="9"/>
  <c r="AS130" i="9"/>
  <c r="AN129" i="9"/>
  <c r="AS126" i="9"/>
  <c r="AN125" i="9"/>
  <c r="AS122" i="9"/>
  <c r="AN121" i="9"/>
  <c r="AS118" i="9"/>
  <c r="AN117" i="9"/>
  <c r="AS114" i="9"/>
  <c r="AS110" i="9"/>
  <c r="AS106" i="9"/>
  <c r="AP101" i="9"/>
  <c r="AR96" i="9"/>
  <c r="U89" i="9"/>
  <c r="AP85" i="9"/>
  <c r="AR80" i="9"/>
  <c r="AQ79" i="9"/>
  <c r="AQ78" i="9"/>
  <c r="AQ77" i="9"/>
  <c r="AQ76" i="9"/>
  <c r="AQ75" i="9"/>
  <c r="AQ74" i="9"/>
  <c r="AQ73" i="9"/>
  <c r="AQ72" i="9"/>
  <c r="AQ71" i="9"/>
  <c r="AQ70" i="9"/>
  <c r="AQ69" i="9"/>
  <c r="AQ68" i="9"/>
  <c r="AQ67" i="9"/>
  <c r="AQ66" i="9"/>
  <c r="AQ65" i="9"/>
  <c r="AQ64" i="9"/>
  <c r="AQ63" i="9"/>
  <c r="AQ62" i="9"/>
  <c r="AQ61" i="9"/>
  <c r="AQ60" i="9"/>
  <c r="AQ59" i="9"/>
  <c r="AQ58" i="9"/>
  <c r="AQ57" i="9"/>
  <c r="AQ56" i="9"/>
  <c r="AQ55" i="9"/>
  <c r="AU282" i="9"/>
  <c r="AN269" i="9"/>
  <c r="AT261" i="9"/>
  <c r="AT258" i="9"/>
  <c r="AR254" i="9"/>
  <c r="AW251" i="9"/>
  <c r="AW248" i="9"/>
  <c r="AV245" i="9"/>
  <c r="AQ242" i="9"/>
  <c r="AS236" i="9"/>
  <c r="AT233" i="9"/>
  <c r="U217" i="9"/>
  <c r="AP211" i="9"/>
  <c r="AW209" i="9"/>
  <c r="AT207" i="9"/>
  <c r="AW203" i="9"/>
  <c r="AM202" i="9"/>
  <c r="AS198" i="9"/>
  <c r="AO187" i="9"/>
  <c r="AP185" i="9"/>
  <c r="AS183" i="9"/>
  <c r="AU180" i="9"/>
  <c r="AO179" i="9"/>
  <c r="AW177" i="9"/>
  <c r="AP176" i="9"/>
  <c r="U175" i="9"/>
  <c r="AW173" i="9"/>
  <c r="AP172" i="9"/>
  <c r="U171" i="9"/>
  <c r="AW169" i="9"/>
  <c r="AP168" i="9"/>
  <c r="U167" i="9"/>
  <c r="AW165" i="9"/>
  <c r="AP164" i="9"/>
  <c r="U163" i="9"/>
  <c r="AW161" i="9"/>
  <c r="AP334" i="9"/>
  <c r="AS310" i="9"/>
  <c r="AQ261" i="9"/>
  <c r="AQ240" i="9"/>
  <c r="AM223" i="9"/>
  <c r="AW214" i="9"/>
  <c r="AQ198" i="9"/>
  <c r="AP195" i="9"/>
  <c r="AW190" i="9"/>
  <c r="AR175" i="9"/>
  <c r="AM170" i="9"/>
  <c r="AV167" i="9"/>
  <c r="AW160" i="9"/>
  <c r="AW156" i="9"/>
  <c r="AR148" i="9"/>
  <c r="AO146" i="9"/>
  <c r="U144" i="9"/>
  <c r="AM142" i="9"/>
  <c r="AR135" i="9"/>
  <c r="U129" i="9"/>
  <c r="AM125" i="9"/>
  <c r="AO121" i="9"/>
  <c r="AR117" i="9"/>
  <c r="AP115" i="9"/>
  <c r="AS113" i="9"/>
  <c r="AV109" i="9"/>
  <c r="AW105" i="9"/>
  <c r="AN100" i="9"/>
  <c r="AP98" i="9"/>
  <c r="AP96" i="9"/>
  <c r="AW94" i="9"/>
  <c r="AN85" i="9"/>
  <c r="AT78" i="9"/>
  <c r="AN77" i="9"/>
  <c r="AT74" i="9"/>
  <c r="AN73" i="9"/>
  <c r="AV70" i="9"/>
  <c r="AR69" i="9"/>
  <c r="AN68" i="9"/>
  <c r="AW65" i="9"/>
  <c r="AT64" i="9"/>
  <c r="AO63" i="9"/>
  <c r="AT375" i="9"/>
  <c r="AO325" i="9"/>
  <c r="AT284" i="9"/>
  <c r="AV255" i="9"/>
  <c r="AO210" i="9"/>
  <c r="AT204" i="9"/>
  <c r="AM201" i="9"/>
  <c r="AP175" i="9"/>
  <c r="AW172" i="9"/>
  <c r="U170" i="9"/>
  <c r="AS167" i="9"/>
  <c r="AS160" i="9"/>
  <c r="AS158" i="9"/>
  <c r="AS156" i="9"/>
  <c r="AV154" i="9"/>
  <c r="AW152" i="9"/>
  <c r="AW150" i="9"/>
  <c r="AP148" i="9"/>
  <c r="U146" i="9"/>
  <c r="U142" i="9"/>
  <c r="AW139" i="9"/>
  <c r="AP135" i="9"/>
  <c r="U125" i="9"/>
  <c r="AM121" i="9"/>
  <c r="AO117" i="9"/>
  <c r="AO115" i="9"/>
  <c r="AR113" i="9"/>
  <c r="AS109" i="9"/>
  <c r="AV105" i="9"/>
  <c r="AW103" i="9"/>
  <c r="U100" i="9"/>
  <c r="AM98" i="9"/>
  <c r="AO96" i="9"/>
  <c r="AR94" i="9"/>
  <c r="AW92" i="9"/>
  <c r="AW90" i="9"/>
  <c r="AM85" i="9"/>
  <c r="AW79" i="9"/>
  <c r="AR78" i="9"/>
  <c r="AW75" i="9"/>
  <c r="AR74" i="9"/>
  <c r="U360" i="9"/>
  <c r="AU341" i="9"/>
  <c r="AM284" i="9"/>
  <c r="AT245" i="9"/>
  <c r="AW239" i="9"/>
  <c r="AW231" i="9"/>
  <c r="AO222" i="9"/>
  <c r="AN210" i="9"/>
  <c r="AS207" i="9"/>
  <c r="AQ204" i="9"/>
  <c r="U201" i="9"/>
  <c r="AT180" i="9"/>
  <c r="AO172" i="9"/>
  <c r="AR167" i="9"/>
  <c r="AS162" i="9"/>
  <c r="AP160" i="9"/>
  <c r="AO158" i="9"/>
  <c r="AP156" i="9"/>
  <c r="AS154" i="9"/>
  <c r="AV152" i="9"/>
  <c r="AV150" i="9"/>
  <c r="AO148" i="9"/>
  <c r="AV139" i="9"/>
  <c r="AO135" i="9"/>
  <c r="AV130" i="9"/>
  <c r="U121" i="9"/>
  <c r="AM117" i="9"/>
  <c r="U115" i="9"/>
  <c r="AO113" i="9"/>
  <c r="AR109" i="9"/>
  <c r="AS105" i="9"/>
  <c r="AV103" i="9"/>
  <c r="AW101" i="9"/>
  <c r="U98" i="9"/>
  <c r="AN96" i="9"/>
  <c r="AP94" i="9"/>
  <c r="AV92" i="9"/>
  <c r="AV90" i="9"/>
  <c r="AV79" i="9"/>
  <c r="AP78" i="9"/>
  <c r="AV75" i="9"/>
  <c r="AP74" i="9"/>
  <c r="AP341" i="9"/>
  <c r="U316" i="9"/>
  <c r="AP277" i="9"/>
  <c r="AU270" i="9"/>
  <c r="AP254" i="9"/>
  <c r="AV249" i="9"/>
  <c r="AV239" i="9"/>
  <c r="AW226" i="9"/>
  <c r="AM210" i="9"/>
  <c r="AR207" i="9"/>
  <c r="AP204" i="9"/>
  <c r="AV182" i="9"/>
  <c r="AR180" i="9"/>
  <c r="AV177" i="9"/>
  <c r="AN172" i="9"/>
  <c r="AP167" i="9"/>
  <c r="AW164" i="9"/>
  <c r="AO162" i="9"/>
  <c r="AO160" i="9"/>
  <c r="AN158" i="9"/>
  <c r="AO156" i="9"/>
  <c r="AO154" i="9"/>
  <c r="AR152" i="9"/>
  <c r="AP150" i="9"/>
  <c r="AM148" i="9"/>
  <c r="AW143" i="9"/>
  <c r="AS139" i="9"/>
  <c r="AR367" i="9"/>
  <c r="U349" i="9"/>
  <c r="AT270" i="9"/>
  <c r="AW264" i="9"/>
  <c r="AW259" i="9"/>
  <c r="AS249" i="9"/>
  <c r="AO235" i="9"/>
  <c r="AS226" i="9"/>
  <c r="U210" i="9"/>
  <c r="AW189" i="9"/>
  <c r="AT182" i="9"/>
  <c r="AS177" i="9"/>
  <c r="AS164" i="9"/>
  <c r="AN162" i="9"/>
  <c r="AN160" i="9"/>
  <c r="AM158" i="9"/>
  <c r="AN156" i="9"/>
  <c r="AN154" i="9"/>
  <c r="AO152" i="9"/>
  <c r="AO150" i="9"/>
  <c r="AS143" i="9"/>
  <c r="AP139" i="9"/>
  <c r="U367" i="9"/>
  <c r="AR296" i="9"/>
  <c r="AM270" i="9"/>
  <c r="AM264" i="9"/>
  <c r="AV259" i="9"/>
  <c r="AU238" i="9"/>
  <c r="AR217" i="9"/>
  <c r="AN213" i="9"/>
  <c r="AT203" i="9"/>
  <c r="AS197" i="9"/>
  <c r="AV189" i="9"/>
  <c r="AM185" i="9"/>
  <c r="AS182" i="9"/>
  <c r="AO174" i="9"/>
  <c r="AV169" i="9"/>
  <c r="AO164" i="9"/>
  <c r="AM162" i="9"/>
  <c r="U158" i="9"/>
  <c r="AM154" i="9"/>
  <c r="AN152" i="9"/>
  <c r="U150" i="9"/>
  <c r="AR143" i="9"/>
  <c r="AN139" i="9"/>
  <c r="AO130" i="9"/>
  <c r="AP126" i="9"/>
  <c r="AR122" i="9"/>
  <c r="AV118" i="9"/>
  <c r="U109" i="9"/>
  <c r="AM105" i="9"/>
  <c r="U103" i="9"/>
  <c r="AO101" i="9"/>
  <c r="U94" i="9"/>
  <c r="AN92" i="9"/>
  <c r="AN90" i="9"/>
  <c r="AR79" i="9"/>
  <c r="AW76" i="9"/>
  <c r="AR75" i="9"/>
  <c r="AW72" i="9"/>
  <c r="AT71" i="9"/>
  <c r="AO70" i="9"/>
  <c r="AU66" i="9"/>
  <c r="AP65" i="9"/>
  <c r="U64" i="9"/>
  <c r="AV61" i="9"/>
  <c r="AP60" i="9"/>
  <c r="AV57" i="9"/>
  <c r="AP56" i="9"/>
  <c r="AM55" i="9"/>
  <c r="AV52" i="9"/>
  <c r="AR51" i="9"/>
  <c r="AN50" i="9"/>
  <c r="AM43" i="9"/>
  <c r="U34" i="9"/>
  <c r="AP413" i="9"/>
  <c r="AW290" i="9"/>
  <c r="AM282" i="9"/>
  <c r="AN259" i="9"/>
  <c r="AR238" i="9"/>
  <c r="AU234" i="9"/>
  <c r="AM213" i="9"/>
  <c r="AS203" i="9"/>
  <c r="AQ197" i="9"/>
  <c r="AT189" i="9"/>
  <c r="U185" i="9"/>
  <c r="AR182" i="9"/>
  <c r="AN174" i="9"/>
  <c r="AS169" i="9"/>
  <c r="AN164" i="9"/>
  <c r="U162" i="9"/>
  <c r="U154" i="9"/>
  <c r="AM152" i="9"/>
  <c r="AW147" i="9"/>
  <c r="AP143" i="9"/>
  <c r="AM139" i="9"/>
  <c r="U130" i="9"/>
  <c r="AO126" i="9"/>
  <c r="AP122" i="9"/>
  <c r="AR118" i="9"/>
  <c r="AV114" i="9"/>
  <c r="U105" i="9"/>
  <c r="AN101" i="9"/>
  <c r="AQ357" i="9"/>
  <c r="AU301" i="9"/>
  <c r="AV275" i="9"/>
  <c r="AT248" i="9"/>
  <c r="AP243" i="9"/>
  <c r="AO234" i="9"/>
  <c r="AR221" i="9"/>
  <c r="AR206" i="9"/>
  <c r="AN200" i="9"/>
  <c r="AP197" i="9"/>
  <c r="AM174" i="9"/>
  <c r="AV171" i="9"/>
  <c r="AO166" i="9"/>
  <c r="AR147" i="9"/>
  <c r="AM143" i="9"/>
  <c r="U139" i="9"/>
  <c r="U126" i="9"/>
  <c r="AO122" i="9"/>
  <c r="AP118" i="9"/>
  <c r="AR114" i="9"/>
  <c r="AV110" i="9"/>
  <c r="AU330" i="9"/>
  <c r="AS322" i="9"/>
  <c r="AT313" i="9"/>
  <c r="AP307" i="9"/>
  <c r="AM301" i="9"/>
  <c r="AO243" i="9"/>
  <c r="AQ221" i="9"/>
  <c r="U212" i="9"/>
  <c r="AR209" i="9"/>
  <c r="AQ206" i="9"/>
  <c r="AM200" i="9"/>
  <c r="AO197" i="9"/>
  <c r="AN184" i="9"/>
  <c r="AT179" i="9"/>
  <c r="AW176" i="9"/>
  <c r="U174" i="9"/>
  <c r="AS171" i="9"/>
  <c r="AN166" i="9"/>
  <c r="AV159" i="9"/>
  <c r="AV155" i="9"/>
  <c r="AW149" i="9"/>
  <c r="AP147" i="9"/>
  <c r="U143" i="9"/>
  <c r="U122" i="9"/>
  <c r="AO118" i="9"/>
  <c r="AP114" i="9"/>
  <c r="AR110" i="9"/>
  <c r="AV106" i="9"/>
  <c r="AR84" i="9"/>
  <c r="AW80" i="9"/>
  <c r="AN79" i="9"/>
  <c r="AT76" i="9"/>
  <c r="AN75" i="9"/>
  <c r="AT72" i="9"/>
  <c r="AO71" i="9"/>
  <c r="AU67" i="9"/>
  <c r="AP66" i="9"/>
  <c r="U65" i="9"/>
  <c r="AV62" i="9"/>
  <c r="AR61" i="9"/>
  <c r="U60" i="9"/>
  <c r="AW58" i="9"/>
  <c r="AR57" i="9"/>
  <c r="AM56" i="9"/>
  <c r="AV53" i="9"/>
  <c r="AR52" i="9"/>
  <c r="AN51" i="9"/>
  <c r="AW48" i="9"/>
  <c r="AU337" i="9"/>
  <c r="AP294" i="9"/>
  <c r="AU274" i="9"/>
  <c r="AQ258" i="9"/>
  <c r="AU252" i="9"/>
  <c r="AQ237" i="9"/>
  <c r="AP233" i="9"/>
  <c r="AW224" i="9"/>
  <c r="AO209" i="9"/>
  <c r="AP206" i="9"/>
  <c r="AM184" i="9"/>
  <c r="AN179" i="9"/>
  <c r="AO176" i="9"/>
  <c r="AR171" i="9"/>
  <c r="AM166" i="9"/>
  <c r="AS159" i="9"/>
  <c r="AW157" i="9"/>
  <c r="AS155" i="9"/>
  <c r="AW151" i="9"/>
  <c r="AS149" i="9"/>
  <c r="AM147" i="9"/>
  <c r="AW138" i="9"/>
  <c r="U118" i="9"/>
  <c r="AO114" i="9"/>
  <c r="AP110" i="9"/>
  <c r="AR106" i="9"/>
  <c r="AS93" i="9"/>
  <c r="AP84" i="9"/>
  <c r="AS80" i="9"/>
  <c r="AW77" i="9"/>
  <c r="AR76" i="9"/>
  <c r="AW73" i="9"/>
  <c r="AR72" i="9"/>
  <c r="AN71" i="9"/>
  <c r="AW68" i="9"/>
  <c r="AT67" i="9"/>
  <c r="AO66" i="9"/>
  <c r="AU62" i="9"/>
  <c r="AP61" i="9"/>
  <c r="AV58" i="9"/>
  <c r="AP57" i="9"/>
  <c r="U56" i="9"/>
  <c r="AU53" i="9"/>
  <c r="AP52" i="9"/>
  <c r="AM51" i="9"/>
  <c r="AV48" i="9"/>
  <c r="AO294" i="9"/>
  <c r="AP274" i="9"/>
  <c r="AU262" i="9"/>
  <c r="AM258" i="9"/>
  <c r="AO252" i="9"/>
  <c r="AP237" i="9"/>
  <c r="AO233" i="9"/>
  <c r="AT229" i="9"/>
  <c r="AQ224" i="9"/>
  <c r="AO206" i="9"/>
  <c r="AN199" i="9"/>
  <c r="AM179" i="9"/>
  <c r="AN176" i="9"/>
  <c r="AP171" i="9"/>
  <c r="AW168" i="9"/>
  <c r="U166" i="9"/>
  <c r="AV163" i="9"/>
  <c r="AV161" i="9"/>
  <c r="AR159" i="9"/>
  <c r="AV157" i="9"/>
  <c r="AR155" i="9"/>
  <c r="AW153" i="9"/>
  <c r="AR151" i="9"/>
  <c r="AP149" i="9"/>
  <c r="U147" i="9"/>
  <c r="AR364" i="9"/>
  <c r="AV312" i="9"/>
  <c r="AP262" i="9"/>
  <c r="AR246" i="9"/>
  <c r="AM242" i="9"/>
  <c r="AN229" i="9"/>
  <c r="AO224" i="9"/>
  <c r="AW211" i="9"/>
  <c r="AS202" i="9"/>
  <c r="AM199" i="9"/>
  <c r="AP181" i="9"/>
  <c r="AO168" i="9"/>
  <c r="AS163" i="9"/>
  <c r="AS161" i="9"/>
  <c r="AP159" i="9"/>
  <c r="AS157" i="9"/>
  <c r="AP155" i="9"/>
  <c r="AV153" i="9"/>
  <c r="AP151" i="9"/>
  <c r="AO149" i="9"/>
  <c r="AM364" i="9"/>
  <c r="AQ336" i="9"/>
  <c r="AV328" i="9"/>
  <c r="AU279" i="9"/>
  <c r="AQ246" i="9"/>
  <c r="AW215" i="9"/>
  <c r="AN211" i="9"/>
  <c r="AR202" i="9"/>
  <c r="AP353" i="9"/>
  <c r="AT343" i="9"/>
  <c r="AQ319" i="9"/>
  <c r="AS279" i="9"/>
  <c r="AP251" i="9"/>
  <c r="AP246" i="9"/>
  <c r="AP228" i="9"/>
  <c r="AT215" i="9"/>
  <c r="AT208" i="9"/>
  <c r="AW187" i="9"/>
  <c r="AR183" i="9"/>
  <c r="AM181" i="9"/>
  <c r="AT392" i="9"/>
  <c r="AU298" i="9"/>
  <c r="AU266" i="9"/>
  <c r="AP256" i="9"/>
  <c r="AO251" i="9"/>
  <c r="AM246" i="9"/>
  <c r="AM228" i="9"/>
  <c r="AO208" i="9"/>
  <c r="AW205" i="9"/>
  <c r="AW195" i="9"/>
  <c r="AN187" i="9"/>
  <c r="AQ183" i="9"/>
  <c r="AM178" i="9"/>
  <c r="AV175" i="9"/>
  <c r="AO170" i="9"/>
  <c r="AV165" i="9"/>
  <c r="AN163" i="9"/>
  <c r="AN153" i="9"/>
  <c r="U151" i="9"/>
  <c r="AR146" i="9"/>
  <c r="AN144" i="9"/>
  <c r="AR142" i="9"/>
  <c r="AN140" i="9"/>
  <c r="AM138" i="9"/>
  <c r="AM131" i="9"/>
  <c r="AO129" i="9"/>
  <c r="AO127" i="9"/>
  <c r="AR125" i="9"/>
  <c r="AS121" i="9"/>
  <c r="AV117" i="9"/>
  <c r="AW115" i="9"/>
  <c r="AW113" i="9"/>
  <c r="AM104" i="9"/>
  <c r="AM102" i="9"/>
  <c r="AR100" i="9"/>
  <c r="AW98" i="9"/>
  <c r="AW96" i="9"/>
  <c r="AQ298" i="9"/>
  <c r="AS165" i="9"/>
  <c r="AO142" i="9"/>
  <c r="AS137" i="9"/>
  <c r="AS129" i="9"/>
  <c r="AO107" i="9"/>
  <c r="AN104" i="9"/>
  <c r="AR101" i="9"/>
  <c r="AR95" i="9"/>
  <c r="AP90" i="9"/>
  <c r="AO80" i="9"/>
  <c r="AU78" i="9"/>
  <c r="AO73" i="9"/>
  <c r="AV71" i="9"/>
  <c r="AV68" i="9"/>
  <c r="AN67" i="9"/>
  <c r="AV65" i="9"/>
  <c r="AN64" i="9"/>
  <c r="AN61" i="9"/>
  <c r="AV59" i="9"/>
  <c r="AN58" i="9"/>
  <c r="AU56" i="9"/>
  <c r="U55" i="9"/>
  <c r="AN52" i="9"/>
  <c r="AW50" i="9"/>
  <c r="AR49" i="9"/>
  <c r="U48" i="9"/>
  <c r="AV43" i="9"/>
  <c r="AQ42" i="9"/>
  <c r="U41" i="9"/>
  <c r="AN38" i="9"/>
  <c r="AR35" i="9"/>
  <c r="AN34" i="9"/>
  <c r="AO25" i="9"/>
  <c r="AN24" i="9"/>
  <c r="AM23" i="9"/>
  <c r="AO178" i="9"/>
  <c r="AV146" i="9"/>
  <c r="AO137" i="9"/>
  <c r="AR129" i="9"/>
  <c r="AO110" i="9"/>
  <c r="U107" i="9"/>
  <c r="AM101" i="9"/>
  <c r="AR98" i="9"/>
  <c r="AO95" i="9"/>
  <c r="AM90" i="9"/>
  <c r="AW85" i="9"/>
  <c r="AN80" i="9"/>
  <c r="AO78" i="9"/>
  <c r="AV76" i="9"/>
  <c r="AU71" i="9"/>
  <c r="AU68" i="9"/>
  <c r="U67" i="9"/>
  <c r="AU65" i="9"/>
  <c r="AW62" i="9"/>
  <c r="U61" i="9"/>
  <c r="AU59" i="9"/>
  <c r="U58" i="9"/>
  <c r="AT56" i="9"/>
  <c r="AW53" i="9"/>
  <c r="AM52" i="9"/>
  <c r="AV50" i="9"/>
  <c r="AP49" i="9"/>
  <c r="AU43" i="9"/>
  <c r="AP42" i="9"/>
  <c r="AM38" i="9"/>
  <c r="AQ35" i="9"/>
  <c r="AM34" i="9"/>
  <c r="AN178" i="9"/>
  <c r="AP146" i="9"/>
  <c r="AM129" i="9"/>
  <c r="AW125" i="9"/>
  <c r="AW117" i="9"/>
  <c r="U110" i="9"/>
  <c r="AM95" i="9"/>
  <c r="AS92" i="9"/>
  <c r="U90" i="9"/>
  <c r="AV85" i="9"/>
  <c r="AN78" i="9"/>
  <c r="AU76" i="9"/>
  <c r="AW74" i="9"/>
  <c r="AR71" i="9"/>
  <c r="AT68" i="9"/>
  <c r="AT65" i="9"/>
  <c r="AT62" i="9"/>
  <c r="AT59" i="9"/>
  <c r="AR56" i="9"/>
  <c r="AT53" i="9"/>
  <c r="U52" i="9"/>
  <c r="AU50" i="9"/>
  <c r="AO49" i="9"/>
  <c r="AT43" i="9"/>
  <c r="AO42" i="9"/>
  <c r="U38" i="9"/>
  <c r="AP35" i="9"/>
  <c r="AN208" i="9"/>
  <c r="U178" i="9"/>
  <c r="AO151" i="9"/>
  <c r="AR136" i="9"/>
  <c r="AV125" i="9"/>
  <c r="AW121" i="9"/>
  <c r="AS117" i="9"/>
  <c r="AV113" i="9"/>
  <c r="AP106" i="9"/>
  <c r="AP103" i="9"/>
  <c r="AV173" i="9"/>
  <c r="AN151" i="9"/>
  <c r="AV140" i="9"/>
  <c r="AO136" i="9"/>
  <c r="AW131" i="9"/>
  <c r="AS125" i="9"/>
  <c r="AV121" i="9"/>
  <c r="U117" i="9"/>
  <c r="AM113" i="9"/>
  <c r="AO106" i="9"/>
  <c r="AO103" i="9"/>
  <c r="AW310" i="9"/>
  <c r="AS173" i="9"/>
  <c r="AN155" i="9"/>
  <c r="AS140" i="9"/>
  <c r="AN136" i="9"/>
  <c r="AR131" i="9"/>
  <c r="AO125" i="9"/>
  <c r="AR121" i="9"/>
  <c r="U113" i="9"/>
  <c r="U106" i="9"/>
  <c r="AS89" i="9"/>
  <c r="AP87" i="9"/>
  <c r="AN76" i="9"/>
  <c r="AO74" i="9"/>
  <c r="AV72" i="9"/>
  <c r="AV69" i="9"/>
  <c r="AO68" i="9"/>
  <c r="AN65" i="9"/>
  <c r="AW63" i="9"/>
  <c r="AO62" i="9"/>
  <c r="AW60" i="9"/>
  <c r="AO59" i="9"/>
  <c r="AW57" i="9"/>
  <c r="AV54" i="9"/>
  <c r="AO53" i="9"/>
  <c r="AP50" i="9"/>
  <c r="U49" i="9"/>
  <c r="AP43" i="9"/>
  <c r="AW33" i="9"/>
  <c r="AV278" i="9"/>
  <c r="AM232" i="9"/>
  <c r="AN168" i="9"/>
  <c r="AN159" i="9"/>
  <c r="U155" i="9"/>
  <c r="AS144" i="9"/>
  <c r="AR140" i="9"/>
  <c r="AM136" i="9"/>
  <c r="AP131" i="9"/>
  <c r="AW109" i="9"/>
  <c r="AV100" i="9"/>
  <c r="AO94" i="9"/>
  <c r="AR89" i="9"/>
  <c r="AO87" i="9"/>
  <c r="AU79" i="9"/>
  <c r="AN74" i="9"/>
  <c r="AU72" i="9"/>
  <c r="AU69" i="9"/>
  <c r="U68" i="9"/>
  <c r="AW66" i="9"/>
  <c r="AV63" i="9"/>
  <c r="AN62" i="9"/>
  <c r="AV60" i="9"/>
  <c r="AN59" i="9"/>
  <c r="AU57" i="9"/>
  <c r="AU54" i="9"/>
  <c r="AN53" i="9"/>
  <c r="AW51" i="9"/>
  <c r="AO50" i="9"/>
  <c r="AO43" i="9"/>
  <c r="AV33" i="9"/>
  <c r="AO181" i="9"/>
  <c r="AR163" i="9"/>
  <c r="U159" i="9"/>
  <c r="AR144" i="9"/>
  <c r="AM140" i="9"/>
  <c r="U131" i="9"/>
  <c r="AO109" i="9"/>
  <c r="AS100" i="9"/>
  <c r="AN94" i="9"/>
  <c r="AP89" i="9"/>
  <c r="U87" i="9"/>
  <c r="AT79" i="9"/>
  <c r="AV77" i="9"/>
  <c r="AP72" i="9"/>
  <c r="AT69" i="9"/>
  <c r="AV66" i="9"/>
  <c r="AU63" i="9"/>
  <c r="U62" i="9"/>
  <c r="AU60" i="9"/>
  <c r="U59" i="9"/>
  <c r="AT57" i="9"/>
  <c r="AT54" i="9"/>
  <c r="AM53" i="9"/>
  <c r="AV51" i="9"/>
  <c r="AM50" i="9"/>
  <c r="AN43" i="9"/>
  <c r="AU33" i="9"/>
  <c r="AS195" i="9"/>
  <c r="AM187" i="9"/>
  <c r="AP163" i="9"/>
  <c r="AM144" i="9"/>
  <c r="AW135" i="9"/>
  <c r="AW127" i="9"/>
  <c r="AO112" i="9"/>
  <c r="AM109" i="9"/>
  <c r="AP100" i="9"/>
  <c r="AV91" i="9"/>
  <c r="AO89" i="9"/>
  <c r="AP79" i="9"/>
  <c r="AU77" i="9"/>
  <c r="AO72" i="9"/>
  <c r="AP69" i="9"/>
  <c r="AT66" i="9"/>
  <c r="AT63" i="9"/>
  <c r="AT60" i="9"/>
  <c r="AO57" i="9"/>
  <c r="AW55" i="9"/>
  <c r="AN149" i="9"/>
  <c r="AN135" i="9"/>
  <c r="AR130" i="9"/>
  <c r="AV127" i="9"/>
  <c r="AN112" i="9"/>
  <c r="AR105" i="9"/>
  <c r="AW102" i="9"/>
  <c r="AR91" i="9"/>
  <c r="AM89" i="9"/>
  <c r="AV84" i="9"/>
  <c r="AO79" i="9"/>
  <c r="AT77" i="9"/>
  <c r="AN72" i="9"/>
  <c r="AW70" i="9"/>
  <c r="AO69" i="9"/>
  <c r="AR66" i="9"/>
  <c r="AR63" i="9"/>
  <c r="AR60" i="9"/>
  <c r="AN57" i="9"/>
  <c r="AS261" i="9"/>
  <c r="AV138" i="9"/>
  <c r="U135" i="9"/>
  <c r="AP130" i="9"/>
  <c r="AP127" i="9"/>
  <c r="AM112" i="9"/>
  <c r="AO105" i="9"/>
  <c r="AS102" i="9"/>
  <c r="AS96" i="9"/>
  <c r="AN236" i="9"/>
  <c r="AP138" i="9"/>
  <c r="U127" i="9"/>
  <c r="AW119" i="9"/>
  <c r="AV115" i="9"/>
  <c r="AR102" i="9"/>
  <c r="AQ223" i="9"/>
  <c r="AT205" i="9"/>
  <c r="AS148" i="9"/>
  <c r="AO138" i="9"/>
  <c r="U134" i="9"/>
  <c r="AV123" i="9"/>
  <c r="AP119" i="9"/>
  <c r="AP102" i="9"/>
  <c r="AS175" i="9"/>
  <c r="AS153" i="9"/>
  <c r="AW142" i="9"/>
  <c r="AN138" i="9"/>
  <c r="AV126" i="9"/>
  <c r="AO123" i="9"/>
  <c r="AM266" i="9"/>
  <c r="AN157" i="9"/>
  <c r="AO153" i="9"/>
  <c r="AV142" i="9"/>
  <c r="AW129" i="9"/>
  <c r="AR126" i="9"/>
  <c r="U111" i="9"/>
  <c r="AP104" i="9"/>
  <c r="U93" i="9"/>
  <c r="AV88" i="9"/>
  <c r="AP86" i="9"/>
  <c r="AW78" i="9"/>
  <c r="AR73" i="9"/>
  <c r="AN70" i="9"/>
  <c r="AP67" i="9"/>
  <c r="AP64" i="9"/>
  <c r="AW111" i="9"/>
  <c r="AV104" i="9"/>
  <c r="U95" i="9"/>
  <c r="AV87" i="9"/>
  <c r="AN84" i="9"/>
  <c r="AU74" i="9"/>
  <c r="AV67" i="9"/>
  <c r="AO60" i="9"/>
  <c r="AT55" i="9"/>
  <c r="AT51" i="9"/>
  <c r="AT49" i="9"/>
  <c r="AV47" i="9"/>
  <c r="AN41" i="9"/>
  <c r="U37" i="9"/>
  <c r="AO33" i="9"/>
  <c r="AT28" i="9"/>
  <c r="AQ25" i="9"/>
  <c r="U24" i="9"/>
  <c r="AM20" i="9"/>
  <c r="AN16" i="9"/>
  <c r="AO104" i="9"/>
  <c r="AP91" i="9"/>
  <c r="U84" i="9"/>
  <c r="AP76" i="9"/>
  <c r="AR67" i="9"/>
  <c r="AN60" i="9"/>
  <c r="AR55" i="9"/>
  <c r="AP51" i="9"/>
  <c r="AN49" i="9"/>
  <c r="AN47" i="9"/>
  <c r="AM41" i="9"/>
  <c r="AW34" i="9"/>
  <c r="AN33" i="9"/>
  <c r="AP28" i="9"/>
  <c r="AP25" i="9"/>
  <c r="U20" i="9"/>
  <c r="AM16" i="9"/>
  <c r="AP99" i="9"/>
  <c r="AO91" i="9"/>
  <c r="AO76" i="9"/>
  <c r="AW71" i="9"/>
  <c r="AW69" i="9"/>
  <c r="AO67" i="9"/>
  <c r="AP55" i="9"/>
  <c r="AR53" i="9"/>
  <c r="AO51" i="9"/>
  <c r="AM49" i="9"/>
  <c r="AM47" i="9"/>
  <c r="AW42" i="9"/>
  <c r="AV34" i="9"/>
  <c r="AM33" i="9"/>
  <c r="AO28" i="9"/>
  <c r="AN25" i="9"/>
  <c r="U16" i="9"/>
  <c r="AW133" i="9"/>
  <c r="AM99" i="9"/>
  <c r="U91" i="9"/>
  <c r="AP71" i="9"/>
  <c r="AN69" i="9"/>
  <c r="AW64" i="9"/>
  <c r="AR62" i="9"/>
  <c r="U57" i="9"/>
  <c r="AO55" i="9"/>
  <c r="AP53" i="9"/>
  <c r="U51" i="9"/>
  <c r="U47" i="9"/>
  <c r="AV42" i="9"/>
  <c r="AW38" i="9"/>
  <c r="AU34" i="9"/>
  <c r="U33" i="9"/>
  <c r="AN28" i="9"/>
  <c r="U71" i="9"/>
  <c r="U69" i="9"/>
  <c r="AV64" i="9"/>
  <c r="AP62" i="9"/>
  <c r="AN55" i="9"/>
  <c r="U53" i="9"/>
  <c r="AU42" i="9"/>
  <c r="AV38" i="9"/>
  <c r="AU36" i="9"/>
  <c r="AT34" i="9"/>
  <c r="AR198" i="9"/>
  <c r="AW86" i="9"/>
  <c r="AV78" i="9"/>
  <c r="AV73" i="9"/>
  <c r="AU64" i="9"/>
  <c r="AW59" i="9"/>
  <c r="AT42" i="9"/>
  <c r="AU38" i="9"/>
  <c r="AR34" i="9"/>
  <c r="AV23" i="9"/>
  <c r="AS142" i="9"/>
  <c r="AV122" i="9"/>
  <c r="AR93" i="9"/>
  <c r="AS90" i="9"/>
  <c r="AR86" i="9"/>
  <c r="AU73" i="9"/>
  <c r="AR64" i="9"/>
  <c r="AR59" i="9"/>
  <c r="AU48" i="9"/>
  <c r="AR42" i="9"/>
  <c r="AR38" i="9"/>
  <c r="AQ34" i="9"/>
  <c r="AU23" i="9"/>
  <c r="AN93" i="9"/>
  <c r="AU75" i="9"/>
  <c r="AT73" i="9"/>
  <c r="AN66" i="9"/>
  <c r="AO64" i="9"/>
  <c r="AP59" i="9"/>
  <c r="AW56" i="9"/>
  <c r="AT50" i="9"/>
  <c r="AT48" i="9"/>
  <c r="AN42" i="9"/>
  <c r="AQ38" i="9"/>
  <c r="AP34" i="9"/>
  <c r="AW24" i="9"/>
  <c r="AT23" i="9"/>
  <c r="AN161" i="9"/>
  <c r="U114" i="9"/>
  <c r="U102" i="9"/>
  <c r="AM93" i="9"/>
  <c r="AN81" i="9"/>
  <c r="AT75" i="9"/>
  <c r="AP73" i="9"/>
  <c r="U66" i="9"/>
  <c r="AV56" i="9"/>
  <c r="AW54" i="9"/>
  <c r="AW52" i="9"/>
  <c r="AR50" i="9"/>
  <c r="AR48" i="9"/>
  <c r="AM42" i="9"/>
  <c r="AO34" i="9"/>
  <c r="AV32" i="9"/>
  <c r="AV27" i="9"/>
  <c r="AV24" i="9"/>
  <c r="AR23" i="9"/>
  <c r="AQ19" i="9"/>
  <c r="AR14" i="9"/>
  <c r="AR85" i="9"/>
  <c r="AM81" i="9"/>
  <c r="AP75" i="9"/>
  <c r="AU70" i="9"/>
  <c r="AR68" i="9"/>
  <c r="AW61" i="9"/>
  <c r="AO56" i="9"/>
  <c r="AR54" i="9"/>
  <c r="AU52" i="9"/>
  <c r="U50" i="9"/>
  <c r="AP48" i="9"/>
  <c r="AQ32" i="9"/>
  <c r="AU27" i="9"/>
  <c r="AU24" i="9"/>
  <c r="AQ23" i="9"/>
  <c r="AP19" i="9"/>
  <c r="AQ14" i="9"/>
  <c r="AV129" i="9"/>
  <c r="AV101" i="9"/>
  <c r="AO85" i="9"/>
  <c r="AR77" i="9"/>
  <c r="AO75" i="9"/>
  <c r="AT70" i="9"/>
  <c r="AP68" i="9"/>
  <c r="AU61" i="9"/>
  <c r="AN56" i="9"/>
  <c r="AP54" i="9"/>
  <c r="AT52" i="9"/>
  <c r="AO48" i="9"/>
  <c r="AM46" i="9"/>
  <c r="AU41" i="9"/>
  <c r="AW35" i="9"/>
  <c r="AP32" i="9"/>
  <c r="AP77" i="9"/>
  <c r="AR70" i="9"/>
  <c r="AT61" i="9"/>
  <c r="AU58" i="9"/>
  <c r="AO54" i="9"/>
  <c r="AO52" i="9"/>
  <c r="AN48" i="9"/>
  <c r="AT41" i="9"/>
  <c r="AU37" i="9"/>
  <c r="AV35" i="9"/>
  <c r="AO32" i="9"/>
  <c r="AW30" i="9"/>
  <c r="AN170" i="9"/>
  <c r="AO92" i="9"/>
  <c r="AP80" i="9"/>
  <c r="AO77" i="9"/>
  <c r="AP70" i="9"/>
  <c r="AP63" i="9"/>
  <c r="AO61" i="9"/>
  <c r="AT58" i="9"/>
  <c r="AN54" i="9"/>
  <c r="AM48" i="9"/>
  <c r="AW45" i="9"/>
  <c r="AW43" i="9"/>
  <c r="AR41" i="9"/>
  <c r="AS88" i="9"/>
  <c r="U72" i="9"/>
  <c r="U70" i="9"/>
  <c r="AR65" i="9"/>
  <c r="AN63" i="9"/>
  <c r="AR58" i="9"/>
  <c r="AM54" i="9"/>
  <c r="AW49" i="9"/>
  <c r="AV45" i="9"/>
  <c r="AR43" i="9"/>
  <c r="AQ41" i="9"/>
  <c r="AO65" i="9"/>
  <c r="U63" i="9"/>
  <c r="AP58" i="9"/>
  <c r="AV55" i="9"/>
  <c r="U54" i="9"/>
  <c r="AV49" i="9"/>
  <c r="AQ43" i="9"/>
  <c r="AP41" i="9"/>
  <c r="AP39" i="9"/>
  <c r="AP37" i="9"/>
  <c r="AO35" i="9"/>
  <c r="AQ33" i="9"/>
  <c r="U32" i="9"/>
  <c r="U30" i="9"/>
  <c r="AV28" i="9"/>
  <c r="AM27" i="9"/>
  <c r="AT25" i="9"/>
  <c r="AO24" i="9"/>
  <c r="AT21" i="9"/>
  <c r="AO20" i="9"/>
  <c r="AW17" i="9"/>
  <c r="AR16" i="9"/>
  <c r="AS84" i="9"/>
  <c r="AV74" i="9"/>
  <c r="AM32" i="9"/>
  <c r="AR27" i="9"/>
  <c r="AT24" i="9"/>
  <c r="AU35" i="9"/>
  <c r="AO27" i="9"/>
  <c r="AR24" i="9"/>
  <c r="AT22" i="9"/>
  <c r="AV17" i="9"/>
  <c r="AT35" i="9"/>
  <c r="AN27" i="9"/>
  <c r="AQ24" i="9"/>
  <c r="AN17" i="9"/>
  <c r="AN35" i="9"/>
  <c r="AP24" i="9"/>
  <c r="AM24" i="9"/>
  <c r="AO19" i="9"/>
  <c r="AP14" i="9"/>
  <c r="AW87" i="9"/>
  <c r="AO39" i="9"/>
  <c r="AQ30" i="9"/>
  <c r="AN19" i="9"/>
  <c r="AW16" i="9"/>
  <c r="AO14" i="9"/>
  <c r="AU51" i="9"/>
  <c r="AP30" i="9"/>
  <c r="AM19" i="9"/>
  <c r="AV16" i="9"/>
  <c r="U14" i="9"/>
  <c r="AT45" i="9"/>
  <c r="AR21" i="9"/>
  <c r="U19" i="9"/>
  <c r="AU16" i="9"/>
  <c r="AT33" i="9"/>
  <c r="AW25" i="9"/>
  <c r="AN21" i="9"/>
  <c r="AT16" i="9"/>
  <c r="AU55" i="9"/>
  <c r="AR33" i="9"/>
  <c r="AV25" i="9"/>
  <c r="AP23" i="9"/>
  <c r="AM21" i="9"/>
  <c r="AQ16" i="9"/>
  <c r="AT37" i="9"/>
  <c r="AP33" i="9"/>
  <c r="AU25" i="9"/>
  <c r="AO23" i="9"/>
  <c r="U43" i="9"/>
  <c r="AR37" i="9"/>
  <c r="AW28" i="9"/>
  <c r="AR25" i="9"/>
  <c r="AN23" i="9"/>
  <c r="AW20" i="9"/>
  <c r="AV18" i="9"/>
  <c r="AU13" i="9"/>
  <c r="AO37" i="9"/>
  <c r="AU28" i="9"/>
  <c r="AM25" i="9"/>
  <c r="U23" i="9"/>
  <c r="AR20" i="9"/>
  <c r="AU18" i="9"/>
  <c r="AT13" i="9"/>
  <c r="AW67" i="9"/>
  <c r="AU49" i="9"/>
  <c r="U25" i="9"/>
  <c r="AQ20" i="9"/>
  <c r="AT15" i="9"/>
  <c r="AP20" i="9"/>
  <c r="AR15" i="9"/>
  <c r="AH368" i="9"/>
  <c r="AF368" i="9"/>
  <c r="AJ374" i="9"/>
  <c r="AH376" i="9"/>
  <c r="AF376" i="9"/>
  <c r="AJ382" i="9"/>
  <c r="AH384" i="9"/>
  <c r="AF384" i="9"/>
  <c r="AG389" i="9"/>
  <c r="AJ390" i="9"/>
  <c r="AH392" i="9"/>
  <c r="AF392" i="9"/>
  <c r="I394" i="9"/>
  <c r="AG397" i="9"/>
  <c r="AJ398" i="9"/>
  <c r="AH400" i="9"/>
  <c r="AF400" i="9"/>
  <c r="I402" i="9"/>
  <c r="AA408" i="9"/>
  <c r="AI410" i="9"/>
  <c r="AI414" i="9"/>
  <c r="AJ418" i="9"/>
  <c r="AB420" i="9"/>
  <c r="I426" i="9"/>
  <c r="F432" i="9"/>
  <c r="AK432" i="9"/>
  <c r="AH432" i="9"/>
  <c r="AF432" i="9"/>
  <c r="H432" i="9"/>
  <c r="AC433" i="9"/>
  <c r="AJ434" i="9"/>
  <c r="AB436" i="9"/>
  <c r="AB444" i="9"/>
  <c r="I446" i="9"/>
  <c r="F448" i="9"/>
  <c r="AK448" i="9"/>
  <c r="AH448" i="9"/>
  <c r="AF448" i="9"/>
  <c r="AE448" i="9"/>
  <c r="AD448" i="9"/>
  <c r="H448" i="9"/>
  <c r="AC451" i="9"/>
  <c r="AJ457" i="9"/>
  <c r="AI457" i="9"/>
  <c r="AH457" i="9"/>
  <c r="I457" i="9"/>
  <c r="G457" i="9"/>
  <c r="AK457" i="9"/>
  <c r="AG457" i="9"/>
  <c r="AB457" i="9"/>
  <c r="AE473" i="9"/>
  <c r="G479" i="9"/>
  <c r="AC508" i="9"/>
  <c r="AM17" i="9"/>
  <c r="F368" i="9"/>
  <c r="F376" i="9"/>
  <c r="F384" i="9"/>
  <c r="AI389" i="9"/>
  <c r="AA394" i="9"/>
  <c r="AI397" i="9"/>
  <c r="AA402" i="9"/>
  <c r="AB408" i="9"/>
  <c r="AJ410" i="9"/>
  <c r="AJ414" i="9"/>
  <c r="F419" i="9"/>
  <c r="AK419" i="9"/>
  <c r="AH419" i="9"/>
  <c r="AF419" i="9"/>
  <c r="H419" i="9"/>
  <c r="AC420" i="9"/>
  <c r="AD433" i="9"/>
  <c r="F435" i="9"/>
  <c r="AK435" i="9"/>
  <c r="AH435" i="9"/>
  <c r="AF435" i="9"/>
  <c r="H435" i="9"/>
  <c r="AC436" i="9"/>
  <c r="F441" i="9"/>
  <c r="AK441" i="9"/>
  <c r="AH441" i="9"/>
  <c r="AF441" i="9"/>
  <c r="AE441" i="9"/>
  <c r="AD441" i="9"/>
  <c r="H441" i="9"/>
  <c r="AC444" i="9"/>
  <c r="AG451" i="9"/>
  <c r="AJ459" i="9"/>
  <c r="AI459" i="9"/>
  <c r="AH459" i="9"/>
  <c r="AF459" i="9"/>
  <c r="AD459" i="9"/>
  <c r="AA459" i="9"/>
  <c r="H459" i="9"/>
  <c r="G459" i="9"/>
  <c r="F459" i="9"/>
  <c r="AK459" i="9"/>
  <c r="AF473" i="9"/>
  <c r="I479" i="9"/>
  <c r="H483" i="9"/>
  <c r="G483" i="9"/>
  <c r="AJ483" i="9"/>
  <c r="AI483" i="9"/>
  <c r="AH483" i="9"/>
  <c r="AD483" i="9"/>
  <c r="AC483" i="9"/>
  <c r="AB483" i="9"/>
  <c r="F483" i="9"/>
  <c r="AK483" i="9"/>
  <c r="AG483" i="9"/>
  <c r="AF483" i="9"/>
  <c r="AA503" i="9"/>
  <c r="AK503" i="9"/>
  <c r="AJ503" i="9"/>
  <c r="AG503" i="9"/>
  <c r="AF503" i="9"/>
  <c r="AE503" i="9"/>
  <c r="AI503" i="9"/>
  <c r="AH503" i="9"/>
  <c r="AD503" i="9"/>
  <c r="AC503" i="9"/>
  <c r="AB503" i="9"/>
  <c r="I503" i="9"/>
  <c r="H503" i="9"/>
  <c r="G503" i="9"/>
  <c r="F503" i="9"/>
  <c r="AH391" i="9"/>
  <c r="AF391" i="9"/>
  <c r="AB394" i="9"/>
  <c r="AH399" i="9"/>
  <c r="AF399" i="9"/>
  <c r="AB402" i="9"/>
  <c r="F406" i="9"/>
  <c r="AH406" i="9"/>
  <c r="AF406" i="9"/>
  <c r="AC408" i="9"/>
  <c r="F411" i="9"/>
  <c r="AK411" i="9"/>
  <c r="AH411" i="9"/>
  <c r="AF411" i="9"/>
  <c r="F415" i="9"/>
  <c r="AK415" i="9"/>
  <c r="AH415" i="9"/>
  <c r="AF415" i="9"/>
  <c r="AD420" i="9"/>
  <c r="F422" i="9"/>
  <c r="AK422" i="9"/>
  <c r="AH422" i="9"/>
  <c r="AF422" i="9"/>
  <c r="H422" i="9"/>
  <c r="AE433" i="9"/>
  <c r="AD436" i="9"/>
  <c r="F438" i="9"/>
  <c r="AK438" i="9"/>
  <c r="AH438" i="9"/>
  <c r="AF438" i="9"/>
  <c r="H438" i="9"/>
  <c r="AG444" i="9"/>
  <c r="F450" i="9"/>
  <c r="AK450" i="9"/>
  <c r="AH450" i="9"/>
  <c r="AF450" i="9"/>
  <c r="AE450" i="9"/>
  <c r="AD450" i="9"/>
  <c r="H450" i="9"/>
  <c r="AI451" i="9"/>
  <c r="AD479" i="9"/>
  <c r="I483" i="9"/>
  <c r="AA360" i="9"/>
  <c r="AK365" i="9"/>
  <c r="H368" i="9"/>
  <c r="AA369" i="9"/>
  <c r="AK373" i="9"/>
  <c r="H376" i="9"/>
  <c r="AA377" i="9"/>
  <c r="AK381" i="9"/>
  <c r="H384" i="9"/>
  <c r="AA385" i="9"/>
  <c r="AK389" i="9"/>
  <c r="F391" i="9"/>
  <c r="H392" i="9"/>
  <c r="AA393" i="9"/>
  <c r="AC394" i="9"/>
  <c r="AK397" i="9"/>
  <c r="F399" i="9"/>
  <c r="H400" i="9"/>
  <c r="AA401" i="9"/>
  <c r="AC402" i="9"/>
  <c r="G406" i="9"/>
  <c r="AD408" i="9"/>
  <c r="G411" i="9"/>
  <c r="AB412" i="9"/>
  <c r="G415" i="9"/>
  <c r="AB416" i="9"/>
  <c r="I419" i="9"/>
  <c r="AE420" i="9"/>
  <c r="G422" i="9"/>
  <c r="F425" i="9"/>
  <c r="AK425" i="9"/>
  <c r="AH425" i="9"/>
  <c r="AF425" i="9"/>
  <c r="H425" i="9"/>
  <c r="AC426" i="9"/>
  <c r="AA432" i="9"/>
  <c r="AG433" i="9"/>
  <c r="I435" i="9"/>
  <c r="AE436" i="9"/>
  <c r="G438" i="9"/>
  <c r="I441" i="9"/>
  <c r="F443" i="9"/>
  <c r="AK443" i="9"/>
  <c r="AH443" i="9"/>
  <c r="AF443" i="9"/>
  <c r="AE443" i="9"/>
  <c r="AD443" i="9"/>
  <c r="H443" i="9"/>
  <c r="AI444" i="9"/>
  <c r="AC446" i="9"/>
  <c r="AA448" i="9"/>
  <c r="G450" i="9"/>
  <c r="AJ451" i="9"/>
  <c r="AA457" i="9"/>
  <c r="AB459" i="9"/>
  <c r="AA483" i="9"/>
  <c r="AK493" i="9"/>
  <c r="AH374" i="9"/>
  <c r="AF374" i="9"/>
  <c r="AH382" i="9"/>
  <c r="AF382" i="9"/>
  <c r="AH390" i="9"/>
  <c r="AF390" i="9"/>
  <c r="G391" i="9"/>
  <c r="AD394" i="9"/>
  <c r="AH398" i="9"/>
  <c r="AF398" i="9"/>
  <c r="G399" i="9"/>
  <c r="AD402" i="9"/>
  <c r="H406" i="9"/>
  <c r="AE408" i="9"/>
  <c r="H411" i="9"/>
  <c r="H415" i="9"/>
  <c r="AG420" i="9"/>
  <c r="I422" i="9"/>
  <c r="F428" i="9"/>
  <c r="AK428" i="9"/>
  <c r="AH428" i="9"/>
  <c r="AF428" i="9"/>
  <c r="H428" i="9"/>
  <c r="AI433" i="9"/>
  <c r="AG436" i="9"/>
  <c r="I438" i="9"/>
  <c r="AJ444" i="9"/>
  <c r="I450" i="9"/>
  <c r="F452" i="9"/>
  <c r="AK452" i="9"/>
  <c r="AH452" i="9"/>
  <c r="AF452" i="9"/>
  <c r="AE452" i="9"/>
  <c r="AD452" i="9"/>
  <c r="H452" i="9"/>
  <c r="AK472" i="9"/>
  <c r="AG477" i="9"/>
  <c r="AE483" i="9"/>
  <c r="AK488" i="9"/>
  <c r="AJ471" i="9"/>
  <c r="AI471" i="9"/>
  <c r="AH471" i="9"/>
  <c r="H472" i="9"/>
  <c r="H481" i="9"/>
  <c r="AJ481" i="9"/>
  <c r="AI481" i="9"/>
  <c r="AH481" i="9"/>
  <c r="AA496" i="9"/>
  <c r="AE496" i="9"/>
  <c r="AD496" i="9"/>
  <c r="AC496" i="9"/>
  <c r="H496" i="9"/>
  <c r="G496" i="9"/>
  <c r="F496" i="9"/>
  <c r="H501" i="9"/>
  <c r="AJ476" i="9"/>
  <c r="AI476" i="9"/>
  <c r="AH476" i="9"/>
  <c r="F476" i="9"/>
  <c r="H490" i="9"/>
  <c r="G490" i="9"/>
  <c r="F490" i="9"/>
  <c r="AJ490" i="9"/>
  <c r="AI490" i="9"/>
  <c r="AH490" i="9"/>
  <c r="AA498" i="9"/>
  <c r="AG498" i="9"/>
  <c r="AF498" i="9"/>
  <c r="AE498" i="9"/>
  <c r="AB498" i="9"/>
  <c r="I498" i="9"/>
  <c r="H498" i="9"/>
  <c r="H484" i="9"/>
  <c r="G484" i="9"/>
  <c r="AJ484" i="9"/>
  <c r="AI484" i="9"/>
  <c r="AH484" i="9"/>
  <c r="AI505" i="9"/>
  <c r="H480" i="9"/>
  <c r="AJ480" i="9"/>
  <c r="AI480" i="9"/>
  <c r="AH480" i="9"/>
  <c r="F484" i="9"/>
  <c r="H487" i="9"/>
  <c r="G487" i="9"/>
  <c r="F487" i="9"/>
  <c r="AJ487" i="9"/>
  <c r="AI487" i="9"/>
  <c r="AH487" i="9"/>
  <c r="AA500" i="9"/>
  <c r="AI500" i="9"/>
  <c r="AH500" i="9"/>
  <c r="AG500" i="9"/>
  <c r="AD500" i="9"/>
  <c r="AC500" i="9"/>
  <c r="AB500" i="9"/>
  <c r="AV14" i="9"/>
  <c r="AW19" i="9"/>
  <c r="AS29" i="9"/>
  <c r="AT29" i="9"/>
  <c r="AR29" i="9"/>
  <c r="AN29" i="9"/>
  <c r="AM29" i="9"/>
  <c r="U29" i="9"/>
  <c r="AW29" i="9"/>
  <c r="AV29" i="9"/>
  <c r="AU29" i="9"/>
  <c r="AQ29" i="9"/>
  <c r="AP29" i="9"/>
  <c r="AO29" i="9"/>
  <c r="T29" i="9"/>
  <c r="R29" i="9"/>
  <c r="AJ464" i="9"/>
  <c r="AI464" i="9"/>
  <c r="AH464" i="9"/>
  <c r="AA471" i="9"/>
  <c r="AD472" i="9"/>
  <c r="I476" i="9"/>
  <c r="F480" i="9"/>
  <c r="AB481" i="9"/>
  <c r="I484" i="9"/>
  <c r="I487" i="9"/>
  <c r="AB490" i="9"/>
  <c r="AA492" i="9"/>
  <c r="I492" i="9"/>
  <c r="H492" i="9"/>
  <c r="G492" i="9"/>
  <c r="AK492" i="9"/>
  <c r="AJ492" i="9"/>
  <c r="AH496" i="9"/>
  <c r="AC498" i="9"/>
  <c r="F500" i="9"/>
  <c r="AK509" i="9"/>
  <c r="S29" i="9"/>
  <c r="F464" i="9"/>
  <c r="AJ469" i="9"/>
  <c r="AI469" i="9"/>
  <c r="AH469" i="9"/>
  <c r="AB471" i="9"/>
  <c r="AE472" i="9"/>
  <c r="AA476" i="9"/>
  <c r="G480" i="9"/>
  <c r="AC481" i="9"/>
  <c r="AA484" i="9"/>
  <c r="AA487" i="9"/>
  <c r="AC490" i="9"/>
  <c r="F492" i="9"/>
  <c r="AI496" i="9"/>
  <c r="AD498" i="9"/>
  <c r="G500" i="9"/>
  <c r="AA502" i="9"/>
  <c r="AK502" i="9"/>
  <c r="AJ502" i="9"/>
  <c r="AI502" i="9"/>
  <c r="AF502" i="9"/>
  <c r="AE502" i="9"/>
  <c r="AD502" i="9"/>
  <c r="AA507" i="9"/>
  <c r="H507" i="9"/>
  <c r="G507" i="9"/>
  <c r="F507" i="9"/>
  <c r="AK507" i="9"/>
  <c r="AJ507" i="9"/>
  <c r="AI507" i="9"/>
  <c r="AH507" i="9"/>
  <c r="AG507" i="9"/>
  <c r="AU45" i="9"/>
  <c r="AG456" i="9"/>
  <c r="AJ458" i="9"/>
  <c r="AI458" i="9"/>
  <c r="AH458" i="9"/>
  <c r="AE461" i="9"/>
  <c r="G464" i="9"/>
  <c r="F469" i="9"/>
  <c r="AC471" i="9"/>
  <c r="AF472" i="9"/>
  <c r="AJ474" i="9"/>
  <c r="AI474" i="9"/>
  <c r="AH474" i="9"/>
  <c r="AB476" i="9"/>
  <c r="AE477" i="9"/>
  <c r="I480" i="9"/>
  <c r="AD481" i="9"/>
  <c r="AB484" i="9"/>
  <c r="AB487" i="9"/>
  <c r="AD490" i="9"/>
  <c r="AB492" i="9"/>
  <c r="AJ496" i="9"/>
  <c r="AH498" i="9"/>
  <c r="H500" i="9"/>
  <c r="F502" i="9"/>
  <c r="I507" i="9"/>
  <c r="AS26" i="9"/>
  <c r="AP26" i="9"/>
  <c r="AO26" i="9"/>
  <c r="T26" i="9"/>
  <c r="S26" i="9"/>
  <c r="R26" i="9"/>
  <c r="AW26" i="9"/>
  <c r="AV26" i="9"/>
  <c r="AR26" i="9"/>
  <c r="AQ26" i="9"/>
  <c r="AN26" i="9"/>
  <c r="AM26" i="9"/>
  <c r="U26" i="9"/>
  <c r="AK496" i="9"/>
  <c r="AI498" i="9"/>
  <c r="I500" i="9"/>
  <c r="G502" i="9"/>
  <c r="AB507" i="9"/>
  <c r="AS22" i="9"/>
  <c r="U22" i="9"/>
  <c r="AW22" i="9"/>
  <c r="AV22" i="9"/>
  <c r="AU22" i="9"/>
  <c r="AQ22" i="9"/>
  <c r="AP22" i="9"/>
  <c r="AO22" i="9"/>
  <c r="AN22" i="9"/>
  <c r="AM22" i="9"/>
  <c r="AT26" i="9"/>
  <c r="G458" i="9"/>
  <c r="I464" i="9"/>
  <c r="AJ468" i="9"/>
  <c r="AI468" i="9"/>
  <c r="AH468" i="9"/>
  <c r="H469" i="9"/>
  <c r="AE471" i="9"/>
  <c r="G474" i="9"/>
  <c r="AD476" i="9"/>
  <c r="AB480" i="9"/>
  <c r="AF481" i="9"/>
  <c r="AD484" i="9"/>
  <c r="H486" i="9"/>
  <c r="G486" i="9"/>
  <c r="AJ486" i="9"/>
  <c r="AI486" i="9"/>
  <c r="AH486" i="9"/>
  <c r="AD487" i="9"/>
  <c r="AF490" i="9"/>
  <c r="AD492" i="9"/>
  <c r="AA497" i="9"/>
  <c r="AF497" i="9"/>
  <c r="AE497" i="9"/>
  <c r="AD497" i="9"/>
  <c r="I497" i="9"/>
  <c r="H497" i="9"/>
  <c r="G497" i="9"/>
  <c r="AJ498" i="9"/>
  <c r="AE500" i="9"/>
  <c r="H502" i="9"/>
  <c r="AH504" i="9"/>
  <c r="AC507" i="9"/>
  <c r="R22" i="9"/>
  <c r="AU26" i="9"/>
  <c r="AW27" i="9"/>
  <c r="AS31" i="9"/>
  <c r="AW31" i="9"/>
  <c r="AV31" i="9"/>
  <c r="AU31" i="9"/>
  <c r="AQ31" i="9"/>
  <c r="AP31" i="9"/>
  <c r="AO31" i="9"/>
  <c r="AT31" i="9"/>
  <c r="AR31" i="9"/>
  <c r="AN31" i="9"/>
  <c r="AM31" i="9"/>
  <c r="U31" i="9"/>
  <c r="T31" i="9"/>
  <c r="S31" i="9"/>
  <c r="R31" i="9"/>
  <c r="AJ456" i="9"/>
  <c r="AI456" i="9"/>
  <c r="AC464" i="9"/>
  <c r="AJ467" i="9"/>
  <c r="AI467" i="9"/>
  <c r="AH467" i="9"/>
  <c r="AB469" i="9"/>
  <c r="AK471" i="9"/>
  <c r="AG476" i="9"/>
  <c r="AE480" i="9"/>
  <c r="H482" i="9"/>
  <c r="AJ482" i="9"/>
  <c r="AI482" i="9"/>
  <c r="AH482" i="9"/>
  <c r="AG484" i="9"/>
  <c r="AG487" i="9"/>
  <c r="AA491" i="9"/>
  <c r="H491" i="9"/>
  <c r="G491" i="9"/>
  <c r="F491" i="9"/>
  <c r="AK491" i="9"/>
  <c r="AJ491" i="9"/>
  <c r="AI491" i="9"/>
  <c r="AG492" i="9"/>
  <c r="AK500" i="9"/>
  <c r="AC502" i="9"/>
  <c r="AF507" i="9"/>
  <c r="AS15" i="9"/>
  <c r="AO15" i="9"/>
  <c r="AN15" i="9"/>
  <c r="T15" i="9"/>
  <c r="S15" i="9"/>
  <c r="R15" i="9"/>
  <c r="AW15" i="9"/>
  <c r="AV15" i="9"/>
  <c r="AU15" i="9"/>
  <c r="AM15" i="9"/>
  <c r="AR22" i="9"/>
  <c r="AJ472" i="9"/>
  <c r="AI472" i="9"/>
  <c r="AH472" i="9"/>
  <c r="AK476" i="9"/>
  <c r="AF480" i="9"/>
  <c r="AK484" i="9"/>
  <c r="AK487" i="9"/>
  <c r="AA501" i="9"/>
  <c r="AJ501" i="9"/>
  <c r="AI501" i="9"/>
  <c r="AH501" i="9"/>
  <c r="AE501" i="9"/>
  <c r="AD501" i="9"/>
  <c r="AC501" i="9"/>
  <c r="AJ506" i="9"/>
  <c r="AA508" i="9"/>
  <c r="I508" i="9"/>
  <c r="H508" i="9"/>
  <c r="G508" i="9"/>
  <c r="AK508" i="9"/>
  <c r="AJ508" i="9"/>
  <c r="AI508" i="9"/>
  <c r="AH508" i="9"/>
  <c r="N9" i="9"/>
  <c r="U15" i="9"/>
  <c r="G456" i="9"/>
  <c r="AJ461" i="9"/>
  <c r="AI461" i="9"/>
  <c r="AH461" i="9"/>
  <c r="AE464" i="9"/>
  <c r="G467" i="9"/>
  <c r="AD469" i="9"/>
  <c r="F472" i="9"/>
  <c r="AJ477" i="9"/>
  <c r="AI477" i="9"/>
  <c r="AH477" i="9"/>
  <c r="AG480" i="9"/>
  <c r="G482" i="9"/>
  <c r="H485" i="9"/>
  <c r="G485" i="9"/>
  <c r="AJ485" i="9"/>
  <c r="AI485" i="9"/>
  <c r="AH485" i="9"/>
  <c r="H488" i="9"/>
  <c r="G488" i="9"/>
  <c r="F488" i="9"/>
  <c r="AJ488" i="9"/>
  <c r="AI488" i="9"/>
  <c r="AH488" i="9"/>
  <c r="AB491" i="9"/>
  <c r="AI492" i="9"/>
  <c r="F501" i="9"/>
  <c r="AH502" i="9"/>
  <c r="F508" i="9"/>
  <c r="AS13" i="9"/>
  <c r="AM13" i="9"/>
  <c r="U13" i="9"/>
  <c r="AW13" i="9"/>
  <c r="AV13" i="9"/>
  <c r="AR13" i="9"/>
  <c r="AQ13" i="9"/>
  <c r="AP13" i="9"/>
  <c r="AO13" i="9"/>
  <c r="AN13" i="9"/>
  <c r="N10" i="9"/>
  <c r="N8" i="9" s="1"/>
  <c r="AP15" i="9"/>
  <c r="AS18" i="9"/>
  <c r="AT18" i="9"/>
  <c r="AR18" i="9"/>
  <c r="AQ18" i="9"/>
  <c r="AW18" i="9"/>
  <c r="AP18" i="9"/>
  <c r="AO18" i="9"/>
  <c r="AN18" i="9"/>
  <c r="AM18" i="9"/>
  <c r="U18" i="9"/>
  <c r="R40" i="9"/>
  <c r="AS40" i="9"/>
  <c r="AU40" i="9"/>
  <c r="AT40" i="9"/>
  <c r="AV40" i="9"/>
  <c r="AR40" i="9"/>
  <c r="AQ40" i="9"/>
  <c r="AS66" i="9"/>
  <c r="AS73" i="9"/>
  <c r="T40" i="9"/>
  <c r="R44" i="9"/>
  <c r="AS44" i="9"/>
  <c r="AO44" i="9"/>
  <c r="U44" i="9"/>
  <c r="T44" i="9"/>
  <c r="AV44" i="9"/>
  <c r="AU44" i="9"/>
  <c r="AT44" i="9"/>
  <c r="R46" i="9"/>
  <c r="AS46" i="9"/>
  <c r="AT46" i="9"/>
  <c r="AP46" i="9"/>
  <c r="AO46" i="9"/>
  <c r="AU46" i="9"/>
  <c r="AR46" i="9"/>
  <c r="AQ46" i="9"/>
  <c r="U46" i="9"/>
  <c r="T46" i="9"/>
  <c r="S46" i="9"/>
  <c r="U40" i="9"/>
  <c r="AI512" i="9"/>
  <c r="AA512" i="9"/>
  <c r="I512" i="9"/>
  <c r="AS17" i="9"/>
  <c r="AR17" i="9"/>
  <c r="AQ17" i="9"/>
  <c r="AP17" i="9"/>
  <c r="AS21" i="9"/>
  <c r="AW21" i="9"/>
  <c r="AV21" i="9"/>
  <c r="AU21" i="9"/>
  <c r="R36" i="9"/>
  <c r="AS36" i="9"/>
  <c r="AO36" i="9"/>
  <c r="U36" i="9"/>
  <c r="T36" i="9"/>
  <c r="AW36" i="9"/>
  <c r="AV36" i="9"/>
  <c r="AR36" i="9"/>
  <c r="AQ36" i="9"/>
  <c r="AP36" i="9"/>
  <c r="AM40" i="9"/>
  <c r="AM44" i="9"/>
  <c r="AN46" i="9"/>
  <c r="R108" i="9"/>
  <c r="AU108" i="9"/>
  <c r="AT108" i="9"/>
  <c r="AQ108" i="9"/>
  <c r="AS108" i="9"/>
  <c r="AR108" i="9"/>
  <c r="U108" i="9"/>
  <c r="S108" i="9"/>
  <c r="AW108" i="9"/>
  <c r="AV108" i="9"/>
  <c r="T108" i="9"/>
  <c r="AP108" i="9"/>
  <c r="AO108" i="9"/>
  <c r="AM108" i="9"/>
  <c r="F512" i="9"/>
  <c r="R17" i="9"/>
  <c r="R21" i="9"/>
  <c r="S36" i="9"/>
  <c r="AN40" i="9"/>
  <c r="AN44" i="9"/>
  <c r="AV46" i="9"/>
  <c r="AS62" i="9"/>
  <c r="AN108" i="9"/>
  <c r="AA495" i="9"/>
  <c r="AF504" i="9"/>
  <c r="AG505" i="9"/>
  <c r="AH506" i="9"/>
  <c r="AA511" i="9"/>
  <c r="I511" i="9"/>
  <c r="G512" i="9"/>
  <c r="AT14" i="9"/>
  <c r="S17" i="9"/>
  <c r="AV19" i="9"/>
  <c r="S21" i="9"/>
  <c r="AM36" i="9"/>
  <c r="AO40" i="9"/>
  <c r="AP44" i="9"/>
  <c r="AW46" i="9"/>
  <c r="AU82" i="9"/>
  <c r="AT82" i="9"/>
  <c r="AQ82" i="9"/>
  <c r="AV82" i="9"/>
  <c r="AS82" i="9"/>
  <c r="AO82" i="9"/>
  <c r="AN82" i="9"/>
  <c r="R82" i="9"/>
  <c r="AW82" i="9"/>
  <c r="AR82" i="9"/>
  <c r="AP82" i="9"/>
  <c r="AM82" i="9"/>
  <c r="U82" i="9"/>
  <c r="T82" i="9"/>
  <c r="S82" i="9"/>
  <c r="AA494" i="9"/>
  <c r="F495" i="9"/>
  <c r="AG504" i="9"/>
  <c r="AH505" i="9"/>
  <c r="AI506" i="9"/>
  <c r="AA510" i="9"/>
  <c r="F511" i="9"/>
  <c r="H512" i="9"/>
  <c r="AU14" i="9"/>
  <c r="AS16" i="9"/>
  <c r="AP16" i="9"/>
  <c r="AO16" i="9"/>
  <c r="T17" i="9"/>
  <c r="T21" i="9"/>
  <c r="AS28" i="9"/>
  <c r="AR28" i="9"/>
  <c r="AQ28" i="9"/>
  <c r="AM28" i="9"/>
  <c r="U28" i="9"/>
  <c r="T28" i="9"/>
  <c r="AN36" i="9"/>
  <c r="AP40" i="9"/>
  <c r="AQ44" i="9"/>
  <c r="R47" i="9"/>
  <c r="AS47" i="9"/>
  <c r="AQ47" i="9"/>
  <c r="AW47" i="9"/>
  <c r="AT47" i="9"/>
  <c r="AR47" i="9"/>
  <c r="AU47" i="9"/>
  <c r="AP47" i="9"/>
  <c r="AO47" i="9"/>
  <c r="AU83" i="9"/>
  <c r="AT83" i="9"/>
  <c r="AQ83" i="9"/>
  <c r="AS83" i="9"/>
  <c r="AR83" i="9"/>
  <c r="U83" i="9"/>
  <c r="S83" i="9"/>
  <c r="AV83" i="9"/>
  <c r="AP83" i="9"/>
  <c r="AO83" i="9"/>
  <c r="T83" i="9"/>
  <c r="AW83" i="9"/>
  <c r="AN83" i="9"/>
  <c r="AM83" i="9"/>
  <c r="AA493" i="9"/>
  <c r="F494" i="9"/>
  <c r="G495" i="9"/>
  <c r="AA509" i="9"/>
  <c r="F510" i="9"/>
  <c r="G511" i="9"/>
  <c r="AB512" i="9"/>
  <c r="R16" i="9"/>
  <c r="U17" i="9"/>
  <c r="AS20" i="9"/>
  <c r="AV20" i="9"/>
  <c r="AU20" i="9"/>
  <c r="AT20" i="9"/>
  <c r="U21" i="9"/>
  <c r="R28" i="9"/>
  <c r="AT36" i="9"/>
  <c r="AW40" i="9"/>
  <c r="AR44" i="9"/>
  <c r="S47" i="9"/>
  <c r="R83" i="9"/>
  <c r="AW41" i="9"/>
  <c r="AW44" i="9"/>
  <c r="AW84" i="9"/>
  <c r="AW37" i="9"/>
  <c r="R45" i="9"/>
  <c r="AS45" i="9"/>
  <c r="AQ45" i="9"/>
  <c r="AN45" i="9"/>
  <c r="AM45" i="9"/>
  <c r="U45" i="9"/>
  <c r="T45" i="9"/>
  <c r="S45" i="9"/>
  <c r="AA506" i="9"/>
  <c r="AE512" i="9"/>
  <c r="AO17" i="9"/>
  <c r="AO21" i="9"/>
  <c r="AS30" i="9"/>
  <c r="AU30" i="9"/>
  <c r="AV30" i="9"/>
  <c r="AT30" i="9"/>
  <c r="AR30" i="9"/>
  <c r="AO30" i="9"/>
  <c r="AN30" i="9"/>
  <c r="AM30" i="9"/>
  <c r="R39" i="9"/>
  <c r="AS39" i="9"/>
  <c r="AV39" i="9"/>
  <c r="AR39" i="9"/>
  <c r="AQ39" i="9"/>
  <c r="AW39" i="9"/>
  <c r="AU39" i="9"/>
  <c r="AT39" i="9"/>
  <c r="AN39" i="9"/>
  <c r="AM39" i="9"/>
  <c r="U39" i="9"/>
  <c r="AO45" i="9"/>
  <c r="AA505" i="9"/>
  <c r="F506" i="9"/>
  <c r="AF512" i="9"/>
  <c r="AT17" i="9"/>
  <c r="AS19" i="9"/>
  <c r="AU19" i="9"/>
  <c r="AT19" i="9"/>
  <c r="AR19" i="9"/>
  <c r="AP21" i="9"/>
  <c r="AW23" i="9"/>
  <c r="R30" i="9"/>
  <c r="AU32" i="9"/>
  <c r="S39" i="9"/>
  <c r="AP45" i="9"/>
  <c r="AS70" i="9"/>
  <c r="AA504" i="9"/>
  <c r="F505" i="9"/>
  <c r="G506" i="9"/>
  <c r="AG512" i="9"/>
  <c r="AS14" i="9"/>
  <c r="AN14" i="9"/>
  <c r="AM14" i="9"/>
  <c r="AU17" i="9"/>
  <c r="R19" i="9"/>
  <c r="AQ21" i="9"/>
  <c r="AS27" i="9"/>
  <c r="AQ27" i="9"/>
  <c r="AP27" i="9"/>
  <c r="U27" i="9"/>
  <c r="T27" i="9"/>
  <c r="S27" i="9"/>
  <c r="S30" i="9"/>
  <c r="T39" i="9"/>
  <c r="AR45" i="9"/>
  <c r="AU81" i="9"/>
  <c r="AT81" i="9"/>
  <c r="AQ81" i="9"/>
  <c r="AP81" i="9"/>
  <c r="AO81" i="9"/>
  <c r="U81" i="9"/>
  <c r="T81" i="9"/>
  <c r="AW81" i="9"/>
  <c r="AV81" i="9"/>
  <c r="AS81" i="9"/>
  <c r="AR81" i="9"/>
  <c r="S81" i="9"/>
  <c r="R119" i="9"/>
  <c r="AU119" i="9"/>
  <c r="AT119" i="9"/>
  <c r="AQ119" i="9"/>
  <c r="AS119" i="9"/>
  <c r="AR119" i="9"/>
  <c r="AN119" i="9"/>
  <c r="AM119" i="9"/>
  <c r="AO119" i="9"/>
  <c r="U119" i="9"/>
  <c r="T119" i="9"/>
  <c r="AV119" i="9"/>
  <c r="R123" i="9"/>
  <c r="AU123" i="9"/>
  <c r="AT123" i="9"/>
  <c r="AQ123" i="9"/>
  <c r="AS123" i="9"/>
  <c r="AR123" i="9"/>
  <c r="AN123" i="9"/>
  <c r="AM123" i="9"/>
  <c r="U123" i="9"/>
  <c r="T123" i="9"/>
  <c r="S123" i="9"/>
  <c r="AP123" i="9"/>
  <c r="R134" i="9"/>
  <c r="AU134" i="9"/>
  <c r="AT134" i="9"/>
  <c r="AQ134" i="9"/>
  <c r="T134" i="9"/>
  <c r="AS134" i="9"/>
  <c r="AR134" i="9"/>
  <c r="AN134" i="9"/>
  <c r="AM134" i="9"/>
  <c r="AW134" i="9"/>
  <c r="AV134" i="9"/>
  <c r="AP134" i="9"/>
  <c r="AO134" i="9"/>
  <c r="AW100" i="9"/>
  <c r="AW123" i="9"/>
  <c r="R116" i="9"/>
  <c r="AU116" i="9"/>
  <c r="AT116" i="9"/>
  <c r="AQ116" i="9"/>
  <c r="AS116" i="9"/>
  <c r="AR116" i="9"/>
  <c r="U116" i="9"/>
  <c r="S116" i="9"/>
  <c r="AW116" i="9"/>
  <c r="AV116" i="9"/>
  <c r="AP116" i="9"/>
  <c r="AO116" i="9"/>
  <c r="R120" i="9"/>
  <c r="AU120" i="9"/>
  <c r="AT120" i="9"/>
  <c r="AQ120" i="9"/>
  <c r="AS120" i="9"/>
  <c r="AR120" i="9"/>
  <c r="U120" i="9"/>
  <c r="S120" i="9"/>
  <c r="AW120" i="9"/>
  <c r="AV120" i="9"/>
  <c r="AP120" i="9"/>
  <c r="AO120" i="9"/>
  <c r="AN120" i="9"/>
  <c r="R124" i="9"/>
  <c r="AU124" i="9"/>
  <c r="AT124" i="9"/>
  <c r="AQ124" i="9"/>
  <c r="AS124" i="9"/>
  <c r="AR124" i="9"/>
  <c r="U124" i="9"/>
  <c r="S124" i="9"/>
  <c r="AV124" i="9"/>
  <c r="AP124" i="9"/>
  <c r="AO124" i="9"/>
  <c r="AN124" i="9"/>
  <c r="AM124" i="9"/>
  <c r="AS65" i="9"/>
  <c r="AU97" i="9"/>
  <c r="AT97" i="9"/>
  <c r="AQ97" i="9"/>
  <c r="AP97" i="9"/>
  <c r="AO97" i="9"/>
  <c r="U97" i="9"/>
  <c r="T97" i="9"/>
  <c r="AW97" i="9"/>
  <c r="AV97" i="9"/>
  <c r="AR97" i="9"/>
  <c r="AN97" i="9"/>
  <c r="T116" i="9"/>
  <c r="T120" i="9"/>
  <c r="T124" i="9"/>
  <c r="AS71" i="9"/>
  <c r="R97" i="9"/>
  <c r="AW106" i="9"/>
  <c r="AM116" i="9"/>
  <c r="AM120" i="9"/>
  <c r="AW124" i="9"/>
  <c r="AS25" i="9"/>
  <c r="AR32" i="9"/>
  <c r="AS35" i="9"/>
  <c r="AM35" i="9"/>
  <c r="S35" i="9"/>
  <c r="R35" i="9"/>
  <c r="AV37" i="9"/>
  <c r="R42" i="9"/>
  <c r="AS42" i="9"/>
  <c r="T42" i="9"/>
  <c r="S97" i="9"/>
  <c r="AN116" i="9"/>
  <c r="AP121" i="9"/>
  <c r="AP125" i="9"/>
  <c r="R128" i="9"/>
  <c r="AU128" i="9"/>
  <c r="AT128" i="9"/>
  <c r="AQ128" i="9"/>
  <c r="AS128" i="9"/>
  <c r="AR128" i="9"/>
  <c r="U128" i="9"/>
  <c r="S128" i="9"/>
  <c r="AP128" i="9"/>
  <c r="AO128" i="9"/>
  <c r="AN128" i="9"/>
  <c r="AM128" i="9"/>
  <c r="T128" i="9"/>
  <c r="AS24" i="9"/>
  <c r="R25" i="9"/>
  <c r="AT32" i="9"/>
  <c r="T35" i="9"/>
  <c r="S42" i="9"/>
  <c r="AM97" i="9"/>
  <c r="AV128" i="9"/>
  <c r="AS23" i="9"/>
  <c r="S25" i="9"/>
  <c r="U35" i="9"/>
  <c r="R38" i="9"/>
  <c r="AS38" i="9"/>
  <c r="AT38" i="9"/>
  <c r="AP38" i="9"/>
  <c r="AO38" i="9"/>
  <c r="U42" i="9"/>
  <c r="AS67" i="9"/>
  <c r="AU95" i="9"/>
  <c r="AT95" i="9"/>
  <c r="AQ95" i="9"/>
  <c r="S95" i="9"/>
  <c r="R95" i="9"/>
  <c r="AP95" i="9"/>
  <c r="AN95" i="9"/>
  <c r="AV95" i="9"/>
  <c r="AS95" i="9"/>
  <c r="AS97" i="9"/>
  <c r="AS101" i="9"/>
  <c r="AW128" i="9"/>
  <c r="R132" i="9"/>
  <c r="AU132" i="9"/>
  <c r="AT132" i="9"/>
  <c r="AQ132" i="9"/>
  <c r="T132" i="9"/>
  <c r="AW132" i="9"/>
  <c r="AV132" i="9"/>
  <c r="AN132" i="9"/>
  <c r="U132" i="9"/>
  <c r="AR132" i="9"/>
  <c r="AP132" i="9"/>
  <c r="AO132" i="9"/>
  <c r="AM132" i="9"/>
  <c r="S132" i="9"/>
  <c r="AU88" i="9"/>
  <c r="AT88" i="9"/>
  <c r="AQ88" i="9"/>
  <c r="AW88" i="9"/>
  <c r="AR88" i="9"/>
  <c r="AP88" i="9"/>
  <c r="T88" i="9"/>
  <c r="R88" i="9"/>
  <c r="AO88" i="9"/>
  <c r="U88" i="9"/>
  <c r="S88" i="9"/>
  <c r="AW104" i="9"/>
  <c r="AS132" i="9"/>
  <c r="AS32" i="9"/>
  <c r="AW32" i="9"/>
  <c r="AS75" i="9"/>
  <c r="AM88" i="9"/>
  <c r="R133" i="9"/>
  <c r="AU133" i="9"/>
  <c r="AT133" i="9"/>
  <c r="AQ133" i="9"/>
  <c r="T133" i="9"/>
  <c r="AM133" i="9"/>
  <c r="U133" i="9"/>
  <c r="AV133" i="9"/>
  <c r="AR133" i="9"/>
  <c r="AO133" i="9"/>
  <c r="AN133" i="9"/>
  <c r="S133" i="9"/>
  <c r="AS133" i="9"/>
  <c r="AW228" i="9"/>
  <c r="R32" i="9"/>
  <c r="R37" i="9"/>
  <c r="AS37" i="9"/>
  <c r="AQ37" i="9"/>
  <c r="AN37" i="9"/>
  <c r="AM37" i="9"/>
  <c r="AS63" i="9"/>
  <c r="AS77" i="9"/>
  <c r="AU86" i="9"/>
  <c r="AT86" i="9"/>
  <c r="AQ86" i="9"/>
  <c r="AO86" i="9"/>
  <c r="AN86" i="9"/>
  <c r="T86" i="9"/>
  <c r="S86" i="9"/>
  <c r="AV86" i="9"/>
  <c r="AS86" i="9"/>
  <c r="AM86" i="9"/>
  <c r="U86" i="9"/>
  <c r="AN88" i="9"/>
  <c r="AU99" i="9"/>
  <c r="AT99" i="9"/>
  <c r="AQ99" i="9"/>
  <c r="AS99" i="9"/>
  <c r="AR99" i="9"/>
  <c r="U99" i="9"/>
  <c r="S99" i="9"/>
  <c r="AW99" i="9"/>
  <c r="AV99" i="9"/>
  <c r="AO99" i="9"/>
  <c r="AN99" i="9"/>
  <c r="AP133" i="9"/>
  <c r="AV191" i="9"/>
  <c r="AU191" i="9"/>
  <c r="AP191" i="9"/>
  <c r="AO191" i="9"/>
  <c r="AW191" i="9"/>
  <c r="AT191" i="9"/>
  <c r="AQ191" i="9"/>
  <c r="AN191" i="9"/>
  <c r="T191" i="9"/>
  <c r="AM191" i="9"/>
  <c r="U191" i="9"/>
  <c r="S191" i="9"/>
  <c r="R191" i="9"/>
  <c r="AS191" i="9"/>
  <c r="AR191" i="9"/>
  <c r="R112" i="9"/>
  <c r="AU112" i="9"/>
  <c r="AT112" i="9"/>
  <c r="AQ112" i="9"/>
  <c r="AS112" i="9"/>
  <c r="AR112" i="9"/>
  <c r="U112" i="9"/>
  <c r="S112" i="9"/>
  <c r="R136" i="9"/>
  <c r="AU136" i="9"/>
  <c r="AT136" i="9"/>
  <c r="AQ136" i="9"/>
  <c r="T136" i="9"/>
  <c r="U136" i="9"/>
  <c r="S136" i="9"/>
  <c r="AS136" i="9"/>
  <c r="AP136" i="9"/>
  <c r="AV196" i="9"/>
  <c r="AU196" i="9"/>
  <c r="S196" i="9"/>
  <c r="R196" i="9"/>
  <c r="AW196" i="9"/>
  <c r="AR196" i="9"/>
  <c r="AQ196" i="9"/>
  <c r="AN196" i="9"/>
  <c r="AS196" i="9"/>
  <c r="AP196" i="9"/>
  <c r="AO196" i="9"/>
  <c r="AM196" i="9"/>
  <c r="U196" i="9"/>
  <c r="T196" i="9"/>
  <c r="AV220" i="9"/>
  <c r="AU220" i="9"/>
  <c r="AN220" i="9"/>
  <c r="S220" i="9"/>
  <c r="R220" i="9"/>
  <c r="AT220" i="9"/>
  <c r="AW220" i="9"/>
  <c r="AS220" i="9"/>
  <c r="AP220" i="9"/>
  <c r="AR220" i="9"/>
  <c r="AQ220" i="9"/>
  <c r="AO220" i="9"/>
  <c r="U267" i="9"/>
  <c r="T267" i="9"/>
  <c r="AU267" i="9"/>
  <c r="AT267" i="9"/>
  <c r="AQ267" i="9"/>
  <c r="R267" i="9"/>
  <c r="AS267" i="9"/>
  <c r="AR267" i="9"/>
  <c r="AN267" i="9"/>
  <c r="AM267" i="9"/>
  <c r="AW267" i="9"/>
  <c r="AV267" i="9"/>
  <c r="AO267" i="9"/>
  <c r="S267" i="9"/>
  <c r="AP267" i="9"/>
  <c r="AU188" i="9"/>
  <c r="AM188" i="9"/>
  <c r="U188" i="9"/>
  <c r="S188" i="9"/>
  <c r="R188" i="9"/>
  <c r="AT188" i="9"/>
  <c r="AN188" i="9"/>
  <c r="AW188" i="9"/>
  <c r="AV188" i="9"/>
  <c r="AS188" i="9"/>
  <c r="AR188" i="9"/>
  <c r="AQ188" i="9"/>
  <c r="AP188" i="9"/>
  <c r="AV192" i="9"/>
  <c r="AU192" i="9"/>
  <c r="AR192" i="9"/>
  <c r="AQ192" i="9"/>
  <c r="AW192" i="9"/>
  <c r="AT192" i="9"/>
  <c r="AO192" i="9"/>
  <c r="R192" i="9"/>
  <c r="AS192" i="9"/>
  <c r="AP192" i="9"/>
  <c r="AN192" i="9"/>
  <c r="AM192" i="9"/>
  <c r="U192" i="9"/>
  <c r="T192" i="9"/>
  <c r="AT196" i="9"/>
  <c r="T220" i="9"/>
  <c r="AO344" i="9"/>
  <c r="AN344" i="9"/>
  <c r="T344" i="9"/>
  <c r="S344" i="9"/>
  <c r="AW344" i="9"/>
  <c r="AV344" i="9"/>
  <c r="AS344" i="9"/>
  <c r="AR344" i="9"/>
  <c r="R344" i="9"/>
  <c r="AT344" i="9"/>
  <c r="AQ344" i="9"/>
  <c r="U344" i="9"/>
  <c r="AM344" i="9"/>
  <c r="AU344" i="9"/>
  <c r="R145" i="9"/>
  <c r="AU145" i="9"/>
  <c r="AT145" i="9"/>
  <c r="AQ145" i="9"/>
  <c r="T145" i="9"/>
  <c r="AW145" i="9"/>
  <c r="AO145" i="9"/>
  <c r="AM145" i="9"/>
  <c r="AS179" i="9"/>
  <c r="T188" i="9"/>
  <c r="S192" i="9"/>
  <c r="AW197" i="9"/>
  <c r="AV216" i="9"/>
  <c r="AU216" i="9"/>
  <c r="AR216" i="9"/>
  <c r="AQ216" i="9"/>
  <c r="U216" i="9"/>
  <c r="AW216" i="9"/>
  <c r="AT216" i="9"/>
  <c r="AO216" i="9"/>
  <c r="AN216" i="9"/>
  <c r="S216" i="9"/>
  <c r="AS216" i="9"/>
  <c r="AP216" i="9"/>
  <c r="AM216" i="9"/>
  <c r="T216" i="9"/>
  <c r="U220" i="9"/>
  <c r="T288" i="9"/>
  <c r="AS288" i="9"/>
  <c r="AR288" i="9"/>
  <c r="AO288" i="9"/>
  <c r="AN288" i="9"/>
  <c r="AU288" i="9"/>
  <c r="AT288" i="9"/>
  <c r="AM288" i="9"/>
  <c r="U288" i="9"/>
  <c r="S288" i="9"/>
  <c r="AW288" i="9"/>
  <c r="AV288" i="9"/>
  <c r="AP288" i="9"/>
  <c r="AQ288" i="9"/>
  <c r="AP344" i="9"/>
  <c r="R141" i="9"/>
  <c r="AU141" i="9"/>
  <c r="AT141" i="9"/>
  <c r="AQ141" i="9"/>
  <c r="T141" i="9"/>
  <c r="AW141" i="9"/>
  <c r="AR141" i="9"/>
  <c r="AP141" i="9"/>
  <c r="S141" i="9"/>
  <c r="S145" i="9"/>
  <c r="AO188" i="9"/>
  <c r="AV193" i="9"/>
  <c r="AU193" i="9"/>
  <c r="AT193" i="9"/>
  <c r="AS193" i="9"/>
  <c r="T193" i="9"/>
  <c r="S193" i="9"/>
  <c r="AW193" i="9"/>
  <c r="AM193" i="9"/>
  <c r="AP193" i="9"/>
  <c r="AO193" i="9"/>
  <c r="AN193" i="9"/>
  <c r="U193" i="9"/>
  <c r="R216" i="9"/>
  <c r="AM220" i="9"/>
  <c r="R288" i="9"/>
  <c r="AO345" i="9"/>
  <c r="AN345" i="9"/>
  <c r="T345" i="9"/>
  <c r="S345" i="9"/>
  <c r="AW345" i="9"/>
  <c r="AV345" i="9"/>
  <c r="AQ345" i="9"/>
  <c r="AM345" i="9"/>
  <c r="U345" i="9"/>
  <c r="R345" i="9"/>
  <c r="AR345" i="9"/>
  <c r="AT345" i="9"/>
  <c r="AS345" i="9"/>
  <c r="AU345" i="9"/>
  <c r="AP345" i="9"/>
  <c r="AS34" i="9"/>
  <c r="AV41" i="9"/>
  <c r="R43" i="9"/>
  <c r="AS43" i="9"/>
  <c r="AS64" i="9"/>
  <c r="AU90" i="9"/>
  <c r="AT90" i="9"/>
  <c r="AQ90" i="9"/>
  <c r="T90" i="9"/>
  <c r="S90" i="9"/>
  <c r="AR90" i="9"/>
  <c r="AO90" i="9"/>
  <c r="AU92" i="9"/>
  <c r="AT92" i="9"/>
  <c r="AQ92" i="9"/>
  <c r="AR92" i="9"/>
  <c r="AP92" i="9"/>
  <c r="AM92" i="9"/>
  <c r="U92" i="9"/>
  <c r="AP112" i="9"/>
  <c r="AV136" i="9"/>
  <c r="U141" i="9"/>
  <c r="U145" i="9"/>
  <c r="R193" i="9"/>
  <c r="AT200" i="9"/>
  <c r="AW221" i="9"/>
  <c r="AW230" i="9"/>
  <c r="AS33" i="9"/>
  <c r="R34" i="9"/>
  <c r="S43" i="9"/>
  <c r="AS69" i="9"/>
  <c r="AS74" i="9"/>
  <c r="AU94" i="9"/>
  <c r="AT94" i="9"/>
  <c r="AQ94" i="9"/>
  <c r="AV94" i="9"/>
  <c r="AS94" i="9"/>
  <c r="AM94" i="9"/>
  <c r="T94" i="9"/>
  <c r="AP105" i="9"/>
  <c r="AV112" i="9"/>
  <c r="AW136" i="9"/>
  <c r="AR139" i="9"/>
  <c r="AM141" i="9"/>
  <c r="AN145" i="9"/>
  <c r="AQ193" i="9"/>
  <c r="AV225" i="9"/>
  <c r="AU225" i="9"/>
  <c r="AR225" i="9"/>
  <c r="S225" i="9"/>
  <c r="AP225" i="9"/>
  <c r="AN225" i="9"/>
  <c r="AS225" i="9"/>
  <c r="AQ225" i="9"/>
  <c r="U225" i="9"/>
  <c r="AW225" i="9"/>
  <c r="AT225" i="9"/>
  <c r="AO225" i="9"/>
  <c r="AM225" i="9"/>
  <c r="T225" i="9"/>
  <c r="R225" i="9"/>
  <c r="R107" i="9"/>
  <c r="AU107" i="9"/>
  <c r="AT107" i="9"/>
  <c r="AQ107" i="9"/>
  <c r="AS107" i="9"/>
  <c r="AR107" i="9"/>
  <c r="AN107" i="9"/>
  <c r="AM107" i="9"/>
  <c r="AP109" i="9"/>
  <c r="AW112" i="9"/>
  <c r="R137" i="9"/>
  <c r="AU137" i="9"/>
  <c r="AT137" i="9"/>
  <c r="AQ137" i="9"/>
  <c r="T137" i="9"/>
  <c r="AR137" i="9"/>
  <c r="AP137" i="9"/>
  <c r="AM137" i="9"/>
  <c r="U137" i="9"/>
  <c r="AN141" i="9"/>
  <c r="AP145" i="9"/>
  <c r="AW180" i="9"/>
  <c r="AW185" i="9"/>
  <c r="AR193" i="9"/>
  <c r="AW213" i="9"/>
  <c r="T331" i="9"/>
  <c r="S331" i="9"/>
  <c r="AR331" i="9"/>
  <c r="AQ331" i="9"/>
  <c r="AN331" i="9"/>
  <c r="AM331" i="9"/>
  <c r="AV331" i="9"/>
  <c r="AW331" i="9"/>
  <c r="AS331" i="9"/>
  <c r="AP331" i="9"/>
  <c r="R331" i="9"/>
  <c r="AU331" i="9"/>
  <c r="AT331" i="9"/>
  <c r="AO331" i="9"/>
  <c r="U331" i="9"/>
  <c r="AV96" i="9"/>
  <c r="S107" i="9"/>
  <c r="R111" i="9"/>
  <c r="AU111" i="9"/>
  <c r="AT111" i="9"/>
  <c r="AQ111" i="9"/>
  <c r="AS111" i="9"/>
  <c r="AR111" i="9"/>
  <c r="AN111" i="9"/>
  <c r="AM111" i="9"/>
  <c r="AP113" i="9"/>
  <c r="S137" i="9"/>
  <c r="AO141" i="9"/>
  <c r="AR145" i="9"/>
  <c r="AV194" i="9"/>
  <c r="AU194" i="9"/>
  <c r="AW194" i="9"/>
  <c r="AO194" i="9"/>
  <c r="AN194" i="9"/>
  <c r="T194" i="9"/>
  <c r="S194" i="9"/>
  <c r="AQ194" i="9"/>
  <c r="AT194" i="9"/>
  <c r="AS194" i="9"/>
  <c r="AR194" i="9"/>
  <c r="AP194" i="9"/>
  <c r="AM194" i="9"/>
  <c r="U194" i="9"/>
  <c r="AO358" i="9"/>
  <c r="AN358" i="9"/>
  <c r="T358" i="9"/>
  <c r="S358" i="9"/>
  <c r="AW358" i="9"/>
  <c r="AS358" i="9"/>
  <c r="AR358" i="9"/>
  <c r="AM358" i="9"/>
  <c r="U358" i="9"/>
  <c r="AP358" i="9"/>
  <c r="R358" i="9"/>
  <c r="AT358" i="9"/>
  <c r="AV358" i="9"/>
  <c r="AU358" i="9"/>
  <c r="AQ358" i="9"/>
  <c r="R41" i="9"/>
  <c r="AS41" i="9"/>
  <c r="AS68" i="9"/>
  <c r="AS85" i="9"/>
  <c r="AU98" i="9"/>
  <c r="AT98" i="9"/>
  <c r="AQ98" i="9"/>
  <c r="AV98" i="9"/>
  <c r="AS98" i="9"/>
  <c r="AO98" i="9"/>
  <c r="AN98" i="9"/>
  <c r="R98" i="9"/>
  <c r="T107" i="9"/>
  <c r="S111" i="9"/>
  <c r="R115" i="9"/>
  <c r="AU115" i="9"/>
  <c r="AT115" i="9"/>
  <c r="AQ115" i="9"/>
  <c r="AS115" i="9"/>
  <c r="AR115" i="9"/>
  <c r="AN115" i="9"/>
  <c r="AM115" i="9"/>
  <c r="AP117" i="9"/>
  <c r="R135" i="9"/>
  <c r="AU135" i="9"/>
  <c r="AT135" i="9"/>
  <c r="AQ135" i="9"/>
  <c r="T135" i="9"/>
  <c r="AV135" i="9"/>
  <c r="AS135" i="9"/>
  <c r="AM135" i="9"/>
  <c r="S135" i="9"/>
  <c r="AN137" i="9"/>
  <c r="AS141" i="9"/>
  <c r="AS145" i="9"/>
  <c r="R194" i="9"/>
  <c r="U235" i="9"/>
  <c r="T235" i="9"/>
  <c r="AW235" i="9"/>
  <c r="AT235" i="9"/>
  <c r="S235" i="9"/>
  <c r="R235" i="9"/>
  <c r="AR235" i="9"/>
  <c r="AP235" i="9"/>
  <c r="AN235" i="9"/>
  <c r="AM235" i="9"/>
  <c r="AQ235" i="9"/>
  <c r="AV235" i="9"/>
  <c r="AU235" i="9"/>
  <c r="AS235" i="9"/>
  <c r="AV141" i="9"/>
  <c r="AV145" i="9"/>
  <c r="AU186" i="9"/>
  <c r="T186" i="9"/>
  <c r="S186" i="9"/>
  <c r="AW186" i="9"/>
  <c r="AV186" i="9"/>
  <c r="AR186" i="9"/>
  <c r="AQ186" i="9"/>
  <c r="AN186" i="9"/>
  <c r="AT186" i="9"/>
  <c r="AS186" i="9"/>
  <c r="AP186" i="9"/>
  <c r="AO186" i="9"/>
  <c r="AP142" i="9"/>
  <c r="R186" i="9"/>
  <c r="AW89" i="9"/>
  <c r="AP107" i="9"/>
  <c r="AO111" i="9"/>
  <c r="R127" i="9"/>
  <c r="AU127" i="9"/>
  <c r="AT127" i="9"/>
  <c r="AQ127" i="9"/>
  <c r="AS127" i="9"/>
  <c r="AR127" i="9"/>
  <c r="AN127" i="9"/>
  <c r="AM127" i="9"/>
  <c r="AP129" i="9"/>
  <c r="AV137" i="9"/>
  <c r="U186" i="9"/>
  <c r="AS72" i="9"/>
  <c r="AU102" i="9"/>
  <c r="AT102" i="9"/>
  <c r="AQ102" i="9"/>
  <c r="AO102" i="9"/>
  <c r="AN102" i="9"/>
  <c r="T102" i="9"/>
  <c r="S102" i="9"/>
  <c r="AV102" i="9"/>
  <c r="AV107" i="9"/>
  <c r="AP111" i="9"/>
  <c r="S127" i="9"/>
  <c r="R131" i="9"/>
  <c r="AU131" i="9"/>
  <c r="AT131" i="9"/>
  <c r="AQ131" i="9"/>
  <c r="T131" i="9"/>
  <c r="AV131" i="9"/>
  <c r="AS131" i="9"/>
  <c r="AO131" i="9"/>
  <c r="AN131" i="9"/>
  <c r="AW137" i="9"/>
  <c r="AM186" i="9"/>
  <c r="AS223" i="9"/>
  <c r="AV232" i="9"/>
  <c r="AU232" i="9"/>
  <c r="AR232" i="9"/>
  <c r="AO232" i="9"/>
  <c r="AN232" i="9"/>
  <c r="T232" i="9"/>
  <c r="S232" i="9"/>
  <c r="AT232" i="9"/>
  <c r="AS232" i="9"/>
  <c r="AQ232" i="9"/>
  <c r="U232" i="9"/>
  <c r="AW232" i="9"/>
  <c r="AP232" i="9"/>
  <c r="U240" i="9"/>
  <c r="T240" i="9"/>
  <c r="AS240" i="9"/>
  <c r="AR240" i="9"/>
  <c r="AO240" i="9"/>
  <c r="AN240" i="9"/>
  <c r="R240" i="9"/>
  <c r="AV240" i="9"/>
  <c r="AU240" i="9"/>
  <c r="AP240" i="9"/>
  <c r="AM240" i="9"/>
  <c r="AW240" i="9"/>
  <c r="S240" i="9"/>
  <c r="AT240" i="9"/>
  <c r="AS76" i="9"/>
  <c r="AU91" i="9"/>
  <c r="AT91" i="9"/>
  <c r="AQ91" i="9"/>
  <c r="AN91" i="9"/>
  <c r="AM91" i="9"/>
  <c r="S91" i="9"/>
  <c r="R91" i="9"/>
  <c r="AW91" i="9"/>
  <c r="AS91" i="9"/>
  <c r="R102" i="9"/>
  <c r="R104" i="9"/>
  <c r="AU104" i="9"/>
  <c r="AT104" i="9"/>
  <c r="AQ104" i="9"/>
  <c r="AS104" i="9"/>
  <c r="AR104" i="9"/>
  <c r="U104" i="9"/>
  <c r="S104" i="9"/>
  <c r="AW107" i="9"/>
  <c r="AV111" i="9"/>
  <c r="T127" i="9"/>
  <c r="S131" i="9"/>
  <c r="R140" i="9"/>
  <c r="AU140" i="9"/>
  <c r="AT140" i="9"/>
  <c r="AQ140" i="9"/>
  <c r="T140" i="9"/>
  <c r="AP140" i="9"/>
  <c r="AO140" i="9"/>
  <c r="U140" i="9"/>
  <c r="S140" i="9"/>
  <c r="AW140" i="9"/>
  <c r="AS187" i="9"/>
  <c r="AV205" i="9"/>
  <c r="AU205" i="9"/>
  <c r="U205" i="9"/>
  <c r="T205" i="9"/>
  <c r="AS205" i="9"/>
  <c r="AR205" i="9"/>
  <c r="AO205" i="9"/>
  <c r="AQ205" i="9"/>
  <c r="AP205" i="9"/>
  <c r="AN205" i="9"/>
  <c r="AM205" i="9"/>
  <c r="S205" i="9"/>
  <c r="R205" i="9"/>
  <c r="U256" i="9"/>
  <c r="T256" i="9"/>
  <c r="AS256" i="9"/>
  <c r="AR256" i="9"/>
  <c r="AO256" i="9"/>
  <c r="AN256" i="9"/>
  <c r="R256" i="9"/>
  <c r="AU256" i="9"/>
  <c r="AT256" i="9"/>
  <c r="AQ256" i="9"/>
  <c r="AW256" i="9"/>
  <c r="AM256" i="9"/>
  <c r="AV256" i="9"/>
  <c r="T326" i="9"/>
  <c r="S326" i="9"/>
  <c r="AW326" i="9"/>
  <c r="AT326" i="9"/>
  <c r="AS326" i="9"/>
  <c r="AN326" i="9"/>
  <c r="U326" i="9"/>
  <c r="AU326" i="9"/>
  <c r="AR326" i="9"/>
  <c r="AO326" i="9"/>
  <c r="AM326" i="9"/>
  <c r="AV326" i="9"/>
  <c r="AP326" i="9"/>
  <c r="AQ326" i="9"/>
  <c r="R326" i="9"/>
  <c r="AS200" i="9"/>
  <c r="AS206" i="9"/>
  <c r="AP213" i="9"/>
  <c r="AS221" i="9"/>
  <c r="AQ228" i="9"/>
  <c r="AS265" i="9"/>
  <c r="AQ48" i="9"/>
  <c r="AQ49" i="9"/>
  <c r="AQ50" i="9"/>
  <c r="AQ51" i="9"/>
  <c r="AQ52" i="9"/>
  <c r="AQ53" i="9"/>
  <c r="AQ54" i="9"/>
  <c r="AM84" i="9"/>
  <c r="AU93" i="9"/>
  <c r="AT93" i="9"/>
  <c r="AQ93" i="9"/>
  <c r="AM100" i="9"/>
  <c r="AN105" i="9"/>
  <c r="AN109" i="9"/>
  <c r="AN113" i="9"/>
  <c r="R138" i="9"/>
  <c r="AU138" i="9"/>
  <c r="AT138" i="9"/>
  <c r="AQ138" i="9"/>
  <c r="T138" i="9"/>
  <c r="AU178" i="9"/>
  <c r="AV204" i="9"/>
  <c r="AU204" i="9"/>
  <c r="S204" i="9"/>
  <c r="R204" i="9"/>
  <c r="AS204" i="9"/>
  <c r="AR204" i="9"/>
  <c r="AO204" i="9"/>
  <c r="AN204" i="9"/>
  <c r="T204" i="9"/>
  <c r="AW204" i="9"/>
  <c r="AQ213" i="9"/>
  <c r="AT221" i="9"/>
  <c r="U249" i="9"/>
  <c r="T249" i="9"/>
  <c r="AU249" i="9"/>
  <c r="AT249" i="9"/>
  <c r="AQ249" i="9"/>
  <c r="AP249" i="9"/>
  <c r="AM249" i="9"/>
  <c r="AO249" i="9"/>
  <c r="S249" i="9"/>
  <c r="AW249" i="9"/>
  <c r="AR249" i="9"/>
  <c r="U255" i="9"/>
  <c r="T255" i="9"/>
  <c r="AQ255" i="9"/>
  <c r="AP255" i="9"/>
  <c r="AM255" i="9"/>
  <c r="S255" i="9"/>
  <c r="AS255" i="9"/>
  <c r="AN255" i="9"/>
  <c r="R255" i="9"/>
  <c r="AW255" i="9"/>
  <c r="AU255" i="9"/>
  <c r="AO255" i="9"/>
  <c r="AR259" i="9"/>
  <c r="AW201" i="9"/>
  <c r="AV208" i="9"/>
  <c r="AU208" i="9"/>
  <c r="AR208" i="9"/>
  <c r="AQ208" i="9"/>
  <c r="AS208" i="9"/>
  <c r="AP208" i="9"/>
  <c r="AM208" i="9"/>
  <c r="U208" i="9"/>
  <c r="R208" i="9"/>
  <c r="AW208" i="9"/>
  <c r="AT213" i="9"/>
  <c r="AV229" i="9"/>
  <c r="AU229" i="9"/>
  <c r="AR229" i="9"/>
  <c r="AS229" i="9"/>
  <c r="AQ229" i="9"/>
  <c r="U229" i="9"/>
  <c r="S229" i="9"/>
  <c r="AP229" i="9"/>
  <c r="AO229" i="9"/>
  <c r="T229" i="9"/>
  <c r="R229" i="9"/>
  <c r="AW229" i="9"/>
  <c r="U234" i="9"/>
  <c r="S234" i="9"/>
  <c r="AW234" i="9"/>
  <c r="AV234" i="9"/>
  <c r="AS234" i="9"/>
  <c r="AT234" i="9"/>
  <c r="AR234" i="9"/>
  <c r="AM234" i="9"/>
  <c r="R234" i="9"/>
  <c r="AQ234" i="9"/>
  <c r="AP234" i="9"/>
  <c r="T234" i="9"/>
  <c r="T336" i="9"/>
  <c r="S336" i="9"/>
  <c r="U336" i="9"/>
  <c r="R336" i="9"/>
  <c r="AW336" i="9"/>
  <c r="AR336" i="9"/>
  <c r="AP336" i="9"/>
  <c r="AT336" i="9"/>
  <c r="AS336" i="9"/>
  <c r="AN336" i="9"/>
  <c r="AV336" i="9"/>
  <c r="AU336" i="9"/>
  <c r="AM336" i="9"/>
  <c r="AS48" i="9"/>
  <c r="AS49" i="9"/>
  <c r="AS50" i="9"/>
  <c r="AS51" i="9"/>
  <c r="AS52" i="9"/>
  <c r="AS53" i="9"/>
  <c r="AS54" i="9"/>
  <c r="AS55" i="9"/>
  <c r="AS56" i="9"/>
  <c r="AS57" i="9"/>
  <c r="AS58" i="9"/>
  <c r="AS59" i="9"/>
  <c r="AS60" i="9"/>
  <c r="AS61" i="9"/>
  <c r="AO84" i="9"/>
  <c r="AU87" i="9"/>
  <c r="AT87" i="9"/>
  <c r="AQ87" i="9"/>
  <c r="AN89" i="9"/>
  <c r="S93" i="9"/>
  <c r="AO100" i="9"/>
  <c r="AU103" i="9"/>
  <c r="AT103" i="9"/>
  <c r="AQ103" i="9"/>
  <c r="U138" i="9"/>
  <c r="R144" i="9"/>
  <c r="AU144" i="9"/>
  <c r="AT144" i="9"/>
  <c r="AQ144" i="9"/>
  <c r="T144" i="9"/>
  <c r="AM204" i="9"/>
  <c r="S208" i="9"/>
  <c r="AM229" i="9"/>
  <c r="AN234" i="9"/>
  <c r="AN249" i="9"/>
  <c r="AT255" i="9"/>
  <c r="U274" i="9"/>
  <c r="T274" i="9"/>
  <c r="AW274" i="9"/>
  <c r="AV274" i="9"/>
  <c r="AS274" i="9"/>
  <c r="AR274" i="9"/>
  <c r="AO274" i="9"/>
  <c r="AT274" i="9"/>
  <c r="AQ274" i="9"/>
  <c r="AM274" i="9"/>
  <c r="S274" i="9"/>
  <c r="AN274" i="9"/>
  <c r="R274" i="9"/>
  <c r="AO336" i="9"/>
  <c r="AW373" i="9"/>
  <c r="AV373" i="9"/>
  <c r="AU373" i="9"/>
  <c r="AR373" i="9"/>
  <c r="AQ373" i="9"/>
  <c r="AN373" i="9"/>
  <c r="AP373" i="9"/>
  <c r="AO373" i="9"/>
  <c r="T373" i="9"/>
  <c r="S373" i="9"/>
  <c r="AT373" i="9"/>
  <c r="U373" i="9"/>
  <c r="R373" i="9"/>
  <c r="AM373" i="9"/>
  <c r="AS373" i="9"/>
  <c r="U396" i="9"/>
  <c r="T396" i="9"/>
  <c r="AO396" i="9"/>
  <c r="S396" i="9"/>
  <c r="R396" i="9"/>
  <c r="AV396" i="9"/>
  <c r="AU396" i="9"/>
  <c r="AR396" i="9"/>
  <c r="AW396" i="9"/>
  <c r="AT396" i="9"/>
  <c r="AM396" i="9"/>
  <c r="AQ396" i="9"/>
  <c r="AS396" i="9"/>
  <c r="AN396" i="9"/>
  <c r="AU80" i="9"/>
  <c r="AT80" i="9"/>
  <c r="AQ80" i="9"/>
  <c r="AM87" i="9"/>
  <c r="AV89" i="9"/>
  <c r="AO93" i="9"/>
  <c r="AU96" i="9"/>
  <c r="AT96" i="9"/>
  <c r="AQ96" i="9"/>
  <c r="R106" i="9"/>
  <c r="AU106" i="9"/>
  <c r="AT106" i="9"/>
  <c r="AQ106" i="9"/>
  <c r="R110" i="9"/>
  <c r="AU110" i="9"/>
  <c r="AT110" i="9"/>
  <c r="AQ110" i="9"/>
  <c r="R114" i="9"/>
  <c r="AU114" i="9"/>
  <c r="AT114" i="9"/>
  <c r="AQ114" i="9"/>
  <c r="R118" i="9"/>
  <c r="AU118" i="9"/>
  <c r="AT118" i="9"/>
  <c r="AQ118" i="9"/>
  <c r="R122" i="9"/>
  <c r="AU122" i="9"/>
  <c r="AT122" i="9"/>
  <c r="AQ122" i="9"/>
  <c r="R126" i="9"/>
  <c r="AU126" i="9"/>
  <c r="AT126" i="9"/>
  <c r="AQ126" i="9"/>
  <c r="R130" i="9"/>
  <c r="AU130" i="9"/>
  <c r="AT130" i="9"/>
  <c r="AQ130" i="9"/>
  <c r="AR138" i="9"/>
  <c r="R143" i="9"/>
  <c r="AU143" i="9"/>
  <c r="AT143" i="9"/>
  <c r="AQ143" i="9"/>
  <c r="T143" i="9"/>
  <c r="AO144" i="9"/>
  <c r="AV209" i="9"/>
  <c r="AU209" i="9"/>
  <c r="AT209" i="9"/>
  <c r="AS209" i="9"/>
  <c r="AQ209" i="9"/>
  <c r="AP209" i="9"/>
  <c r="AM209" i="9"/>
  <c r="AV309" i="9"/>
  <c r="T338" i="9"/>
  <c r="S338" i="9"/>
  <c r="AP338" i="9"/>
  <c r="AO338" i="9"/>
  <c r="U338" i="9"/>
  <c r="R338" i="9"/>
  <c r="AV338" i="9"/>
  <c r="AT338" i="9"/>
  <c r="AW338" i="9"/>
  <c r="AU338" i="9"/>
  <c r="AQ338" i="9"/>
  <c r="AN338" i="9"/>
  <c r="AM338" i="9"/>
  <c r="AS338" i="9"/>
  <c r="AR338" i="9"/>
  <c r="AO346" i="9"/>
  <c r="AN346" i="9"/>
  <c r="T346" i="9"/>
  <c r="S346" i="9"/>
  <c r="AM346" i="9"/>
  <c r="U346" i="9"/>
  <c r="AU346" i="9"/>
  <c r="AS346" i="9"/>
  <c r="AV346" i="9"/>
  <c r="AT346" i="9"/>
  <c r="AP346" i="9"/>
  <c r="AQ346" i="9"/>
  <c r="R346" i="9"/>
  <c r="AW346" i="9"/>
  <c r="AP396" i="9"/>
  <c r="AU85" i="9"/>
  <c r="AT85" i="9"/>
  <c r="AQ85" i="9"/>
  <c r="AP93" i="9"/>
  <c r="AU101" i="9"/>
  <c r="AT101" i="9"/>
  <c r="AQ101" i="9"/>
  <c r="AS138" i="9"/>
  <c r="AP144" i="9"/>
  <c r="R209" i="9"/>
  <c r="AU247" i="9"/>
  <c r="AR346" i="9"/>
  <c r="AV200" i="9"/>
  <c r="AU200" i="9"/>
  <c r="AR200" i="9"/>
  <c r="AQ200" i="9"/>
  <c r="AW200" i="9"/>
  <c r="AP200" i="9"/>
  <c r="AO200" i="9"/>
  <c r="U200" i="9"/>
  <c r="AV223" i="9"/>
  <c r="AU223" i="9"/>
  <c r="AR223" i="9"/>
  <c r="AW223" i="9"/>
  <c r="AP223" i="9"/>
  <c r="AO223" i="9"/>
  <c r="S223" i="9"/>
  <c r="AT223" i="9"/>
  <c r="AN223" i="9"/>
  <c r="R200" i="9"/>
  <c r="AV213" i="9"/>
  <c r="AU213" i="9"/>
  <c r="U213" i="9"/>
  <c r="T213" i="9"/>
  <c r="AS213" i="9"/>
  <c r="AR213" i="9"/>
  <c r="AO213" i="9"/>
  <c r="AV221" i="9"/>
  <c r="AU221" i="9"/>
  <c r="AP221" i="9"/>
  <c r="U221" i="9"/>
  <c r="T221" i="9"/>
  <c r="AM221" i="9"/>
  <c r="S221" i="9"/>
  <c r="AO221" i="9"/>
  <c r="R223" i="9"/>
  <c r="AV228" i="9"/>
  <c r="AU228" i="9"/>
  <c r="AR228" i="9"/>
  <c r="AT228" i="9"/>
  <c r="AO228" i="9"/>
  <c r="AN228" i="9"/>
  <c r="R228" i="9"/>
  <c r="AS228" i="9"/>
  <c r="S228" i="9"/>
  <c r="AU84" i="9"/>
  <c r="AT84" i="9"/>
  <c r="AQ84" i="9"/>
  <c r="AU100" i="9"/>
  <c r="AT100" i="9"/>
  <c r="AQ100" i="9"/>
  <c r="R105" i="9"/>
  <c r="AU105" i="9"/>
  <c r="AT105" i="9"/>
  <c r="AQ105" i="9"/>
  <c r="R109" i="9"/>
  <c r="AU109" i="9"/>
  <c r="AT109" i="9"/>
  <c r="AQ109" i="9"/>
  <c r="R113" i="9"/>
  <c r="AU113" i="9"/>
  <c r="AT113" i="9"/>
  <c r="AQ113" i="9"/>
  <c r="R117" i="9"/>
  <c r="AU117" i="9"/>
  <c r="AT117" i="9"/>
  <c r="AQ117" i="9"/>
  <c r="R121" i="9"/>
  <c r="AU121" i="9"/>
  <c r="AT121" i="9"/>
  <c r="AQ121" i="9"/>
  <c r="R125" i="9"/>
  <c r="AU125" i="9"/>
  <c r="AT125" i="9"/>
  <c r="AQ125" i="9"/>
  <c r="R129" i="9"/>
  <c r="AU129" i="9"/>
  <c r="AT129" i="9"/>
  <c r="AQ129" i="9"/>
  <c r="R139" i="9"/>
  <c r="AU139" i="9"/>
  <c r="AT139" i="9"/>
  <c r="AQ139" i="9"/>
  <c r="T139" i="9"/>
  <c r="AW179" i="9"/>
  <c r="S179" i="9"/>
  <c r="R179" i="9"/>
  <c r="AV179" i="9"/>
  <c r="AU179" i="9"/>
  <c r="AR179" i="9"/>
  <c r="U179" i="9"/>
  <c r="AU187" i="9"/>
  <c r="U187" i="9"/>
  <c r="T187" i="9"/>
  <c r="AV187" i="9"/>
  <c r="AT187" i="9"/>
  <c r="AQ187" i="9"/>
  <c r="R187" i="9"/>
  <c r="S200" i="9"/>
  <c r="R213" i="9"/>
  <c r="AT217" i="9"/>
  <c r="R221" i="9"/>
  <c r="T223" i="9"/>
  <c r="T228" i="9"/>
  <c r="U258" i="9"/>
  <c r="T258" i="9"/>
  <c r="AW258" i="9"/>
  <c r="AV258" i="9"/>
  <c r="AS258" i="9"/>
  <c r="AR258" i="9"/>
  <c r="AO258" i="9"/>
  <c r="AU258" i="9"/>
  <c r="AP258" i="9"/>
  <c r="AN258" i="9"/>
  <c r="R258" i="9"/>
  <c r="U261" i="9"/>
  <c r="T261" i="9"/>
  <c r="AM261" i="9"/>
  <c r="S261" i="9"/>
  <c r="AU261" i="9"/>
  <c r="AO261" i="9"/>
  <c r="AW261" i="9"/>
  <c r="AV261" i="9"/>
  <c r="AP261" i="9"/>
  <c r="R261" i="9"/>
  <c r="AR261" i="9"/>
  <c r="R84" i="9"/>
  <c r="AU89" i="9"/>
  <c r="AT89" i="9"/>
  <c r="AQ89" i="9"/>
  <c r="AW93" i="9"/>
  <c r="R100" i="9"/>
  <c r="S105" i="9"/>
  <c r="S109" i="9"/>
  <c r="S113" i="9"/>
  <c r="S117" i="9"/>
  <c r="S121" i="9"/>
  <c r="S125" i="9"/>
  <c r="S129" i="9"/>
  <c r="S139" i="9"/>
  <c r="R142" i="9"/>
  <c r="AU142" i="9"/>
  <c r="AT142" i="9"/>
  <c r="AQ142" i="9"/>
  <c r="T142" i="9"/>
  <c r="T179" i="9"/>
  <c r="AU185" i="9"/>
  <c r="S185" i="9"/>
  <c r="R185" i="9"/>
  <c r="AS185" i="9"/>
  <c r="AR185" i="9"/>
  <c r="AO185" i="9"/>
  <c r="AN185" i="9"/>
  <c r="T185" i="9"/>
  <c r="AV185" i="9"/>
  <c r="S187" i="9"/>
  <c r="T200" i="9"/>
  <c r="S213" i="9"/>
  <c r="AN221" i="9"/>
  <c r="U223" i="9"/>
  <c r="U228" i="9"/>
  <c r="U245" i="9"/>
  <c r="T245" i="9"/>
  <c r="AM245" i="9"/>
  <c r="S245" i="9"/>
  <c r="AU245" i="9"/>
  <c r="AS245" i="9"/>
  <c r="AR245" i="9"/>
  <c r="AO245" i="9"/>
  <c r="AN245" i="9"/>
  <c r="AW245" i="9"/>
  <c r="AQ245" i="9"/>
  <c r="AP245" i="9"/>
  <c r="S258" i="9"/>
  <c r="AN261" i="9"/>
  <c r="T146" i="9"/>
  <c r="T147" i="9"/>
  <c r="T148" i="9"/>
  <c r="T149" i="9"/>
  <c r="T150" i="9"/>
  <c r="T151" i="9"/>
  <c r="T152" i="9"/>
  <c r="T153" i="9"/>
  <c r="U253" i="9"/>
  <c r="T253" i="9"/>
  <c r="AM253" i="9"/>
  <c r="S253" i="9"/>
  <c r="AU253" i="9"/>
  <c r="AS253" i="9"/>
  <c r="AR253" i="9"/>
  <c r="AO253" i="9"/>
  <c r="AN253" i="9"/>
  <c r="U263" i="9"/>
  <c r="T263" i="9"/>
  <c r="AQ263" i="9"/>
  <c r="AP263" i="9"/>
  <c r="AM263" i="9"/>
  <c r="S263" i="9"/>
  <c r="AS263" i="9"/>
  <c r="AW263" i="9"/>
  <c r="AT263" i="9"/>
  <c r="AR263" i="9"/>
  <c r="T291" i="9"/>
  <c r="AV291" i="9"/>
  <c r="AU291" i="9"/>
  <c r="AR291" i="9"/>
  <c r="AQ291" i="9"/>
  <c r="AW291" i="9"/>
  <c r="AP291" i="9"/>
  <c r="AO291" i="9"/>
  <c r="U291" i="9"/>
  <c r="AM291" i="9"/>
  <c r="R291" i="9"/>
  <c r="AP282" i="9"/>
  <c r="AO282" i="9"/>
  <c r="U282" i="9"/>
  <c r="T282" i="9"/>
  <c r="S282" i="9"/>
  <c r="R282" i="9"/>
  <c r="AV282" i="9"/>
  <c r="AN282" i="9"/>
  <c r="AT282" i="9"/>
  <c r="AR282" i="9"/>
  <c r="AO350" i="9"/>
  <c r="AN350" i="9"/>
  <c r="T350" i="9"/>
  <c r="S350" i="9"/>
  <c r="AM350" i="9"/>
  <c r="U350" i="9"/>
  <c r="AU350" i="9"/>
  <c r="AS350" i="9"/>
  <c r="AW350" i="9"/>
  <c r="AR350" i="9"/>
  <c r="AV350" i="9"/>
  <c r="AQ350" i="9"/>
  <c r="S379" i="9"/>
  <c r="AW379" i="9"/>
  <c r="AV379" i="9"/>
  <c r="AS379" i="9"/>
  <c r="AR379" i="9"/>
  <c r="AO379" i="9"/>
  <c r="AN379" i="9"/>
  <c r="T379" i="9"/>
  <c r="AU379" i="9"/>
  <c r="AP379" i="9"/>
  <c r="AM379" i="9"/>
  <c r="AT379" i="9"/>
  <c r="R379" i="9"/>
  <c r="AQ379" i="9"/>
  <c r="S444" i="9"/>
  <c r="AO444" i="9"/>
  <c r="AN444" i="9"/>
  <c r="T444" i="9"/>
  <c r="R444" i="9"/>
  <c r="AW444" i="9"/>
  <c r="AV444" i="9"/>
  <c r="AS444" i="9"/>
  <c r="AR444" i="9"/>
  <c r="AU444" i="9"/>
  <c r="AT444" i="9"/>
  <c r="AQ444" i="9"/>
  <c r="AM444" i="9"/>
  <c r="AP444" i="9"/>
  <c r="AO279" i="9"/>
  <c r="U279" i="9"/>
  <c r="T279" i="9"/>
  <c r="AR279" i="9"/>
  <c r="AQ279" i="9"/>
  <c r="AM279" i="9"/>
  <c r="S279" i="9"/>
  <c r="AT279" i="9"/>
  <c r="AW279" i="9"/>
  <c r="AV279" i="9"/>
  <c r="AP279" i="9"/>
  <c r="AN279" i="9"/>
  <c r="AQ282" i="9"/>
  <c r="AP350" i="9"/>
  <c r="AQ146" i="9"/>
  <c r="AQ147" i="9"/>
  <c r="AQ148" i="9"/>
  <c r="AQ149" i="9"/>
  <c r="AQ150" i="9"/>
  <c r="AQ151" i="9"/>
  <c r="AQ152" i="9"/>
  <c r="AQ153" i="9"/>
  <c r="AQ154" i="9"/>
  <c r="AQ155" i="9"/>
  <c r="AQ156" i="9"/>
  <c r="AQ157" i="9"/>
  <c r="AQ158" i="9"/>
  <c r="AQ159" i="9"/>
  <c r="AQ160" i="9"/>
  <c r="AQ161" i="9"/>
  <c r="AQ162" i="9"/>
  <c r="AQ163" i="9"/>
  <c r="AQ164" i="9"/>
  <c r="AQ165" i="9"/>
  <c r="AQ166" i="9"/>
  <c r="AQ167" i="9"/>
  <c r="AQ168" i="9"/>
  <c r="AQ169" i="9"/>
  <c r="AQ170" i="9"/>
  <c r="AQ171" i="9"/>
  <c r="AQ172" i="9"/>
  <c r="AQ173" i="9"/>
  <c r="AQ174" i="9"/>
  <c r="AQ175" i="9"/>
  <c r="AQ176" i="9"/>
  <c r="AQ177" i="9"/>
  <c r="AQ178" i="9"/>
  <c r="AU190" i="9"/>
  <c r="AO190" i="9"/>
  <c r="AN190" i="9"/>
  <c r="AR197" i="9"/>
  <c r="AV199" i="9"/>
  <c r="AU199" i="9"/>
  <c r="AP199" i="9"/>
  <c r="AO199" i="9"/>
  <c r="AP201" i="9"/>
  <c r="AV212" i="9"/>
  <c r="AU212" i="9"/>
  <c r="S212" i="9"/>
  <c r="R212" i="9"/>
  <c r="AT212" i="9"/>
  <c r="AV227" i="9"/>
  <c r="AU227" i="9"/>
  <c r="AR227" i="9"/>
  <c r="AP227" i="9"/>
  <c r="U227" i="9"/>
  <c r="T227" i="9"/>
  <c r="AW227" i="9"/>
  <c r="AW253" i="9"/>
  <c r="U277" i="9"/>
  <c r="T277" i="9"/>
  <c r="AM277" i="9"/>
  <c r="S277" i="9"/>
  <c r="AU277" i="9"/>
  <c r="AO277" i="9"/>
  <c r="AT277" i="9"/>
  <c r="AS277" i="9"/>
  <c r="R277" i="9"/>
  <c r="R279" i="9"/>
  <c r="AS282" i="9"/>
  <c r="T334" i="9"/>
  <c r="S334" i="9"/>
  <c r="AW334" i="9"/>
  <c r="AT334" i="9"/>
  <c r="AS334" i="9"/>
  <c r="AN334" i="9"/>
  <c r="U334" i="9"/>
  <c r="AV334" i="9"/>
  <c r="AQ334" i="9"/>
  <c r="AU334" i="9"/>
  <c r="AO334" i="9"/>
  <c r="AM334" i="9"/>
  <c r="AT350" i="9"/>
  <c r="AT146" i="9"/>
  <c r="AT147" i="9"/>
  <c r="AT148" i="9"/>
  <c r="AT149" i="9"/>
  <c r="AT150" i="9"/>
  <c r="AT151" i="9"/>
  <c r="AT152" i="9"/>
  <c r="AT153" i="9"/>
  <c r="AT154" i="9"/>
  <c r="AT155" i="9"/>
  <c r="AT156" i="9"/>
  <c r="AT157" i="9"/>
  <c r="AT158" i="9"/>
  <c r="AT159" i="9"/>
  <c r="AT160" i="9"/>
  <c r="AT161" i="9"/>
  <c r="AT162" i="9"/>
  <c r="AT163" i="9"/>
  <c r="AT164" i="9"/>
  <c r="AT165" i="9"/>
  <c r="AT166" i="9"/>
  <c r="AT167" i="9"/>
  <c r="AT168" i="9"/>
  <c r="AT169" i="9"/>
  <c r="AT170" i="9"/>
  <c r="AT171" i="9"/>
  <c r="AT172" i="9"/>
  <c r="AT173" i="9"/>
  <c r="AT174" i="9"/>
  <c r="AT175" i="9"/>
  <c r="AT176" i="9"/>
  <c r="AT177" i="9"/>
  <c r="AT178" i="9"/>
  <c r="AW182" i="9"/>
  <c r="AU189" i="9"/>
  <c r="AN189" i="9"/>
  <c r="AM189" i="9"/>
  <c r="T190" i="9"/>
  <c r="T199" i="9"/>
  <c r="AV207" i="9"/>
  <c r="AU207" i="9"/>
  <c r="AP207" i="9"/>
  <c r="AO207" i="9"/>
  <c r="AM212" i="9"/>
  <c r="AV215" i="9"/>
  <c r="AU215" i="9"/>
  <c r="AP215" i="9"/>
  <c r="AO215" i="9"/>
  <c r="S215" i="9"/>
  <c r="AM227" i="9"/>
  <c r="U275" i="9"/>
  <c r="T275" i="9"/>
  <c r="AU275" i="9"/>
  <c r="AT275" i="9"/>
  <c r="AQ275" i="9"/>
  <c r="R275" i="9"/>
  <c r="AW275" i="9"/>
  <c r="AO275" i="9"/>
  <c r="AM275" i="9"/>
  <c r="AQ277" i="9"/>
  <c r="AP280" i="9"/>
  <c r="AO280" i="9"/>
  <c r="U280" i="9"/>
  <c r="T280" i="9"/>
  <c r="AV280" i="9"/>
  <c r="AU280" i="9"/>
  <c r="AR280" i="9"/>
  <c r="AQ280" i="9"/>
  <c r="S280" i="9"/>
  <c r="AT280" i="9"/>
  <c r="AN280" i="9"/>
  <c r="AP283" i="9"/>
  <c r="AO283" i="9"/>
  <c r="U283" i="9"/>
  <c r="T283" i="9"/>
  <c r="AR283" i="9"/>
  <c r="AQ283" i="9"/>
  <c r="S283" i="9"/>
  <c r="R283" i="9"/>
  <c r="AT283" i="9"/>
  <c r="AW283" i="9"/>
  <c r="AS283" i="9"/>
  <c r="AN283" i="9"/>
  <c r="AR334" i="9"/>
  <c r="AO361" i="9"/>
  <c r="AN361" i="9"/>
  <c r="T361" i="9"/>
  <c r="S361" i="9"/>
  <c r="AW361" i="9"/>
  <c r="AR361" i="9"/>
  <c r="AQ361" i="9"/>
  <c r="U361" i="9"/>
  <c r="R361" i="9"/>
  <c r="AV361" i="9"/>
  <c r="AS361" i="9"/>
  <c r="AU361" i="9"/>
  <c r="AU146" i="9"/>
  <c r="AU147" i="9"/>
  <c r="AU148" i="9"/>
  <c r="AU149" i="9"/>
  <c r="AU150" i="9"/>
  <c r="AU151" i="9"/>
  <c r="AU152" i="9"/>
  <c r="AU153" i="9"/>
  <c r="AU154" i="9"/>
  <c r="AU155" i="9"/>
  <c r="AU156" i="9"/>
  <c r="AU157" i="9"/>
  <c r="AU158" i="9"/>
  <c r="AU159" i="9"/>
  <c r="AU160" i="9"/>
  <c r="AU161" i="9"/>
  <c r="AU162" i="9"/>
  <c r="AU163" i="9"/>
  <c r="AU164" i="9"/>
  <c r="AU165" i="9"/>
  <c r="AU166" i="9"/>
  <c r="AU167" i="9"/>
  <c r="AU168" i="9"/>
  <c r="AU169" i="9"/>
  <c r="AU170" i="9"/>
  <c r="AU171" i="9"/>
  <c r="AU172" i="9"/>
  <c r="AU173" i="9"/>
  <c r="AU174" i="9"/>
  <c r="AU175" i="9"/>
  <c r="AU176" i="9"/>
  <c r="AU177" i="9"/>
  <c r="AW181" i="9"/>
  <c r="R189" i="9"/>
  <c r="U190" i="9"/>
  <c r="AV198" i="9"/>
  <c r="AU198" i="9"/>
  <c r="AN198" i="9"/>
  <c r="AM198" i="9"/>
  <c r="U199" i="9"/>
  <c r="AV202" i="9"/>
  <c r="AU202" i="9"/>
  <c r="AW202" i="9"/>
  <c r="R207" i="9"/>
  <c r="AN212" i="9"/>
  <c r="R215" i="9"/>
  <c r="AV218" i="9"/>
  <c r="AU218" i="9"/>
  <c r="S218" i="9"/>
  <c r="AW218" i="9"/>
  <c r="AP218" i="9"/>
  <c r="AV224" i="9"/>
  <c r="AU224" i="9"/>
  <c r="AR224" i="9"/>
  <c r="AT224" i="9"/>
  <c r="AS224" i="9"/>
  <c r="AM224" i="9"/>
  <c r="T224" i="9"/>
  <c r="AN227" i="9"/>
  <c r="U241" i="9"/>
  <c r="T241" i="9"/>
  <c r="AU241" i="9"/>
  <c r="AT241" i="9"/>
  <c r="AQ241" i="9"/>
  <c r="AP241" i="9"/>
  <c r="AM241" i="9"/>
  <c r="AO241" i="9"/>
  <c r="S241" i="9"/>
  <c r="AV257" i="9"/>
  <c r="U272" i="9"/>
  <c r="T272" i="9"/>
  <c r="AS272" i="9"/>
  <c r="AR272" i="9"/>
  <c r="AO272" i="9"/>
  <c r="AN272" i="9"/>
  <c r="R272" i="9"/>
  <c r="AU272" i="9"/>
  <c r="AW272" i="9"/>
  <c r="AV272" i="9"/>
  <c r="AP272" i="9"/>
  <c r="AM272" i="9"/>
  <c r="S275" i="9"/>
  <c r="AR277" i="9"/>
  <c r="R280" i="9"/>
  <c r="AM283" i="9"/>
  <c r="AO347" i="9"/>
  <c r="AN347" i="9"/>
  <c r="T347" i="9"/>
  <c r="S347" i="9"/>
  <c r="AS347" i="9"/>
  <c r="AR347" i="9"/>
  <c r="AM347" i="9"/>
  <c r="U347" i="9"/>
  <c r="AW347" i="9"/>
  <c r="AP347" i="9"/>
  <c r="R347" i="9"/>
  <c r="AT347" i="9"/>
  <c r="AV347" i="9"/>
  <c r="AQ347" i="9"/>
  <c r="AM361" i="9"/>
  <c r="T309" i="9"/>
  <c r="AW309" i="9"/>
  <c r="AT309" i="9"/>
  <c r="AS309" i="9"/>
  <c r="U309" i="9"/>
  <c r="AU309" i="9"/>
  <c r="AR309" i="9"/>
  <c r="AO309" i="9"/>
  <c r="AN309" i="9"/>
  <c r="S309" i="9"/>
  <c r="AO339" i="9"/>
  <c r="T339" i="9"/>
  <c r="S339" i="9"/>
  <c r="AS339" i="9"/>
  <c r="AR339" i="9"/>
  <c r="AN339" i="9"/>
  <c r="AM339" i="9"/>
  <c r="AW339" i="9"/>
  <c r="AV339" i="9"/>
  <c r="R339" i="9"/>
  <c r="AQ339" i="9"/>
  <c r="AP339" i="9"/>
  <c r="S391" i="9"/>
  <c r="AW391" i="9"/>
  <c r="AV391" i="9"/>
  <c r="AS391" i="9"/>
  <c r="AR391" i="9"/>
  <c r="AO391" i="9"/>
  <c r="AQ391" i="9"/>
  <c r="AP391" i="9"/>
  <c r="R391" i="9"/>
  <c r="AT391" i="9"/>
  <c r="U391" i="9"/>
  <c r="T391" i="9"/>
  <c r="U265" i="9"/>
  <c r="T265" i="9"/>
  <c r="AU265" i="9"/>
  <c r="AT265" i="9"/>
  <c r="AQ265" i="9"/>
  <c r="AP265" i="9"/>
  <c r="AM265" i="9"/>
  <c r="AW265" i="9"/>
  <c r="AV265" i="9"/>
  <c r="AO265" i="9"/>
  <c r="AN265" i="9"/>
  <c r="T290" i="9"/>
  <c r="AU290" i="9"/>
  <c r="AT290" i="9"/>
  <c r="AQ290" i="9"/>
  <c r="AP290" i="9"/>
  <c r="AO290" i="9"/>
  <c r="AN290" i="9"/>
  <c r="S290" i="9"/>
  <c r="R290" i="9"/>
  <c r="AS290" i="9"/>
  <c r="AR290" i="9"/>
  <c r="AM290" i="9"/>
  <c r="R309" i="9"/>
  <c r="U339" i="9"/>
  <c r="AO348" i="9"/>
  <c r="AN348" i="9"/>
  <c r="T348" i="9"/>
  <c r="S348" i="9"/>
  <c r="AW348" i="9"/>
  <c r="AV348" i="9"/>
  <c r="AS348" i="9"/>
  <c r="AR348" i="9"/>
  <c r="R348" i="9"/>
  <c r="AU348" i="9"/>
  <c r="AP348" i="9"/>
  <c r="AT348" i="9"/>
  <c r="AM391" i="9"/>
  <c r="S456" i="9"/>
  <c r="T456" i="9"/>
  <c r="R456" i="9"/>
  <c r="AW456" i="9"/>
  <c r="AV456" i="9"/>
  <c r="AM456" i="9"/>
  <c r="U456" i="9"/>
  <c r="AO456" i="9"/>
  <c r="AT456" i="9"/>
  <c r="AQ456" i="9"/>
  <c r="AP456" i="9"/>
  <c r="AN456" i="9"/>
  <c r="AS456" i="9"/>
  <c r="AU456" i="9"/>
  <c r="AR456" i="9"/>
  <c r="AW178" i="9"/>
  <c r="AQ190" i="9"/>
  <c r="AV206" i="9"/>
  <c r="AU206" i="9"/>
  <c r="AN206" i="9"/>
  <c r="AM206" i="9"/>
  <c r="AV210" i="9"/>
  <c r="AU210" i="9"/>
  <c r="AW210" i="9"/>
  <c r="AP210" i="9"/>
  <c r="AQ212" i="9"/>
  <c r="AS227" i="9"/>
  <c r="AW260" i="9"/>
  <c r="R265" i="9"/>
  <c r="T287" i="9"/>
  <c r="AR287" i="9"/>
  <c r="AQ287" i="9"/>
  <c r="AN287" i="9"/>
  <c r="AM287" i="9"/>
  <c r="AT287" i="9"/>
  <c r="AS287" i="9"/>
  <c r="U287" i="9"/>
  <c r="S287" i="9"/>
  <c r="AV287" i="9"/>
  <c r="AW287" i="9"/>
  <c r="AU287" i="9"/>
  <c r="U290" i="9"/>
  <c r="AM309" i="9"/>
  <c r="AT339" i="9"/>
  <c r="U348" i="9"/>
  <c r="AO366" i="9"/>
  <c r="AN366" i="9"/>
  <c r="T366" i="9"/>
  <c r="S366" i="9"/>
  <c r="AW366" i="9"/>
  <c r="AV366" i="9"/>
  <c r="AQ366" i="9"/>
  <c r="AM366" i="9"/>
  <c r="AU366" i="9"/>
  <c r="AT366" i="9"/>
  <c r="AP366" i="9"/>
  <c r="U366" i="9"/>
  <c r="AR366" i="9"/>
  <c r="AN391" i="9"/>
  <c r="R178" i="9"/>
  <c r="AR190" i="9"/>
  <c r="AV197" i="9"/>
  <c r="AU197" i="9"/>
  <c r="U197" i="9"/>
  <c r="T197" i="9"/>
  <c r="AR199" i="9"/>
  <c r="AV201" i="9"/>
  <c r="AU201" i="9"/>
  <c r="AT201" i="9"/>
  <c r="AS201" i="9"/>
  <c r="R206" i="9"/>
  <c r="R210" i="9"/>
  <c r="AR212" i="9"/>
  <c r="AT227" i="9"/>
  <c r="AU239" i="9"/>
  <c r="U248" i="9"/>
  <c r="T248" i="9"/>
  <c r="AS248" i="9"/>
  <c r="AR248" i="9"/>
  <c r="AO248" i="9"/>
  <c r="AN248" i="9"/>
  <c r="R248" i="9"/>
  <c r="AV248" i="9"/>
  <c r="AU248" i="9"/>
  <c r="AP248" i="9"/>
  <c r="AM248" i="9"/>
  <c r="S265" i="9"/>
  <c r="AW268" i="9"/>
  <c r="U273" i="9"/>
  <c r="T273" i="9"/>
  <c r="AU273" i="9"/>
  <c r="AT273" i="9"/>
  <c r="AQ273" i="9"/>
  <c r="AP273" i="9"/>
  <c r="AM273" i="9"/>
  <c r="AW273" i="9"/>
  <c r="AR273" i="9"/>
  <c r="AN273" i="9"/>
  <c r="R287" i="9"/>
  <c r="AV290" i="9"/>
  <c r="AP309" i="9"/>
  <c r="AU339" i="9"/>
  <c r="AM348" i="9"/>
  <c r="AO353" i="9"/>
  <c r="AN353" i="9"/>
  <c r="T353" i="9"/>
  <c r="S353" i="9"/>
  <c r="AW353" i="9"/>
  <c r="AV353" i="9"/>
  <c r="AQ353" i="9"/>
  <c r="AM353" i="9"/>
  <c r="AT353" i="9"/>
  <c r="AS353" i="9"/>
  <c r="U353" i="9"/>
  <c r="R353" i="9"/>
  <c r="AU353" i="9"/>
  <c r="AO357" i="9"/>
  <c r="AN357" i="9"/>
  <c r="T357" i="9"/>
  <c r="S357" i="9"/>
  <c r="AW357" i="9"/>
  <c r="U357" i="9"/>
  <c r="R357" i="9"/>
  <c r="AT357" i="9"/>
  <c r="AR357" i="9"/>
  <c r="AU357" i="9"/>
  <c r="AS357" i="9"/>
  <c r="AM357" i="9"/>
  <c r="AP357" i="9"/>
  <c r="R366" i="9"/>
  <c r="AU391" i="9"/>
  <c r="AM230" i="9"/>
  <c r="U238" i="9"/>
  <c r="AO238" i="9"/>
  <c r="S238" i="9"/>
  <c r="R238" i="9"/>
  <c r="AW238" i="9"/>
  <c r="AS239" i="9"/>
  <c r="U243" i="9"/>
  <c r="T243" i="9"/>
  <c r="AU243" i="9"/>
  <c r="AT243" i="9"/>
  <c r="AQ243" i="9"/>
  <c r="U251" i="9"/>
  <c r="T251" i="9"/>
  <c r="AU251" i="9"/>
  <c r="AT251" i="9"/>
  <c r="AQ251" i="9"/>
  <c r="T307" i="9"/>
  <c r="AV307" i="9"/>
  <c r="AU307" i="9"/>
  <c r="AR307" i="9"/>
  <c r="AQ307" i="9"/>
  <c r="U307" i="9"/>
  <c r="S307" i="9"/>
  <c r="AN307" i="9"/>
  <c r="T323" i="9"/>
  <c r="S323" i="9"/>
  <c r="AR323" i="9"/>
  <c r="AQ323" i="9"/>
  <c r="AN323" i="9"/>
  <c r="AM323" i="9"/>
  <c r="AV323" i="9"/>
  <c r="AO323" i="9"/>
  <c r="U323" i="9"/>
  <c r="AS323" i="9"/>
  <c r="AP418" i="9"/>
  <c r="AO418" i="9"/>
  <c r="T418" i="9"/>
  <c r="AM418" i="9"/>
  <c r="U418" i="9"/>
  <c r="R418" i="9"/>
  <c r="AN418" i="9"/>
  <c r="S418" i="9"/>
  <c r="AR418" i="9"/>
  <c r="AW418" i="9"/>
  <c r="AQ418" i="9"/>
  <c r="AV418" i="9"/>
  <c r="S449" i="9"/>
  <c r="AT449" i="9"/>
  <c r="AS449" i="9"/>
  <c r="AP449" i="9"/>
  <c r="AO449" i="9"/>
  <c r="U449" i="9"/>
  <c r="T449" i="9"/>
  <c r="AN449" i="9"/>
  <c r="AW449" i="9"/>
  <c r="AR449" i="9"/>
  <c r="AU449" i="9"/>
  <c r="AM449" i="9"/>
  <c r="AV449" i="9"/>
  <c r="AQ449" i="9"/>
  <c r="AV214" i="9"/>
  <c r="AU214" i="9"/>
  <c r="AN217" i="9"/>
  <c r="AV222" i="9"/>
  <c r="AU222" i="9"/>
  <c r="AO230" i="9"/>
  <c r="AV233" i="9"/>
  <c r="AU233" i="9"/>
  <c r="AR233" i="9"/>
  <c r="AM238" i="9"/>
  <c r="S243" i="9"/>
  <c r="S251" i="9"/>
  <c r="T303" i="9"/>
  <c r="AR303" i="9"/>
  <c r="AQ303" i="9"/>
  <c r="AN303" i="9"/>
  <c r="AM303" i="9"/>
  <c r="AW303" i="9"/>
  <c r="AT303" i="9"/>
  <c r="R303" i="9"/>
  <c r="T305" i="9"/>
  <c r="AT305" i="9"/>
  <c r="AS305" i="9"/>
  <c r="AP305" i="9"/>
  <c r="AO305" i="9"/>
  <c r="AV305" i="9"/>
  <c r="AU305" i="9"/>
  <c r="AN305" i="9"/>
  <c r="AM305" i="9"/>
  <c r="R305" i="9"/>
  <c r="AM307" i="9"/>
  <c r="AP323" i="9"/>
  <c r="S382" i="9"/>
  <c r="AW382" i="9"/>
  <c r="AV382" i="9"/>
  <c r="U382" i="9"/>
  <c r="T382" i="9"/>
  <c r="AT382" i="9"/>
  <c r="AU382" i="9"/>
  <c r="AS382" i="9"/>
  <c r="AN382" i="9"/>
  <c r="R382" i="9"/>
  <c r="AR382" i="9"/>
  <c r="AO382" i="9"/>
  <c r="AM382" i="9"/>
  <c r="AS418" i="9"/>
  <c r="R449" i="9"/>
  <c r="AU184" i="9"/>
  <c r="AM214" i="9"/>
  <c r="AS217" i="9"/>
  <c r="AM222" i="9"/>
  <c r="AV226" i="9"/>
  <c r="AU226" i="9"/>
  <c r="AR226" i="9"/>
  <c r="AM233" i="9"/>
  <c r="AS238" i="9"/>
  <c r="U242" i="9"/>
  <c r="T242" i="9"/>
  <c r="AW242" i="9"/>
  <c r="AV242" i="9"/>
  <c r="AS242" i="9"/>
  <c r="AR242" i="9"/>
  <c r="AO242" i="9"/>
  <c r="AR243" i="9"/>
  <c r="U250" i="9"/>
  <c r="T250" i="9"/>
  <c r="AW250" i="9"/>
  <c r="AV250" i="9"/>
  <c r="AS250" i="9"/>
  <c r="AR250" i="9"/>
  <c r="AO250" i="9"/>
  <c r="AR251" i="9"/>
  <c r="AS303" i="9"/>
  <c r="AW305" i="9"/>
  <c r="AW307" i="9"/>
  <c r="T312" i="9"/>
  <c r="S312" i="9"/>
  <c r="U312" i="9"/>
  <c r="R312" i="9"/>
  <c r="AW312" i="9"/>
  <c r="AP312" i="9"/>
  <c r="AT312" i="9"/>
  <c r="AS312" i="9"/>
  <c r="AO312" i="9"/>
  <c r="T314" i="9"/>
  <c r="S314" i="9"/>
  <c r="AP314" i="9"/>
  <c r="AO314" i="9"/>
  <c r="U314" i="9"/>
  <c r="R314" i="9"/>
  <c r="AT314" i="9"/>
  <c r="AU314" i="9"/>
  <c r="AS314" i="9"/>
  <c r="AN314" i="9"/>
  <c r="AM314" i="9"/>
  <c r="AW314" i="9"/>
  <c r="AO352" i="9"/>
  <c r="AN352" i="9"/>
  <c r="T352" i="9"/>
  <c r="S352" i="9"/>
  <c r="AW352" i="9"/>
  <c r="AV352" i="9"/>
  <c r="AS352" i="9"/>
  <c r="AR352" i="9"/>
  <c r="R352" i="9"/>
  <c r="AT352" i="9"/>
  <c r="AO355" i="9"/>
  <c r="AN355" i="9"/>
  <c r="T355" i="9"/>
  <c r="S355" i="9"/>
  <c r="AW355" i="9"/>
  <c r="AT355" i="9"/>
  <c r="AS355" i="9"/>
  <c r="AP355" i="9"/>
  <c r="AM355" i="9"/>
  <c r="AV355" i="9"/>
  <c r="AQ355" i="9"/>
  <c r="U355" i="9"/>
  <c r="AU183" i="9"/>
  <c r="R184" i="9"/>
  <c r="AV195" i="9"/>
  <c r="AU195" i="9"/>
  <c r="AV203" i="9"/>
  <c r="AU203" i="9"/>
  <c r="AV211" i="9"/>
  <c r="AU211" i="9"/>
  <c r="AN214" i="9"/>
  <c r="AV219" i="9"/>
  <c r="AU219" i="9"/>
  <c r="AN222" i="9"/>
  <c r="R226" i="9"/>
  <c r="AV231" i="9"/>
  <c r="AU231" i="9"/>
  <c r="AR231" i="9"/>
  <c r="AN233" i="9"/>
  <c r="AT238" i="9"/>
  <c r="R242" i="9"/>
  <c r="AS243" i="9"/>
  <c r="R250" i="9"/>
  <c r="AS251" i="9"/>
  <c r="U269" i="9"/>
  <c r="T269" i="9"/>
  <c r="AM269" i="9"/>
  <c r="S269" i="9"/>
  <c r="AU269" i="9"/>
  <c r="AO269" i="9"/>
  <c r="AW276" i="9"/>
  <c r="AU303" i="9"/>
  <c r="AM312" i="9"/>
  <c r="AQ314" i="9"/>
  <c r="U352" i="9"/>
  <c r="R355" i="9"/>
  <c r="AW371" i="9"/>
  <c r="AV371" i="9"/>
  <c r="AR371" i="9"/>
  <c r="AQ371" i="9"/>
  <c r="AN371" i="9"/>
  <c r="AM371" i="9"/>
  <c r="S371" i="9"/>
  <c r="AU371" i="9"/>
  <c r="AP371" i="9"/>
  <c r="AO371" i="9"/>
  <c r="U371" i="9"/>
  <c r="T371" i="9"/>
  <c r="AT371" i="9"/>
  <c r="S390" i="9"/>
  <c r="AW390" i="9"/>
  <c r="AV390" i="9"/>
  <c r="AT390" i="9"/>
  <c r="AS390" i="9"/>
  <c r="AP390" i="9"/>
  <c r="AO390" i="9"/>
  <c r="U390" i="9"/>
  <c r="AM390" i="9"/>
  <c r="T390" i="9"/>
  <c r="AU390" i="9"/>
  <c r="AN390" i="9"/>
  <c r="R390" i="9"/>
  <c r="AR390" i="9"/>
  <c r="U397" i="9"/>
  <c r="T397" i="9"/>
  <c r="AQ397" i="9"/>
  <c r="AN397" i="9"/>
  <c r="AM397" i="9"/>
  <c r="S397" i="9"/>
  <c r="R397" i="9"/>
  <c r="AW397" i="9"/>
  <c r="AR397" i="9"/>
  <c r="AP397" i="9"/>
  <c r="AV397" i="9"/>
  <c r="AS397" i="9"/>
  <c r="AO397" i="9"/>
  <c r="S431" i="9"/>
  <c r="AR431" i="9"/>
  <c r="AQ431" i="9"/>
  <c r="AM431" i="9"/>
  <c r="AW431" i="9"/>
  <c r="AT431" i="9"/>
  <c r="AS431" i="9"/>
  <c r="AV431" i="9"/>
  <c r="AU431" i="9"/>
  <c r="AP431" i="9"/>
  <c r="U431" i="9"/>
  <c r="T431" i="9"/>
  <c r="AO431" i="9"/>
  <c r="R431" i="9"/>
  <c r="AN431" i="9"/>
  <c r="U409" i="9"/>
  <c r="T409" i="9"/>
  <c r="AV409" i="9"/>
  <c r="AU409" i="9"/>
  <c r="AT409" i="9"/>
  <c r="AS409" i="9"/>
  <c r="AP409" i="9"/>
  <c r="AO409" i="9"/>
  <c r="S409" i="9"/>
  <c r="AM409" i="9"/>
  <c r="R409" i="9"/>
  <c r="AW409" i="9"/>
  <c r="AQ409" i="9"/>
  <c r="AN409" i="9"/>
  <c r="AV230" i="9"/>
  <c r="AU230" i="9"/>
  <c r="AR230" i="9"/>
  <c r="U239" i="9"/>
  <c r="T239" i="9"/>
  <c r="AQ239" i="9"/>
  <c r="AP239" i="9"/>
  <c r="AM239" i="9"/>
  <c r="S239" i="9"/>
  <c r="AW244" i="9"/>
  <c r="U247" i="9"/>
  <c r="T247" i="9"/>
  <c r="AQ247" i="9"/>
  <c r="AP247" i="9"/>
  <c r="AM247" i="9"/>
  <c r="S247" i="9"/>
  <c r="AW252" i="9"/>
  <c r="U257" i="9"/>
  <c r="T257" i="9"/>
  <c r="AU257" i="9"/>
  <c r="AT257" i="9"/>
  <c r="AQ257" i="9"/>
  <c r="AP257" i="9"/>
  <c r="AM257" i="9"/>
  <c r="AW257" i="9"/>
  <c r="T315" i="9"/>
  <c r="S315" i="9"/>
  <c r="AR315" i="9"/>
  <c r="AQ315" i="9"/>
  <c r="AN315" i="9"/>
  <c r="AM315" i="9"/>
  <c r="AV315" i="9"/>
  <c r="AW315" i="9"/>
  <c r="AS315" i="9"/>
  <c r="T322" i="9"/>
  <c r="S322" i="9"/>
  <c r="AP322" i="9"/>
  <c r="AO322" i="9"/>
  <c r="U322" i="9"/>
  <c r="R322" i="9"/>
  <c r="AV322" i="9"/>
  <c r="AT322" i="9"/>
  <c r="AW322" i="9"/>
  <c r="AU322" i="9"/>
  <c r="AQ322" i="9"/>
  <c r="AO340" i="9"/>
  <c r="AN340" i="9"/>
  <c r="T340" i="9"/>
  <c r="S340" i="9"/>
  <c r="AW340" i="9"/>
  <c r="AV340" i="9"/>
  <c r="AS340" i="9"/>
  <c r="AR340" i="9"/>
  <c r="R340" i="9"/>
  <c r="AU340" i="9"/>
  <c r="AP340" i="9"/>
  <c r="AM340" i="9"/>
  <c r="T394" i="9"/>
  <c r="S394" i="9"/>
  <c r="AW394" i="9"/>
  <c r="AQ394" i="9"/>
  <c r="AP394" i="9"/>
  <c r="AM394" i="9"/>
  <c r="U394" i="9"/>
  <c r="AV394" i="9"/>
  <c r="AO394" i="9"/>
  <c r="R394" i="9"/>
  <c r="AS394" i="9"/>
  <c r="AR394" i="9"/>
  <c r="U402" i="9"/>
  <c r="T402" i="9"/>
  <c r="R402" i="9"/>
  <c r="AW402" i="9"/>
  <c r="AU402" i="9"/>
  <c r="AT402" i="9"/>
  <c r="AQ402" i="9"/>
  <c r="AP402" i="9"/>
  <c r="AM402" i="9"/>
  <c r="AV402" i="9"/>
  <c r="S402" i="9"/>
  <c r="AR402" i="9"/>
  <c r="AR409" i="9"/>
  <c r="AP426" i="9"/>
  <c r="AO426" i="9"/>
  <c r="T426" i="9"/>
  <c r="AW426" i="9"/>
  <c r="AV426" i="9"/>
  <c r="AS426" i="9"/>
  <c r="AR426" i="9"/>
  <c r="AU426" i="9"/>
  <c r="AT426" i="9"/>
  <c r="AQ426" i="9"/>
  <c r="AN426" i="9"/>
  <c r="S426" i="9"/>
  <c r="AM426" i="9"/>
  <c r="U426" i="9"/>
  <c r="AV217" i="9"/>
  <c r="AU217" i="9"/>
  <c r="R230" i="9"/>
  <c r="R239" i="9"/>
  <c r="R247" i="9"/>
  <c r="R257" i="9"/>
  <c r="U259" i="9"/>
  <c r="T259" i="9"/>
  <c r="AU259" i="9"/>
  <c r="AT259" i="9"/>
  <c r="AQ259" i="9"/>
  <c r="R259" i="9"/>
  <c r="U264" i="9"/>
  <c r="T264" i="9"/>
  <c r="AS264" i="9"/>
  <c r="AR264" i="9"/>
  <c r="AO264" i="9"/>
  <c r="AN264" i="9"/>
  <c r="R264" i="9"/>
  <c r="AU264" i="9"/>
  <c r="U266" i="9"/>
  <c r="T266" i="9"/>
  <c r="AW266" i="9"/>
  <c r="AV266" i="9"/>
  <c r="AS266" i="9"/>
  <c r="AR266" i="9"/>
  <c r="AO266" i="9"/>
  <c r="U271" i="9"/>
  <c r="T271" i="9"/>
  <c r="AQ271" i="9"/>
  <c r="AP271" i="9"/>
  <c r="AM271" i="9"/>
  <c r="S271" i="9"/>
  <c r="AS271" i="9"/>
  <c r="AP284" i="9"/>
  <c r="AO284" i="9"/>
  <c r="U284" i="9"/>
  <c r="T284" i="9"/>
  <c r="AV284" i="9"/>
  <c r="AU284" i="9"/>
  <c r="AR284" i="9"/>
  <c r="AQ284" i="9"/>
  <c r="S284" i="9"/>
  <c r="T286" i="9"/>
  <c r="AQ286" i="9"/>
  <c r="AP286" i="9"/>
  <c r="AM286" i="9"/>
  <c r="U286" i="9"/>
  <c r="S286" i="9"/>
  <c r="R286" i="9"/>
  <c r="AW286" i="9"/>
  <c r="AO286" i="9"/>
  <c r="T302" i="9"/>
  <c r="AQ302" i="9"/>
  <c r="AP302" i="9"/>
  <c r="AM302" i="9"/>
  <c r="U302" i="9"/>
  <c r="AW302" i="9"/>
  <c r="AV302" i="9"/>
  <c r="AS302" i="9"/>
  <c r="AR302" i="9"/>
  <c r="S302" i="9"/>
  <c r="R315" i="9"/>
  <c r="AM322" i="9"/>
  <c r="U340" i="9"/>
  <c r="AW375" i="9"/>
  <c r="AV375" i="9"/>
  <c r="S375" i="9"/>
  <c r="R375" i="9"/>
  <c r="AU375" i="9"/>
  <c r="AR375" i="9"/>
  <c r="U375" i="9"/>
  <c r="T375" i="9"/>
  <c r="AS375" i="9"/>
  <c r="AP375" i="9"/>
  <c r="AO375" i="9"/>
  <c r="AN375" i="9"/>
  <c r="AU381" i="9"/>
  <c r="AN394" i="9"/>
  <c r="AN402" i="9"/>
  <c r="R426" i="9"/>
  <c r="AP281" i="9"/>
  <c r="AO281" i="9"/>
  <c r="U281" i="9"/>
  <c r="T281" i="9"/>
  <c r="AP285" i="9"/>
  <c r="AO285" i="9"/>
  <c r="U285" i="9"/>
  <c r="T285" i="9"/>
  <c r="T306" i="9"/>
  <c r="AU306" i="9"/>
  <c r="AT306" i="9"/>
  <c r="AQ306" i="9"/>
  <c r="AP306" i="9"/>
  <c r="T320" i="9"/>
  <c r="S320" i="9"/>
  <c r="U320" i="9"/>
  <c r="R320" i="9"/>
  <c r="AW320" i="9"/>
  <c r="AR320" i="9"/>
  <c r="AP320" i="9"/>
  <c r="AV327" i="9"/>
  <c r="AO354" i="9"/>
  <c r="AN354" i="9"/>
  <c r="T354" i="9"/>
  <c r="S354" i="9"/>
  <c r="AW354" i="9"/>
  <c r="AM354" i="9"/>
  <c r="U354" i="9"/>
  <c r="AU354" i="9"/>
  <c r="AS354" i="9"/>
  <c r="S440" i="9"/>
  <c r="T440" i="9"/>
  <c r="R440" i="9"/>
  <c r="AV440" i="9"/>
  <c r="AW440" i="9"/>
  <c r="AS440" i="9"/>
  <c r="AR440" i="9"/>
  <c r="AM440" i="9"/>
  <c r="AU440" i="9"/>
  <c r="AT440" i="9"/>
  <c r="AO440" i="9"/>
  <c r="AQ440" i="9"/>
  <c r="AS244" i="9"/>
  <c r="AS252" i="9"/>
  <c r="AS260" i="9"/>
  <c r="AS268" i="9"/>
  <c r="AR281" i="9"/>
  <c r="AR285" i="9"/>
  <c r="AO306" i="9"/>
  <c r="T308" i="9"/>
  <c r="AW308" i="9"/>
  <c r="AV308" i="9"/>
  <c r="AS308" i="9"/>
  <c r="AR308" i="9"/>
  <c r="AV319" i="9"/>
  <c r="AT320" i="9"/>
  <c r="AO342" i="9"/>
  <c r="AN342" i="9"/>
  <c r="T342" i="9"/>
  <c r="S342" i="9"/>
  <c r="AM342" i="9"/>
  <c r="U342" i="9"/>
  <c r="AU342" i="9"/>
  <c r="AS342" i="9"/>
  <c r="AV354" i="9"/>
  <c r="AO368" i="9"/>
  <c r="AN368" i="9"/>
  <c r="T368" i="9"/>
  <c r="S368" i="9"/>
  <c r="AW368" i="9"/>
  <c r="AU368" i="9"/>
  <c r="AT368" i="9"/>
  <c r="AQ368" i="9"/>
  <c r="AP368" i="9"/>
  <c r="S474" i="9"/>
  <c r="AT474" i="9"/>
  <c r="AO474" i="9"/>
  <c r="AN474" i="9"/>
  <c r="T474" i="9"/>
  <c r="R474" i="9"/>
  <c r="AM474" i="9"/>
  <c r="U474" i="9"/>
  <c r="AQ474" i="9"/>
  <c r="AW474" i="9"/>
  <c r="AV474" i="9"/>
  <c r="AR474" i="9"/>
  <c r="AU474" i="9"/>
  <c r="AP474" i="9"/>
  <c r="U237" i="9"/>
  <c r="AV244" i="9"/>
  <c r="U246" i="9"/>
  <c r="T246" i="9"/>
  <c r="AV252" i="9"/>
  <c r="U254" i="9"/>
  <c r="T254" i="9"/>
  <c r="AV260" i="9"/>
  <c r="U262" i="9"/>
  <c r="T262" i="9"/>
  <c r="AV268" i="9"/>
  <c r="U270" i="9"/>
  <c r="T270" i="9"/>
  <c r="AV276" i="9"/>
  <c r="U278" i="9"/>
  <c r="T278" i="9"/>
  <c r="AU281" i="9"/>
  <c r="AU285" i="9"/>
  <c r="T293" i="9"/>
  <c r="AW293" i="9"/>
  <c r="AT293" i="9"/>
  <c r="AS293" i="9"/>
  <c r="T297" i="9"/>
  <c r="U297" i="9"/>
  <c r="S297" i="9"/>
  <c r="AW297" i="9"/>
  <c r="T301" i="9"/>
  <c r="AP301" i="9"/>
  <c r="AO301" i="9"/>
  <c r="U301" i="9"/>
  <c r="S301" i="9"/>
  <c r="AV306" i="9"/>
  <c r="U308" i="9"/>
  <c r="AQ342" i="9"/>
  <c r="AO362" i="9"/>
  <c r="AN362" i="9"/>
  <c r="T362" i="9"/>
  <c r="S362" i="9"/>
  <c r="AW362" i="9"/>
  <c r="AV362" i="9"/>
  <c r="AS362" i="9"/>
  <c r="AR362" i="9"/>
  <c r="R362" i="9"/>
  <c r="AM368" i="9"/>
  <c r="U236" i="9"/>
  <c r="AV281" i="9"/>
  <c r="AV285" i="9"/>
  <c r="T304" i="9"/>
  <c r="AS304" i="9"/>
  <c r="AR304" i="9"/>
  <c r="AO304" i="9"/>
  <c r="AN304" i="9"/>
  <c r="AW306" i="9"/>
  <c r="AM308" i="9"/>
  <c r="T328" i="9"/>
  <c r="S328" i="9"/>
  <c r="U328" i="9"/>
  <c r="R328" i="9"/>
  <c r="AW328" i="9"/>
  <c r="AR328" i="9"/>
  <c r="AP328" i="9"/>
  <c r="AV335" i="9"/>
  <c r="AR342" i="9"/>
  <c r="AO349" i="9"/>
  <c r="AN349" i="9"/>
  <c r="T349" i="9"/>
  <c r="S349" i="9"/>
  <c r="AW349" i="9"/>
  <c r="AV349" i="9"/>
  <c r="AQ349" i="9"/>
  <c r="AM349" i="9"/>
  <c r="AO351" i="9"/>
  <c r="AN351" i="9"/>
  <c r="T351" i="9"/>
  <c r="S351" i="9"/>
  <c r="AS351" i="9"/>
  <c r="AR351" i="9"/>
  <c r="AM351" i="9"/>
  <c r="U351" i="9"/>
  <c r="AW351" i="9"/>
  <c r="AR368" i="9"/>
  <c r="S385" i="9"/>
  <c r="AW385" i="9"/>
  <c r="AV385" i="9"/>
  <c r="AU385" i="9"/>
  <c r="AT385" i="9"/>
  <c r="AQ385" i="9"/>
  <c r="AP385" i="9"/>
  <c r="AM385" i="9"/>
  <c r="T385" i="9"/>
  <c r="R385" i="9"/>
  <c r="AR385" i="9"/>
  <c r="S452" i="9"/>
  <c r="AW452" i="9"/>
  <c r="AV452" i="9"/>
  <c r="AS452" i="9"/>
  <c r="AR452" i="9"/>
  <c r="T452" i="9"/>
  <c r="R452" i="9"/>
  <c r="AM452" i="9"/>
  <c r="AQ452" i="9"/>
  <c r="AP452" i="9"/>
  <c r="AO452" i="9"/>
  <c r="AU452" i="9"/>
  <c r="U452" i="9"/>
  <c r="S461" i="9"/>
  <c r="AP461" i="9"/>
  <c r="AO461" i="9"/>
  <c r="U461" i="9"/>
  <c r="T461" i="9"/>
  <c r="AS461" i="9"/>
  <c r="AR461" i="9"/>
  <c r="AM461" i="9"/>
  <c r="R461" i="9"/>
  <c r="AU461" i="9"/>
  <c r="AW461" i="9"/>
  <c r="AV461" i="9"/>
  <c r="AT461" i="9"/>
  <c r="AQ461" i="9"/>
  <c r="AN461" i="9"/>
  <c r="AN452" i="9"/>
  <c r="U244" i="9"/>
  <c r="T244" i="9"/>
  <c r="U252" i="9"/>
  <c r="T252" i="9"/>
  <c r="U260" i="9"/>
  <c r="T260" i="9"/>
  <c r="U268" i="9"/>
  <c r="T268" i="9"/>
  <c r="U276" i="9"/>
  <c r="T276" i="9"/>
  <c r="T289" i="9"/>
  <c r="AT289" i="9"/>
  <c r="AS289" i="9"/>
  <c r="AP289" i="9"/>
  <c r="AO289" i="9"/>
  <c r="AP308" i="9"/>
  <c r="T318" i="9"/>
  <c r="S318" i="9"/>
  <c r="AW318" i="9"/>
  <c r="AT318" i="9"/>
  <c r="AS318" i="9"/>
  <c r="AN318" i="9"/>
  <c r="U318" i="9"/>
  <c r="T330" i="9"/>
  <c r="S330" i="9"/>
  <c r="AP330" i="9"/>
  <c r="AO330" i="9"/>
  <c r="U330" i="9"/>
  <c r="R330" i="9"/>
  <c r="AV330" i="9"/>
  <c r="AT330" i="9"/>
  <c r="AW342" i="9"/>
  <c r="AW369" i="9"/>
  <c r="AO369" i="9"/>
  <c r="AN369" i="9"/>
  <c r="T369" i="9"/>
  <c r="S369" i="9"/>
  <c r="AV369" i="9"/>
  <c r="AU369" i="9"/>
  <c r="AP369" i="9"/>
  <c r="U369" i="9"/>
  <c r="AO385" i="9"/>
  <c r="U398" i="9"/>
  <c r="T398" i="9"/>
  <c r="AS398" i="9"/>
  <c r="AP398" i="9"/>
  <c r="AO398" i="9"/>
  <c r="AT398" i="9"/>
  <c r="AR398" i="9"/>
  <c r="AM398" i="9"/>
  <c r="S398" i="9"/>
  <c r="AW398" i="9"/>
  <c r="R398" i="9"/>
  <c r="AP424" i="9"/>
  <c r="AO424" i="9"/>
  <c r="T424" i="9"/>
  <c r="AQ424" i="9"/>
  <c r="AN424" i="9"/>
  <c r="S424" i="9"/>
  <c r="R424" i="9"/>
  <c r="AW424" i="9"/>
  <c r="AT424" i="9"/>
  <c r="AS424" i="9"/>
  <c r="U424" i="9"/>
  <c r="AR424" i="9"/>
  <c r="AM424" i="9"/>
  <c r="AT452" i="9"/>
  <c r="R244" i="9"/>
  <c r="R252" i="9"/>
  <c r="R260" i="9"/>
  <c r="R268" i="9"/>
  <c r="R276" i="9"/>
  <c r="R289" i="9"/>
  <c r="T292" i="9"/>
  <c r="AW292" i="9"/>
  <c r="AV292" i="9"/>
  <c r="AS292" i="9"/>
  <c r="AR292" i="9"/>
  <c r="T296" i="9"/>
  <c r="S296" i="9"/>
  <c r="R296" i="9"/>
  <c r="AW296" i="9"/>
  <c r="AV296" i="9"/>
  <c r="T300" i="9"/>
  <c r="AO300" i="9"/>
  <c r="AN300" i="9"/>
  <c r="S300" i="9"/>
  <c r="R300" i="9"/>
  <c r="AQ308" i="9"/>
  <c r="R318" i="9"/>
  <c r="AM330" i="9"/>
  <c r="AO341" i="9"/>
  <c r="AN341" i="9"/>
  <c r="T341" i="9"/>
  <c r="S341" i="9"/>
  <c r="AW341" i="9"/>
  <c r="AV341" i="9"/>
  <c r="AQ341" i="9"/>
  <c r="AM341" i="9"/>
  <c r="AO343" i="9"/>
  <c r="AN343" i="9"/>
  <c r="T343" i="9"/>
  <c r="S343" i="9"/>
  <c r="AS343" i="9"/>
  <c r="AR343" i="9"/>
  <c r="AM343" i="9"/>
  <c r="U343" i="9"/>
  <c r="AW343" i="9"/>
  <c r="AO356" i="9"/>
  <c r="AN356" i="9"/>
  <c r="T356" i="9"/>
  <c r="S356" i="9"/>
  <c r="AW356" i="9"/>
  <c r="AU356" i="9"/>
  <c r="AT356" i="9"/>
  <c r="AM356" i="9"/>
  <c r="R356" i="9"/>
  <c r="R369" i="9"/>
  <c r="AT374" i="9"/>
  <c r="S383" i="9"/>
  <c r="AW383" i="9"/>
  <c r="AV383" i="9"/>
  <c r="AO383" i="9"/>
  <c r="AN383" i="9"/>
  <c r="T383" i="9"/>
  <c r="R383" i="9"/>
  <c r="AP383" i="9"/>
  <c r="AM383" i="9"/>
  <c r="AT383" i="9"/>
  <c r="AS385" i="9"/>
  <c r="AN398" i="9"/>
  <c r="U401" i="9"/>
  <c r="T401" i="9"/>
  <c r="AV401" i="9"/>
  <c r="AU401" i="9"/>
  <c r="AP401" i="9"/>
  <c r="AO401" i="9"/>
  <c r="S401" i="9"/>
  <c r="R401" i="9"/>
  <c r="AQ401" i="9"/>
  <c r="AN401" i="9"/>
  <c r="AW401" i="9"/>
  <c r="AU424" i="9"/>
  <c r="T317" i="9"/>
  <c r="S317" i="9"/>
  <c r="T325" i="9"/>
  <c r="S325" i="9"/>
  <c r="T333" i="9"/>
  <c r="S333" i="9"/>
  <c r="AO359" i="9"/>
  <c r="AN359" i="9"/>
  <c r="T359" i="9"/>
  <c r="S359" i="9"/>
  <c r="AW359" i="9"/>
  <c r="AW377" i="9"/>
  <c r="AV377" i="9"/>
  <c r="AN377" i="9"/>
  <c r="AM377" i="9"/>
  <c r="S377" i="9"/>
  <c r="R377" i="9"/>
  <c r="AP428" i="9"/>
  <c r="AO428" i="9"/>
  <c r="T428" i="9"/>
  <c r="S428" i="9"/>
  <c r="R428" i="9"/>
  <c r="AU428" i="9"/>
  <c r="AR428" i="9"/>
  <c r="AQ428" i="9"/>
  <c r="AN428" i="9"/>
  <c r="AV428" i="9"/>
  <c r="AT428" i="9"/>
  <c r="U428" i="9"/>
  <c r="S434" i="9"/>
  <c r="AU434" i="9"/>
  <c r="AT434" i="9"/>
  <c r="AP434" i="9"/>
  <c r="AR434" i="9"/>
  <c r="AQ434" i="9"/>
  <c r="AM434" i="9"/>
  <c r="U434" i="9"/>
  <c r="AW434" i="9"/>
  <c r="AV434" i="9"/>
  <c r="AN434" i="9"/>
  <c r="T316" i="9"/>
  <c r="S316" i="9"/>
  <c r="T324" i="9"/>
  <c r="S324" i="9"/>
  <c r="T332" i="9"/>
  <c r="S332" i="9"/>
  <c r="AO365" i="9"/>
  <c r="AN365" i="9"/>
  <c r="T365" i="9"/>
  <c r="S365" i="9"/>
  <c r="AW365" i="9"/>
  <c r="S384" i="9"/>
  <c r="AW384" i="9"/>
  <c r="AV384" i="9"/>
  <c r="AR384" i="9"/>
  <c r="AQ384" i="9"/>
  <c r="AN384" i="9"/>
  <c r="AM384" i="9"/>
  <c r="R384" i="9"/>
  <c r="S386" i="9"/>
  <c r="AW386" i="9"/>
  <c r="AV386" i="9"/>
  <c r="AT386" i="9"/>
  <c r="AS386" i="9"/>
  <c r="AP386" i="9"/>
  <c r="U406" i="9"/>
  <c r="T406" i="9"/>
  <c r="AS406" i="9"/>
  <c r="AP406" i="9"/>
  <c r="AO406" i="9"/>
  <c r="AW406" i="9"/>
  <c r="AT406" i="9"/>
  <c r="AR406" i="9"/>
  <c r="AM406" i="9"/>
  <c r="U414" i="9"/>
  <c r="T414" i="9"/>
  <c r="AS414" i="9"/>
  <c r="AP414" i="9"/>
  <c r="AO414" i="9"/>
  <c r="AW414" i="9"/>
  <c r="AT414" i="9"/>
  <c r="R414" i="9"/>
  <c r="U416" i="9"/>
  <c r="T416" i="9"/>
  <c r="AW416" i="9"/>
  <c r="AT416" i="9"/>
  <c r="AS416" i="9"/>
  <c r="AU416" i="9"/>
  <c r="AR416" i="9"/>
  <c r="AO416" i="9"/>
  <c r="AN416" i="9"/>
  <c r="R416" i="9"/>
  <c r="AS428" i="9"/>
  <c r="T434" i="9"/>
  <c r="AO488" i="9"/>
  <c r="AT294" i="9"/>
  <c r="AU295" i="9"/>
  <c r="AT310" i="9"/>
  <c r="AU311" i="9"/>
  <c r="AO316" i="9"/>
  <c r="AQ317" i="9"/>
  <c r="AU319" i="9"/>
  <c r="AO324" i="9"/>
  <c r="AQ325" i="9"/>
  <c r="AU327" i="9"/>
  <c r="AO332" i="9"/>
  <c r="AQ333" i="9"/>
  <c r="AU335" i="9"/>
  <c r="AS359" i="9"/>
  <c r="AO364" i="9"/>
  <c r="AN364" i="9"/>
  <c r="T364" i="9"/>
  <c r="S364" i="9"/>
  <c r="AW364" i="9"/>
  <c r="AQ365" i="9"/>
  <c r="AS377" i="9"/>
  <c r="AS384" i="9"/>
  <c r="AN386" i="9"/>
  <c r="AU406" i="9"/>
  <c r="AR414" i="9"/>
  <c r="AV416" i="9"/>
  <c r="AU294" i="9"/>
  <c r="AV295" i="9"/>
  <c r="R299" i="9"/>
  <c r="AU310" i="9"/>
  <c r="AV311" i="9"/>
  <c r="T313" i="9"/>
  <c r="S313" i="9"/>
  <c r="AP316" i="9"/>
  <c r="AR317" i="9"/>
  <c r="T321" i="9"/>
  <c r="S321" i="9"/>
  <c r="AP324" i="9"/>
  <c r="AR325" i="9"/>
  <c r="T329" i="9"/>
  <c r="S329" i="9"/>
  <c r="AP332" i="9"/>
  <c r="AR333" i="9"/>
  <c r="T337" i="9"/>
  <c r="S337" i="9"/>
  <c r="AT359" i="9"/>
  <c r="R364" i="9"/>
  <c r="AR365" i="9"/>
  <c r="AO367" i="9"/>
  <c r="AN367" i="9"/>
  <c r="T367" i="9"/>
  <c r="S367" i="9"/>
  <c r="AW367" i="9"/>
  <c r="AT377" i="9"/>
  <c r="AT384" i="9"/>
  <c r="AO386" i="9"/>
  <c r="U399" i="9"/>
  <c r="T399" i="9"/>
  <c r="AU399" i="9"/>
  <c r="AR399" i="9"/>
  <c r="AQ399" i="9"/>
  <c r="AT399" i="9"/>
  <c r="AS399" i="9"/>
  <c r="AN399" i="9"/>
  <c r="AV406" i="9"/>
  <c r="AU414" i="9"/>
  <c r="S480" i="9"/>
  <c r="AT480" i="9"/>
  <c r="T480" i="9"/>
  <c r="R480" i="9"/>
  <c r="AW480" i="9"/>
  <c r="AN480" i="9"/>
  <c r="AM480" i="9"/>
  <c r="AP480" i="9"/>
  <c r="AU480" i="9"/>
  <c r="AS480" i="9"/>
  <c r="AR480" i="9"/>
  <c r="AQ480" i="9"/>
  <c r="AO480" i="9"/>
  <c r="U480" i="9"/>
  <c r="S491" i="9"/>
  <c r="AT491" i="9"/>
  <c r="AQ491" i="9"/>
  <c r="AP491" i="9"/>
  <c r="AM491" i="9"/>
  <c r="U491" i="9"/>
  <c r="AS491" i="9"/>
  <c r="R491" i="9"/>
  <c r="AW491" i="9"/>
  <c r="AV491" i="9"/>
  <c r="T491" i="9"/>
  <c r="S496" i="9"/>
  <c r="AT496" i="9"/>
  <c r="T496" i="9"/>
  <c r="R496" i="9"/>
  <c r="AW496" i="9"/>
  <c r="AM496" i="9"/>
  <c r="AU496" i="9"/>
  <c r="AS496" i="9"/>
  <c r="AV496" i="9"/>
  <c r="AR496" i="9"/>
  <c r="AQ496" i="9"/>
  <c r="AP496" i="9"/>
  <c r="AO496" i="9"/>
  <c r="AN496" i="9"/>
  <c r="U496" i="9"/>
  <c r="AS316" i="9"/>
  <c r="AU317" i="9"/>
  <c r="AS324" i="9"/>
  <c r="AU325" i="9"/>
  <c r="AS332" i="9"/>
  <c r="AU333" i="9"/>
  <c r="AO360" i="9"/>
  <c r="AN360" i="9"/>
  <c r="T360" i="9"/>
  <c r="S360" i="9"/>
  <c r="AW360" i="9"/>
  <c r="AP364" i="9"/>
  <c r="AU365" i="9"/>
  <c r="AU386" i="9"/>
  <c r="AM399" i="9"/>
  <c r="U405" i="9"/>
  <c r="T405" i="9"/>
  <c r="AQ405" i="9"/>
  <c r="AN405" i="9"/>
  <c r="AM405" i="9"/>
  <c r="AS405" i="9"/>
  <c r="AR405" i="9"/>
  <c r="S405" i="9"/>
  <c r="R405" i="9"/>
  <c r="AV480" i="9"/>
  <c r="AN491" i="9"/>
  <c r="R295" i="9"/>
  <c r="R311" i="9"/>
  <c r="AT316" i="9"/>
  <c r="AV317" i="9"/>
  <c r="T319" i="9"/>
  <c r="S319" i="9"/>
  <c r="AT324" i="9"/>
  <c r="AV325" i="9"/>
  <c r="T327" i="9"/>
  <c r="S327" i="9"/>
  <c r="AT332" i="9"/>
  <c r="AV333" i="9"/>
  <c r="T335" i="9"/>
  <c r="S335" i="9"/>
  <c r="R360" i="9"/>
  <c r="AO363" i="9"/>
  <c r="AN363" i="9"/>
  <c r="T363" i="9"/>
  <c r="S363" i="9"/>
  <c r="AW363" i="9"/>
  <c r="AQ364" i="9"/>
  <c r="AV365" i="9"/>
  <c r="AW372" i="9"/>
  <c r="AV372" i="9"/>
  <c r="AT372" i="9"/>
  <c r="AS372" i="9"/>
  <c r="AP372" i="9"/>
  <c r="AO372" i="9"/>
  <c r="U372" i="9"/>
  <c r="S380" i="9"/>
  <c r="AW380" i="9"/>
  <c r="AV380" i="9"/>
  <c r="AU380" i="9"/>
  <c r="AR380" i="9"/>
  <c r="AQ380" i="9"/>
  <c r="AN380" i="9"/>
  <c r="S387" i="9"/>
  <c r="AW387" i="9"/>
  <c r="AV387" i="9"/>
  <c r="T387" i="9"/>
  <c r="R387" i="9"/>
  <c r="AS387" i="9"/>
  <c r="AO399" i="9"/>
  <c r="AO405" i="9"/>
  <c r="U413" i="9"/>
  <c r="T413" i="9"/>
  <c r="AQ413" i="9"/>
  <c r="AN413" i="9"/>
  <c r="AM413" i="9"/>
  <c r="AW413" i="9"/>
  <c r="AV413" i="9"/>
  <c r="AS413" i="9"/>
  <c r="AR413" i="9"/>
  <c r="S413" i="9"/>
  <c r="S445" i="9"/>
  <c r="AP445" i="9"/>
  <c r="AO445" i="9"/>
  <c r="U445" i="9"/>
  <c r="T445" i="9"/>
  <c r="AW445" i="9"/>
  <c r="AM445" i="9"/>
  <c r="AT445" i="9"/>
  <c r="AS445" i="9"/>
  <c r="AN445" i="9"/>
  <c r="R445" i="9"/>
  <c r="AV445" i="9"/>
  <c r="AO491" i="9"/>
  <c r="U410" i="9"/>
  <c r="T410" i="9"/>
  <c r="R410" i="9"/>
  <c r="AW410" i="9"/>
  <c r="U417" i="9"/>
  <c r="T417" i="9"/>
  <c r="AV417" i="9"/>
  <c r="AU417" i="9"/>
  <c r="AP505" i="9"/>
  <c r="AO505" i="9"/>
  <c r="S505" i="9"/>
  <c r="AT505" i="9"/>
  <c r="AW505" i="9"/>
  <c r="AS505" i="9"/>
  <c r="AR505" i="9"/>
  <c r="AV505" i="9"/>
  <c r="AU505" i="9"/>
  <c r="AQ505" i="9"/>
  <c r="AN505" i="9"/>
  <c r="AM505" i="9"/>
  <c r="U505" i="9"/>
  <c r="AW370" i="9"/>
  <c r="AV370" i="9"/>
  <c r="AW378" i="9"/>
  <c r="AV378" i="9"/>
  <c r="S389" i="9"/>
  <c r="AW389" i="9"/>
  <c r="AV389" i="9"/>
  <c r="AQ410" i="9"/>
  <c r="AP417" i="9"/>
  <c r="AP419" i="9"/>
  <c r="AO419" i="9"/>
  <c r="T419" i="9"/>
  <c r="AR419" i="9"/>
  <c r="AQ419" i="9"/>
  <c r="AS419" i="9"/>
  <c r="U419" i="9"/>
  <c r="S419" i="9"/>
  <c r="S447" i="9"/>
  <c r="AR447" i="9"/>
  <c r="AQ447" i="9"/>
  <c r="AN447" i="9"/>
  <c r="AM447" i="9"/>
  <c r="AV447" i="9"/>
  <c r="AU447" i="9"/>
  <c r="AP447" i="9"/>
  <c r="AO447" i="9"/>
  <c r="S472" i="9"/>
  <c r="AT472" i="9"/>
  <c r="T472" i="9"/>
  <c r="R472" i="9"/>
  <c r="AW472" i="9"/>
  <c r="AU472" i="9"/>
  <c r="AS472" i="9"/>
  <c r="AP472" i="9"/>
  <c r="AO472" i="9"/>
  <c r="S493" i="9"/>
  <c r="AT493" i="9"/>
  <c r="AV493" i="9"/>
  <c r="AU493" i="9"/>
  <c r="AQ493" i="9"/>
  <c r="AP493" i="9"/>
  <c r="AW493" i="9"/>
  <c r="AS493" i="9"/>
  <c r="R493" i="9"/>
  <c r="T370" i="9"/>
  <c r="T378" i="9"/>
  <c r="S388" i="9"/>
  <c r="AW388" i="9"/>
  <c r="AV388" i="9"/>
  <c r="U389" i="9"/>
  <c r="U408" i="9"/>
  <c r="T408" i="9"/>
  <c r="AW408" i="9"/>
  <c r="AT408" i="9"/>
  <c r="AS408" i="9"/>
  <c r="AT410" i="9"/>
  <c r="U412" i="9"/>
  <c r="T412" i="9"/>
  <c r="AO412" i="9"/>
  <c r="S412" i="9"/>
  <c r="R412" i="9"/>
  <c r="AS417" i="9"/>
  <c r="AN419" i="9"/>
  <c r="U447" i="9"/>
  <c r="AN472" i="9"/>
  <c r="AM493" i="9"/>
  <c r="U370" i="9"/>
  <c r="AW376" i="9"/>
  <c r="AV376" i="9"/>
  <c r="U378" i="9"/>
  <c r="R388" i="9"/>
  <c r="AM389" i="9"/>
  <c r="S393" i="9"/>
  <c r="AW393" i="9"/>
  <c r="AV393" i="9"/>
  <c r="R408" i="9"/>
  <c r="AU410" i="9"/>
  <c r="AM412" i="9"/>
  <c r="U415" i="9"/>
  <c r="T415" i="9"/>
  <c r="AU415" i="9"/>
  <c r="AR415" i="9"/>
  <c r="AQ415" i="9"/>
  <c r="AT417" i="9"/>
  <c r="AT419" i="9"/>
  <c r="AS447" i="9"/>
  <c r="S450" i="9"/>
  <c r="AU450" i="9"/>
  <c r="AT450" i="9"/>
  <c r="AQ450" i="9"/>
  <c r="AP450" i="9"/>
  <c r="AS450" i="9"/>
  <c r="AR450" i="9"/>
  <c r="AM450" i="9"/>
  <c r="U450" i="9"/>
  <c r="AW450" i="9"/>
  <c r="AO450" i="9"/>
  <c r="AN450" i="9"/>
  <c r="T450" i="9"/>
  <c r="S465" i="9"/>
  <c r="AT465" i="9"/>
  <c r="AS465" i="9"/>
  <c r="AP465" i="9"/>
  <c r="AO465" i="9"/>
  <c r="AW465" i="9"/>
  <c r="AV465" i="9"/>
  <c r="AQ465" i="9"/>
  <c r="AN465" i="9"/>
  <c r="AU465" i="9"/>
  <c r="AR465" i="9"/>
  <c r="AQ472" i="9"/>
  <c r="AN493" i="9"/>
  <c r="AO468" i="9"/>
  <c r="S483" i="9"/>
  <c r="AT483" i="9"/>
  <c r="AQ483" i="9"/>
  <c r="AP483" i="9"/>
  <c r="AM483" i="9"/>
  <c r="U483" i="9"/>
  <c r="T483" i="9"/>
  <c r="R483" i="9"/>
  <c r="AO483" i="9"/>
  <c r="AW483" i="9"/>
  <c r="AV483" i="9"/>
  <c r="AU483" i="9"/>
  <c r="AS483" i="9"/>
  <c r="AR483" i="9"/>
  <c r="AN483" i="9"/>
  <c r="AO370" i="9"/>
  <c r="AO378" i="9"/>
  <c r="AM388" i="9"/>
  <c r="AP389" i="9"/>
  <c r="S392" i="9"/>
  <c r="AW392" i="9"/>
  <c r="AV392" i="9"/>
  <c r="U400" i="9"/>
  <c r="T400" i="9"/>
  <c r="AW400" i="9"/>
  <c r="AT400" i="9"/>
  <c r="AS400" i="9"/>
  <c r="U404" i="9"/>
  <c r="T404" i="9"/>
  <c r="AO404" i="9"/>
  <c r="S404" i="9"/>
  <c r="R404" i="9"/>
  <c r="AN408" i="9"/>
  <c r="AQ412" i="9"/>
  <c r="AM415" i="9"/>
  <c r="AW419" i="9"/>
  <c r="AP423" i="9"/>
  <c r="AO423" i="9"/>
  <c r="T423" i="9"/>
  <c r="U423" i="9"/>
  <c r="S423" i="9"/>
  <c r="AV423" i="9"/>
  <c r="AS423" i="9"/>
  <c r="AR423" i="9"/>
  <c r="S451" i="9"/>
  <c r="AV451" i="9"/>
  <c r="AU451" i="9"/>
  <c r="AR451" i="9"/>
  <c r="AQ451" i="9"/>
  <c r="AT451" i="9"/>
  <c r="AS451" i="9"/>
  <c r="R451" i="9"/>
  <c r="U465" i="9"/>
  <c r="S484" i="9"/>
  <c r="AT484" i="9"/>
  <c r="AS484" i="9"/>
  <c r="AR484" i="9"/>
  <c r="AO484" i="9"/>
  <c r="AN484" i="9"/>
  <c r="AV484" i="9"/>
  <c r="AU484" i="9"/>
  <c r="AM484" i="9"/>
  <c r="U484" i="9"/>
  <c r="R484" i="9"/>
  <c r="AQ504" i="9"/>
  <c r="AP508" i="9"/>
  <c r="AO508" i="9"/>
  <c r="S508" i="9"/>
  <c r="AT508" i="9"/>
  <c r="AS508" i="9"/>
  <c r="AR508" i="9"/>
  <c r="AQ508" i="9"/>
  <c r="AN508" i="9"/>
  <c r="AM508" i="9"/>
  <c r="U508" i="9"/>
  <c r="AV508" i="9"/>
  <c r="AW508" i="9"/>
  <c r="AU508" i="9"/>
  <c r="AP370" i="9"/>
  <c r="AW374" i="9"/>
  <c r="AV374" i="9"/>
  <c r="AP378" i="9"/>
  <c r="S381" i="9"/>
  <c r="AW381" i="9"/>
  <c r="AV381" i="9"/>
  <c r="AN388" i="9"/>
  <c r="AQ389" i="9"/>
  <c r="R392" i="9"/>
  <c r="R400" i="9"/>
  <c r="U407" i="9"/>
  <c r="T407" i="9"/>
  <c r="AU407" i="9"/>
  <c r="AR407" i="9"/>
  <c r="AQ407" i="9"/>
  <c r="AO408" i="9"/>
  <c r="AR412" i="9"/>
  <c r="AP420" i="9"/>
  <c r="AO420" i="9"/>
  <c r="T420" i="9"/>
  <c r="AU420" i="9"/>
  <c r="AT420" i="9"/>
  <c r="AS420" i="9"/>
  <c r="AR420" i="9"/>
  <c r="R423" i="9"/>
  <c r="T451" i="9"/>
  <c r="AM465" i="9"/>
  <c r="R508" i="9"/>
  <c r="S457" i="9"/>
  <c r="U457" i="9"/>
  <c r="T457" i="9"/>
  <c r="AW457" i="9"/>
  <c r="AR457" i="9"/>
  <c r="AQ457" i="9"/>
  <c r="AN457" i="9"/>
  <c r="AM457" i="9"/>
  <c r="AT457" i="9"/>
  <c r="S478" i="9"/>
  <c r="AT478" i="9"/>
  <c r="AW478" i="9"/>
  <c r="AS478" i="9"/>
  <c r="AR478" i="9"/>
  <c r="AV478" i="9"/>
  <c r="AU478" i="9"/>
  <c r="AO478" i="9"/>
  <c r="AN478" i="9"/>
  <c r="S482" i="9"/>
  <c r="AT482" i="9"/>
  <c r="AO482" i="9"/>
  <c r="AN482" i="9"/>
  <c r="T482" i="9"/>
  <c r="R482" i="9"/>
  <c r="AV482" i="9"/>
  <c r="AU482" i="9"/>
  <c r="AP425" i="9"/>
  <c r="AO425" i="9"/>
  <c r="T425" i="9"/>
  <c r="AT425" i="9"/>
  <c r="AS425" i="9"/>
  <c r="AN425" i="9"/>
  <c r="AM425" i="9"/>
  <c r="S435" i="9"/>
  <c r="AV435" i="9"/>
  <c r="AU435" i="9"/>
  <c r="AQ435" i="9"/>
  <c r="AW435" i="9"/>
  <c r="AR435" i="9"/>
  <c r="AP435" i="9"/>
  <c r="S498" i="9"/>
  <c r="AT498" i="9"/>
  <c r="AO498" i="9"/>
  <c r="AN498" i="9"/>
  <c r="T498" i="9"/>
  <c r="R498" i="9"/>
  <c r="AQ498" i="9"/>
  <c r="AV498" i="9"/>
  <c r="AU498" i="9"/>
  <c r="AS498" i="9"/>
  <c r="AP498" i="9"/>
  <c r="AM498" i="9"/>
  <c r="R425" i="9"/>
  <c r="R435" i="9"/>
  <c r="S462" i="9"/>
  <c r="AQ462" i="9"/>
  <c r="AP462" i="9"/>
  <c r="AM462" i="9"/>
  <c r="U462" i="9"/>
  <c r="AW462" i="9"/>
  <c r="AT462" i="9"/>
  <c r="AS462" i="9"/>
  <c r="S475" i="9"/>
  <c r="AT475" i="9"/>
  <c r="AQ475" i="9"/>
  <c r="AP475" i="9"/>
  <c r="AM475" i="9"/>
  <c r="U475" i="9"/>
  <c r="AV475" i="9"/>
  <c r="AU475" i="9"/>
  <c r="AO475" i="9"/>
  <c r="AN475" i="9"/>
  <c r="U498" i="9"/>
  <c r="AP501" i="9"/>
  <c r="AO501" i="9"/>
  <c r="S501" i="9"/>
  <c r="AT501" i="9"/>
  <c r="AW501" i="9"/>
  <c r="AS501" i="9"/>
  <c r="AR501" i="9"/>
  <c r="AV501" i="9"/>
  <c r="AU501" i="9"/>
  <c r="U395" i="9"/>
  <c r="T395" i="9"/>
  <c r="U403" i="9"/>
  <c r="T403" i="9"/>
  <c r="U411" i="9"/>
  <c r="T411" i="9"/>
  <c r="S425" i="9"/>
  <c r="AP427" i="9"/>
  <c r="AO427" i="9"/>
  <c r="T427" i="9"/>
  <c r="AV427" i="9"/>
  <c r="AU427" i="9"/>
  <c r="S430" i="9"/>
  <c r="AQ430" i="9"/>
  <c r="AP430" i="9"/>
  <c r="U430" i="9"/>
  <c r="AT430" i="9"/>
  <c r="AS430" i="9"/>
  <c r="AN430" i="9"/>
  <c r="AM430" i="9"/>
  <c r="T435" i="9"/>
  <c r="R462" i="9"/>
  <c r="S466" i="9"/>
  <c r="AU466" i="9"/>
  <c r="AT466" i="9"/>
  <c r="AQ466" i="9"/>
  <c r="AP466" i="9"/>
  <c r="AW466" i="9"/>
  <c r="R466" i="9"/>
  <c r="R475" i="9"/>
  <c r="S492" i="9"/>
  <c r="AT492" i="9"/>
  <c r="AS492" i="9"/>
  <c r="AR492" i="9"/>
  <c r="AO492" i="9"/>
  <c r="AN492" i="9"/>
  <c r="AV492" i="9"/>
  <c r="AQ492" i="9"/>
  <c r="AP492" i="9"/>
  <c r="T492" i="9"/>
  <c r="R492" i="9"/>
  <c r="AW492" i="9"/>
  <c r="AR498" i="9"/>
  <c r="R501" i="9"/>
  <c r="AP509" i="9"/>
  <c r="AO509" i="9"/>
  <c r="S509" i="9"/>
  <c r="AT509" i="9"/>
  <c r="AW509" i="9"/>
  <c r="AV509" i="9"/>
  <c r="AU509" i="9"/>
  <c r="AS509" i="9"/>
  <c r="AR509" i="9"/>
  <c r="AQ509" i="9"/>
  <c r="AN509" i="9"/>
  <c r="AM509" i="9"/>
  <c r="U509" i="9"/>
  <c r="T509" i="9"/>
  <c r="R509" i="9"/>
  <c r="S468" i="9"/>
  <c r="AW468" i="9"/>
  <c r="AV468" i="9"/>
  <c r="AS468" i="9"/>
  <c r="AR468" i="9"/>
  <c r="AT468" i="9"/>
  <c r="AQ468" i="9"/>
  <c r="AN468" i="9"/>
  <c r="AM468" i="9"/>
  <c r="AW498" i="9"/>
  <c r="T501" i="9"/>
  <c r="AP512" i="9"/>
  <c r="S488" i="9"/>
  <c r="AT488" i="9"/>
  <c r="T488" i="9"/>
  <c r="R488" i="9"/>
  <c r="AW488" i="9"/>
  <c r="AM488" i="9"/>
  <c r="AV488" i="9"/>
  <c r="AU488" i="9"/>
  <c r="AP504" i="9"/>
  <c r="AO504" i="9"/>
  <c r="S504" i="9"/>
  <c r="AT504" i="9"/>
  <c r="AS504" i="9"/>
  <c r="AR504" i="9"/>
  <c r="AM504" i="9"/>
  <c r="U504" i="9"/>
  <c r="AV504" i="9"/>
  <c r="R504" i="9"/>
  <c r="AP421" i="9"/>
  <c r="AO421" i="9"/>
  <c r="T421" i="9"/>
  <c r="AW421" i="9"/>
  <c r="AR425" i="9"/>
  <c r="AN435" i="9"/>
  <c r="S453" i="9"/>
  <c r="AW453" i="9"/>
  <c r="AT453" i="9"/>
  <c r="AS453" i="9"/>
  <c r="AP453" i="9"/>
  <c r="AO453" i="9"/>
  <c r="U453" i="9"/>
  <c r="T453" i="9"/>
  <c r="AR453" i="9"/>
  <c r="AO462" i="9"/>
  <c r="AM466" i="9"/>
  <c r="T468" i="9"/>
  <c r="AS475" i="9"/>
  <c r="U488" i="9"/>
  <c r="S490" i="9"/>
  <c r="AT490" i="9"/>
  <c r="AO490" i="9"/>
  <c r="AN490" i="9"/>
  <c r="T490" i="9"/>
  <c r="R490" i="9"/>
  <c r="AQ490" i="9"/>
  <c r="AW490" i="9"/>
  <c r="AV490" i="9"/>
  <c r="AR490" i="9"/>
  <c r="AP490" i="9"/>
  <c r="AU492" i="9"/>
  <c r="AM501" i="9"/>
  <c r="T504" i="9"/>
  <c r="S448" i="9"/>
  <c r="AS448" i="9"/>
  <c r="AR448" i="9"/>
  <c r="AO448" i="9"/>
  <c r="AN448" i="9"/>
  <c r="S469" i="9"/>
  <c r="AW469" i="9"/>
  <c r="AT469" i="9"/>
  <c r="AS469" i="9"/>
  <c r="S476" i="9"/>
  <c r="AT476" i="9"/>
  <c r="AS476" i="9"/>
  <c r="AR476" i="9"/>
  <c r="AO476" i="9"/>
  <c r="AN476" i="9"/>
  <c r="S485" i="9"/>
  <c r="AT485" i="9"/>
  <c r="AV485" i="9"/>
  <c r="AU485" i="9"/>
  <c r="AQ485" i="9"/>
  <c r="AP485" i="9"/>
  <c r="S499" i="9"/>
  <c r="AT499" i="9"/>
  <c r="AQ499" i="9"/>
  <c r="AP499" i="9"/>
  <c r="AM499" i="9"/>
  <c r="U499" i="9"/>
  <c r="AS499" i="9"/>
  <c r="AP429" i="9"/>
  <c r="AO429" i="9"/>
  <c r="T429" i="9"/>
  <c r="AV448" i="9"/>
  <c r="S464" i="9"/>
  <c r="AS464" i="9"/>
  <c r="AR464" i="9"/>
  <c r="AO464" i="9"/>
  <c r="AN464" i="9"/>
  <c r="AR469" i="9"/>
  <c r="AW476" i="9"/>
  <c r="AW485" i="9"/>
  <c r="S500" i="9"/>
  <c r="AT500" i="9"/>
  <c r="AS500" i="9"/>
  <c r="AR500" i="9"/>
  <c r="AO500" i="9"/>
  <c r="AN500" i="9"/>
  <c r="AV500" i="9"/>
  <c r="R429" i="9"/>
  <c r="S433" i="9"/>
  <c r="AT433" i="9"/>
  <c r="AS433" i="9"/>
  <c r="AO433" i="9"/>
  <c r="S437" i="9"/>
  <c r="AW437" i="9"/>
  <c r="AS437" i="9"/>
  <c r="S442" i="9"/>
  <c r="AM442" i="9"/>
  <c r="U442" i="9"/>
  <c r="S446" i="9"/>
  <c r="AQ446" i="9"/>
  <c r="AP446" i="9"/>
  <c r="AM446" i="9"/>
  <c r="U446" i="9"/>
  <c r="AW448" i="9"/>
  <c r="R464" i="9"/>
  <c r="S467" i="9"/>
  <c r="AV467" i="9"/>
  <c r="AU467" i="9"/>
  <c r="AR467" i="9"/>
  <c r="AQ467" i="9"/>
  <c r="AU469" i="9"/>
  <c r="S477" i="9"/>
  <c r="AT477" i="9"/>
  <c r="AV477" i="9"/>
  <c r="AU477" i="9"/>
  <c r="AQ477" i="9"/>
  <c r="AP477" i="9"/>
  <c r="S486" i="9"/>
  <c r="AT486" i="9"/>
  <c r="AW486" i="9"/>
  <c r="AS486" i="9"/>
  <c r="AR486" i="9"/>
  <c r="R500" i="9"/>
  <c r="AM429" i="9"/>
  <c r="U433" i="9"/>
  <c r="U437" i="9"/>
  <c r="AN442" i="9"/>
  <c r="AN446" i="9"/>
  <c r="S460" i="9"/>
  <c r="AO460" i="9"/>
  <c r="AN460" i="9"/>
  <c r="T460" i="9"/>
  <c r="R460" i="9"/>
  <c r="AM464" i="9"/>
  <c r="U467" i="9"/>
  <c r="U477" i="9"/>
  <c r="U486" i="9"/>
  <c r="AM500" i="9"/>
  <c r="AP422" i="9"/>
  <c r="AO422" i="9"/>
  <c r="T422" i="9"/>
  <c r="AN429" i="9"/>
  <c r="S432" i="9"/>
  <c r="AS432" i="9"/>
  <c r="AR432" i="9"/>
  <c r="AN432" i="9"/>
  <c r="AM433" i="9"/>
  <c r="S436" i="9"/>
  <c r="AW436" i="9"/>
  <c r="AV436" i="9"/>
  <c r="AR436" i="9"/>
  <c r="AM437" i="9"/>
  <c r="S441" i="9"/>
  <c r="U441" i="9"/>
  <c r="T441" i="9"/>
  <c r="AW441" i="9"/>
  <c r="AO442" i="9"/>
  <c r="AO446" i="9"/>
  <c r="U460" i="9"/>
  <c r="S463" i="9"/>
  <c r="AR463" i="9"/>
  <c r="AQ463" i="9"/>
  <c r="AN463" i="9"/>
  <c r="AM463" i="9"/>
  <c r="AP464" i="9"/>
  <c r="AM467" i="9"/>
  <c r="AM477" i="9"/>
  <c r="AM486" i="9"/>
  <c r="AP500" i="9"/>
  <c r="S494" i="9"/>
  <c r="AT494" i="9"/>
  <c r="AR494" i="9"/>
  <c r="S473" i="9"/>
  <c r="AT473" i="9"/>
  <c r="S481" i="9"/>
  <c r="AT481" i="9"/>
  <c r="S489" i="9"/>
  <c r="AT489" i="9"/>
  <c r="AS494" i="9"/>
  <c r="S497" i="9"/>
  <c r="AT497" i="9"/>
  <c r="AP503" i="9"/>
  <c r="AO503" i="9"/>
  <c r="S503" i="9"/>
  <c r="AT503" i="9"/>
  <c r="AP507" i="9"/>
  <c r="AO507" i="9"/>
  <c r="S507" i="9"/>
  <c r="AT507" i="9"/>
  <c r="AP511" i="9"/>
  <c r="AM443" i="9"/>
  <c r="U458" i="9"/>
  <c r="AM459" i="9"/>
  <c r="U473" i="9"/>
  <c r="U481" i="9"/>
  <c r="U489" i="9"/>
  <c r="AW494" i="9"/>
  <c r="U497" i="9"/>
  <c r="U503" i="9"/>
  <c r="U507" i="9"/>
  <c r="R439" i="9"/>
  <c r="AN443" i="9"/>
  <c r="R455" i="9"/>
  <c r="AM458" i="9"/>
  <c r="AN459" i="9"/>
  <c r="R471" i="9"/>
  <c r="AM473" i="9"/>
  <c r="S479" i="9"/>
  <c r="AT479" i="9"/>
  <c r="AM481" i="9"/>
  <c r="S487" i="9"/>
  <c r="AT487" i="9"/>
  <c r="AM489" i="9"/>
  <c r="S495" i="9"/>
  <c r="AT495" i="9"/>
  <c r="AM497" i="9"/>
  <c r="AP502" i="9"/>
  <c r="AO502" i="9"/>
  <c r="S502" i="9"/>
  <c r="AT502" i="9"/>
  <c r="AM503" i="9"/>
  <c r="AP506" i="9"/>
  <c r="AO506" i="9"/>
  <c r="S506" i="9"/>
  <c r="AT506" i="9"/>
  <c r="AM507" i="9"/>
  <c r="AP510" i="9"/>
  <c r="AT510" i="9"/>
  <c r="AT511" i="9"/>
  <c r="AT512" i="9"/>
  <c r="S510" i="9"/>
  <c r="S511" i="9"/>
  <c r="S512" i="9"/>
  <c r="AO510" i="9"/>
  <c r="AO511" i="9"/>
  <c r="AO512" i="9"/>
  <c r="N6" i="6"/>
  <c r="N39" i="6" s="1"/>
  <c r="N7" i="6"/>
  <c r="Q63" i="6" s="1"/>
  <c r="N5" i="6"/>
  <c r="N7" i="9" l="1"/>
  <c r="N6" i="9"/>
  <c r="AS8" i="9"/>
  <c r="AJ8" i="9"/>
  <c r="AM8" i="9"/>
  <c r="AK8" i="9"/>
  <c r="B7" i="9"/>
  <c r="AC8" i="9"/>
  <c r="AT8" i="9"/>
  <c r="AN8" i="9"/>
  <c r="AB8" i="9"/>
  <c r="B6" i="9"/>
  <c r="AO8" i="9"/>
  <c r="AP8" i="9"/>
  <c r="AQ8" i="9"/>
  <c r="AE8" i="9"/>
  <c r="AR8" i="9"/>
  <c r="AF8" i="9"/>
  <c r="AV8" i="9"/>
  <c r="AU8" i="9"/>
  <c r="AG8" i="9"/>
  <c r="AW8" i="9"/>
  <c r="AH8" i="9"/>
  <c r="AI8" i="9"/>
  <c r="AA8" i="9"/>
  <c r="AD8" i="9"/>
  <c r="O51" i="6"/>
  <c r="O47" i="6"/>
  <c r="O35" i="6"/>
  <c r="Q59" i="6"/>
  <c r="Q55" i="6"/>
  <c r="Q47" i="6"/>
  <c r="Q35" i="6"/>
  <c r="P35" i="6"/>
  <c r="O43" i="6"/>
  <c r="N1751" i="6"/>
  <c r="S1751" i="6" s="1"/>
  <c r="Q43" i="6"/>
  <c r="Q39" i="6"/>
  <c r="P43" i="6"/>
  <c r="P39" i="6"/>
  <c r="O39" i="6"/>
  <c r="Q67" i="6"/>
  <c r="O71" i="6"/>
  <c r="O67" i="6"/>
  <c r="O63" i="6"/>
  <c r="O59" i="6"/>
  <c r="O55" i="6"/>
  <c r="N71" i="6"/>
  <c r="N67" i="6"/>
  <c r="N63" i="6"/>
  <c r="N59" i="6"/>
  <c r="N55" i="6"/>
  <c r="Q70" i="6"/>
  <c r="Q66" i="6"/>
  <c r="Q62" i="6"/>
  <c r="Q58" i="6"/>
  <c r="Q54" i="6"/>
  <c r="P70" i="6"/>
  <c r="P66" i="6"/>
  <c r="P62" i="6"/>
  <c r="P58" i="6"/>
  <c r="P54" i="6"/>
  <c r="O70" i="6"/>
  <c r="O66" i="6"/>
  <c r="O62" i="6"/>
  <c r="O58" i="6"/>
  <c r="O54" i="6"/>
  <c r="Q60" i="6"/>
  <c r="Q52" i="6"/>
  <c r="P60" i="6"/>
  <c r="O68" i="6"/>
  <c r="O52" i="6"/>
  <c r="N64" i="6"/>
  <c r="N70" i="6"/>
  <c r="N66" i="6"/>
  <c r="N62" i="6"/>
  <c r="N58" i="6"/>
  <c r="N54" i="6"/>
  <c r="O56" i="6"/>
  <c r="N52" i="6"/>
  <c r="Q69" i="6"/>
  <c r="Q65" i="6"/>
  <c r="Q61" i="6"/>
  <c r="Q57" i="6"/>
  <c r="Q53" i="6"/>
  <c r="N68" i="6"/>
  <c r="P69" i="6"/>
  <c r="P65" i="6"/>
  <c r="P61" i="6"/>
  <c r="P57" i="6"/>
  <c r="P53" i="6"/>
  <c r="O65" i="6"/>
  <c r="O61" i="6"/>
  <c r="O57" i="6"/>
  <c r="N69" i="6"/>
  <c r="N61" i="6"/>
  <c r="N57" i="6"/>
  <c r="Q68" i="6"/>
  <c r="Q56" i="6"/>
  <c r="P64" i="6"/>
  <c r="P56" i="6"/>
  <c r="O60" i="6"/>
  <c r="N56" i="6"/>
  <c r="O69" i="6"/>
  <c r="O53" i="6"/>
  <c r="N65" i="6"/>
  <c r="N53" i="6"/>
  <c r="Q64" i="6"/>
  <c r="P68" i="6"/>
  <c r="P52" i="6"/>
  <c r="O64" i="6"/>
  <c r="N60" i="6"/>
  <c r="P71" i="6"/>
  <c r="N47" i="6"/>
  <c r="N43" i="6"/>
  <c r="P59" i="6"/>
  <c r="Q50" i="6"/>
  <c r="Q46" i="6"/>
  <c r="Q42" i="6"/>
  <c r="Q38" i="6"/>
  <c r="Q34" i="6"/>
  <c r="P50" i="6"/>
  <c r="P46" i="6"/>
  <c r="P42" i="6"/>
  <c r="P38" i="6"/>
  <c r="P34" i="6"/>
  <c r="O50" i="6"/>
  <c r="O46" i="6"/>
  <c r="O42" i="6"/>
  <c r="O38" i="6"/>
  <c r="O34" i="6"/>
  <c r="Q32" i="6"/>
  <c r="P40" i="6"/>
  <c r="O36" i="6"/>
  <c r="N48" i="6"/>
  <c r="N36" i="6"/>
  <c r="N50" i="6"/>
  <c r="N46" i="6"/>
  <c r="N42" i="6"/>
  <c r="N38" i="6"/>
  <c r="N34" i="6"/>
  <c r="Q44" i="6"/>
  <c r="P44" i="6"/>
  <c r="Q49" i="6"/>
  <c r="Q45" i="6"/>
  <c r="Q41" i="6"/>
  <c r="Q37" i="6"/>
  <c r="Q33" i="6"/>
  <c r="Q40" i="6"/>
  <c r="P48" i="6"/>
  <c r="O48" i="6"/>
  <c r="P49" i="6"/>
  <c r="P45" i="6"/>
  <c r="P41" i="6"/>
  <c r="P37" i="6"/>
  <c r="P33" i="6"/>
  <c r="O49" i="6"/>
  <c r="O45" i="6"/>
  <c r="O41" i="6"/>
  <c r="O33" i="6"/>
  <c r="N49" i="6"/>
  <c r="N45" i="6"/>
  <c r="N37" i="6"/>
  <c r="N33" i="6"/>
  <c r="Q48" i="6"/>
  <c r="Q36" i="6"/>
  <c r="P36" i="6"/>
  <c r="O44" i="6"/>
  <c r="O32" i="6"/>
  <c r="N40" i="6"/>
  <c r="O37" i="6"/>
  <c r="N41" i="6"/>
  <c r="P32" i="6"/>
  <c r="O40" i="6"/>
  <c r="N44" i="6"/>
  <c r="N32" i="6"/>
  <c r="N51" i="6"/>
  <c r="P67" i="6"/>
  <c r="P63" i="6"/>
  <c r="P55" i="6"/>
  <c r="N35" i="6"/>
  <c r="P51" i="6"/>
  <c r="Q71" i="6"/>
  <c r="P47" i="6"/>
  <c r="Q51" i="6"/>
  <c r="P14" i="6"/>
  <c r="N17" i="6"/>
  <c r="P24" i="6"/>
  <c r="O13" i="6"/>
  <c r="O31" i="6"/>
  <c r="Q15" i="6"/>
  <c r="Q30" i="6"/>
  <c r="P17" i="6"/>
  <c r="P28" i="6"/>
  <c r="Q19" i="6"/>
  <c r="P25" i="6"/>
  <c r="O30" i="6"/>
  <c r="N21" i="6"/>
  <c r="P23" i="6"/>
  <c r="Q22" i="6"/>
  <c r="O22" i="6"/>
  <c r="Q26" i="6"/>
  <c r="P20" i="6"/>
  <c r="O12" i="6"/>
  <c r="AE17" i="6" s="1"/>
  <c r="O27" i="6"/>
  <c r="P31" i="6"/>
  <c r="N14" i="6"/>
  <c r="N25" i="6"/>
  <c r="N13" i="6"/>
  <c r="N20" i="6"/>
  <c r="N12" i="6"/>
  <c r="AD23" i="6" s="1"/>
  <c r="P26" i="6"/>
  <c r="Q27" i="6"/>
  <c r="O24" i="6"/>
  <c r="P30" i="6"/>
  <c r="Q29" i="6"/>
  <c r="P15" i="6"/>
  <c r="P12" i="6"/>
  <c r="N15" i="6"/>
  <c r="N29" i="6"/>
  <c r="P16" i="6"/>
  <c r="N28" i="6"/>
  <c r="N22" i="6"/>
  <c r="O15" i="6"/>
  <c r="P27" i="6"/>
  <c r="P18" i="6"/>
  <c r="P21" i="6"/>
  <c r="Q18" i="6"/>
  <c r="Q31" i="6"/>
  <c r="O16" i="6"/>
  <c r="Q28" i="6"/>
  <c r="P29" i="6"/>
  <c r="O14" i="6"/>
  <c r="N26" i="6"/>
  <c r="N18" i="6"/>
  <c r="P22" i="6"/>
  <c r="Q13" i="6"/>
  <c r="N30" i="6"/>
  <c r="Q20" i="6"/>
  <c r="O20" i="6"/>
  <c r="Q24" i="6"/>
  <c r="P13" i="6"/>
  <c r="Q16" i="6"/>
  <c r="Q12" i="6"/>
  <c r="Q25" i="6"/>
  <c r="O19" i="6"/>
  <c r="O23" i="6"/>
  <c r="Q14" i="6"/>
  <c r="N31" i="6"/>
  <c r="N24" i="6"/>
  <c r="N27" i="6"/>
  <c r="O26" i="6"/>
  <c r="P19" i="6"/>
  <c r="O18" i="6"/>
  <c r="N16" i="6"/>
  <c r="Q17" i="6"/>
  <c r="O28" i="6"/>
  <c r="Q21" i="6"/>
  <c r="N23" i="6"/>
  <c r="O25" i="6"/>
  <c r="Q23" i="6"/>
  <c r="N19" i="6"/>
  <c r="O21" i="6"/>
  <c r="O17" i="6"/>
  <c r="O29" i="6"/>
  <c r="N253" i="6"/>
  <c r="N310" i="6"/>
  <c r="S310" i="6" s="1"/>
  <c r="N357" i="6"/>
  <c r="N842" i="6"/>
  <c r="S842" i="6" s="1"/>
  <c r="N87" i="6"/>
  <c r="S87" i="6" s="1"/>
  <c r="N797" i="6"/>
  <c r="S797" i="6" s="1"/>
  <c r="N360" i="6"/>
  <c r="N467" i="6"/>
  <c r="S467" i="6" s="1"/>
  <c r="N615" i="6"/>
  <c r="S615" i="6" s="1"/>
  <c r="N884" i="6"/>
  <c r="S884" i="6" s="1"/>
  <c r="N517" i="6"/>
  <c r="S517" i="6" s="1"/>
  <c r="N664" i="6"/>
  <c r="S664" i="6" s="1"/>
  <c r="N841" i="6"/>
  <c r="S841" i="6" s="1"/>
  <c r="N89" i="6"/>
  <c r="S89" i="6" s="1"/>
  <c r="N711" i="6"/>
  <c r="S711" i="6" s="1"/>
  <c r="N665" i="6"/>
  <c r="S665" i="6" s="1"/>
  <c r="N86" i="6"/>
  <c r="S86" i="6" s="1"/>
  <c r="N416" i="6"/>
  <c r="S416" i="6" s="1"/>
  <c r="N391" i="6"/>
  <c r="S391" i="6" s="1"/>
  <c r="N140" i="6"/>
  <c r="N662" i="6"/>
  <c r="S662" i="6" s="1"/>
  <c r="N754" i="6"/>
  <c r="S754" i="6" s="1"/>
  <c r="N368" i="6"/>
  <c r="S368" i="6" s="1"/>
  <c r="N146" i="6"/>
  <c r="S146" i="6" s="1"/>
  <c r="N562" i="6"/>
  <c r="N195" i="6"/>
  <c r="N466" i="6"/>
  <c r="S466" i="6" s="1"/>
  <c r="N306" i="6"/>
  <c r="N148" i="6"/>
  <c r="S148" i="6" s="1"/>
  <c r="N752" i="6"/>
  <c r="S752" i="6" s="1"/>
  <c r="N412" i="6"/>
  <c r="N200" i="6"/>
  <c r="S200" i="6" s="1"/>
  <c r="N203" i="6"/>
  <c r="S203" i="6" s="1"/>
  <c r="N512" i="6"/>
  <c r="N141" i="6"/>
  <c r="N469" i="6"/>
  <c r="S469" i="6" s="1"/>
  <c r="N138" i="6"/>
  <c r="N418" i="6"/>
  <c r="S418" i="6" s="1"/>
  <c r="N314" i="6"/>
  <c r="S314" i="6" s="1"/>
  <c r="N196" i="6"/>
  <c r="N659" i="6"/>
  <c r="S659" i="6" s="1"/>
  <c r="N420" i="6"/>
  <c r="S420" i="6" s="1"/>
  <c r="N192" i="6"/>
  <c r="N83" i="6"/>
  <c r="N411" i="6"/>
  <c r="N204" i="6"/>
  <c r="S204" i="6" s="1"/>
  <c r="N885" i="6"/>
  <c r="S885" i="6" s="1"/>
  <c r="N468" i="6"/>
  <c r="S468" i="6" s="1"/>
  <c r="N261" i="6"/>
  <c r="S261" i="6" s="1"/>
  <c r="N363" i="6"/>
  <c r="S363" i="6" s="1"/>
  <c r="N912" i="6"/>
  <c r="S912" i="6" s="1"/>
  <c r="N398" i="6"/>
  <c r="S398" i="6" s="1"/>
  <c r="N614" i="6"/>
  <c r="S614" i="6" s="1"/>
  <c r="N516" i="6"/>
  <c r="S516" i="6" s="1"/>
  <c r="N464" i="6"/>
  <c r="S464" i="6" s="1"/>
  <c r="N82" i="6"/>
  <c r="N248" i="6"/>
  <c r="N135" i="6"/>
  <c r="N362" i="6"/>
  <c r="S362" i="6" s="1"/>
  <c r="N465" i="6"/>
  <c r="S465" i="6" s="1"/>
  <c r="N367" i="6"/>
  <c r="S367" i="6" s="1"/>
  <c r="N663" i="6"/>
  <c r="S663" i="6" s="1"/>
  <c r="N569" i="6"/>
  <c r="S569" i="6" s="1"/>
  <c r="N91" i="6"/>
  <c r="S91" i="6" s="1"/>
  <c r="N193" i="6"/>
  <c r="N311" i="6"/>
  <c r="S311" i="6" s="1"/>
  <c r="N800" i="6"/>
  <c r="S800" i="6" s="1"/>
  <c r="N419" i="6"/>
  <c r="S419" i="6" s="1"/>
  <c r="N462" i="6"/>
  <c r="N153" i="6"/>
  <c r="S153" i="6" s="1"/>
  <c r="N611" i="6"/>
  <c r="S611" i="6" s="1"/>
  <c r="N134" i="6"/>
  <c r="N461" i="6"/>
  <c r="N515" i="6"/>
  <c r="S515" i="6" s="1"/>
  <c r="N564" i="6"/>
  <c r="S564" i="6" s="1"/>
  <c r="N521" i="6"/>
  <c r="S521" i="6" s="1"/>
  <c r="N617" i="6"/>
  <c r="S617" i="6" s="1"/>
  <c r="N519" i="6"/>
  <c r="S519" i="6" s="1"/>
  <c r="N302" i="6"/>
  <c r="N414" i="6"/>
  <c r="S414" i="6" s="1"/>
  <c r="N470" i="6"/>
  <c r="S470" i="6" s="1"/>
  <c r="N567" i="6"/>
  <c r="S567" i="6" s="1"/>
  <c r="N198" i="6"/>
  <c r="N250" i="6"/>
  <c r="N900" i="6"/>
  <c r="S900" i="6" s="1"/>
  <c r="N440" i="6"/>
  <c r="S440" i="6" s="1"/>
  <c r="N667" i="6"/>
  <c r="S667" i="6" s="1"/>
  <c r="N857" i="6"/>
  <c r="S857" i="6" s="1"/>
  <c r="N280" i="6"/>
  <c r="S280" i="6" s="1"/>
  <c r="N194" i="6"/>
  <c r="N202" i="6"/>
  <c r="S202" i="6" s="1"/>
  <c r="N480" i="6"/>
  <c r="S480" i="6" s="1"/>
  <c r="N608" i="6"/>
  <c r="S608" i="6" s="1"/>
  <c r="N635" i="6"/>
  <c r="S635" i="6" s="1"/>
  <c r="N761" i="6"/>
  <c r="S761" i="6" s="1"/>
  <c r="N334" i="6"/>
  <c r="S334" i="6" s="1"/>
  <c r="N428" i="6"/>
  <c r="S428" i="6" s="1"/>
  <c r="N732" i="6"/>
  <c r="S732" i="6" s="1"/>
  <c r="N960" i="6"/>
  <c r="S960" i="6" s="1"/>
  <c r="N220" i="6"/>
  <c r="S220" i="6" s="1"/>
  <c r="N143" i="6"/>
  <c r="S143" i="6" s="1"/>
  <c r="N719" i="6"/>
  <c r="S719" i="6" s="1"/>
  <c r="N589" i="6"/>
  <c r="S589" i="6" s="1"/>
  <c r="N749" i="6"/>
  <c r="S749" i="6" s="1"/>
  <c r="N926" i="6"/>
  <c r="S926" i="6" s="1"/>
  <c r="N612" i="6"/>
  <c r="S612" i="6" s="1"/>
  <c r="N570" i="6"/>
  <c r="S570" i="6" s="1"/>
  <c r="N415" i="6"/>
  <c r="S415" i="6" s="1"/>
  <c r="N315" i="6"/>
  <c r="S315" i="6" s="1"/>
  <c r="N513" i="6"/>
  <c r="N485" i="6"/>
  <c r="S485" i="6" s="1"/>
  <c r="N481" i="6"/>
  <c r="S481" i="6" s="1"/>
  <c r="N159" i="6"/>
  <c r="S159" i="6" s="1"/>
  <c r="N616" i="6"/>
  <c r="S616" i="6" s="1"/>
  <c r="N765" i="6"/>
  <c r="S765" i="6" s="1"/>
  <c r="N941" i="6"/>
  <c r="S941" i="6" s="1"/>
  <c r="N695" i="6"/>
  <c r="S695" i="6" s="1"/>
  <c r="N618" i="6"/>
  <c r="S618" i="6" s="1"/>
  <c r="N359" i="6"/>
  <c r="N756" i="6"/>
  <c r="S756" i="6" s="1"/>
  <c r="N142" i="6"/>
  <c r="N88" i="6"/>
  <c r="S88" i="6" s="1"/>
  <c r="N861" i="6"/>
  <c r="S861" i="6" s="1"/>
  <c r="N164" i="6"/>
  <c r="S164" i="6" s="1"/>
  <c r="N774" i="6"/>
  <c r="S774" i="6" s="1"/>
  <c r="N588" i="6"/>
  <c r="S588" i="6" s="1"/>
  <c r="N409" i="6"/>
  <c r="N716" i="6"/>
  <c r="S716" i="6" s="1"/>
  <c r="N566" i="6"/>
  <c r="S566" i="6" s="1"/>
  <c r="N850" i="6"/>
  <c r="S850" i="6" s="1"/>
  <c r="N712" i="6"/>
  <c r="S712" i="6" s="1"/>
  <c r="N877" i="6"/>
  <c r="S877" i="6" s="1"/>
  <c r="N144" i="6"/>
  <c r="S144" i="6" s="1"/>
  <c r="N356" i="6"/>
  <c r="N206" i="6"/>
  <c r="S206" i="6" s="1"/>
  <c r="N347" i="6"/>
  <c r="S347" i="6" s="1"/>
  <c r="N717" i="6"/>
  <c r="S717" i="6" s="1"/>
  <c r="N251" i="6"/>
  <c r="N568" i="6"/>
  <c r="S568" i="6" s="1"/>
  <c r="N197" i="6"/>
  <c r="N637" i="6"/>
  <c r="S637" i="6" s="1"/>
  <c r="N413" i="6"/>
  <c r="S413" i="6" s="1"/>
  <c r="N260" i="6"/>
  <c r="S260" i="6" s="1"/>
  <c r="N199" i="6"/>
  <c r="S199" i="6" s="1"/>
  <c r="N630" i="6"/>
  <c r="S630" i="6" s="1"/>
  <c r="N904" i="6"/>
  <c r="S904" i="6" s="1"/>
  <c r="N613" i="6"/>
  <c r="S613" i="6" s="1"/>
  <c r="N706" i="6"/>
  <c r="S706" i="6" s="1"/>
  <c r="N661" i="6"/>
  <c r="S661" i="6" s="1"/>
  <c r="N755" i="6"/>
  <c r="S755" i="6" s="1"/>
  <c r="N90" i="6"/>
  <c r="S90" i="6" s="1"/>
  <c r="N304" i="6"/>
  <c r="N309" i="6"/>
  <c r="S309" i="6" s="1"/>
  <c r="N520" i="6"/>
  <c r="S520" i="6" s="1"/>
  <c r="N147" i="6"/>
  <c r="S147" i="6" s="1"/>
  <c r="N973" i="6"/>
  <c r="S973" i="6" s="1"/>
  <c r="N720" i="6"/>
  <c r="S720" i="6" s="1"/>
  <c r="N989" i="6"/>
  <c r="S989" i="6" s="1"/>
  <c r="N514" i="6"/>
  <c r="S514" i="6" s="1"/>
  <c r="N252" i="6"/>
  <c r="N137" i="6"/>
  <c r="N378" i="6"/>
  <c r="S378" i="6" s="1"/>
  <c r="N429" i="6"/>
  <c r="S429" i="6" s="1"/>
  <c r="N308" i="6"/>
  <c r="S308" i="6" s="1"/>
  <c r="N247" i="6"/>
  <c r="N666" i="6"/>
  <c r="S666" i="6" s="1"/>
  <c r="N358" i="6"/>
  <c r="N660" i="6"/>
  <c r="S660" i="6" s="1"/>
  <c r="N798" i="6"/>
  <c r="S798" i="6" s="1"/>
  <c r="N799" i="6"/>
  <c r="S799" i="6" s="1"/>
  <c r="N819" i="6"/>
  <c r="S819" i="6" s="1"/>
  <c r="N76" i="6"/>
  <c r="N463" i="6"/>
  <c r="N77" i="6"/>
  <c r="N352" i="6"/>
  <c r="S352" i="6" s="1"/>
  <c r="N920" i="6"/>
  <c r="S920" i="6" s="1"/>
  <c r="N781" i="6"/>
  <c r="S781" i="6" s="1"/>
  <c r="N474" i="6"/>
  <c r="S474" i="6" s="1"/>
  <c r="N228" i="6"/>
  <c r="S228" i="6" s="1"/>
  <c r="N590" i="6"/>
  <c r="S590" i="6" s="1"/>
  <c r="N191" i="6"/>
  <c r="N93" i="6"/>
  <c r="S93" i="6" s="1"/>
  <c r="N708" i="6"/>
  <c r="S708" i="6" s="1"/>
  <c r="N305" i="6"/>
  <c r="N364" i="6"/>
  <c r="S364" i="6" s="1"/>
  <c r="N255" i="6"/>
  <c r="S255" i="6" s="1"/>
  <c r="N725" i="6"/>
  <c r="S725" i="6" s="1"/>
  <c r="N366" i="6"/>
  <c r="S366" i="6" s="1"/>
  <c r="N892" i="6"/>
  <c r="S892" i="6" s="1"/>
  <c r="N802" i="6"/>
  <c r="S802" i="6" s="1"/>
  <c r="N471" i="6"/>
  <c r="S471" i="6" s="1"/>
  <c r="N853" i="6"/>
  <c r="S853" i="6" s="1"/>
  <c r="N365" i="6"/>
  <c r="S365" i="6" s="1"/>
  <c r="N668" i="6"/>
  <c r="S668" i="6" s="1"/>
  <c r="N523" i="6"/>
  <c r="S523" i="6" s="1"/>
  <c r="N574" i="6"/>
  <c r="S574" i="6" s="1"/>
  <c r="N571" i="6"/>
  <c r="S571" i="6" s="1"/>
  <c r="N865" i="6"/>
  <c r="S865" i="6" s="1"/>
  <c r="N321" i="6"/>
  <c r="S321" i="6" s="1"/>
  <c r="N263" i="6"/>
  <c r="S263" i="6" s="1"/>
  <c r="N424" i="6"/>
  <c r="S424" i="6" s="1"/>
  <c r="N828" i="6"/>
  <c r="S828" i="6" s="1"/>
  <c r="N901" i="6"/>
  <c r="S901" i="6" s="1"/>
  <c r="N307" i="6"/>
  <c r="N473" i="6"/>
  <c r="S473" i="6" s="1"/>
  <c r="N417" i="6"/>
  <c r="S417" i="6" s="1"/>
  <c r="N406" i="6"/>
  <c r="S406" i="6" s="1"/>
  <c r="N303" i="6"/>
  <c r="N518" i="6"/>
  <c r="S518" i="6" s="1"/>
  <c r="N427" i="6"/>
  <c r="S427" i="6" s="1"/>
  <c r="N509" i="6"/>
  <c r="S509" i="6" s="1"/>
  <c r="N709" i="6"/>
  <c r="S709" i="6" s="1"/>
  <c r="N559" i="6"/>
  <c r="S559" i="6" s="1"/>
  <c r="N930" i="6"/>
  <c r="S930" i="6" s="1"/>
  <c r="N563" i="6"/>
  <c r="S563" i="6" s="1"/>
  <c r="N565" i="6"/>
  <c r="S565" i="6" s="1"/>
  <c r="N128" i="6"/>
  <c r="S128" i="6" s="1"/>
  <c r="N355" i="6"/>
  <c r="S355" i="6" s="1"/>
  <c r="N548" i="6"/>
  <c r="S548" i="6" s="1"/>
  <c r="N951" i="6"/>
  <c r="S951" i="6" s="1"/>
  <c r="N1658" i="6"/>
  <c r="S1658" i="6" s="1"/>
  <c r="N550" i="6"/>
  <c r="S550" i="6" s="1"/>
  <c r="N554" i="6"/>
  <c r="S554" i="6" s="1"/>
  <c r="N556" i="6"/>
  <c r="S556" i="6" s="1"/>
  <c r="N838" i="6"/>
  <c r="S838" i="6" s="1"/>
  <c r="N254" i="6"/>
  <c r="S254" i="6" s="1"/>
  <c r="N488" i="6"/>
  <c r="S488" i="6" s="1"/>
  <c r="N149" i="6"/>
  <c r="S149" i="6" s="1"/>
  <c r="N205" i="6"/>
  <c r="S205" i="6" s="1"/>
  <c r="N1691" i="6"/>
  <c r="S1691" i="6" s="1"/>
  <c r="N1035" i="6"/>
  <c r="S1035" i="6" s="1"/>
  <c r="N243" i="6"/>
  <c r="S243" i="6" s="1"/>
  <c r="N256" i="6"/>
  <c r="S256" i="6" s="1"/>
  <c r="N259" i="6"/>
  <c r="S259" i="6" s="1"/>
  <c r="N257" i="6"/>
  <c r="S257" i="6" s="1"/>
  <c r="N916" i="6"/>
  <c r="S916" i="6" s="1"/>
  <c r="N216" i="6"/>
  <c r="S216" i="6" s="1"/>
  <c r="N312" i="6"/>
  <c r="S312" i="6" s="1"/>
  <c r="N85" i="6"/>
  <c r="S85" i="6" s="1"/>
  <c r="N81" i="6"/>
  <c r="N79" i="6"/>
  <c r="N80" i="6"/>
  <c r="N201" i="6"/>
  <c r="S201" i="6" s="1"/>
  <c r="N991" i="6"/>
  <c r="S991" i="6" s="1"/>
  <c r="N313" i="6"/>
  <c r="S313" i="6" s="1"/>
  <c r="N361" i="6"/>
  <c r="S361" i="6" s="1"/>
  <c r="N223" i="6"/>
  <c r="S223" i="6" s="1"/>
  <c r="N729" i="6"/>
  <c r="S729" i="6" s="1"/>
  <c r="N753" i="6"/>
  <c r="S753" i="6" s="1"/>
  <c r="N410" i="6"/>
  <c r="N388" i="6"/>
  <c r="S388" i="6" s="1"/>
  <c r="N843" i="6"/>
  <c r="S843" i="6" s="1"/>
  <c r="N715" i="6"/>
  <c r="S715" i="6" s="1"/>
  <c r="N707" i="6"/>
  <c r="S707" i="6" s="1"/>
  <c r="N859" i="6"/>
  <c r="S859" i="6" s="1"/>
  <c r="N320" i="6"/>
  <c r="S320" i="6" s="1"/>
  <c r="N78" i="6"/>
  <c r="N827" i="6"/>
  <c r="S827" i="6" s="1"/>
  <c r="N231" i="6"/>
  <c r="S231" i="6" s="1"/>
  <c r="N402" i="6"/>
  <c r="S402" i="6" s="1"/>
  <c r="N851" i="6"/>
  <c r="S851" i="6" s="1"/>
  <c r="N718" i="6"/>
  <c r="S718" i="6" s="1"/>
  <c r="N710" i="6"/>
  <c r="S710" i="6" s="1"/>
  <c r="N970" i="6"/>
  <c r="S970" i="6" s="1"/>
  <c r="N258" i="6"/>
  <c r="S258" i="6" s="1"/>
  <c r="N145" i="6"/>
  <c r="S145" i="6" s="1"/>
  <c r="N396" i="6"/>
  <c r="S396" i="6" s="1"/>
  <c r="N866" i="6"/>
  <c r="S866" i="6" s="1"/>
  <c r="N150" i="6"/>
  <c r="S150" i="6" s="1"/>
  <c r="N249" i="6"/>
  <c r="N136" i="6"/>
  <c r="N300" i="6"/>
  <c r="S300" i="6" s="1"/>
  <c r="N587" i="6"/>
  <c r="S587" i="6" s="1"/>
  <c r="N609" i="6"/>
  <c r="S609" i="6" s="1"/>
  <c r="N224" i="6"/>
  <c r="S224" i="6" s="1"/>
  <c r="N342" i="6"/>
  <c r="S342" i="6" s="1"/>
  <c r="N172" i="6"/>
  <c r="S172" i="6" s="1"/>
  <c r="N167" i="6"/>
  <c r="S167" i="6" s="1"/>
  <c r="N703" i="6"/>
  <c r="S703" i="6" s="1"/>
  <c r="N943" i="6"/>
  <c r="S943" i="6" s="1"/>
  <c r="N680" i="6"/>
  <c r="S680" i="6" s="1"/>
  <c r="N927" i="6"/>
  <c r="S927" i="6" s="1"/>
  <c r="N629" i="6"/>
  <c r="S629" i="6" s="1"/>
  <c r="N689" i="6"/>
  <c r="S689" i="6" s="1"/>
  <c r="N628" i="6"/>
  <c r="S628" i="6" s="1"/>
  <c r="N776" i="6"/>
  <c r="S776" i="6" s="1"/>
  <c r="N1007" i="6"/>
  <c r="S1007" i="6" s="1"/>
  <c r="N1009" i="6"/>
  <c r="S1009" i="6" s="1"/>
  <c r="N383" i="6"/>
  <c r="S383" i="6" s="1"/>
  <c r="N297" i="6"/>
  <c r="S297" i="6" s="1"/>
  <c r="N370" i="6"/>
  <c r="S370" i="6" s="1"/>
  <c r="N633" i="6"/>
  <c r="S633" i="6" s="1"/>
  <c r="N207" i="6"/>
  <c r="S207" i="6" s="1"/>
  <c r="N346" i="6"/>
  <c r="S346" i="6" s="1"/>
  <c r="N560" i="6"/>
  <c r="S560" i="6" s="1"/>
  <c r="N674" i="6"/>
  <c r="S674" i="6" s="1"/>
  <c r="N1036" i="6"/>
  <c r="S1036" i="6" s="1"/>
  <c r="N522" i="6"/>
  <c r="S522" i="6" s="1"/>
  <c r="N561" i="6"/>
  <c r="S561" i="6" s="1"/>
  <c r="N547" i="6"/>
  <c r="S547" i="6" s="1"/>
  <c r="N390" i="6"/>
  <c r="S390" i="6" s="1"/>
  <c r="N491" i="6"/>
  <c r="S491" i="6" s="1"/>
  <c r="N372" i="6"/>
  <c r="S372" i="6" s="1"/>
  <c r="N682" i="6"/>
  <c r="S682" i="6" s="1"/>
  <c r="N845" i="6"/>
  <c r="S845" i="6" s="1"/>
  <c r="N772" i="6"/>
  <c r="S772" i="6" s="1"/>
  <c r="N532" i="6"/>
  <c r="S532" i="6" s="1"/>
  <c r="N675" i="6"/>
  <c r="S675" i="6" s="1"/>
  <c r="N681" i="6"/>
  <c r="S681" i="6" s="1"/>
  <c r="N535" i="6"/>
  <c r="S535" i="6" s="1"/>
  <c r="N844" i="6"/>
  <c r="S844" i="6" s="1"/>
  <c r="N813" i="6"/>
  <c r="S813" i="6" s="1"/>
  <c r="N894" i="6"/>
  <c r="S894" i="6" s="1"/>
  <c r="N993" i="6"/>
  <c r="S993" i="6" s="1"/>
  <c r="N1015" i="6"/>
  <c r="S1015" i="6" s="1"/>
  <c r="N985" i="6"/>
  <c r="S985" i="6" s="1"/>
  <c r="N961" i="6"/>
  <c r="S961" i="6" s="1"/>
  <c r="N983" i="6"/>
  <c r="S983" i="6" s="1"/>
  <c r="N235" i="6"/>
  <c r="S235" i="6" s="1"/>
  <c r="N482" i="6"/>
  <c r="S482" i="6" s="1"/>
  <c r="N181" i="6"/>
  <c r="S181" i="6" s="1"/>
  <c r="N1733" i="6"/>
  <c r="S1733" i="6" s="1"/>
  <c r="N498" i="6"/>
  <c r="S498" i="6" s="1"/>
  <c r="N602" i="6"/>
  <c r="S602" i="6" s="1"/>
  <c r="N456" i="6"/>
  <c r="S456" i="6" s="1"/>
  <c r="N1004" i="6"/>
  <c r="S1004" i="6" s="1"/>
  <c r="N403" i="6"/>
  <c r="S403" i="6" s="1"/>
  <c r="N622" i="6"/>
  <c r="S622" i="6" s="1"/>
  <c r="N784" i="6"/>
  <c r="S784" i="6" s="1"/>
  <c r="N869" i="6"/>
  <c r="S869" i="6" s="1"/>
  <c r="N702" i="6"/>
  <c r="S702" i="6" s="1"/>
  <c r="N531" i="6"/>
  <c r="S531" i="6" s="1"/>
  <c r="N319" i="6"/>
  <c r="S319" i="6" s="1"/>
  <c r="N1042" i="6"/>
  <c r="S1042" i="6" s="1"/>
  <c r="N585" i="6"/>
  <c r="S585" i="6" s="1"/>
  <c r="N653" i="6"/>
  <c r="S653" i="6" s="1"/>
  <c r="N966" i="6"/>
  <c r="S966" i="6" s="1"/>
  <c r="N809" i="6"/>
  <c r="S809" i="6" s="1"/>
  <c r="N115" i="6"/>
  <c r="S115" i="6" s="1"/>
  <c r="N110" i="6"/>
  <c r="S110" i="6" s="1"/>
  <c r="N387" i="6"/>
  <c r="S387" i="6" s="1"/>
  <c r="N212" i="6"/>
  <c r="S212" i="6" s="1"/>
  <c r="N723" i="6"/>
  <c r="S723" i="6" s="1"/>
  <c r="N215" i="6"/>
  <c r="S215" i="6" s="1"/>
  <c r="N349" i="6"/>
  <c r="S349" i="6" s="1"/>
  <c r="N619" i="6"/>
  <c r="S619" i="6" s="1"/>
  <c r="N688" i="6"/>
  <c r="S688" i="6" s="1"/>
  <c r="N576" i="6"/>
  <c r="S576" i="6" s="1"/>
  <c r="N536" i="6"/>
  <c r="S536" i="6" s="1"/>
  <c r="N581" i="6"/>
  <c r="S581" i="6" s="1"/>
  <c r="N407" i="6"/>
  <c r="S407" i="6" s="1"/>
  <c r="N808" i="6"/>
  <c r="S808" i="6" s="1"/>
  <c r="N722" i="6"/>
  <c r="S722" i="6" s="1"/>
  <c r="N505" i="6"/>
  <c r="S505" i="6" s="1"/>
  <c r="N380" i="6"/>
  <c r="S380" i="6" s="1"/>
  <c r="N744" i="6"/>
  <c r="S744" i="6" s="1"/>
  <c r="N862" i="6"/>
  <c r="S862" i="6" s="1"/>
  <c r="N847" i="6"/>
  <c r="S847" i="6" s="1"/>
  <c r="N540" i="6"/>
  <c r="S540" i="6" s="1"/>
  <c r="N678" i="6"/>
  <c r="S678" i="6" s="1"/>
  <c r="N698" i="6"/>
  <c r="S698" i="6" s="1"/>
  <c r="N543" i="6"/>
  <c r="S543" i="6" s="1"/>
  <c r="N852" i="6"/>
  <c r="S852" i="6" s="1"/>
  <c r="N1025" i="6"/>
  <c r="S1025" i="6" s="1"/>
  <c r="N803" i="6"/>
  <c r="S803" i="6" s="1"/>
  <c r="N816" i="6"/>
  <c r="S816" i="6" s="1"/>
  <c r="N934" i="6"/>
  <c r="S934" i="6" s="1"/>
  <c r="N1021" i="6"/>
  <c r="S1021" i="6" s="1"/>
  <c r="N1033" i="6"/>
  <c r="S1033" i="6" s="1"/>
  <c r="N988" i="6"/>
  <c r="S988" i="6" s="1"/>
  <c r="N967" i="6"/>
  <c r="S967" i="6" s="1"/>
  <c r="N849" i="6"/>
  <c r="S849" i="6" s="1"/>
  <c r="N986" i="6"/>
  <c r="S986" i="6" s="1"/>
  <c r="N293" i="6"/>
  <c r="S293" i="6" s="1"/>
  <c r="N694" i="6"/>
  <c r="S694" i="6" s="1"/>
  <c r="N400" i="6"/>
  <c r="S400" i="6" s="1"/>
  <c r="N786" i="6"/>
  <c r="S786" i="6" s="1"/>
  <c r="N1652" i="6"/>
  <c r="S1652" i="6" s="1"/>
  <c r="N876" i="6"/>
  <c r="S876" i="6" s="1"/>
  <c r="N404" i="6"/>
  <c r="S404" i="6" s="1"/>
  <c r="N785" i="6"/>
  <c r="S785" i="6" s="1"/>
  <c r="N575" i="6"/>
  <c r="S575" i="6" s="1"/>
  <c r="N670" i="6"/>
  <c r="S670" i="6" s="1"/>
  <c r="N578" i="6"/>
  <c r="S578" i="6" s="1"/>
  <c r="N903" i="6"/>
  <c r="S903" i="6" s="1"/>
  <c r="N860" i="6"/>
  <c r="S860" i="6" s="1"/>
  <c r="N898" i="6"/>
  <c r="S898" i="6" s="1"/>
  <c r="N925" i="6"/>
  <c r="S925" i="6" s="1"/>
  <c r="N928" i="6"/>
  <c r="S928" i="6" s="1"/>
  <c r="N891" i="6"/>
  <c r="S891" i="6" s="1"/>
  <c r="N942" i="6"/>
  <c r="S942" i="6" s="1"/>
  <c r="N873" i="6"/>
  <c r="S873" i="6" s="1"/>
  <c r="N968" i="6"/>
  <c r="S968" i="6" s="1"/>
  <c r="N177" i="6"/>
  <c r="S177" i="6" s="1"/>
  <c r="N275" i="6"/>
  <c r="S275" i="6" s="1"/>
  <c r="N341" i="6"/>
  <c r="S341" i="6" s="1"/>
  <c r="N176" i="6"/>
  <c r="S176" i="6" s="1"/>
  <c r="N1701" i="6"/>
  <c r="S1701" i="6" s="1"/>
  <c r="N95" i="6"/>
  <c r="S95" i="6" s="1"/>
  <c r="N598" i="6"/>
  <c r="S598" i="6" s="1"/>
  <c r="N573" i="6"/>
  <c r="S573" i="6" s="1"/>
  <c r="N430" i="6"/>
  <c r="S430" i="6" s="1"/>
  <c r="N750" i="6"/>
  <c r="S750" i="6" s="1"/>
  <c r="N507" i="6"/>
  <c r="S507" i="6" s="1"/>
  <c r="N676" i="6"/>
  <c r="S676" i="6" s="1"/>
  <c r="N541" i="6"/>
  <c r="S541" i="6" s="1"/>
  <c r="N727" i="6"/>
  <c r="S727" i="6" s="1"/>
  <c r="N583" i="6"/>
  <c r="S583" i="6" s="1"/>
  <c r="N687" i="6"/>
  <c r="S687" i="6" s="1"/>
  <c r="N932" i="6"/>
  <c r="S932" i="6" s="1"/>
  <c r="N874" i="6"/>
  <c r="S874" i="6" s="1"/>
  <c r="N902" i="6"/>
  <c r="S902" i="6" s="1"/>
  <c r="N959" i="6"/>
  <c r="S959" i="6" s="1"/>
  <c r="N936" i="6"/>
  <c r="S936" i="6" s="1"/>
  <c r="N899" i="6"/>
  <c r="S899" i="6" s="1"/>
  <c r="N950" i="6"/>
  <c r="S950" i="6" s="1"/>
  <c r="N881" i="6"/>
  <c r="S881" i="6" s="1"/>
  <c r="N976" i="6"/>
  <c r="S976" i="6" s="1"/>
  <c r="N133" i="6"/>
  <c r="S133" i="6" s="1"/>
  <c r="N190" i="6"/>
  <c r="S190" i="6" s="1"/>
  <c r="N1645" i="6"/>
  <c r="S1645" i="6" s="1"/>
  <c r="N1740" i="6"/>
  <c r="S1740" i="6" s="1"/>
  <c r="N824" i="6"/>
  <c r="S824" i="6" s="1"/>
  <c r="N329" i="6"/>
  <c r="S329" i="6" s="1"/>
  <c r="N236" i="6"/>
  <c r="S236" i="6" s="1"/>
  <c r="N421" i="6"/>
  <c r="S421" i="6" s="1"/>
  <c r="N239" i="6"/>
  <c r="S239" i="6" s="1"/>
  <c r="N422" i="6"/>
  <c r="S422" i="6" s="1"/>
  <c r="N768" i="6"/>
  <c r="S768" i="6" s="1"/>
  <c r="N679" i="6"/>
  <c r="S679" i="6" s="1"/>
  <c r="N643" i="6"/>
  <c r="S643" i="6" s="1"/>
  <c r="N537" i="6"/>
  <c r="S537" i="6" s="1"/>
  <c r="N811" i="6"/>
  <c r="S811" i="6" s="1"/>
  <c r="N805" i="6"/>
  <c r="S805" i="6" s="1"/>
  <c r="N724" i="6"/>
  <c r="S724" i="6" s="1"/>
  <c r="N270" i="6"/>
  <c r="S270" i="6" s="1"/>
  <c r="N483" i="6"/>
  <c r="S483" i="6" s="1"/>
  <c r="N337" i="6"/>
  <c r="S337" i="6" s="1"/>
  <c r="N244" i="6"/>
  <c r="S244" i="6" s="1"/>
  <c r="N103" i="6"/>
  <c r="S103" i="6" s="1"/>
  <c r="N426" i="6"/>
  <c r="S426" i="6" s="1"/>
  <c r="N625" i="6"/>
  <c r="S625" i="6" s="1"/>
  <c r="N683" i="6"/>
  <c r="S683" i="6" s="1"/>
  <c r="N600" i="6"/>
  <c r="S600" i="6" s="1"/>
  <c r="N651" i="6"/>
  <c r="S651" i="6" s="1"/>
  <c r="N433" i="6"/>
  <c r="S433" i="6" s="1"/>
  <c r="N477" i="6"/>
  <c r="S477" i="6" s="1"/>
  <c r="N434" i="6"/>
  <c r="S434" i="6" s="1"/>
  <c r="N872" i="6"/>
  <c r="S872" i="6" s="1"/>
  <c r="N831" i="6"/>
  <c r="S831" i="6" s="1"/>
  <c r="N893" i="6"/>
  <c r="S893" i="6" s="1"/>
  <c r="N572" i="6"/>
  <c r="S572" i="6" s="1"/>
  <c r="N586" i="6"/>
  <c r="S586" i="6" s="1"/>
  <c r="N371" i="6"/>
  <c r="S371" i="6" s="1"/>
  <c r="N278" i="6"/>
  <c r="S278" i="6" s="1"/>
  <c r="N697" i="6"/>
  <c r="S697" i="6" s="1"/>
  <c r="N373" i="6"/>
  <c r="S373" i="6" s="1"/>
  <c r="N557" i="6"/>
  <c r="S557" i="6" s="1"/>
  <c r="N475" i="6"/>
  <c r="S475" i="6" s="1"/>
  <c r="N111" i="6"/>
  <c r="S111" i="6" s="1"/>
  <c r="N439" i="6"/>
  <c r="S439" i="6" s="1"/>
  <c r="N669" i="6"/>
  <c r="S669" i="6" s="1"/>
  <c r="N528" i="6"/>
  <c r="S528" i="6" s="1"/>
  <c r="N699" i="6"/>
  <c r="S699" i="6" s="1"/>
  <c r="N627" i="6"/>
  <c r="S627" i="6" s="1"/>
  <c r="N685" i="6"/>
  <c r="S685" i="6" s="1"/>
  <c r="N700" i="6"/>
  <c r="S700" i="6" s="1"/>
  <c r="N494" i="6"/>
  <c r="S494" i="6" s="1"/>
  <c r="N593" i="6"/>
  <c r="S593" i="6" s="1"/>
  <c r="N555" i="6"/>
  <c r="S555" i="6" s="1"/>
  <c r="N437" i="6"/>
  <c r="S437" i="6" s="1"/>
  <c r="N896" i="6"/>
  <c r="S896" i="6" s="1"/>
  <c r="N846" i="6"/>
  <c r="S846" i="6" s="1"/>
  <c r="N692" i="6"/>
  <c r="S692" i="6" s="1"/>
  <c r="N580" i="6"/>
  <c r="S580" i="6" s="1"/>
  <c r="N730" i="6"/>
  <c r="S730" i="6" s="1"/>
  <c r="N814" i="6"/>
  <c r="S814" i="6" s="1"/>
  <c r="N607" i="6"/>
  <c r="S607" i="6" s="1"/>
  <c r="N704" i="6"/>
  <c r="S704" i="6" s="1"/>
  <c r="N594" i="6"/>
  <c r="S594" i="6" s="1"/>
  <c r="N990" i="6"/>
  <c r="S990" i="6" s="1"/>
  <c r="N878" i="6"/>
  <c r="S878" i="6" s="1"/>
  <c r="N906" i="6"/>
  <c r="S906" i="6" s="1"/>
  <c r="N895" i="6"/>
  <c r="S895" i="6" s="1"/>
  <c r="N944" i="6"/>
  <c r="S944" i="6" s="1"/>
  <c r="N907" i="6"/>
  <c r="S907" i="6" s="1"/>
  <c r="N995" i="6"/>
  <c r="S995" i="6" s="1"/>
  <c r="N905" i="6"/>
  <c r="S905" i="6" s="1"/>
  <c r="N984" i="6"/>
  <c r="S984" i="6" s="1"/>
  <c r="N545" i="6"/>
  <c r="S545" i="6" s="1"/>
  <c r="N1654" i="6"/>
  <c r="S1654" i="6" s="1"/>
  <c r="N1760" i="6"/>
  <c r="S1760" i="6" s="1"/>
  <c r="N542" i="6"/>
  <c r="S542" i="6" s="1"/>
  <c r="N952" i="6"/>
  <c r="S952" i="6" s="1"/>
  <c r="N1223" i="6"/>
  <c r="S1223" i="6" s="1"/>
  <c r="N1742" i="6"/>
  <c r="S1742" i="6" s="1"/>
  <c r="N376" i="6"/>
  <c r="S376" i="6" s="1"/>
  <c r="N525" i="6"/>
  <c r="S525" i="6" s="1"/>
  <c r="N740" i="6"/>
  <c r="S740" i="6" s="1"/>
  <c r="N546" i="6"/>
  <c r="S546" i="6" s="1"/>
  <c r="N705" i="6"/>
  <c r="S705" i="6" s="1"/>
  <c r="N726" i="6"/>
  <c r="S726" i="6" s="1"/>
  <c r="N577" i="6"/>
  <c r="S577" i="6" s="1"/>
  <c r="N621" i="6"/>
  <c r="S621" i="6" s="1"/>
  <c r="N446" i="6"/>
  <c r="S446" i="6" s="1"/>
  <c r="N917" i="6"/>
  <c r="S917" i="6" s="1"/>
  <c r="N880" i="6"/>
  <c r="S880" i="6" s="1"/>
  <c r="N742" i="6"/>
  <c r="S742" i="6" s="1"/>
  <c r="N436" i="6"/>
  <c r="S436" i="6" s="1"/>
  <c r="N596" i="6"/>
  <c r="S596" i="6" s="1"/>
  <c r="N739" i="6"/>
  <c r="S739" i="6" s="1"/>
  <c r="N623" i="6"/>
  <c r="S623" i="6" s="1"/>
  <c r="N764" i="6"/>
  <c r="S764" i="6" s="1"/>
  <c r="N610" i="6"/>
  <c r="S610" i="6" s="1"/>
  <c r="N1043" i="6"/>
  <c r="S1043" i="6" s="1"/>
  <c r="N919" i="6"/>
  <c r="S919" i="6" s="1"/>
  <c r="N820" i="6"/>
  <c r="S820" i="6" s="1"/>
  <c r="N935" i="6"/>
  <c r="S935" i="6" s="1"/>
  <c r="N994" i="6"/>
  <c r="S994" i="6" s="1"/>
  <c r="N923" i="6"/>
  <c r="S923" i="6" s="1"/>
  <c r="N1020" i="6"/>
  <c r="S1020" i="6" s="1"/>
  <c r="N921" i="6"/>
  <c r="S921" i="6" s="1"/>
  <c r="N1032" i="6"/>
  <c r="S1032" i="6" s="1"/>
  <c r="N1070" i="6"/>
  <c r="S1070" i="6" s="1"/>
  <c r="N1651" i="6"/>
  <c r="S1651" i="6" s="1"/>
  <c r="N1639" i="6"/>
  <c r="S1639" i="6" s="1"/>
  <c r="N736" i="6"/>
  <c r="S736" i="6" s="1"/>
  <c r="N997" i="6"/>
  <c r="S997" i="6" s="1"/>
  <c r="N1002" i="6"/>
  <c r="S1002" i="6" s="1"/>
  <c r="N713" i="6"/>
  <c r="S713" i="6" s="1"/>
  <c r="N385" i="6"/>
  <c r="S385" i="6" s="1"/>
  <c r="N425" i="6"/>
  <c r="S425" i="6" s="1"/>
  <c r="N496" i="6"/>
  <c r="S496" i="6" s="1"/>
  <c r="N271" i="6"/>
  <c r="S271" i="6" s="1"/>
  <c r="N735" i="6"/>
  <c r="S735" i="6" s="1"/>
  <c r="N472" i="6"/>
  <c r="S472" i="6" s="1"/>
  <c r="N392" i="6"/>
  <c r="S392" i="6" s="1"/>
  <c r="N318" i="6"/>
  <c r="S318" i="6" s="1"/>
  <c r="N438" i="6"/>
  <c r="S438" i="6" s="1"/>
  <c r="N276" i="6"/>
  <c r="S276" i="6" s="1"/>
  <c r="N549" i="6"/>
  <c r="S549" i="6" s="1"/>
  <c r="N279" i="6"/>
  <c r="S279" i="6" s="1"/>
  <c r="N534" i="6"/>
  <c r="S534" i="6" s="1"/>
  <c r="N783" i="6"/>
  <c r="S783" i="6" s="1"/>
  <c r="N737" i="6"/>
  <c r="S737" i="6" s="1"/>
  <c r="N778" i="6"/>
  <c r="S778" i="6" s="1"/>
  <c r="N743" i="6"/>
  <c r="S743" i="6" s="1"/>
  <c r="N597" i="6"/>
  <c r="S597" i="6" s="1"/>
  <c r="N526" i="6"/>
  <c r="S526" i="6" s="1"/>
  <c r="N672" i="6"/>
  <c r="S672" i="6" s="1"/>
  <c r="N648" i="6"/>
  <c r="S648" i="6" s="1"/>
  <c r="N449" i="6"/>
  <c r="S449" i="6" s="1"/>
  <c r="N949" i="6"/>
  <c r="S949" i="6" s="1"/>
  <c r="N886" i="6"/>
  <c r="S886" i="6" s="1"/>
  <c r="N745" i="6"/>
  <c r="S745" i="6" s="1"/>
  <c r="N444" i="6"/>
  <c r="S444" i="6" s="1"/>
  <c r="N604" i="6"/>
  <c r="S604" i="6" s="1"/>
  <c r="N788" i="6"/>
  <c r="S788" i="6" s="1"/>
  <c r="N479" i="6"/>
  <c r="S479" i="6" s="1"/>
  <c r="N631" i="6"/>
  <c r="S631" i="6" s="1"/>
  <c r="N767" i="6"/>
  <c r="S767" i="6" s="1"/>
  <c r="N721" i="6"/>
  <c r="S721" i="6" s="1"/>
  <c r="N924" i="6"/>
  <c r="S924" i="6" s="1"/>
  <c r="N823" i="6"/>
  <c r="S823" i="6" s="1"/>
  <c r="N946" i="6"/>
  <c r="S946" i="6" s="1"/>
  <c r="N1012" i="6"/>
  <c r="S1012" i="6" s="1"/>
  <c r="N947" i="6"/>
  <c r="S947" i="6" s="1"/>
  <c r="N1027" i="6"/>
  <c r="S1027" i="6" s="1"/>
  <c r="N929" i="6"/>
  <c r="S929" i="6" s="1"/>
  <c r="N1040" i="6"/>
  <c r="S1040" i="6" s="1"/>
  <c r="N291" i="6"/>
  <c r="S291" i="6" s="1"/>
  <c r="N285" i="6"/>
  <c r="S285" i="6" s="1"/>
  <c r="N1309" i="6"/>
  <c r="S1309" i="6" s="1"/>
  <c r="N187" i="6"/>
  <c r="S187" i="6" s="1"/>
  <c r="N1702" i="6"/>
  <c r="S1702" i="6" s="1"/>
  <c r="N1647" i="6"/>
  <c r="S1647" i="6" s="1"/>
  <c r="N646" i="6"/>
  <c r="S646" i="6" s="1"/>
  <c r="N909" i="6"/>
  <c r="S909" i="6" s="1"/>
  <c r="N870" i="6"/>
  <c r="S870" i="6" s="1"/>
  <c r="N790" i="6"/>
  <c r="S790" i="6" s="1"/>
  <c r="N915" i="6"/>
  <c r="S915" i="6" s="1"/>
  <c r="N913" i="6"/>
  <c r="S913" i="6" s="1"/>
  <c r="N992" i="6"/>
  <c r="S992" i="6" s="1"/>
  <c r="N592" i="6"/>
  <c r="S592" i="6" s="1"/>
  <c r="N1653" i="6"/>
  <c r="S1653" i="6" s="1"/>
  <c r="N268" i="6"/>
  <c r="S268" i="6" s="1"/>
  <c r="N299" i="6"/>
  <c r="S299" i="6" s="1"/>
  <c r="N298" i="6"/>
  <c r="S298" i="6" s="1"/>
  <c r="N458" i="6"/>
  <c r="S458" i="6" s="1"/>
  <c r="N326" i="6"/>
  <c r="S326" i="6" s="1"/>
  <c r="N447" i="6"/>
  <c r="S447" i="6" s="1"/>
  <c r="N156" i="6"/>
  <c r="S156" i="6" s="1"/>
  <c r="N284" i="6"/>
  <c r="S284" i="6" s="1"/>
  <c r="N151" i="6"/>
  <c r="S151" i="6" s="1"/>
  <c r="N381" i="6"/>
  <c r="S381" i="6" s="1"/>
  <c r="N863" i="6"/>
  <c r="S863" i="6" s="1"/>
  <c r="N595" i="6"/>
  <c r="S595" i="6" s="1"/>
  <c r="N777" i="6"/>
  <c r="S777" i="6" s="1"/>
  <c r="N747" i="6"/>
  <c r="S747" i="6" s="1"/>
  <c r="N858" i="6"/>
  <c r="S858" i="6" s="1"/>
  <c r="N771" i="6"/>
  <c r="S771" i="6" s="1"/>
  <c r="N624" i="6"/>
  <c r="S624" i="6" s="1"/>
  <c r="N530" i="6"/>
  <c r="S530" i="6" s="1"/>
  <c r="N691" i="6"/>
  <c r="S691" i="6" s="1"/>
  <c r="N686" i="6"/>
  <c r="S686" i="6" s="1"/>
  <c r="N582" i="6"/>
  <c r="S582" i="6" s="1"/>
  <c r="N962" i="6"/>
  <c r="S962" i="6" s="1"/>
  <c r="N954" i="6"/>
  <c r="S954" i="6" s="1"/>
  <c r="N748" i="6"/>
  <c r="S748" i="6" s="1"/>
  <c r="N452" i="6"/>
  <c r="S452" i="6" s="1"/>
  <c r="N806" i="6"/>
  <c r="S806" i="6" s="1"/>
  <c r="N487" i="6"/>
  <c r="S487" i="6" s="1"/>
  <c r="N639" i="6"/>
  <c r="S639" i="6" s="1"/>
  <c r="N770" i="6"/>
  <c r="S770" i="6" s="1"/>
  <c r="N626" i="6"/>
  <c r="S626" i="6" s="1"/>
  <c r="N933" i="6"/>
  <c r="S933" i="6" s="1"/>
  <c r="N835" i="6"/>
  <c r="S835" i="6" s="1"/>
  <c r="N957" i="6"/>
  <c r="S957" i="6" s="1"/>
  <c r="N1019" i="6"/>
  <c r="S1019" i="6" s="1"/>
  <c r="N958" i="6"/>
  <c r="S958" i="6" s="1"/>
  <c r="N1034" i="6"/>
  <c r="S1034" i="6" s="1"/>
  <c r="N937" i="6"/>
  <c r="S937" i="6" s="1"/>
  <c r="N1014" i="6"/>
  <c r="S1014" i="6" s="1"/>
  <c r="N246" i="6"/>
  <c r="S246" i="6" s="1"/>
  <c r="N579" i="6"/>
  <c r="S579" i="6" s="1"/>
  <c r="N1415" i="6"/>
  <c r="S1415" i="6" s="1"/>
  <c r="N234" i="6"/>
  <c r="S234" i="6" s="1"/>
  <c r="N1745" i="6"/>
  <c r="S1745" i="6" s="1"/>
  <c r="N1767" i="6"/>
  <c r="S1767" i="6" s="1"/>
  <c r="N1003" i="6"/>
  <c r="S1003" i="6" s="1"/>
  <c r="N1011" i="6"/>
  <c r="S1011" i="6" s="1"/>
  <c r="N751" i="6"/>
  <c r="S751" i="6" s="1"/>
  <c r="N620" i="6"/>
  <c r="S620" i="6" s="1"/>
  <c r="N888" i="6"/>
  <c r="S888" i="6" s="1"/>
  <c r="N495" i="6"/>
  <c r="S495" i="6" s="1"/>
  <c r="N647" i="6"/>
  <c r="S647" i="6" s="1"/>
  <c r="N773" i="6"/>
  <c r="S773" i="6" s="1"/>
  <c r="N634" i="6"/>
  <c r="S634" i="6" s="1"/>
  <c r="N758" i="6"/>
  <c r="S758" i="6" s="1"/>
  <c r="N938" i="6"/>
  <c r="S938" i="6" s="1"/>
  <c r="N864" i="6"/>
  <c r="S864" i="6" s="1"/>
  <c r="N963" i="6"/>
  <c r="S963" i="6" s="1"/>
  <c r="N1026" i="6"/>
  <c r="S1026" i="6" s="1"/>
  <c r="N1005" i="6"/>
  <c r="S1005" i="6" s="1"/>
  <c r="N801" i="6"/>
  <c r="S801" i="6" s="1"/>
  <c r="N945" i="6"/>
  <c r="S945" i="6" s="1"/>
  <c r="N1022" i="6"/>
  <c r="S1022" i="6" s="1"/>
  <c r="N478" i="6"/>
  <c r="S478" i="6" s="1"/>
  <c r="N1231" i="6"/>
  <c r="S1231" i="6" s="1"/>
  <c r="N1626" i="6"/>
  <c r="S1626" i="6" s="1"/>
  <c r="N1690" i="6"/>
  <c r="S1690" i="6" s="1"/>
  <c r="N552" i="6"/>
  <c r="S552" i="6" s="1"/>
  <c r="N489" i="6"/>
  <c r="S489" i="6" s="1"/>
  <c r="N486" i="6"/>
  <c r="S486" i="6" s="1"/>
  <c r="N789" i="6"/>
  <c r="S789" i="6" s="1"/>
  <c r="N503" i="6"/>
  <c r="S503" i="6" s="1"/>
  <c r="N1044" i="6"/>
  <c r="S1044" i="6" s="1"/>
  <c r="N1642" i="6"/>
  <c r="S1642" i="6" s="1"/>
  <c r="N322" i="6"/>
  <c r="S322" i="6" s="1"/>
  <c r="N345" i="6"/>
  <c r="S345" i="6" s="1"/>
  <c r="N273" i="6"/>
  <c r="S273" i="6" s="1"/>
  <c r="N539" i="6"/>
  <c r="S539" i="6" s="1"/>
  <c r="N180" i="6"/>
  <c r="S180" i="6" s="1"/>
  <c r="N316" i="6"/>
  <c r="S316" i="6" s="1"/>
  <c r="N384" i="6"/>
  <c r="S384" i="6" s="1"/>
  <c r="N183" i="6"/>
  <c r="S183" i="6" s="1"/>
  <c r="N327" i="6"/>
  <c r="S327" i="6" s="1"/>
  <c r="N431" i="6"/>
  <c r="S431" i="6" s="1"/>
  <c r="N641" i="6"/>
  <c r="S641" i="6" s="1"/>
  <c r="N762" i="6"/>
  <c r="S762" i="6" s="1"/>
  <c r="N490" i="6"/>
  <c r="S490" i="6" s="1"/>
  <c r="N442" i="6"/>
  <c r="S442" i="6" s="1"/>
  <c r="N696" i="6"/>
  <c r="S696" i="6" s="1"/>
  <c r="N605" i="6"/>
  <c r="S605" i="6" s="1"/>
  <c r="N399" i="6"/>
  <c r="S399" i="6" s="1"/>
  <c r="N652" i="6"/>
  <c r="S652" i="6" s="1"/>
  <c r="N793" i="6"/>
  <c r="S793" i="6" s="1"/>
  <c r="N757" i="6"/>
  <c r="S757" i="6" s="1"/>
  <c r="N484" i="6"/>
  <c r="S484" i="6" s="1"/>
  <c r="N636" i="6"/>
  <c r="S636" i="6" s="1"/>
  <c r="N922" i="6"/>
  <c r="S922" i="6" s="1"/>
  <c r="N511" i="6"/>
  <c r="S511" i="6" s="1"/>
  <c r="N684" i="6"/>
  <c r="S684" i="6" s="1"/>
  <c r="N818" i="6"/>
  <c r="S818" i="6" s="1"/>
  <c r="N673" i="6"/>
  <c r="S673" i="6" s="1"/>
  <c r="N804" i="6"/>
  <c r="S804" i="6" s="1"/>
  <c r="N1018" i="6"/>
  <c r="S1018" i="6" s="1"/>
  <c r="N879" i="6"/>
  <c r="S879" i="6" s="1"/>
  <c r="N969" i="6"/>
  <c r="S969" i="6" s="1"/>
  <c r="N955" i="6"/>
  <c r="S955" i="6" s="1"/>
  <c r="N1023" i="6"/>
  <c r="S1023" i="6" s="1"/>
  <c r="N817" i="6"/>
  <c r="S817" i="6" s="1"/>
  <c r="N1013" i="6"/>
  <c r="S1013" i="6" s="1"/>
  <c r="N1038" i="6"/>
  <c r="S1038" i="6" s="1"/>
  <c r="N397" i="6"/>
  <c r="S397" i="6" s="1"/>
  <c r="N1432" i="6"/>
  <c r="S1432" i="6" s="1"/>
  <c r="N1666" i="6"/>
  <c r="S1666" i="6" s="1"/>
  <c r="N119" i="6"/>
  <c r="S119" i="6" s="1"/>
  <c r="N558" i="6"/>
  <c r="S558" i="6" s="1"/>
  <c r="N377" i="6"/>
  <c r="S377" i="6" s="1"/>
  <c r="N476" i="6"/>
  <c r="S476" i="6" s="1"/>
  <c r="N775" i="6"/>
  <c r="S775" i="6" s="1"/>
  <c r="N1030" i="6"/>
  <c r="S1030" i="6" s="1"/>
  <c r="N185" i="6"/>
  <c r="S185" i="6" s="1"/>
  <c r="N330" i="6"/>
  <c r="S330" i="6" s="1"/>
  <c r="N812" i="6"/>
  <c r="S812" i="6" s="1"/>
  <c r="N348" i="6"/>
  <c r="S348" i="6" s="1"/>
  <c r="N281" i="6"/>
  <c r="S281" i="6" s="1"/>
  <c r="N584" i="6"/>
  <c r="S584" i="6" s="1"/>
  <c r="N188" i="6"/>
  <c r="S188" i="6" s="1"/>
  <c r="N324" i="6"/>
  <c r="S324" i="6" s="1"/>
  <c r="N335" i="6"/>
  <c r="S335" i="6" s="1"/>
  <c r="N435" i="6"/>
  <c r="S435" i="6" s="1"/>
  <c r="N649" i="6"/>
  <c r="S649" i="6" s="1"/>
  <c r="N854" i="6"/>
  <c r="S854" i="6" s="1"/>
  <c r="N504" i="6"/>
  <c r="S504" i="6" s="1"/>
  <c r="N445" i="6"/>
  <c r="S445" i="6" s="1"/>
  <c r="N529" i="6"/>
  <c r="S529" i="6" s="1"/>
  <c r="N374" i="6"/>
  <c r="S374" i="6" s="1"/>
  <c r="N759" i="6"/>
  <c r="S759" i="6" s="1"/>
  <c r="N632" i="6"/>
  <c r="S632" i="6" s="1"/>
  <c r="N839" i="6"/>
  <c r="S839" i="6" s="1"/>
  <c r="N815" i="6"/>
  <c r="S815" i="6" s="1"/>
  <c r="N766" i="6"/>
  <c r="S766" i="6" s="1"/>
  <c r="N760" i="6"/>
  <c r="S760" i="6" s="1"/>
  <c r="N644" i="6"/>
  <c r="S644" i="6" s="1"/>
  <c r="N948" i="6"/>
  <c r="S948" i="6" s="1"/>
  <c r="N701" i="6"/>
  <c r="S701" i="6" s="1"/>
  <c r="N848" i="6"/>
  <c r="S848" i="6" s="1"/>
  <c r="N690" i="6"/>
  <c r="S690" i="6" s="1"/>
  <c r="N807" i="6"/>
  <c r="S807" i="6" s="1"/>
  <c r="N871" i="6"/>
  <c r="S871" i="6" s="1"/>
  <c r="N940" i="6"/>
  <c r="S940" i="6" s="1"/>
  <c r="N972" i="6"/>
  <c r="S972" i="6" s="1"/>
  <c r="N979" i="6"/>
  <c r="S979" i="6" s="1"/>
  <c r="N1037" i="6"/>
  <c r="S1037" i="6" s="1"/>
  <c r="N825" i="6"/>
  <c r="S825" i="6" s="1"/>
  <c r="N1017" i="6"/>
  <c r="S1017" i="6" s="1"/>
  <c r="N1046" i="6"/>
  <c r="S1046" i="6" s="1"/>
  <c r="N1435" i="6"/>
  <c r="S1435" i="6" s="1"/>
  <c r="N129" i="6"/>
  <c r="S129" i="6" s="1"/>
  <c r="N1772" i="6"/>
  <c r="S1772" i="6" s="1"/>
  <c r="N693" i="6"/>
  <c r="S693" i="6" s="1"/>
  <c r="N606" i="6"/>
  <c r="S606" i="6" s="1"/>
  <c r="N728" i="6"/>
  <c r="S728" i="6" s="1"/>
  <c r="N908" i="6"/>
  <c r="S908" i="6" s="1"/>
  <c r="N868" i="6"/>
  <c r="S868" i="6" s="1"/>
  <c r="N999" i="6"/>
  <c r="S999" i="6" s="1"/>
  <c r="N1275" i="6"/>
  <c r="S1275" i="6" s="1"/>
  <c r="N1698" i="6"/>
  <c r="S1698" i="6" s="1"/>
  <c r="N170" i="6"/>
  <c r="S170" i="6" s="1"/>
  <c r="N338" i="6"/>
  <c r="S338" i="6" s="1"/>
  <c r="N379" i="6"/>
  <c r="S379" i="6" s="1"/>
  <c r="N351" i="6"/>
  <c r="S351" i="6" s="1"/>
  <c r="N289" i="6"/>
  <c r="S289" i="6" s="1"/>
  <c r="N741" i="6"/>
  <c r="S741" i="6" s="1"/>
  <c r="N332" i="6"/>
  <c r="S332" i="6" s="1"/>
  <c r="N343" i="6"/>
  <c r="S343" i="6" s="1"/>
  <c r="N453" i="6"/>
  <c r="S453" i="6" s="1"/>
  <c r="N918" i="6"/>
  <c r="S918" i="6" s="1"/>
  <c r="N457" i="6"/>
  <c r="S457" i="6" s="1"/>
  <c r="N533" i="6"/>
  <c r="S533" i="6" s="1"/>
  <c r="N382" i="6"/>
  <c r="S382" i="6" s="1"/>
  <c r="N780" i="6"/>
  <c r="S780" i="6" s="1"/>
  <c r="N656" i="6"/>
  <c r="S656" i="6" s="1"/>
  <c r="N455" i="6"/>
  <c r="S455" i="6" s="1"/>
  <c r="N910" i="6"/>
  <c r="S910" i="6" s="1"/>
  <c r="N677" i="6"/>
  <c r="S677" i="6" s="1"/>
  <c r="N830" i="6"/>
  <c r="S830" i="6" s="1"/>
  <c r="N769" i="6"/>
  <c r="S769" i="6" s="1"/>
  <c r="N763" i="6"/>
  <c r="S763" i="6" s="1"/>
  <c r="N524" i="6"/>
  <c r="S524" i="6" s="1"/>
  <c r="N658" i="6"/>
  <c r="S658" i="6" s="1"/>
  <c r="N527" i="6"/>
  <c r="S527" i="6" s="1"/>
  <c r="N840" i="6"/>
  <c r="S840" i="6" s="1"/>
  <c r="N856" i="6"/>
  <c r="S856" i="6" s="1"/>
  <c r="N810" i="6"/>
  <c r="S810" i="6" s="1"/>
  <c r="N890" i="6"/>
  <c r="S890" i="6" s="1"/>
  <c r="N965" i="6"/>
  <c r="S965" i="6" s="1"/>
  <c r="N981" i="6"/>
  <c r="S981" i="6" s="1"/>
  <c r="N982" i="6"/>
  <c r="S982" i="6" s="1"/>
  <c r="N1041" i="6"/>
  <c r="S1041" i="6" s="1"/>
  <c r="N833" i="6"/>
  <c r="S833" i="6" s="1"/>
  <c r="N980" i="6"/>
  <c r="S980" i="6" s="1"/>
  <c r="N336" i="6"/>
  <c r="S336" i="6" s="1"/>
  <c r="N1538" i="6"/>
  <c r="S1538" i="6" s="1"/>
  <c r="N173" i="6"/>
  <c r="S173" i="6" s="1"/>
  <c r="N1726" i="6"/>
  <c r="S1726" i="6" s="1"/>
  <c r="N1433" i="6"/>
  <c r="S1433" i="6" s="1"/>
  <c r="N1573" i="6"/>
  <c r="S1573" i="6" s="1"/>
  <c r="N1107" i="6"/>
  <c r="S1107" i="6" s="1"/>
  <c r="N1220" i="6"/>
  <c r="S1220" i="6" s="1"/>
  <c r="N1338" i="6"/>
  <c r="S1338" i="6" s="1"/>
  <c r="N1213" i="6"/>
  <c r="S1213" i="6" s="1"/>
  <c r="N1246" i="6"/>
  <c r="S1246" i="6" s="1"/>
  <c r="N107" i="6"/>
  <c r="S107" i="6" s="1"/>
  <c r="N160" i="6"/>
  <c r="S160" i="6" s="1"/>
  <c r="N1079" i="6"/>
  <c r="S1079" i="6" s="1"/>
  <c r="N84" i="6"/>
  <c r="N132" i="6"/>
  <c r="S132" i="6" s="1"/>
  <c r="N1664" i="6"/>
  <c r="S1664" i="6" s="1"/>
  <c r="N1008" i="6"/>
  <c r="S1008" i="6" s="1"/>
  <c r="N264" i="6"/>
  <c r="S264" i="6" s="1"/>
  <c r="N131" i="6"/>
  <c r="S131" i="6" s="1"/>
  <c r="N1659" i="6"/>
  <c r="S1659" i="6" s="1"/>
  <c r="N1681" i="6"/>
  <c r="S1681" i="6" s="1"/>
  <c r="N497" i="6"/>
  <c r="S497" i="6" s="1"/>
  <c r="N354" i="6"/>
  <c r="S354" i="6" s="1"/>
  <c r="N501" i="6"/>
  <c r="S501" i="6" s="1"/>
  <c r="N292" i="6"/>
  <c r="S292" i="6" s="1"/>
  <c r="N502" i="6"/>
  <c r="S502" i="6" s="1"/>
  <c r="N127" i="6"/>
  <c r="S127" i="6" s="1"/>
  <c r="N395" i="6"/>
  <c r="S395" i="6" s="1"/>
  <c r="N1039" i="6"/>
  <c r="S1039" i="6" s="1"/>
  <c r="N834" i="6"/>
  <c r="S834" i="6" s="1"/>
  <c r="N734" i="6"/>
  <c r="S734" i="6" s="1"/>
  <c r="N460" i="6"/>
  <c r="S460" i="6" s="1"/>
  <c r="N733" i="6"/>
  <c r="S733" i="6" s="1"/>
  <c r="N795" i="6"/>
  <c r="S795" i="6" s="1"/>
  <c r="N551" i="6"/>
  <c r="S551" i="6" s="1"/>
  <c r="N782" i="6"/>
  <c r="S782" i="6" s="1"/>
  <c r="N779" i="6"/>
  <c r="S779" i="6" s="1"/>
  <c r="N642" i="6"/>
  <c r="S642" i="6" s="1"/>
  <c r="N738" i="6"/>
  <c r="S738" i="6" s="1"/>
  <c r="N914" i="6"/>
  <c r="S914" i="6" s="1"/>
  <c r="N787" i="6"/>
  <c r="S787" i="6" s="1"/>
  <c r="N911" i="6"/>
  <c r="S911" i="6" s="1"/>
  <c r="N1029" i="6"/>
  <c r="S1029" i="6" s="1"/>
  <c r="N953" i="6"/>
  <c r="S953" i="6" s="1"/>
  <c r="N1000" i="6"/>
  <c r="S1000" i="6" s="1"/>
  <c r="N189" i="6"/>
  <c r="S189" i="6" s="1"/>
  <c r="N389" i="6"/>
  <c r="S389" i="6" s="1"/>
  <c r="N499" i="6"/>
  <c r="S499" i="6" s="1"/>
  <c r="N450" i="6"/>
  <c r="S450" i="6" s="1"/>
  <c r="N1602" i="6"/>
  <c r="S1602" i="6" s="1"/>
  <c r="N1431" i="6"/>
  <c r="S1431" i="6" s="1"/>
  <c r="N1764" i="6"/>
  <c r="S1764" i="6" s="1"/>
  <c r="N1633" i="6"/>
  <c r="S1633" i="6" s="1"/>
  <c r="N493" i="6"/>
  <c r="S493" i="6" s="1"/>
  <c r="N394" i="6"/>
  <c r="S394" i="6" s="1"/>
  <c r="N794" i="6"/>
  <c r="S794" i="6" s="1"/>
  <c r="N287" i="6"/>
  <c r="S287" i="6" s="1"/>
  <c r="N645" i="6"/>
  <c r="S645" i="6" s="1"/>
  <c r="N746" i="6"/>
  <c r="S746" i="6" s="1"/>
  <c r="N603" i="6"/>
  <c r="S603" i="6" s="1"/>
  <c r="N448" i="6"/>
  <c r="S448" i="6" s="1"/>
  <c r="N987" i="6"/>
  <c r="S987" i="6" s="1"/>
  <c r="N640" i="6"/>
  <c r="S640" i="6" s="1"/>
  <c r="N791" i="6"/>
  <c r="S791" i="6" s="1"/>
  <c r="N836" i="6"/>
  <c r="S836" i="6" s="1"/>
  <c r="N492" i="6"/>
  <c r="S492" i="6" s="1"/>
  <c r="N882" i="6"/>
  <c r="S882" i="6" s="1"/>
  <c r="N792" i="6"/>
  <c r="S792" i="6" s="1"/>
  <c r="N826" i="6"/>
  <c r="S826" i="6" s="1"/>
  <c r="N1001" i="6"/>
  <c r="S1001" i="6" s="1"/>
  <c r="N867" i="6"/>
  <c r="S867" i="6" s="1"/>
  <c r="N964" i="6"/>
  <c r="S964" i="6" s="1"/>
  <c r="N1031" i="6"/>
  <c r="S1031" i="6" s="1"/>
  <c r="N998" i="6"/>
  <c r="S998" i="6" s="1"/>
  <c r="N506" i="6"/>
  <c r="S506" i="6" s="1"/>
  <c r="N1192" i="6"/>
  <c r="S1192" i="6" s="1"/>
  <c r="N1617" i="6"/>
  <c r="S1617" i="6" s="1"/>
  <c r="N1625" i="6"/>
  <c r="S1625" i="6" s="1"/>
  <c r="N1769" i="6"/>
  <c r="S1769" i="6" s="1"/>
  <c r="N1671" i="6"/>
  <c r="S1671" i="6" s="1"/>
  <c r="N139" i="6"/>
  <c r="N1689" i="6"/>
  <c r="S1689" i="6" s="1"/>
  <c r="N1736" i="6"/>
  <c r="S1736" i="6" s="1"/>
  <c r="N441" i="6"/>
  <c r="S441" i="6" s="1"/>
  <c r="N286" i="6"/>
  <c r="S286" i="6" s="1"/>
  <c r="N401" i="6"/>
  <c r="S401" i="6" s="1"/>
  <c r="N295" i="6"/>
  <c r="S295" i="6" s="1"/>
  <c r="N657" i="6"/>
  <c r="S657" i="6" s="1"/>
  <c r="N451" i="6"/>
  <c r="S451" i="6" s="1"/>
  <c r="N350" i="6"/>
  <c r="S350" i="6" s="1"/>
  <c r="N655" i="6"/>
  <c r="S655" i="6" s="1"/>
  <c r="N601" i="6"/>
  <c r="S601" i="6" s="1"/>
  <c r="N822" i="6"/>
  <c r="S822" i="6" s="1"/>
  <c r="N500" i="6"/>
  <c r="S500" i="6" s="1"/>
  <c r="N821" i="6"/>
  <c r="S821" i="6" s="1"/>
  <c r="N996" i="6"/>
  <c r="S996" i="6" s="1"/>
  <c r="N591" i="6"/>
  <c r="S591" i="6" s="1"/>
  <c r="N650" i="6"/>
  <c r="S650" i="6" s="1"/>
  <c r="N829" i="6"/>
  <c r="S829" i="6" s="1"/>
  <c r="N875" i="6"/>
  <c r="S875" i="6" s="1"/>
  <c r="N1045" i="6"/>
  <c r="S1045" i="6" s="1"/>
  <c r="N1006" i="6"/>
  <c r="S1006" i="6" s="1"/>
  <c r="N227" i="6"/>
  <c r="S227" i="6" s="1"/>
  <c r="N238" i="6"/>
  <c r="S238" i="6" s="1"/>
  <c r="N1157" i="6"/>
  <c r="S1157" i="6" s="1"/>
  <c r="N1113" i="6"/>
  <c r="S1113" i="6" s="1"/>
  <c r="N1620" i="6"/>
  <c r="S1620" i="6" s="1"/>
  <c r="N1713" i="6"/>
  <c r="S1713" i="6" s="1"/>
  <c r="N1679" i="6"/>
  <c r="S1679" i="6" s="1"/>
  <c r="N339" i="6"/>
  <c r="S339" i="6" s="1"/>
  <c r="N294" i="6"/>
  <c r="S294" i="6" s="1"/>
  <c r="N340" i="6"/>
  <c r="S340" i="6" s="1"/>
  <c r="N175" i="6"/>
  <c r="S175" i="6" s="1"/>
  <c r="N510" i="6"/>
  <c r="S510" i="6" s="1"/>
  <c r="N654" i="6"/>
  <c r="S654" i="6" s="1"/>
  <c r="N454" i="6"/>
  <c r="S454" i="6" s="1"/>
  <c r="N544" i="6"/>
  <c r="S544" i="6" s="1"/>
  <c r="N443" i="6"/>
  <c r="S443" i="6" s="1"/>
  <c r="N837" i="6"/>
  <c r="S837" i="6" s="1"/>
  <c r="N1028" i="6"/>
  <c r="S1028" i="6" s="1"/>
  <c r="N508" i="6"/>
  <c r="S508" i="6" s="1"/>
  <c r="N599" i="6"/>
  <c r="S599" i="6" s="1"/>
  <c r="N796" i="6"/>
  <c r="S796" i="6" s="1"/>
  <c r="N832" i="6"/>
  <c r="S832" i="6" s="1"/>
  <c r="N883" i="6"/>
  <c r="S883" i="6" s="1"/>
  <c r="N956" i="6"/>
  <c r="S956" i="6" s="1"/>
  <c r="N184" i="6"/>
  <c r="S184" i="6" s="1"/>
  <c r="N301" i="6"/>
  <c r="S301" i="6" s="1"/>
  <c r="N1073" i="6"/>
  <c r="S1073" i="6" s="1"/>
  <c r="N1321" i="6"/>
  <c r="S1321" i="6" s="1"/>
  <c r="N126" i="6"/>
  <c r="S126" i="6" s="1"/>
  <c r="N123" i="6"/>
  <c r="S123" i="6" s="1"/>
  <c r="N1768" i="6"/>
  <c r="S1768" i="6" s="1"/>
  <c r="N1723" i="6"/>
  <c r="S1723" i="6" s="1"/>
  <c r="N1759" i="6"/>
  <c r="S1759" i="6" s="1"/>
  <c r="N92" i="6"/>
  <c r="S92" i="6" s="1"/>
  <c r="N1104" i="6"/>
  <c r="S1104" i="6" s="1"/>
  <c r="N1096" i="6"/>
  <c r="S1096" i="6" s="1"/>
  <c r="N1329" i="6"/>
  <c r="S1329" i="6" s="1"/>
  <c r="N114" i="6"/>
  <c r="S114" i="6" s="1"/>
  <c r="N1674" i="6"/>
  <c r="S1674" i="6" s="1"/>
  <c r="N1677" i="6"/>
  <c r="S1677" i="6" s="1"/>
  <c r="N1787" i="6"/>
  <c r="S1787" i="6" s="1"/>
  <c r="N1781" i="6"/>
  <c r="S1781" i="6" s="1"/>
  <c r="N1775" i="6"/>
  <c r="S1775" i="6" s="1"/>
  <c r="N1124" i="6"/>
  <c r="S1124" i="6" s="1"/>
  <c r="N1499" i="6"/>
  <c r="S1499" i="6" s="1"/>
  <c r="N210" i="6"/>
  <c r="S210" i="6" s="1"/>
  <c r="N178" i="6"/>
  <c r="S178" i="6" s="1"/>
  <c r="N408" i="6"/>
  <c r="S408" i="6" s="1"/>
  <c r="N1761" i="6"/>
  <c r="S1761" i="6" s="1"/>
  <c r="N1686" i="6"/>
  <c r="S1686" i="6" s="1"/>
  <c r="N1675" i="6"/>
  <c r="S1675" i="6" s="1"/>
  <c r="N1670" i="6"/>
  <c r="S1670" i="6" s="1"/>
  <c r="N1770" i="6"/>
  <c r="S1770" i="6" s="1"/>
  <c r="N369" i="6"/>
  <c r="S369" i="6" s="1"/>
  <c r="N161" i="6"/>
  <c r="S161" i="6" s="1"/>
  <c r="N1182" i="6"/>
  <c r="S1182" i="6" s="1"/>
  <c r="N1440" i="6"/>
  <c r="S1440" i="6" s="1"/>
  <c r="N245" i="6"/>
  <c r="S245" i="6" s="1"/>
  <c r="N1771" i="6"/>
  <c r="S1771" i="6" s="1"/>
  <c r="N1765" i="6"/>
  <c r="S1765" i="6" s="1"/>
  <c r="N1756" i="6"/>
  <c r="S1756" i="6" s="1"/>
  <c r="N1734" i="6"/>
  <c r="S1734" i="6" s="1"/>
  <c r="N1778" i="6"/>
  <c r="S1778" i="6" s="1"/>
  <c r="N266" i="6"/>
  <c r="S266" i="6" s="1"/>
  <c r="N323" i="6"/>
  <c r="S323" i="6" s="1"/>
  <c r="N1068" i="6"/>
  <c r="S1068" i="6" s="1"/>
  <c r="N1488" i="6"/>
  <c r="S1488" i="6" s="1"/>
  <c r="N229" i="6"/>
  <c r="S229" i="6" s="1"/>
  <c r="N124" i="6"/>
  <c r="S124" i="6" s="1"/>
  <c r="N1632" i="6"/>
  <c r="S1632" i="6" s="1"/>
  <c r="N1779" i="6"/>
  <c r="S1779" i="6" s="1"/>
  <c r="N1638" i="6"/>
  <c r="S1638" i="6" s="1"/>
  <c r="N1784" i="6"/>
  <c r="S1784" i="6" s="1"/>
  <c r="N1744" i="6"/>
  <c r="S1744" i="6" s="1"/>
  <c r="N1786" i="6"/>
  <c r="S1786" i="6" s="1"/>
  <c r="N423" i="6"/>
  <c r="S423" i="6" s="1"/>
  <c r="N1072" i="6"/>
  <c r="S1072" i="6" s="1"/>
  <c r="N1418" i="6"/>
  <c r="S1418" i="6" s="1"/>
  <c r="N122" i="6"/>
  <c r="S122" i="6" s="1"/>
  <c r="N344" i="6"/>
  <c r="S344" i="6" s="1"/>
  <c r="N1676" i="6"/>
  <c r="S1676" i="6" s="1"/>
  <c r="N1621" i="6"/>
  <c r="S1621" i="6" s="1"/>
  <c r="N1705" i="6"/>
  <c r="S1705" i="6" s="1"/>
  <c r="N1661" i="6"/>
  <c r="S1661" i="6" s="1"/>
  <c r="N1741" i="6"/>
  <c r="S1741" i="6" s="1"/>
  <c r="N386" i="6"/>
  <c r="S386" i="6" s="1"/>
  <c r="N1098" i="6"/>
  <c r="S1098" i="6" s="1"/>
  <c r="N1188" i="6"/>
  <c r="S1188" i="6" s="1"/>
  <c r="N116" i="6"/>
  <c r="S116" i="6" s="1"/>
  <c r="N1718" i="6"/>
  <c r="S1718" i="6" s="1"/>
  <c r="N1709" i="6"/>
  <c r="S1709" i="6" s="1"/>
  <c r="N1643" i="6"/>
  <c r="S1643" i="6" s="1"/>
  <c r="N1678" i="6"/>
  <c r="S1678" i="6" s="1"/>
  <c r="N1785" i="6"/>
  <c r="S1785" i="6" s="1"/>
  <c r="N121" i="6"/>
  <c r="S121" i="6" s="1"/>
  <c r="N277" i="6"/>
  <c r="S277" i="6" s="1"/>
  <c r="N1173" i="6"/>
  <c r="S1173" i="6" s="1"/>
  <c r="N1271" i="6"/>
  <c r="S1271" i="6" s="1"/>
  <c r="N171" i="6"/>
  <c r="S171" i="6" s="1"/>
  <c r="N120" i="6"/>
  <c r="S120" i="6" s="1"/>
  <c r="N1649" i="6"/>
  <c r="S1649" i="6" s="1"/>
  <c r="N1752" i="6"/>
  <c r="S1752" i="6" s="1"/>
  <c r="N1715" i="6"/>
  <c r="S1715" i="6" s="1"/>
  <c r="N1627" i="6"/>
  <c r="S1627" i="6" s="1"/>
  <c r="N1623" i="6"/>
  <c r="S1623" i="6" s="1"/>
  <c r="N328" i="6"/>
  <c r="S328" i="6" s="1"/>
  <c r="N1179" i="6"/>
  <c r="S1179" i="6" s="1"/>
  <c r="N1189" i="6"/>
  <c r="S1189" i="6" s="1"/>
  <c r="N1560" i="6"/>
  <c r="S1560" i="6" s="1"/>
  <c r="N283" i="6"/>
  <c r="S283" i="6" s="1"/>
  <c r="N1725" i="6"/>
  <c r="S1725" i="6" s="1"/>
  <c r="N1629" i="6"/>
  <c r="S1629" i="6" s="1"/>
  <c r="N1716" i="6"/>
  <c r="S1716" i="6" s="1"/>
  <c r="N1644" i="6"/>
  <c r="S1644" i="6" s="1"/>
  <c r="N1631" i="6"/>
  <c r="S1631" i="6" s="1"/>
  <c r="N333" i="6"/>
  <c r="S333" i="6" s="1"/>
  <c r="N166" i="6"/>
  <c r="S166" i="6" s="1"/>
  <c r="N1065" i="6"/>
  <c r="S1065" i="6" s="1"/>
  <c r="N1198" i="6"/>
  <c r="S1198" i="6" s="1"/>
  <c r="N1158" i="6"/>
  <c r="S1158" i="6" s="1"/>
  <c r="N1184" i="6"/>
  <c r="S1184" i="6" s="1"/>
  <c r="N1262" i="6"/>
  <c r="S1262" i="6" s="1"/>
  <c r="N1456" i="6"/>
  <c r="S1456" i="6" s="1"/>
  <c r="N1205" i="6"/>
  <c r="S1205" i="6" s="1"/>
  <c r="N1586" i="6"/>
  <c r="S1586" i="6" s="1"/>
  <c r="N1590" i="6"/>
  <c r="S1590" i="6" s="1"/>
  <c r="N1154" i="6"/>
  <c r="S1154" i="6" s="1"/>
  <c r="N1247" i="6"/>
  <c r="S1247" i="6" s="1"/>
  <c r="N1140" i="6"/>
  <c r="S1140" i="6" s="1"/>
  <c r="N1484" i="6"/>
  <c r="S1484" i="6" s="1"/>
  <c r="N1236" i="6"/>
  <c r="S1236" i="6" s="1"/>
  <c r="N1207" i="6"/>
  <c r="S1207" i="6" s="1"/>
  <c r="N1457" i="6"/>
  <c r="S1457" i="6" s="1"/>
  <c r="N1369" i="6"/>
  <c r="S1369" i="6" s="1"/>
  <c r="N1051" i="6"/>
  <c r="S1051" i="6" s="1"/>
  <c r="N1278" i="6"/>
  <c r="S1278" i="6" s="1"/>
  <c r="N1147" i="6"/>
  <c r="S1147" i="6" s="1"/>
  <c r="N1239" i="6"/>
  <c r="S1239" i="6" s="1"/>
  <c r="N1267" i="6"/>
  <c r="S1267" i="6" s="1"/>
  <c r="N1335" i="6"/>
  <c r="S1335" i="6" s="1"/>
  <c r="N1467" i="6"/>
  <c r="S1467" i="6" s="1"/>
  <c r="N1388" i="6"/>
  <c r="S1388" i="6" s="1"/>
  <c r="N1058" i="6"/>
  <c r="S1058" i="6" s="1"/>
  <c r="N1296" i="6"/>
  <c r="S1296" i="6" s="1"/>
  <c r="N1216" i="6"/>
  <c r="S1216" i="6" s="1"/>
  <c r="N1244" i="6"/>
  <c r="S1244" i="6" s="1"/>
  <c r="N1343" i="6"/>
  <c r="S1343" i="6" s="1"/>
  <c r="N1360" i="6"/>
  <c r="S1360" i="6" s="1"/>
  <c r="N1490" i="6"/>
  <c r="S1490" i="6" s="1"/>
  <c r="N1396" i="6"/>
  <c r="S1396" i="6" s="1"/>
  <c r="N213" i="6"/>
  <c r="S213" i="6" s="1"/>
  <c r="N1062" i="6"/>
  <c r="S1062" i="6" s="1"/>
  <c r="N1315" i="6"/>
  <c r="S1315" i="6" s="1"/>
  <c r="N1102" i="6"/>
  <c r="S1102" i="6" s="1"/>
  <c r="N1270" i="6"/>
  <c r="S1270" i="6" s="1"/>
  <c r="N1194" i="6"/>
  <c r="S1194" i="6" s="1"/>
  <c r="N1386" i="6"/>
  <c r="S1386" i="6" s="1"/>
  <c r="N1384" i="6"/>
  <c r="S1384" i="6" s="1"/>
  <c r="N1459" i="6"/>
  <c r="S1459" i="6" s="1"/>
  <c r="N331" i="6"/>
  <c r="S331" i="6" s="1"/>
  <c r="N267" i="6"/>
  <c r="S267" i="6" s="1"/>
  <c r="N1226" i="6"/>
  <c r="S1226" i="6" s="1"/>
  <c r="N1229" i="6"/>
  <c r="S1229" i="6" s="1"/>
  <c r="N1106" i="6"/>
  <c r="S1106" i="6" s="1"/>
  <c r="N1167" i="6"/>
  <c r="S1167" i="6" s="1"/>
  <c r="N1232" i="6"/>
  <c r="S1232" i="6" s="1"/>
  <c r="N1434" i="6"/>
  <c r="S1434" i="6" s="1"/>
  <c r="N1411" i="6"/>
  <c r="S1411" i="6" s="1"/>
  <c r="N1514" i="6"/>
  <c r="S1514" i="6" s="1"/>
  <c r="N538" i="6"/>
  <c r="S538" i="6" s="1"/>
  <c r="N272" i="6"/>
  <c r="S272" i="6" s="1"/>
  <c r="N1067" i="6"/>
  <c r="S1067" i="6" s="1"/>
  <c r="N1238" i="6"/>
  <c r="S1238" i="6" s="1"/>
  <c r="N1155" i="6"/>
  <c r="S1155" i="6" s="1"/>
  <c r="N1170" i="6"/>
  <c r="S1170" i="6" s="1"/>
  <c r="N1263" i="6"/>
  <c r="S1263" i="6" s="1"/>
  <c r="N1493" i="6"/>
  <c r="S1493" i="6" s="1"/>
  <c r="N1419" i="6"/>
  <c r="S1419" i="6" s="1"/>
  <c r="N1531" i="6"/>
  <c r="S1531" i="6" s="1"/>
  <c r="N1086" i="6"/>
  <c r="S1086" i="6" s="1"/>
  <c r="N1269" i="6"/>
  <c r="S1269" i="6" s="1"/>
  <c r="N1159" i="6"/>
  <c r="S1159" i="6" s="1"/>
  <c r="N1180" i="6"/>
  <c r="S1180" i="6" s="1"/>
  <c r="N1061" i="6"/>
  <c r="S1061" i="6" s="1"/>
  <c r="N1357" i="6"/>
  <c r="S1357" i="6" s="1"/>
  <c r="N1427" i="6"/>
  <c r="S1427" i="6" s="1"/>
  <c r="N1497" i="6"/>
  <c r="S1497" i="6" s="1"/>
  <c r="N211" i="6"/>
  <c r="S211" i="6" s="1"/>
  <c r="N155" i="6"/>
  <c r="S155" i="6" s="1"/>
  <c r="N1100" i="6"/>
  <c r="S1100" i="6" s="1"/>
  <c r="N1052" i="6"/>
  <c r="S1052" i="6" s="1"/>
  <c r="N1199" i="6"/>
  <c r="S1199" i="6" s="1"/>
  <c r="N1367" i="6"/>
  <c r="S1367" i="6" s="1"/>
  <c r="N1368" i="6"/>
  <c r="S1368" i="6" s="1"/>
  <c r="N1354" i="6"/>
  <c r="S1354" i="6" s="1"/>
  <c r="N1381" i="6"/>
  <c r="S1381" i="6" s="1"/>
  <c r="N1448" i="6"/>
  <c r="S1448" i="6" s="1"/>
  <c r="N1472" i="6"/>
  <c r="S1472" i="6" s="1"/>
  <c r="N242" i="6"/>
  <c r="S242" i="6" s="1"/>
  <c r="N118" i="6"/>
  <c r="S118" i="6" s="1"/>
  <c r="N237" i="6"/>
  <c r="S237" i="6" s="1"/>
  <c r="N405" i="6"/>
  <c r="S405" i="6" s="1"/>
  <c r="N232" i="6"/>
  <c r="S232" i="6" s="1"/>
  <c r="N1628" i="6"/>
  <c r="S1628" i="6" s="1"/>
  <c r="N1660" i="6"/>
  <c r="S1660" i="6" s="1"/>
  <c r="N1748" i="6"/>
  <c r="S1748" i="6" s="1"/>
  <c r="N1697" i="6"/>
  <c r="S1697" i="6" s="1"/>
  <c r="N1757" i="6"/>
  <c r="S1757" i="6" s="1"/>
  <c r="N1735" i="6"/>
  <c r="S1735" i="6" s="1"/>
  <c r="N241" i="6"/>
  <c r="S241" i="6" s="1"/>
  <c r="N96" i="6"/>
  <c r="S96" i="6" s="1"/>
  <c r="N1122" i="6"/>
  <c r="S1122" i="6" s="1"/>
  <c r="N1063" i="6"/>
  <c r="S1063" i="6" s="1"/>
  <c r="N1251" i="6"/>
  <c r="S1251" i="6" s="1"/>
  <c r="N1076" i="6"/>
  <c r="S1076" i="6" s="1"/>
  <c r="N1383" i="6"/>
  <c r="S1383" i="6" s="1"/>
  <c r="N1402" i="6"/>
  <c r="S1402" i="6" s="1"/>
  <c r="N1524" i="6"/>
  <c r="S1524" i="6" s="1"/>
  <c r="N1458" i="6"/>
  <c r="S1458" i="6" s="1"/>
  <c r="N1489" i="6"/>
  <c r="S1489" i="6" s="1"/>
  <c r="N459" i="6"/>
  <c r="S459" i="6" s="1"/>
  <c r="N182" i="6"/>
  <c r="S182" i="6" s="1"/>
  <c r="N296" i="6"/>
  <c r="S296" i="6" s="1"/>
  <c r="N282" i="6"/>
  <c r="S282" i="6" s="1"/>
  <c r="N1640" i="6"/>
  <c r="S1640" i="6" s="1"/>
  <c r="N1692" i="6"/>
  <c r="S1692" i="6" s="1"/>
  <c r="N1648" i="6"/>
  <c r="S1648" i="6" s="1"/>
  <c r="N1707" i="6"/>
  <c r="S1707" i="6" s="1"/>
  <c r="N1774" i="6"/>
  <c r="S1774" i="6" s="1"/>
  <c r="N1743" i="6"/>
  <c r="S1743" i="6" s="1"/>
  <c r="N274" i="6"/>
  <c r="S274" i="6" s="1"/>
  <c r="N1160" i="6"/>
  <c r="S1160" i="6" s="1"/>
  <c r="N1087" i="6"/>
  <c r="S1087" i="6" s="1"/>
  <c r="N1109" i="6"/>
  <c r="S1109" i="6" s="1"/>
  <c r="N1144" i="6"/>
  <c r="S1144" i="6" s="1"/>
  <c r="N1214" i="6"/>
  <c r="S1214" i="6" s="1"/>
  <c r="N1429" i="6"/>
  <c r="S1429" i="6" s="1"/>
  <c r="N1168" i="6"/>
  <c r="S1168" i="6" s="1"/>
  <c r="N1481" i="6"/>
  <c r="S1481" i="6" s="1"/>
  <c r="N1604" i="6"/>
  <c r="S1604" i="6" s="1"/>
  <c r="N393" i="6"/>
  <c r="S393" i="6" s="1"/>
  <c r="N1665" i="6"/>
  <c r="S1665" i="6" s="1"/>
  <c r="N1622" i="6"/>
  <c r="S1622" i="6" s="1"/>
  <c r="N1668" i="6"/>
  <c r="S1668" i="6" s="1"/>
  <c r="N1717" i="6"/>
  <c r="S1717" i="6" s="1"/>
  <c r="N1788" i="6"/>
  <c r="S1788" i="6" s="1"/>
  <c r="N100" i="6"/>
  <c r="S100" i="6" s="1"/>
  <c r="N1081" i="6"/>
  <c r="S1081" i="6" s="1"/>
  <c r="N1337" i="6"/>
  <c r="S1337" i="6" s="1"/>
  <c r="N1404" i="6"/>
  <c r="S1404" i="6" s="1"/>
  <c r="N1537" i="6"/>
  <c r="S1537" i="6" s="1"/>
  <c r="N1509" i="6"/>
  <c r="S1509" i="6" s="1"/>
  <c r="N1610" i="6"/>
  <c r="S1610" i="6" s="1"/>
  <c r="N226" i="6"/>
  <c r="S226" i="6" s="1"/>
  <c r="N1089" i="6"/>
  <c r="S1089" i="6" s="1"/>
  <c r="N1345" i="6"/>
  <c r="S1345" i="6" s="1"/>
  <c r="N1412" i="6"/>
  <c r="S1412" i="6" s="1"/>
  <c r="N1577" i="6"/>
  <c r="S1577" i="6" s="1"/>
  <c r="N1526" i="6"/>
  <c r="S1526" i="6" s="1"/>
  <c r="N1576" i="6"/>
  <c r="S1576" i="6" s="1"/>
  <c r="N1568" i="6"/>
  <c r="S1568" i="6" s="1"/>
  <c r="N1274" i="6"/>
  <c r="S1274" i="6" s="1"/>
  <c r="N1392" i="6"/>
  <c r="S1392" i="6" s="1"/>
  <c r="N1436" i="6"/>
  <c r="S1436" i="6" s="1"/>
  <c r="N1121" i="6"/>
  <c r="S1121" i="6" s="1"/>
  <c r="N1377" i="6"/>
  <c r="S1377" i="6" s="1"/>
  <c r="N1478" i="6"/>
  <c r="S1478" i="6" s="1"/>
  <c r="N1517" i="6"/>
  <c r="S1517" i="6" s="1"/>
  <c r="N1475" i="6"/>
  <c r="S1475" i="6" s="1"/>
  <c r="N1546" i="6"/>
  <c r="S1546" i="6" s="1"/>
  <c r="N265" i="6"/>
  <c r="S265" i="6" s="1"/>
  <c r="N1050" i="6"/>
  <c r="S1050" i="6" s="1"/>
  <c r="N1115" i="6"/>
  <c r="S1115" i="6" s="1"/>
  <c r="N1118" i="6"/>
  <c r="S1118" i="6" s="1"/>
  <c r="N1049" i="6"/>
  <c r="S1049" i="6" s="1"/>
  <c r="N1284" i="6"/>
  <c r="S1284" i="6" s="1"/>
  <c r="N1090" i="6"/>
  <c r="S1090" i="6" s="1"/>
  <c r="N1163" i="6"/>
  <c r="S1163" i="6" s="1"/>
  <c r="N1054" i="6"/>
  <c r="S1054" i="6" s="1"/>
  <c r="N1196" i="6"/>
  <c r="S1196" i="6" s="1"/>
  <c r="N1082" i="6"/>
  <c r="S1082" i="6" s="1"/>
  <c r="N1165" i="6"/>
  <c r="S1165" i="6" s="1"/>
  <c r="N1410" i="6"/>
  <c r="S1410" i="6" s="1"/>
  <c r="N1320" i="6"/>
  <c r="S1320" i="6" s="1"/>
  <c r="N1394" i="6"/>
  <c r="S1394" i="6" s="1"/>
  <c r="N1521" i="6"/>
  <c r="S1521" i="6" s="1"/>
  <c r="N1334" i="6"/>
  <c r="S1334" i="6" s="1"/>
  <c r="N1177" i="6"/>
  <c r="S1177" i="6" s="1"/>
  <c r="N1465" i="6"/>
  <c r="S1465" i="6" s="1"/>
  <c r="N1547" i="6"/>
  <c r="S1547" i="6" s="1"/>
  <c r="N1438" i="6"/>
  <c r="S1438" i="6" s="1"/>
  <c r="N1578" i="6"/>
  <c r="S1578" i="6" s="1"/>
  <c r="N1582" i="6"/>
  <c r="S1582" i="6" s="1"/>
  <c r="N112" i="6"/>
  <c r="S112" i="6" s="1"/>
  <c r="N1093" i="6"/>
  <c r="S1093" i="6" s="1"/>
  <c r="N1130" i="6"/>
  <c r="S1130" i="6" s="1"/>
  <c r="N1055" i="6"/>
  <c r="S1055" i="6" s="1"/>
  <c r="N1088" i="6"/>
  <c r="S1088" i="6" s="1"/>
  <c r="N1302" i="6"/>
  <c r="S1302" i="6" s="1"/>
  <c r="N1117" i="6"/>
  <c r="S1117" i="6" s="1"/>
  <c r="N1183" i="6"/>
  <c r="S1183" i="6" s="1"/>
  <c r="N1103" i="6"/>
  <c r="S1103" i="6" s="1"/>
  <c r="N1206" i="6"/>
  <c r="S1206" i="6" s="1"/>
  <c r="N1099" i="6"/>
  <c r="S1099" i="6" s="1"/>
  <c r="N1181" i="6"/>
  <c r="S1181" i="6" s="1"/>
  <c r="N1474" i="6"/>
  <c r="S1474" i="6" s="1"/>
  <c r="N1331" i="6"/>
  <c r="S1331" i="6" s="1"/>
  <c r="N1407" i="6"/>
  <c r="S1407" i="6" s="1"/>
  <c r="N1533" i="6"/>
  <c r="S1533" i="6" s="1"/>
  <c r="N1342" i="6"/>
  <c r="S1342" i="6" s="1"/>
  <c r="N1185" i="6"/>
  <c r="S1185" i="6" s="1"/>
  <c r="N1556" i="6"/>
  <c r="S1556" i="6" s="1"/>
  <c r="N1561" i="6"/>
  <c r="S1561" i="6" s="1"/>
  <c r="N1446" i="6"/>
  <c r="S1446" i="6" s="1"/>
  <c r="N1605" i="6"/>
  <c r="S1605" i="6" s="1"/>
  <c r="N108" i="6"/>
  <c r="S108" i="6" s="1"/>
  <c r="N102" i="6"/>
  <c r="S102" i="6" s="1"/>
  <c r="N217" i="6"/>
  <c r="S217" i="6" s="1"/>
  <c r="N109" i="6"/>
  <c r="S109" i="6" s="1"/>
  <c r="N101" i="6"/>
  <c r="S101" i="6" s="1"/>
  <c r="N152" i="6"/>
  <c r="S152" i="6" s="1"/>
  <c r="N1565" i="6"/>
  <c r="S1565" i="6" s="1"/>
  <c r="N1543" i="6"/>
  <c r="S1543" i="6" s="1"/>
  <c r="N1563" i="6"/>
  <c r="S1563" i="6" s="1"/>
  <c r="N1552" i="6"/>
  <c r="S1552" i="6" s="1"/>
  <c r="N1430" i="6"/>
  <c r="S1430" i="6" s="1"/>
  <c r="N1611" i="6"/>
  <c r="S1611" i="6" s="1"/>
  <c r="N1614" i="6"/>
  <c r="S1614" i="6" s="1"/>
  <c r="N1364" i="6"/>
  <c r="S1364" i="6" s="1"/>
  <c r="N1425" i="6"/>
  <c r="S1425" i="6" s="1"/>
  <c r="N1297" i="6"/>
  <c r="S1297" i="6" s="1"/>
  <c r="N1169" i="6"/>
  <c r="S1169" i="6" s="1"/>
  <c r="N1507" i="6"/>
  <c r="S1507" i="6" s="1"/>
  <c r="N1326" i="6"/>
  <c r="S1326" i="6" s="1"/>
  <c r="N1403" i="6"/>
  <c r="S1403" i="6" s="1"/>
  <c r="N1464" i="6"/>
  <c r="S1464" i="6" s="1"/>
  <c r="N1598" i="6"/>
  <c r="S1598" i="6" s="1"/>
  <c r="N1328" i="6"/>
  <c r="S1328" i="6" s="1"/>
  <c r="N1344" i="6"/>
  <c r="S1344" i="6" s="1"/>
  <c r="N1310" i="6"/>
  <c r="S1310" i="6" s="1"/>
  <c r="N1327" i="6"/>
  <c r="S1327" i="6" s="1"/>
  <c r="N1373" i="6"/>
  <c r="S1373" i="6" s="1"/>
  <c r="N1237" i="6"/>
  <c r="S1237" i="6" s="1"/>
  <c r="N1148" i="6"/>
  <c r="S1148" i="6" s="1"/>
  <c r="N1211" i="6"/>
  <c r="S1211" i="6" s="1"/>
  <c r="N1312" i="6"/>
  <c r="S1312" i="6" s="1"/>
  <c r="N1359" i="6"/>
  <c r="S1359" i="6" s="1"/>
  <c r="N1164" i="6"/>
  <c r="S1164" i="6" s="1"/>
  <c r="N221" i="6"/>
  <c r="S221" i="6" s="1"/>
  <c r="N157" i="6"/>
  <c r="S157" i="6" s="1"/>
  <c r="N1616" i="6"/>
  <c r="S1616" i="6" s="1"/>
  <c r="N1535" i="6"/>
  <c r="S1535" i="6" s="1"/>
  <c r="N1549" i="6"/>
  <c r="S1549" i="6" s="1"/>
  <c r="N1548" i="6"/>
  <c r="S1548" i="6" s="1"/>
  <c r="N1600" i="6"/>
  <c r="S1600" i="6" s="1"/>
  <c r="N1584" i="6"/>
  <c r="S1584" i="6" s="1"/>
  <c r="N1587" i="6"/>
  <c r="S1587" i="6" s="1"/>
  <c r="N1356" i="6"/>
  <c r="S1356" i="6" s="1"/>
  <c r="N1417" i="6"/>
  <c r="S1417" i="6" s="1"/>
  <c r="N1289" i="6"/>
  <c r="S1289" i="6" s="1"/>
  <c r="N1161" i="6"/>
  <c r="S1161" i="6" s="1"/>
  <c r="N1468" i="6"/>
  <c r="S1468" i="6" s="1"/>
  <c r="N1516" i="6"/>
  <c r="S1516" i="6" s="1"/>
  <c r="N1395" i="6"/>
  <c r="S1395" i="6" s="1"/>
  <c r="N1454" i="6"/>
  <c r="S1454" i="6" s="1"/>
  <c r="N1470" i="6"/>
  <c r="S1470" i="6" s="1"/>
  <c r="N1311" i="6"/>
  <c r="S1311" i="6" s="1"/>
  <c r="N1314" i="6"/>
  <c r="S1314" i="6" s="1"/>
  <c r="N1571" i="6"/>
  <c r="S1571" i="6" s="1"/>
  <c r="N1294" i="6"/>
  <c r="S1294" i="6" s="1"/>
  <c r="N1306" i="6"/>
  <c r="S1306" i="6" s="1"/>
  <c r="N1204" i="6"/>
  <c r="S1204" i="6" s="1"/>
  <c r="N1128" i="6"/>
  <c r="S1128" i="6" s="1"/>
  <c r="N1197" i="6"/>
  <c r="S1197" i="6" s="1"/>
  <c r="N1240" i="6"/>
  <c r="S1240" i="6" s="1"/>
  <c r="N1333" i="6"/>
  <c r="S1333" i="6" s="1"/>
  <c r="N1341" i="6"/>
  <c r="S1341" i="6" s="1"/>
  <c r="N94" i="6"/>
  <c r="S94" i="6" s="1"/>
  <c r="N671" i="6"/>
  <c r="S671" i="6" s="1"/>
  <c r="N163" i="6"/>
  <c r="S163" i="6" s="1"/>
  <c r="N1596" i="6"/>
  <c r="S1596" i="6" s="1"/>
  <c r="N1527" i="6"/>
  <c r="S1527" i="6" s="1"/>
  <c r="N1545" i="6"/>
  <c r="S1545" i="6" s="1"/>
  <c r="N1523" i="6"/>
  <c r="S1523" i="6" s="1"/>
  <c r="N1585" i="6"/>
  <c r="S1585" i="6" s="1"/>
  <c r="N1569" i="6"/>
  <c r="S1569" i="6" s="1"/>
  <c r="N1572" i="6"/>
  <c r="S1572" i="6" s="1"/>
  <c r="N1348" i="6"/>
  <c r="S1348" i="6" s="1"/>
  <c r="N1409" i="6"/>
  <c r="S1409" i="6" s="1"/>
  <c r="N1281" i="6"/>
  <c r="S1281" i="6" s="1"/>
  <c r="N1153" i="6"/>
  <c r="S1153" i="6" s="1"/>
  <c r="N1452" i="6"/>
  <c r="S1452" i="6" s="1"/>
  <c r="N1496" i="6"/>
  <c r="S1496" i="6" s="1"/>
  <c r="N1387" i="6"/>
  <c r="S1387" i="6" s="1"/>
  <c r="N1424" i="6"/>
  <c r="S1424" i="6" s="1"/>
  <c r="N1444" i="6"/>
  <c r="S1444" i="6" s="1"/>
  <c r="N1286" i="6"/>
  <c r="S1286" i="6" s="1"/>
  <c r="N1405" i="6"/>
  <c r="S1405" i="6" s="1"/>
  <c r="N1539" i="6"/>
  <c r="S1539" i="6" s="1"/>
  <c r="N1291" i="6"/>
  <c r="S1291" i="6" s="1"/>
  <c r="N1303" i="6"/>
  <c r="S1303" i="6" s="1"/>
  <c r="N1178" i="6"/>
  <c r="S1178" i="6" s="1"/>
  <c r="N1111" i="6"/>
  <c r="S1111" i="6" s="1"/>
  <c r="N1423" i="6"/>
  <c r="S1423" i="6" s="1"/>
  <c r="N1203" i="6"/>
  <c r="S1203" i="6" s="1"/>
  <c r="N1318" i="6"/>
  <c r="S1318" i="6" s="1"/>
  <c r="N1325" i="6"/>
  <c r="S1325" i="6" s="1"/>
  <c r="N168" i="6"/>
  <c r="S168" i="6" s="1"/>
  <c r="N99" i="6"/>
  <c r="S99" i="6" s="1"/>
  <c r="N269" i="6"/>
  <c r="S269" i="6" s="1"/>
  <c r="N1579" i="6"/>
  <c r="S1579" i="6" s="1"/>
  <c r="N1519" i="6"/>
  <c r="S1519" i="6" s="1"/>
  <c r="N1529" i="6"/>
  <c r="S1529" i="6" s="1"/>
  <c r="N1506" i="6"/>
  <c r="S1506" i="6" s="1"/>
  <c r="N1555" i="6"/>
  <c r="S1555" i="6" s="1"/>
  <c r="N1558" i="6"/>
  <c r="S1558" i="6" s="1"/>
  <c r="N1606" i="6"/>
  <c r="S1606" i="6" s="1"/>
  <c r="N1340" i="6"/>
  <c r="S1340" i="6" s="1"/>
  <c r="N1401" i="6"/>
  <c r="S1401" i="6" s="1"/>
  <c r="N1273" i="6"/>
  <c r="S1273" i="6" s="1"/>
  <c r="N1145" i="6"/>
  <c r="S1145" i="6" s="1"/>
  <c r="N1476" i="6"/>
  <c r="S1476" i="6" s="1"/>
  <c r="N1445" i="6"/>
  <c r="S1445" i="6" s="1"/>
  <c r="N1379" i="6"/>
  <c r="S1379" i="6" s="1"/>
  <c r="N1416" i="6"/>
  <c r="S1416" i="6" s="1"/>
  <c r="N1437" i="6"/>
  <c r="S1437" i="6" s="1"/>
  <c r="N1283" i="6"/>
  <c r="S1283" i="6" s="1"/>
  <c r="N1370" i="6"/>
  <c r="S1370" i="6" s="1"/>
  <c r="N1426" i="6"/>
  <c r="S1426" i="6" s="1"/>
  <c r="N1288" i="6"/>
  <c r="S1288" i="6" s="1"/>
  <c r="N1300" i="6"/>
  <c r="S1300" i="6" s="1"/>
  <c r="N1151" i="6"/>
  <c r="S1151" i="6" s="1"/>
  <c r="N1091" i="6"/>
  <c r="S1091" i="6" s="1"/>
  <c r="N1397" i="6"/>
  <c r="S1397" i="6" s="1"/>
  <c r="N1150" i="6"/>
  <c r="S1150" i="6" s="1"/>
  <c r="N317" i="6"/>
  <c r="S317" i="6" s="1"/>
  <c r="N1562" i="6"/>
  <c r="S1562" i="6" s="1"/>
  <c r="N1511" i="6"/>
  <c r="S1511" i="6" s="1"/>
  <c r="N1512" i="6"/>
  <c r="S1512" i="6" s="1"/>
  <c r="N1486" i="6"/>
  <c r="S1486" i="6" s="1"/>
  <c r="N1541" i="6"/>
  <c r="S1541" i="6" s="1"/>
  <c r="N1544" i="6"/>
  <c r="S1544" i="6" s="1"/>
  <c r="N1557" i="6"/>
  <c r="S1557" i="6" s="1"/>
  <c r="N1332" i="6"/>
  <c r="S1332" i="6" s="1"/>
  <c r="N1393" i="6"/>
  <c r="S1393" i="6" s="1"/>
  <c r="N1265" i="6"/>
  <c r="S1265" i="6" s="1"/>
  <c r="N1137" i="6"/>
  <c r="S1137" i="6" s="1"/>
  <c r="N1422" i="6"/>
  <c r="S1422" i="6" s="1"/>
  <c r="N1442" i="6"/>
  <c r="S1442" i="6" s="1"/>
  <c r="N1371" i="6"/>
  <c r="S1371" i="6" s="1"/>
  <c r="N1408" i="6"/>
  <c r="S1408" i="6" s="1"/>
  <c r="N1362" i="6"/>
  <c r="S1362" i="6" s="1"/>
  <c r="N1280" i="6"/>
  <c r="S1280" i="6" s="1"/>
  <c r="N1317" i="6"/>
  <c r="S1317" i="6" s="1"/>
  <c r="N1399" i="6"/>
  <c r="S1399" i="6" s="1"/>
  <c r="N1285" i="6"/>
  <c r="S1285" i="6" s="1"/>
  <c r="N1532" i="6"/>
  <c r="S1532" i="6" s="1"/>
  <c r="N1131" i="6"/>
  <c r="S1131" i="6" s="1"/>
  <c r="N1077" i="6"/>
  <c r="S1077" i="6" s="1"/>
  <c r="N1351" i="6"/>
  <c r="S1351" i="6" s="1"/>
  <c r="N1133" i="6"/>
  <c r="S1133" i="6" s="1"/>
  <c r="N105" i="6"/>
  <c r="S105" i="6" s="1"/>
  <c r="N106" i="6"/>
  <c r="S106" i="6" s="1"/>
  <c r="N1554" i="6"/>
  <c r="S1554" i="6" s="1"/>
  <c r="N1503" i="6"/>
  <c r="S1503" i="6" s="1"/>
  <c r="N1492" i="6"/>
  <c r="S1492" i="6" s="1"/>
  <c r="N1469" i="6"/>
  <c r="S1469" i="6" s="1"/>
  <c r="N1534" i="6"/>
  <c r="S1534" i="6" s="1"/>
  <c r="N1540" i="6"/>
  <c r="S1540" i="6" s="1"/>
  <c r="N1530" i="6"/>
  <c r="S1530" i="6" s="1"/>
  <c r="N1324" i="6"/>
  <c r="S1324" i="6" s="1"/>
  <c r="N1385" i="6"/>
  <c r="S1385" i="6" s="1"/>
  <c r="N1257" i="6"/>
  <c r="S1257" i="6" s="1"/>
  <c r="N1129" i="6"/>
  <c r="S1129" i="6" s="1"/>
  <c r="N1414" i="6"/>
  <c r="S1414" i="6" s="1"/>
  <c r="N1439" i="6"/>
  <c r="S1439" i="6" s="1"/>
  <c r="N1363" i="6"/>
  <c r="S1363" i="6" s="1"/>
  <c r="N1400" i="6"/>
  <c r="S1400" i="6" s="1"/>
  <c r="N1349" i="6"/>
  <c r="S1349" i="6" s="1"/>
  <c r="N1277" i="6"/>
  <c r="S1277" i="6" s="1"/>
  <c r="N1307" i="6"/>
  <c r="S1307" i="6" s="1"/>
  <c r="N1609" i="6"/>
  <c r="S1609" i="6" s="1"/>
  <c r="N1282" i="6"/>
  <c r="S1282" i="6" s="1"/>
  <c r="N1515" i="6"/>
  <c r="S1515" i="6" s="1"/>
  <c r="N1114" i="6"/>
  <c r="S1114" i="6" s="1"/>
  <c r="N1069" i="6"/>
  <c r="S1069" i="6" s="1"/>
  <c r="N1319" i="6"/>
  <c r="S1319" i="6" s="1"/>
  <c r="N1116" i="6"/>
  <c r="S1116" i="6" s="1"/>
  <c r="N97" i="6"/>
  <c r="S97" i="6" s="1"/>
  <c r="N1607" i="6"/>
  <c r="S1607" i="6" s="1"/>
  <c r="N1613" i="6"/>
  <c r="S1613" i="6" s="1"/>
  <c r="N1479" i="6"/>
  <c r="S1479" i="6" s="1"/>
  <c r="N1597" i="6"/>
  <c r="S1597" i="6" s="1"/>
  <c r="N1581" i="6"/>
  <c r="S1581" i="6" s="1"/>
  <c r="N1480" i="6"/>
  <c r="S1480" i="6" s="1"/>
  <c r="N1491" i="6"/>
  <c r="S1491" i="6" s="1"/>
  <c r="N1428" i="6"/>
  <c r="S1428" i="6" s="1"/>
  <c r="N1518" i="6"/>
  <c r="S1518" i="6" s="1"/>
  <c r="N1361" i="6"/>
  <c r="S1361" i="6" s="1"/>
  <c r="N1233" i="6"/>
  <c r="S1233" i="6" s="1"/>
  <c r="N1105" i="6"/>
  <c r="S1105" i="6" s="1"/>
  <c r="N1390" i="6"/>
  <c r="S1390" i="6" s="1"/>
  <c r="N1594" i="6"/>
  <c r="S1594" i="6" s="1"/>
  <c r="N1339" i="6"/>
  <c r="S1339" i="6" s="1"/>
  <c r="N1376" i="6"/>
  <c r="S1376" i="6" s="1"/>
  <c r="N1191" i="6"/>
  <c r="S1191" i="6" s="1"/>
  <c r="N1268" i="6"/>
  <c r="S1268" i="6" s="1"/>
  <c r="N1298" i="6"/>
  <c r="S1298" i="6" s="1"/>
  <c r="N1450" i="6"/>
  <c r="S1450" i="6" s="1"/>
  <c r="N1230" i="6"/>
  <c r="S1230" i="6" s="1"/>
  <c r="N1391" i="6"/>
  <c r="S1391" i="6" s="1"/>
  <c r="N1272" i="6"/>
  <c r="S1272" i="6" s="1"/>
  <c r="N1250" i="6"/>
  <c r="S1250" i="6" s="1"/>
  <c r="N1200" i="6"/>
  <c r="S1200" i="6" s="1"/>
  <c r="N1071" i="6"/>
  <c r="S1071" i="6" s="1"/>
  <c r="N1248" i="6"/>
  <c r="S1248" i="6" s="1"/>
  <c r="N1378" i="6"/>
  <c r="S1378" i="6" s="1"/>
  <c r="N1095" i="6"/>
  <c r="S1095" i="6" s="1"/>
  <c r="N1290" i="6"/>
  <c r="S1290" i="6" s="1"/>
  <c r="N1261" i="6"/>
  <c r="S1261" i="6" s="1"/>
  <c r="N1260" i="6"/>
  <c r="S1260" i="6" s="1"/>
  <c r="N1186" i="6"/>
  <c r="S1186" i="6" s="1"/>
  <c r="N1175" i="6"/>
  <c r="S1175" i="6" s="1"/>
  <c r="N1047" i="6"/>
  <c r="S1047" i="6" s="1"/>
  <c r="N1084" i="6"/>
  <c r="S1084" i="6" s="1"/>
  <c r="N104" i="6"/>
  <c r="S104" i="6" s="1"/>
  <c r="N218" i="6"/>
  <c r="S218" i="6" s="1"/>
  <c r="N1599" i="6"/>
  <c r="S1599" i="6" s="1"/>
  <c r="N1593" i="6"/>
  <c r="S1593" i="6" s="1"/>
  <c r="N1471" i="6"/>
  <c r="S1471" i="6" s="1"/>
  <c r="N1570" i="6"/>
  <c r="S1570" i="6" s="1"/>
  <c r="N1566" i="6"/>
  <c r="S1566" i="6" s="1"/>
  <c r="N1592" i="6"/>
  <c r="S1592" i="6" s="1"/>
  <c r="N1603" i="6"/>
  <c r="S1603" i="6" s="1"/>
  <c r="N1420" i="6"/>
  <c r="S1420" i="6" s="1"/>
  <c r="N1502" i="6"/>
  <c r="S1502" i="6" s="1"/>
  <c r="N1353" i="6"/>
  <c r="S1353" i="6" s="1"/>
  <c r="N1225" i="6"/>
  <c r="S1225" i="6" s="1"/>
  <c r="N1097" i="6"/>
  <c r="S1097" i="6" s="1"/>
  <c r="N1382" i="6"/>
  <c r="S1382" i="6" s="1"/>
  <c r="N1553" i="6"/>
  <c r="S1553" i="6" s="1"/>
  <c r="N1505" i="6"/>
  <c r="S1505" i="6" s="1"/>
  <c r="N1510" i="6"/>
  <c r="S1510" i="6" s="1"/>
  <c r="N1171" i="6"/>
  <c r="S1171" i="6" s="1"/>
  <c r="N1222" i="6"/>
  <c r="S1222" i="6" s="1"/>
  <c r="N1295" i="6"/>
  <c r="S1295" i="6" s="1"/>
  <c r="N1441" i="6"/>
  <c r="S1441" i="6" s="1"/>
  <c r="N1227" i="6"/>
  <c r="S1227" i="6" s="1"/>
  <c r="N1550" i="6"/>
  <c r="S1550" i="6" s="1"/>
  <c r="N1259" i="6"/>
  <c r="S1259" i="6" s="1"/>
  <c r="N1245" i="6"/>
  <c r="S1245" i="6" s="1"/>
  <c r="N1190" i="6"/>
  <c r="S1190" i="6" s="1"/>
  <c r="N1421" i="6"/>
  <c r="S1421" i="6" s="1"/>
  <c r="N1235" i="6"/>
  <c r="S1235" i="6" s="1"/>
  <c r="N1323" i="6"/>
  <c r="S1323" i="6" s="1"/>
  <c r="N1080" i="6"/>
  <c r="S1080" i="6" s="1"/>
  <c r="N1264" i="6"/>
  <c r="S1264" i="6" s="1"/>
  <c r="N1242" i="6"/>
  <c r="S1242" i="6" s="1"/>
  <c r="N1346" i="6"/>
  <c r="S1346" i="6" s="1"/>
  <c r="N1142" i="6"/>
  <c r="S1142" i="6" s="1"/>
  <c r="N1141" i="6"/>
  <c r="S1141" i="6" s="1"/>
  <c r="N1138" i="6"/>
  <c r="S1138" i="6" s="1"/>
  <c r="N1074" i="6"/>
  <c r="S1074" i="6" s="1"/>
  <c r="N169" i="6"/>
  <c r="S169" i="6" s="1"/>
  <c r="N222" i="6"/>
  <c r="S222" i="6" s="1"/>
  <c r="N113" i="6"/>
  <c r="S113" i="6" s="1"/>
  <c r="N1053" i="6"/>
  <c r="S1053" i="6" s="1"/>
  <c r="N1066" i="6"/>
  <c r="S1066" i="6" s="1"/>
  <c r="N1092" i="6"/>
  <c r="S1092" i="6" s="1"/>
  <c r="N1060" i="6"/>
  <c r="S1060" i="6" s="1"/>
  <c r="N1322" i="6"/>
  <c r="S1322" i="6" s="1"/>
  <c r="N1132" i="6"/>
  <c r="S1132" i="6" s="1"/>
  <c r="N1195" i="6"/>
  <c r="S1195" i="6" s="1"/>
  <c r="N1110" i="6"/>
  <c r="S1110" i="6" s="1"/>
  <c r="N1210" i="6"/>
  <c r="S1210" i="6" s="1"/>
  <c r="N1119" i="6"/>
  <c r="S1119" i="6" s="1"/>
  <c r="N1215" i="6"/>
  <c r="S1215" i="6" s="1"/>
  <c r="N1504" i="6"/>
  <c r="S1504" i="6" s="1"/>
  <c r="N1352" i="6"/>
  <c r="S1352" i="6" s="1"/>
  <c r="N1413" i="6"/>
  <c r="S1413" i="6" s="1"/>
  <c r="N1451" i="6"/>
  <c r="S1451" i="6" s="1"/>
  <c r="N1350" i="6"/>
  <c r="S1350" i="6" s="1"/>
  <c r="N1193" i="6"/>
  <c r="S1193" i="6" s="1"/>
  <c r="N1564" i="6"/>
  <c r="S1564" i="6" s="1"/>
  <c r="N1580" i="6"/>
  <c r="S1580" i="6" s="1"/>
  <c r="N1466" i="6"/>
  <c r="S1466" i="6" s="1"/>
  <c r="N1612" i="6"/>
  <c r="S1612" i="6" s="1"/>
  <c r="N1567" i="6"/>
  <c r="S1567" i="6" s="1"/>
  <c r="N1016" i="6"/>
  <c r="S1016" i="6" s="1"/>
  <c r="N262" i="6"/>
  <c r="S262" i="6" s="1"/>
  <c r="N219" i="6"/>
  <c r="S219" i="6" s="1"/>
  <c r="N154" i="6"/>
  <c r="S154" i="6" s="1"/>
  <c r="N375" i="6"/>
  <c r="S375" i="6" s="1"/>
  <c r="N855" i="6"/>
  <c r="S855" i="6" s="1"/>
  <c r="N1176" i="6"/>
  <c r="S1176" i="6" s="1"/>
  <c r="N1075" i="6"/>
  <c r="S1075" i="6" s="1"/>
  <c r="N1126" i="6"/>
  <c r="S1126" i="6" s="1"/>
  <c r="N1064" i="6"/>
  <c r="S1064" i="6" s="1"/>
  <c r="N1101" i="6"/>
  <c r="S1101" i="6" s="1"/>
  <c r="N1252" i="6"/>
  <c r="S1252" i="6" s="1"/>
  <c r="N1243" i="6"/>
  <c r="S1243" i="6" s="1"/>
  <c r="N1152" i="6"/>
  <c r="S1152" i="6" s="1"/>
  <c r="N1253" i="6"/>
  <c r="S1253" i="6" s="1"/>
  <c r="N1136" i="6"/>
  <c r="S1136" i="6" s="1"/>
  <c r="N1219" i="6"/>
  <c r="S1219" i="6" s="1"/>
  <c r="N1601" i="6"/>
  <c r="S1601" i="6" s="1"/>
  <c r="N1365" i="6"/>
  <c r="S1365" i="6" s="1"/>
  <c r="N1453" i="6"/>
  <c r="S1453" i="6" s="1"/>
  <c r="N1461" i="6"/>
  <c r="S1461" i="6" s="1"/>
  <c r="N1358" i="6"/>
  <c r="S1358" i="6" s="1"/>
  <c r="N1201" i="6"/>
  <c r="S1201" i="6" s="1"/>
  <c r="N1462" i="6"/>
  <c r="S1462" i="6" s="1"/>
  <c r="N1595" i="6"/>
  <c r="S1595" i="6" s="1"/>
  <c r="N1483" i="6"/>
  <c r="S1483" i="6" s="1"/>
  <c r="N1447" i="6"/>
  <c r="S1447" i="6" s="1"/>
  <c r="N1575" i="6"/>
  <c r="S1575" i="6" s="1"/>
  <c r="N1024" i="6"/>
  <c r="S1024" i="6" s="1"/>
  <c r="N209" i="6"/>
  <c r="S209" i="6" s="1"/>
  <c r="N1057" i="6"/>
  <c r="S1057" i="6" s="1"/>
  <c r="N1085" i="6"/>
  <c r="S1085" i="6" s="1"/>
  <c r="N1059" i="6"/>
  <c r="S1059" i="6" s="1"/>
  <c r="N1078" i="6"/>
  <c r="S1078" i="6" s="1"/>
  <c r="N1139" i="6"/>
  <c r="S1139" i="6" s="1"/>
  <c r="N1473" i="6"/>
  <c r="S1473" i="6" s="1"/>
  <c r="N1255" i="6"/>
  <c r="S1255" i="6" s="1"/>
  <c r="N1202" i="6"/>
  <c r="S1202" i="6" s="1"/>
  <c r="N1266" i="6"/>
  <c r="S1266" i="6" s="1"/>
  <c r="N1156" i="6"/>
  <c r="S1156" i="6" s="1"/>
  <c r="N1228" i="6"/>
  <c r="S1228" i="6" s="1"/>
  <c r="N1221" i="6"/>
  <c r="S1221" i="6" s="1"/>
  <c r="N1443" i="6"/>
  <c r="S1443" i="6" s="1"/>
  <c r="N1460" i="6"/>
  <c r="S1460" i="6" s="1"/>
  <c r="N1485" i="6"/>
  <c r="S1485" i="6" s="1"/>
  <c r="N1366" i="6"/>
  <c r="S1366" i="6" s="1"/>
  <c r="N1209" i="6"/>
  <c r="S1209" i="6" s="1"/>
  <c r="N1482" i="6"/>
  <c r="S1482" i="6" s="1"/>
  <c r="N1525" i="6"/>
  <c r="S1525" i="6" s="1"/>
  <c r="N1500" i="6"/>
  <c r="S1500" i="6" s="1"/>
  <c r="N1455" i="6"/>
  <c r="S1455" i="6" s="1"/>
  <c r="N1583" i="6"/>
  <c r="S1583" i="6" s="1"/>
  <c r="N971" i="6"/>
  <c r="S971" i="6" s="1"/>
  <c r="N162" i="6"/>
  <c r="S162" i="6" s="1"/>
  <c r="N208" i="6"/>
  <c r="S208" i="6" s="1"/>
  <c r="N165" i="6"/>
  <c r="S165" i="6" s="1"/>
  <c r="N1120" i="6"/>
  <c r="S1120" i="6" s="1"/>
  <c r="N1123" i="6"/>
  <c r="S1123" i="6" s="1"/>
  <c r="N1134" i="6"/>
  <c r="S1134" i="6" s="1"/>
  <c r="N1112" i="6"/>
  <c r="S1112" i="6" s="1"/>
  <c r="N1143" i="6"/>
  <c r="S1143" i="6" s="1"/>
  <c r="N1048" i="6"/>
  <c r="S1048" i="6" s="1"/>
  <c r="N1125" i="6"/>
  <c r="S1125" i="6" s="1"/>
  <c r="N1256" i="6"/>
  <c r="S1256" i="6" s="1"/>
  <c r="N1287" i="6"/>
  <c r="S1287" i="6" s="1"/>
  <c r="N1174" i="6"/>
  <c r="S1174" i="6" s="1"/>
  <c r="N1254" i="6"/>
  <c r="S1254" i="6" s="1"/>
  <c r="N1224" i="6"/>
  <c r="S1224" i="6" s="1"/>
  <c r="N1292" i="6"/>
  <c r="S1292" i="6" s="1"/>
  <c r="N1542" i="6"/>
  <c r="S1542" i="6" s="1"/>
  <c r="N1501" i="6"/>
  <c r="S1501" i="6" s="1"/>
  <c r="N1374" i="6"/>
  <c r="S1374" i="6" s="1"/>
  <c r="N1217" i="6"/>
  <c r="S1217" i="6" s="1"/>
  <c r="N1498" i="6"/>
  <c r="S1498" i="6" s="1"/>
  <c r="N1588" i="6"/>
  <c r="S1588" i="6" s="1"/>
  <c r="N1520" i="6"/>
  <c r="S1520" i="6" s="1"/>
  <c r="N1463" i="6"/>
  <c r="S1463" i="6" s="1"/>
  <c r="N1591" i="6"/>
  <c r="S1591" i="6" s="1"/>
  <c r="N1010" i="6"/>
  <c r="S1010" i="6" s="1"/>
  <c r="N975" i="6"/>
  <c r="S975" i="6" s="1"/>
  <c r="N931" i="6"/>
  <c r="S931" i="6" s="1"/>
  <c r="N889" i="6"/>
  <c r="S889" i="6" s="1"/>
  <c r="N974" i="6"/>
  <c r="S974" i="6" s="1"/>
  <c r="N158" i="6"/>
  <c r="S158" i="6" s="1"/>
  <c r="N638" i="6"/>
  <c r="S638" i="6" s="1"/>
  <c r="N714" i="6"/>
  <c r="S714" i="6" s="1"/>
  <c r="N325" i="6"/>
  <c r="S325" i="6" s="1"/>
  <c r="N1187" i="6"/>
  <c r="S1187" i="6" s="1"/>
  <c r="N1108" i="6"/>
  <c r="S1108" i="6" s="1"/>
  <c r="N1149" i="6"/>
  <c r="S1149" i="6" s="1"/>
  <c r="N1127" i="6"/>
  <c r="S1127" i="6" s="1"/>
  <c r="N1162" i="6"/>
  <c r="S1162" i="6" s="1"/>
  <c r="N1056" i="6"/>
  <c r="S1056" i="6" s="1"/>
  <c r="N1234" i="6"/>
  <c r="S1234" i="6" s="1"/>
  <c r="N1375" i="6"/>
  <c r="S1375" i="6" s="1"/>
  <c r="N1293" i="6"/>
  <c r="S1293" i="6" s="1"/>
  <c r="N1218" i="6"/>
  <c r="S1218" i="6" s="1"/>
  <c r="N1513" i="6"/>
  <c r="S1513" i="6" s="1"/>
  <c r="N1276" i="6"/>
  <c r="S1276" i="6" s="1"/>
  <c r="N1301" i="6"/>
  <c r="S1301" i="6" s="1"/>
  <c r="N1208" i="6"/>
  <c r="S1208" i="6" s="1"/>
  <c r="N1347" i="6"/>
  <c r="S1347" i="6" s="1"/>
  <c r="N1398" i="6"/>
  <c r="S1398" i="6" s="1"/>
  <c r="N1241" i="6"/>
  <c r="S1241" i="6" s="1"/>
  <c r="N1308" i="6"/>
  <c r="S1308" i="6" s="1"/>
  <c r="N1508" i="6"/>
  <c r="S1508" i="6" s="1"/>
  <c r="N1608" i="6"/>
  <c r="S1608" i="6" s="1"/>
  <c r="N1487" i="6"/>
  <c r="S1487" i="6" s="1"/>
  <c r="N1615" i="6"/>
  <c r="S1615" i="6" s="1"/>
  <c r="N887" i="6"/>
  <c r="S887" i="6" s="1"/>
  <c r="N978" i="6"/>
  <c r="S978" i="6" s="1"/>
  <c r="N939" i="6"/>
  <c r="S939" i="6" s="1"/>
  <c r="N897" i="6"/>
  <c r="S897" i="6" s="1"/>
  <c r="N977" i="6"/>
  <c r="S977" i="6" s="1"/>
  <c r="N98" i="6"/>
  <c r="S98" i="6" s="1"/>
  <c r="N214" i="6"/>
  <c r="S214" i="6" s="1"/>
  <c r="N1135" i="6"/>
  <c r="S1135" i="6" s="1"/>
  <c r="N1146" i="6"/>
  <c r="S1146" i="6" s="1"/>
  <c r="N1212" i="6"/>
  <c r="S1212" i="6" s="1"/>
  <c r="N1166" i="6"/>
  <c r="S1166" i="6" s="1"/>
  <c r="N1172" i="6"/>
  <c r="S1172" i="6" s="1"/>
  <c r="N1083" i="6"/>
  <c r="S1083" i="6" s="1"/>
  <c r="N1330" i="6"/>
  <c r="S1330" i="6" s="1"/>
  <c r="N1389" i="6"/>
  <c r="S1389" i="6" s="1"/>
  <c r="N1299" i="6"/>
  <c r="S1299" i="6" s="1"/>
  <c r="N1258" i="6"/>
  <c r="S1258" i="6" s="1"/>
  <c r="N1094" i="6"/>
  <c r="S1094" i="6" s="1"/>
  <c r="N1279" i="6"/>
  <c r="S1279" i="6" s="1"/>
  <c r="N1304" i="6"/>
  <c r="S1304" i="6" s="1"/>
  <c r="N1336" i="6"/>
  <c r="S1336" i="6" s="1"/>
  <c r="N1355" i="6"/>
  <c r="S1355" i="6" s="1"/>
  <c r="N1406" i="6"/>
  <c r="S1406" i="6" s="1"/>
  <c r="N1249" i="6"/>
  <c r="S1249" i="6" s="1"/>
  <c r="N1316" i="6"/>
  <c r="S1316" i="6" s="1"/>
  <c r="N1528" i="6"/>
  <c r="S1528" i="6" s="1"/>
  <c r="N1449" i="6"/>
  <c r="S1449" i="6" s="1"/>
  <c r="N1495" i="6"/>
  <c r="S1495" i="6" s="1"/>
  <c r="N432" i="6"/>
  <c r="S432" i="6" s="1"/>
  <c r="N1522" i="6"/>
  <c r="S1522" i="6" s="1"/>
  <c r="N1305" i="6"/>
  <c r="S1305" i="6" s="1"/>
  <c r="N1372" i="6"/>
  <c r="S1372" i="6" s="1"/>
  <c r="N1477" i="6"/>
  <c r="S1477" i="6" s="1"/>
  <c r="N1574" i="6"/>
  <c r="S1574" i="6" s="1"/>
  <c r="N1551" i="6"/>
  <c r="S1551" i="6" s="1"/>
  <c r="N731" i="6"/>
  <c r="S731" i="6" s="1"/>
  <c r="N1536" i="6"/>
  <c r="S1536" i="6" s="1"/>
  <c r="N1313" i="6"/>
  <c r="S1313" i="6" s="1"/>
  <c r="N1380" i="6"/>
  <c r="S1380" i="6" s="1"/>
  <c r="N1494" i="6"/>
  <c r="S1494" i="6" s="1"/>
  <c r="N1589" i="6"/>
  <c r="S1589" i="6" s="1"/>
  <c r="N1559" i="6"/>
  <c r="S1559" i="6" s="1"/>
  <c r="N225" i="6"/>
  <c r="S225" i="6" s="1"/>
  <c r="N233" i="6"/>
  <c r="S233" i="6" s="1"/>
  <c r="N174" i="6"/>
  <c r="S174" i="6" s="1"/>
  <c r="N290" i="6"/>
  <c r="S290" i="6" s="1"/>
  <c r="N1685" i="6"/>
  <c r="S1685" i="6" s="1"/>
  <c r="N1655" i="6"/>
  <c r="S1655" i="6" s="1"/>
  <c r="N1783" i="6"/>
  <c r="S1783" i="6" s="1"/>
  <c r="N1693" i="6"/>
  <c r="S1693" i="6" s="1"/>
  <c r="N1696" i="6"/>
  <c r="S1696" i="6" s="1"/>
  <c r="N1773" i="6"/>
  <c r="S1773" i="6" s="1"/>
  <c r="N1641" i="6"/>
  <c r="S1641" i="6" s="1"/>
  <c r="N1750" i="6"/>
  <c r="S1750" i="6" s="1"/>
  <c r="N1724" i="6"/>
  <c r="S1724" i="6" s="1"/>
  <c r="N1663" i="6"/>
  <c r="S1663" i="6" s="1"/>
  <c r="N1682" i="6"/>
  <c r="S1682" i="6" s="1"/>
  <c r="N179" i="6"/>
  <c r="S179" i="6" s="1"/>
  <c r="N117" i="6"/>
  <c r="S117" i="6" s="1"/>
  <c r="N1728" i="6"/>
  <c r="S1728" i="6" s="1"/>
  <c r="N1634" i="6"/>
  <c r="S1634" i="6" s="1"/>
  <c r="N1758" i="6"/>
  <c r="S1758" i="6" s="1"/>
  <c r="N1672" i="6"/>
  <c r="S1672" i="6" s="1"/>
  <c r="N1684" i="6"/>
  <c r="S1684" i="6" s="1"/>
  <c r="N1630" i="6"/>
  <c r="S1630" i="6" s="1"/>
  <c r="N1619" i="6"/>
  <c r="S1619" i="6" s="1"/>
  <c r="N1687" i="6"/>
  <c r="S1687" i="6" s="1"/>
  <c r="N1706" i="6"/>
  <c r="S1706" i="6" s="1"/>
  <c r="N1646" i="6"/>
  <c r="S1646" i="6" s="1"/>
  <c r="N1680" i="6"/>
  <c r="S1680" i="6" s="1"/>
  <c r="N1700" i="6"/>
  <c r="S1700" i="6" s="1"/>
  <c r="N1694" i="6"/>
  <c r="S1694" i="6" s="1"/>
  <c r="N1650" i="6"/>
  <c r="S1650" i="6" s="1"/>
  <c r="N1636" i="6"/>
  <c r="S1636" i="6" s="1"/>
  <c r="N1695" i="6"/>
  <c r="S1695" i="6" s="1"/>
  <c r="N1714" i="6"/>
  <c r="S1714" i="6" s="1"/>
  <c r="N553" i="6"/>
  <c r="S553" i="6" s="1"/>
  <c r="N1637" i="6"/>
  <c r="S1637" i="6" s="1"/>
  <c r="N1662" i="6"/>
  <c r="S1662" i="6" s="1"/>
  <c r="N1729" i="6"/>
  <c r="S1729" i="6" s="1"/>
  <c r="N1710" i="6"/>
  <c r="S1710" i="6" s="1"/>
  <c r="N1704" i="6"/>
  <c r="S1704" i="6" s="1"/>
  <c r="N1667" i="6"/>
  <c r="S1667" i="6" s="1"/>
  <c r="N1656" i="6"/>
  <c r="S1656" i="6" s="1"/>
  <c r="N1703" i="6"/>
  <c r="S1703" i="6" s="1"/>
  <c r="N1722" i="6"/>
  <c r="S1722" i="6" s="1"/>
  <c r="N353" i="6"/>
  <c r="S353" i="6" s="1"/>
  <c r="N125" i="6"/>
  <c r="S125" i="6" s="1"/>
  <c r="N186" i="6"/>
  <c r="S186" i="6" s="1"/>
  <c r="N1624" i="6"/>
  <c r="S1624" i="6" s="1"/>
  <c r="N1708" i="6"/>
  <c r="S1708" i="6" s="1"/>
  <c r="N1683" i="6"/>
  <c r="S1683" i="6" s="1"/>
  <c r="N1712" i="6"/>
  <c r="S1712" i="6" s="1"/>
  <c r="N1739" i="6"/>
  <c r="S1739" i="6" s="1"/>
  <c r="N1720" i="6"/>
  <c r="S1720" i="6" s="1"/>
  <c r="N1753" i="6"/>
  <c r="S1753" i="6" s="1"/>
  <c r="N1688" i="6"/>
  <c r="S1688" i="6" s="1"/>
  <c r="N1673" i="6"/>
  <c r="S1673" i="6" s="1"/>
  <c r="N1711" i="6"/>
  <c r="S1711" i="6" s="1"/>
  <c r="N1730" i="6"/>
  <c r="S1730" i="6" s="1"/>
  <c r="N230" i="6"/>
  <c r="S230" i="6" s="1"/>
  <c r="N240" i="6"/>
  <c r="S240" i="6" s="1"/>
  <c r="N1732" i="6"/>
  <c r="S1732" i="6" s="1"/>
  <c r="N1669" i="6"/>
  <c r="S1669" i="6" s="1"/>
  <c r="N1782" i="6"/>
  <c r="S1782" i="6" s="1"/>
  <c r="N1755" i="6"/>
  <c r="S1755" i="6" s="1"/>
  <c r="N1749" i="6"/>
  <c r="S1749" i="6" s="1"/>
  <c r="N1766" i="6"/>
  <c r="S1766" i="6" s="1"/>
  <c r="N1763" i="6"/>
  <c r="S1763" i="6" s="1"/>
  <c r="N1737" i="6"/>
  <c r="S1737" i="6" s="1"/>
  <c r="N1721" i="6"/>
  <c r="S1721" i="6" s="1"/>
  <c r="N1719" i="6"/>
  <c r="S1719" i="6" s="1"/>
  <c r="N1738" i="6"/>
  <c r="S1738" i="6" s="1"/>
  <c r="N288" i="6"/>
  <c r="S288" i="6" s="1"/>
  <c r="N130" i="6"/>
  <c r="S130" i="6" s="1"/>
  <c r="N1635" i="6"/>
  <c r="S1635" i="6" s="1"/>
  <c r="N1699" i="6"/>
  <c r="S1699" i="6" s="1"/>
  <c r="N1618" i="6"/>
  <c r="S1618" i="6" s="1"/>
  <c r="N1657" i="6"/>
  <c r="S1657" i="6" s="1"/>
  <c r="N1776" i="6"/>
  <c r="S1776" i="6" s="1"/>
  <c r="N1780" i="6"/>
  <c r="S1780" i="6" s="1"/>
  <c r="N1777" i="6"/>
  <c r="S1777" i="6" s="1"/>
  <c r="N1747" i="6"/>
  <c r="S1747" i="6" s="1"/>
  <c r="N1731" i="6"/>
  <c r="S1731" i="6" s="1"/>
  <c r="N1727" i="6"/>
  <c r="S1727" i="6" s="1"/>
  <c r="N1746" i="6"/>
  <c r="S1746" i="6" s="1"/>
  <c r="N1754" i="6"/>
  <c r="S1754" i="6" s="1"/>
  <c r="N1762" i="6"/>
  <c r="S1762" i="6" s="1"/>
  <c r="AE30" i="6" l="1"/>
  <c r="AE14" i="6"/>
  <c r="AD12" i="6"/>
  <c r="AE13" i="6"/>
  <c r="AE21" i="6"/>
  <c r="AE23" i="6"/>
  <c r="AE16" i="6"/>
  <c r="AD20" i="6"/>
  <c r="AD25" i="6"/>
  <c r="AD18" i="6"/>
  <c r="AD31" i="6"/>
  <c r="AD17" i="6"/>
  <c r="AD29" i="6"/>
  <c r="AD16" i="6"/>
  <c r="AD11" i="6"/>
  <c r="AD13" i="6"/>
  <c r="AD21" i="6"/>
  <c r="AD19" i="6"/>
  <c r="AD26" i="6"/>
  <c r="AD24" i="6"/>
  <c r="AI11" i="6"/>
  <c r="AI18" i="6"/>
  <c r="AG15" i="6"/>
  <c r="AI31" i="6"/>
  <c r="AG28" i="6"/>
  <c r="AI23" i="6"/>
  <c r="AG20" i="6"/>
  <c r="AI15" i="6"/>
  <c r="AG12" i="6"/>
  <c r="AG31" i="6"/>
  <c r="AI26" i="6"/>
  <c r="AG23" i="6"/>
  <c r="AG16" i="6"/>
  <c r="AI22" i="6"/>
  <c r="AG22" i="6"/>
  <c r="AI29" i="6"/>
  <c r="AG26" i="6"/>
  <c r="AI21" i="6"/>
  <c r="AG18" i="6"/>
  <c r="AI13" i="6"/>
  <c r="AG29" i="6"/>
  <c r="AI24" i="6"/>
  <c r="AG21" i="6"/>
  <c r="AI16" i="6"/>
  <c r="AG13" i="6"/>
  <c r="AI14" i="6"/>
  <c r="AG30" i="6"/>
  <c r="AG14" i="6"/>
  <c r="AI27" i="6"/>
  <c r="AG24" i="6"/>
  <c r="AI19" i="6"/>
  <c r="AI30" i="6"/>
  <c r="AG27" i="6"/>
  <c r="AI25" i="6"/>
  <c r="AI17" i="6"/>
  <c r="AI28" i="6"/>
  <c r="AG25" i="6"/>
  <c r="AI20" i="6"/>
  <c r="AG17" i="6"/>
  <c r="AI12" i="6"/>
  <c r="AG19" i="6"/>
  <c r="AG11" i="6"/>
  <c r="AE24" i="6"/>
  <c r="AE27" i="6"/>
  <c r="AE19" i="6"/>
  <c r="AE20" i="6"/>
  <c r="AE18" i="6"/>
  <c r="AE26" i="6"/>
  <c r="AE25" i="6"/>
  <c r="AE22" i="6"/>
  <c r="AD28" i="6"/>
  <c r="AE31" i="6"/>
  <c r="AD27" i="6"/>
  <c r="AD14" i="6"/>
  <c r="AE29" i="6"/>
  <c r="AE11" i="6"/>
  <c r="AH11" i="6"/>
  <c r="AH28" i="6"/>
  <c r="AF25" i="6"/>
  <c r="AH20" i="6"/>
  <c r="AF17" i="6"/>
  <c r="AH12" i="6"/>
  <c r="AH31" i="6"/>
  <c r="AF28" i="6"/>
  <c r="AF31" i="6"/>
  <c r="AH26" i="6"/>
  <c r="AH18" i="6"/>
  <c r="AF15" i="6"/>
  <c r="AF21" i="6"/>
  <c r="AF16" i="6"/>
  <c r="AH22" i="6"/>
  <c r="AH23" i="6"/>
  <c r="AF20" i="6"/>
  <c r="AH15" i="6"/>
  <c r="AF12" i="6"/>
  <c r="AF23" i="6"/>
  <c r="AF13" i="6"/>
  <c r="AH29" i="6"/>
  <c r="AF26" i="6"/>
  <c r="AH21" i="6"/>
  <c r="AF18" i="6"/>
  <c r="AH13" i="6"/>
  <c r="AF29" i="6"/>
  <c r="AH24" i="6"/>
  <c r="AH16" i="6"/>
  <c r="AF24" i="6"/>
  <c r="AH19" i="6"/>
  <c r="AH14" i="6"/>
  <c r="AF14" i="6"/>
  <c r="AH27" i="6"/>
  <c r="AH30" i="6"/>
  <c r="AF27" i="6"/>
  <c r="AF19" i="6"/>
  <c r="AF30" i="6"/>
  <c r="AH25" i="6"/>
  <c r="AH17" i="6"/>
  <c r="AF22" i="6"/>
  <c r="AF11" i="6"/>
  <c r="AD22" i="6"/>
  <c r="AE28" i="6"/>
  <c r="AE12" i="6"/>
  <c r="AD15" i="6"/>
  <c r="AE15" i="6"/>
  <c r="AD30" i="6"/>
  <c r="Q708" i="6"/>
  <c r="O309" i="6"/>
  <c r="O306" i="6"/>
  <c r="Y16" i="6"/>
  <c r="O308" i="6"/>
  <c r="O307" i="6"/>
  <c r="O312" i="6"/>
  <c r="O514" i="6"/>
  <c r="O756" i="6"/>
  <c r="R305" i="6"/>
  <c r="Q359" i="6"/>
  <c r="Q135" i="6"/>
  <c r="AB14" i="6"/>
  <c r="Q662" i="6"/>
  <c r="Y12" i="6"/>
  <c r="O260" i="6"/>
  <c r="P303" i="6"/>
  <c r="R884" i="6"/>
  <c r="O317" i="6"/>
  <c r="R65" i="6"/>
  <c r="W65" i="6" s="1"/>
  <c r="R87" i="6"/>
  <c r="O172" i="6"/>
  <c r="O339" i="6"/>
  <c r="O356" i="6"/>
  <c r="P304" i="6"/>
  <c r="P405" i="6"/>
  <c r="P329" i="6"/>
  <c r="O611" i="6"/>
  <c r="P753" i="6"/>
  <c r="R463" i="6"/>
  <c r="Q312" i="6"/>
  <c r="P306" i="6"/>
  <c r="Q149" i="6"/>
  <c r="R611" i="6"/>
  <c r="Q78" i="6"/>
  <c r="Q741" i="6"/>
  <c r="O752" i="6"/>
  <c r="R617" i="6"/>
  <c r="R304" i="6"/>
  <c r="O256" i="6"/>
  <c r="Q247" i="6"/>
  <c r="P341" i="6"/>
  <c r="AB19" i="6"/>
  <c r="Q185" i="6"/>
  <c r="R312" i="6"/>
  <c r="R24" i="6"/>
  <c r="U24" i="6" s="1"/>
  <c r="Q260" i="6"/>
  <c r="Q192" i="6"/>
  <c r="O617" i="6"/>
  <c r="Q367" i="6"/>
  <c r="Q306" i="6"/>
  <c r="O706" i="6"/>
  <c r="R306" i="6"/>
  <c r="R314" i="6"/>
  <c r="O314" i="6"/>
  <c r="O515" i="6"/>
  <c r="Q254" i="6"/>
  <c r="P653" i="6"/>
  <c r="Q520" i="6"/>
  <c r="O310" i="6"/>
  <c r="O512" i="6"/>
  <c r="R365" i="6"/>
  <c r="R393" i="6"/>
  <c r="P399" i="6"/>
  <c r="O604" i="6"/>
  <c r="P614" i="6"/>
  <c r="P1723" i="6"/>
  <c r="Q755" i="6"/>
  <c r="O361" i="6"/>
  <c r="P884" i="6"/>
  <c r="Q143" i="6"/>
  <c r="P252" i="6"/>
  <c r="P634" i="6"/>
  <c r="Q797" i="6"/>
  <c r="P611" i="6"/>
  <c r="Q884" i="6"/>
  <c r="P646" i="6"/>
  <c r="Q617" i="6"/>
  <c r="Y19" i="6"/>
  <c r="P361" i="6"/>
  <c r="O710" i="6"/>
  <c r="R361" i="6"/>
  <c r="P308" i="6"/>
  <c r="O613" i="6"/>
  <c r="R359" i="6"/>
  <c r="O304" i="6"/>
  <c r="R22" i="6"/>
  <c r="V22" i="6" s="1"/>
  <c r="P367" i="6"/>
  <c r="R464" i="6"/>
  <c r="Q799" i="6"/>
  <c r="O359" i="6"/>
  <c r="Q514" i="6"/>
  <c r="R141" i="6"/>
  <c r="Q512" i="6"/>
  <c r="Q197" i="6"/>
  <c r="Q252" i="6"/>
  <c r="P617" i="6"/>
  <c r="Q664" i="6"/>
  <c r="R30" i="6"/>
  <c r="S30" i="6" s="1"/>
  <c r="O362" i="6"/>
  <c r="Q308" i="6"/>
  <c r="R520" i="6"/>
  <c r="R569" i="6"/>
  <c r="R462" i="6"/>
  <c r="Q141" i="6"/>
  <c r="O612" i="6"/>
  <c r="Q250" i="6"/>
  <c r="P710" i="6"/>
  <c r="P651" i="6"/>
  <c r="R252" i="6"/>
  <c r="O615" i="6"/>
  <c r="O513" i="6"/>
  <c r="Q611" i="6"/>
  <c r="P988" i="6"/>
  <c r="R86" i="6"/>
  <c r="Z14" i="6"/>
  <c r="O416" i="6"/>
  <c r="O315" i="6"/>
  <c r="O709" i="6"/>
  <c r="R199" i="6"/>
  <c r="Q303" i="6"/>
  <c r="O333" i="6"/>
  <c r="O357" i="6"/>
  <c r="O465" i="6"/>
  <c r="O363" i="6"/>
  <c r="Q249" i="6"/>
  <c r="Q136" i="6"/>
  <c r="Q464" i="6"/>
  <c r="O635" i="6"/>
  <c r="P626" i="6"/>
  <c r="P356" i="6"/>
  <c r="P205" i="6"/>
  <c r="R17" i="6"/>
  <c r="U17" i="6" s="1"/>
  <c r="O200" i="6"/>
  <c r="P1701" i="6"/>
  <c r="P984" i="6"/>
  <c r="O973" i="6"/>
  <c r="Q643" i="6"/>
  <c r="P357" i="6"/>
  <c r="Q361" i="6"/>
  <c r="O367" i="6"/>
  <c r="P359" i="6"/>
  <c r="O420" i="6"/>
  <c r="O637" i="6"/>
  <c r="O222" i="6"/>
  <c r="P632" i="6"/>
  <c r="O417" i="6"/>
  <c r="O469" i="6"/>
  <c r="P635" i="6"/>
  <c r="P475" i="6"/>
  <c r="P742" i="6"/>
  <c r="R411" i="6"/>
  <c r="P460" i="6"/>
  <c r="P302" i="6"/>
  <c r="O198" i="6"/>
  <c r="R200" i="6"/>
  <c r="P479" i="6"/>
  <c r="P486" i="6"/>
  <c r="P336" i="6"/>
  <c r="O203" i="6"/>
  <c r="R135" i="6"/>
  <c r="R19" i="6"/>
  <c r="W19" i="6" s="1"/>
  <c r="P552" i="6"/>
  <c r="O496" i="6"/>
  <c r="O261" i="6"/>
  <c r="O368" i="6"/>
  <c r="R1369" i="6"/>
  <c r="P403" i="6"/>
  <c r="Q194" i="6"/>
  <c r="O628" i="6"/>
  <c r="P143" i="6"/>
  <c r="Q468" i="6"/>
  <c r="P136" i="6"/>
  <c r="R192" i="6"/>
  <c r="R413" i="6"/>
  <c r="P192" i="6"/>
  <c r="O340" i="6"/>
  <c r="P470" i="6"/>
  <c r="O618" i="6"/>
  <c r="O466" i="6"/>
  <c r="Q92" i="6"/>
  <c r="O991" i="6"/>
  <c r="P195" i="6"/>
  <c r="Q138" i="6"/>
  <c r="O483" i="6"/>
  <c r="P215" i="6"/>
  <c r="R414" i="6"/>
  <c r="R149" i="6"/>
  <c r="P462" i="6"/>
  <c r="R340" i="6"/>
  <c r="P194" i="6"/>
  <c r="P199" i="6"/>
  <c r="R303" i="6"/>
  <c r="O470" i="6"/>
  <c r="P191" i="6"/>
  <c r="P874" i="6"/>
  <c r="P214" i="6"/>
  <c r="O206" i="6"/>
  <c r="O953" i="6"/>
  <c r="P983" i="6"/>
  <c r="P332" i="6"/>
  <c r="P502" i="6"/>
  <c r="O303" i="6"/>
  <c r="O521" i="6"/>
  <c r="Q356" i="6"/>
  <c r="O464" i="6"/>
  <c r="R14" i="6"/>
  <c r="W14" i="6" s="1"/>
  <c r="P1043" i="6"/>
  <c r="O366" i="6"/>
  <c r="P649" i="6"/>
  <c r="R356" i="6"/>
  <c r="P464" i="6"/>
  <c r="R197" i="6"/>
  <c r="P1003" i="6"/>
  <c r="Q81" i="6"/>
  <c r="P508" i="6"/>
  <c r="O487" i="6"/>
  <c r="P197" i="6"/>
  <c r="O471" i="6"/>
  <c r="P636" i="6"/>
  <c r="O205" i="6"/>
  <c r="O711" i="6"/>
  <c r="Q462" i="6"/>
  <c r="O540" i="6"/>
  <c r="O462" i="6"/>
  <c r="P243" i="6"/>
  <c r="R143" i="6"/>
  <c r="R909" i="6"/>
  <c r="P1037" i="6"/>
  <c r="P997" i="6"/>
  <c r="R409" i="6"/>
  <c r="O204" i="6"/>
  <c r="O616" i="6"/>
  <c r="O519" i="6"/>
  <c r="O478" i="6"/>
  <c r="O195" i="6"/>
  <c r="R1644" i="6"/>
  <c r="R555" i="6"/>
  <c r="O252" i="6"/>
  <c r="R76" i="6"/>
  <c r="Q93" i="6"/>
  <c r="R93" i="6"/>
  <c r="O250" i="6"/>
  <c r="O259" i="6"/>
  <c r="O92" i="6"/>
  <c r="O642" i="6"/>
  <c r="P990" i="6"/>
  <c r="R84" i="6"/>
  <c r="R471" i="6"/>
  <c r="P285" i="6"/>
  <c r="Z26" i="6"/>
  <c r="Z20" i="6"/>
  <c r="P292" i="6"/>
  <c r="P315" i="6"/>
  <c r="Q315" i="6"/>
  <c r="P298" i="6"/>
  <c r="R249" i="6"/>
  <c r="R315" i="6"/>
  <c r="O247" i="6"/>
  <c r="P1034" i="6"/>
  <c r="Q552" i="6"/>
  <c r="R241" i="6"/>
  <c r="P686" i="6"/>
  <c r="Q843" i="6"/>
  <c r="R15" i="6"/>
  <c r="U15" i="6" s="1"/>
  <c r="P521" i="6"/>
  <c r="Q665" i="6"/>
  <c r="P247" i="6"/>
  <c r="P522" i="6"/>
  <c r="R254" i="6"/>
  <c r="P438" i="6"/>
  <c r="P556" i="6"/>
  <c r="Q1314" i="6"/>
  <c r="P342" i="6"/>
  <c r="O251" i="6"/>
  <c r="P787" i="6"/>
  <c r="Q471" i="6"/>
  <c r="O255" i="6"/>
  <c r="O620" i="6"/>
  <c r="P368" i="6"/>
  <c r="O501" i="6"/>
  <c r="Z15" i="6"/>
  <c r="O919" i="6"/>
  <c r="Q618" i="6"/>
  <c r="O298" i="6"/>
  <c r="O76" i="6"/>
  <c r="O985" i="6"/>
  <c r="P594" i="6"/>
  <c r="Q711" i="6"/>
  <c r="O88" i="6"/>
  <c r="O254" i="6"/>
  <c r="O490" i="6"/>
  <c r="Z16" i="6"/>
  <c r="P124" i="6"/>
  <c r="R711" i="6"/>
  <c r="Q134" i="6"/>
  <c r="O286" i="6"/>
  <c r="P642" i="6"/>
  <c r="P471" i="6"/>
  <c r="O968" i="6"/>
  <c r="P206" i="6"/>
  <c r="P570" i="6"/>
  <c r="P93" i="6"/>
  <c r="Q885" i="6"/>
  <c r="R77" i="6"/>
  <c r="O249" i="6"/>
  <c r="O652" i="6"/>
  <c r="R82" i="6"/>
  <c r="O240" i="6"/>
  <c r="R885" i="6"/>
  <c r="Q77" i="6"/>
  <c r="P249" i="6"/>
  <c r="R247" i="6"/>
  <c r="R79" i="6"/>
  <c r="R206" i="6"/>
  <c r="P254" i="6"/>
  <c r="R31" i="6"/>
  <c r="V31" i="6" s="1"/>
  <c r="O82" i="6"/>
  <c r="P618" i="6"/>
  <c r="Q926" i="6"/>
  <c r="P248" i="6"/>
  <c r="P711" i="6"/>
  <c r="O192" i="6"/>
  <c r="O365" i="6"/>
  <c r="R706" i="6"/>
  <c r="Q201" i="6"/>
  <c r="Q706" i="6"/>
  <c r="Q145" i="6"/>
  <c r="R516" i="6"/>
  <c r="P466" i="6"/>
  <c r="O832" i="6"/>
  <c r="P800" i="6"/>
  <c r="O798" i="6"/>
  <c r="R310" i="6"/>
  <c r="O797" i="6"/>
  <c r="O800" i="6"/>
  <c r="Q310" i="6"/>
  <c r="P797" i="6"/>
  <c r="O834" i="6"/>
  <c r="R415" i="6"/>
  <c r="R363" i="6"/>
  <c r="P256" i="6"/>
  <c r="Q256" i="6"/>
  <c r="Q363" i="6"/>
  <c r="Q660" i="6"/>
  <c r="R565" i="6"/>
  <c r="Q613" i="6"/>
  <c r="P837" i="6"/>
  <c r="Q565" i="6"/>
  <c r="R466" i="6"/>
  <c r="R26" i="6"/>
  <c r="W26" i="6" s="1"/>
  <c r="P363" i="6"/>
  <c r="P831" i="6"/>
  <c r="Q466" i="6"/>
  <c r="P706" i="6"/>
  <c r="P828" i="6"/>
  <c r="P823" i="6"/>
  <c r="R256" i="6"/>
  <c r="R1520" i="6"/>
  <c r="Q1178" i="6"/>
  <c r="Q596" i="6"/>
  <c r="O605" i="6"/>
  <c r="Q241" i="6"/>
  <c r="O841" i="6"/>
  <c r="P391" i="6"/>
  <c r="O1662" i="6"/>
  <c r="Q989" i="6"/>
  <c r="Q338" i="6"/>
  <c r="Q1580" i="6"/>
  <c r="Q823" i="6"/>
  <c r="P1656" i="6"/>
  <c r="R734" i="6"/>
  <c r="R1539" i="6"/>
  <c r="Q1274" i="6"/>
  <c r="R229" i="6"/>
  <c r="Q1029" i="6"/>
  <c r="Q688" i="6"/>
  <c r="Q734" i="6"/>
  <c r="Q949" i="6"/>
  <c r="R544" i="6"/>
  <c r="R1029" i="6"/>
  <c r="Q116" i="6"/>
  <c r="O297" i="6"/>
  <c r="O654" i="6"/>
  <c r="P454" i="6"/>
  <c r="P790" i="6"/>
  <c r="R66" i="6"/>
  <c r="V66" i="6" s="1"/>
  <c r="P658" i="6"/>
  <c r="P246" i="6"/>
  <c r="O402" i="6"/>
  <c r="R1000" i="6"/>
  <c r="Q1040" i="6"/>
  <c r="Q877" i="6"/>
  <c r="Q960" i="6"/>
  <c r="R505" i="6"/>
  <c r="Q652" i="6"/>
  <c r="R454" i="6"/>
  <c r="O790" i="6"/>
  <c r="O349" i="6"/>
  <c r="R699" i="6"/>
  <c r="O745" i="6"/>
  <c r="R834" i="6"/>
  <c r="O505" i="6"/>
  <c r="P794" i="6"/>
  <c r="R1728" i="6"/>
  <c r="Q605" i="6"/>
  <c r="Q920" i="6"/>
  <c r="Q1001" i="6"/>
  <c r="Q746" i="6"/>
  <c r="R556" i="6"/>
  <c r="O360" i="6"/>
  <c r="O253" i="6"/>
  <c r="O463" i="6"/>
  <c r="R23" i="6"/>
  <c r="V23" i="6" s="1"/>
  <c r="P615" i="6"/>
  <c r="R708" i="6"/>
  <c r="O884" i="6"/>
  <c r="P258" i="6"/>
  <c r="R797" i="6"/>
  <c r="O885" i="6"/>
  <c r="Q258" i="6"/>
  <c r="P365" i="6"/>
  <c r="R615" i="6"/>
  <c r="P708" i="6"/>
  <c r="P468" i="6"/>
  <c r="P893" i="6"/>
  <c r="P417" i="6"/>
  <c r="Q615" i="6"/>
  <c r="O516" i="6"/>
  <c r="P518" i="6"/>
  <c r="P542" i="6"/>
  <c r="R512" i="6"/>
  <c r="P517" i="6"/>
  <c r="P561" i="6"/>
  <c r="O518" i="6"/>
  <c r="O553" i="6"/>
  <c r="P545" i="6"/>
  <c r="P539" i="6"/>
  <c r="R250" i="6"/>
  <c r="P529" i="6"/>
  <c r="Q304" i="6"/>
  <c r="R514" i="6"/>
  <c r="O555" i="6"/>
  <c r="R357" i="6"/>
  <c r="R195" i="6"/>
  <c r="P250" i="6"/>
  <c r="O523" i="6"/>
  <c r="Q357" i="6"/>
  <c r="Q139" i="6"/>
  <c r="P558" i="6"/>
  <c r="P514" i="6"/>
  <c r="P520" i="6"/>
  <c r="R20" i="6"/>
  <c r="T20" i="6" s="1"/>
  <c r="P546" i="6"/>
  <c r="P544" i="6"/>
  <c r="Q195" i="6"/>
  <c r="O520" i="6"/>
  <c r="P512" i="6"/>
  <c r="O538" i="6"/>
  <c r="P139" i="6"/>
  <c r="R253" i="6"/>
  <c r="P516" i="6"/>
  <c r="O391" i="6"/>
  <c r="O1029" i="6"/>
  <c r="O787" i="6"/>
  <c r="O1037" i="6"/>
  <c r="O502" i="6"/>
  <c r="AB28" i="6"/>
  <c r="R130" i="6"/>
  <c r="O572" i="6"/>
  <c r="P562" i="6"/>
  <c r="Q251" i="6"/>
  <c r="R21" i="6"/>
  <c r="W21" i="6" s="1"/>
  <c r="O564" i="6"/>
  <c r="O569" i="6"/>
  <c r="P574" i="6"/>
  <c r="P358" i="6"/>
  <c r="P601" i="6"/>
  <c r="O562" i="6"/>
  <c r="R358" i="6"/>
  <c r="P593" i="6"/>
  <c r="P592" i="6"/>
  <c r="R196" i="6"/>
  <c r="R563" i="6"/>
  <c r="O601" i="6"/>
  <c r="O568" i="6"/>
  <c r="Q196" i="6"/>
  <c r="O593" i="6"/>
  <c r="P566" i="6"/>
  <c r="P598" i="6"/>
  <c r="R83" i="6"/>
  <c r="P607" i="6"/>
  <c r="Q410" i="6"/>
  <c r="O563" i="6"/>
  <c r="O609" i="6"/>
  <c r="P583" i="6"/>
  <c r="P605" i="6"/>
  <c r="Q358" i="6"/>
  <c r="P563" i="6"/>
  <c r="P567" i="6"/>
  <c r="R461" i="6"/>
  <c r="Q83" i="6"/>
  <c r="P660" i="6"/>
  <c r="R284" i="6"/>
  <c r="P793" i="6"/>
  <c r="R800" i="6"/>
  <c r="P213" i="6"/>
  <c r="Q198" i="6"/>
  <c r="R755" i="6"/>
  <c r="O1000" i="6"/>
  <c r="R688" i="6"/>
  <c r="P555" i="6"/>
  <c r="P569" i="6"/>
  <c r="P903" i="6"/>
  <c r="R1043" i="6"/>
  <c r="O1691" i="6"/>
  <c r="O707" i="6"/>
  <c r="R240" i="6"/>
  <c r="O791" i="6"/>
  <c r="O350" i="6"/>
  <c r="O1041" i="6"/>
  <c r="O296" i="6"/>
  <c r="O185" i="6"/>
  <c r="O403" i="6"/>
  <c r="P253" i="6"/>
  <c r="P700" i="6"/>
  <c r="P659" i="6"/>
  <c r="Q142" i="6"/>
  <c r="P683" i="6"/>
  <c r="P699" i="6"/>
  <c r="R307" i="6"/>
  <c r="P673" i="6"/>
  <c r="Q307" i="6"/>
  <c r="P688" i="6"/>
  <c r="O699" i="6"/>
  <c r="P662" i="6"/>
  <c r="P680" i="6"/>
  <c r="O667" i="6"/>
  <c r="O688" i="6"/>
  <c r="P463" i="6"/>
  <c r="O684" i="6"/>
  <c r="O660" i="6"/>
  <c r="O697" i="6"/>
  <c r="Q463" i="6"/>
  <c r="O664" i="6"/>
  <c r="R562" i="6"/>
  <c r="P682" i="6"/>
  <c r="Q253" i="6"/>
  <c r="P661" i="6"/>
  <c r="P696" i="6"/>
  <c r="P665" i="6"/>
  <c r="R85" i="6"/>
  <c r="P360" i="6"/>
  <c r="O661" i="6"/>
  <c r="Q562" i="6"/>
  <c r="P702" i="6"/>
  <c r="Q85" i="6"/>
  <c r="R665" i="6"/>
  <c r="Q413" i="6"/>
  <c r="O427" i="6"/>
  <c r="Q302" i="6"/>
  <c r="P419" i="6"/>
  <c r="Q248" i="6"/>
  <c r="O409" i="6"/>
  <c r="P416" i="6"/>
  <c r="P451" i="6"/>
  <c r="R248" i="6"/>
  <c r="P420" i="6"/>
  <c r="O414" i="6"/>
  <c r="O411" i="6"/>
  <c r="R137" i="6"/>
  <c r="O418" i="6"/>
  <c r="P409" i="6"/>
  <c r="O412" i="6"/>
  <c r="P835" i="6"/>
  <c r="P241" i="6"/>
  <c r="O743" i="6"/>
  <c r="AB23" i="6"/>
  <c r="O503" i="6"/>
  <c r="O238" i="6"/>
  <c r="O1038" i="6"/>
  <c r="O347" i="6"/>
  <c r="O400" i="6"/>
  <c r="P861" i="6"/>
  <c r="R661" i="6"/>
  <c r="Q661" i="6"/>
  <c r="R416" i="6"/>
  <c r="R566" i="6"/>
  <c r="Q311" i="6"/>
  <c r="P842" i="6"/>
  <c r="R707" i="6"/>
  <c r="P843" i="6"/>
  <c r="Q566" i="6"/>
  <c r="R614" i="6"/>
  <c r="Q416" i="6"/>
  <c r="P311" i="6"/>
  <c r="P866" i="6"/>
  <c r="R517" i="6"/>
  <c r="P257" i="6"/>
  <c r="O877" i="6"/>
  <c r="R364" i="6"/>
  <c r="Q146" i="6"/>
  <c r="P878" i="6"/>
  <c r="Q707" i="6"/>
  <c r="R467" i="6"/>
  <c r="O875" i="6"/>
  <c r="Q467" i="6"/>
  <c r="R311" i="6"/>
  <c r="Q752" i="6"/>
  <c r="O843" i="6"/>
  <c r="O842" i="6"/>
  <c r="R752" i="6"/>
  <c r="Q517" i="6"/>
  <c r="P880" i="6"/>
  <c r="Q364" i="6"/>
  <c r="Q89" i="6"/>
  <c r="Z21" i="6"/>
  <c r="Q570" i="6"/>
  <c r="O196" i="6"/>
  <c r="Q563" i="6"/>
  <c r="O410" i="6"/>
  <c r="O753" i="6"/>
  <c r="Q362" i="6"/>
  <c r="P756" i="6"/>
  <c r="P362" i="6"/>
  <c r="Q659" i="6"/>
  <c r="R309" i="6"/>
  <c r="O779" i="6"/>
  <c r="P764" i="6"/>
  <c r="Q309" i="6"/>
  <c r="O763" i="6"/>
  <c r="Q144" i="6"/>
  <c r="O755" i="6"/>
  <c r="R756" i="6"/>
  <c r="R515" i="6"/>
  <c r="Q465" i="6"/>
  <c r="R25" i="6"/>
  <c r="U25" i="6" s="1"/>
  <c r="P465" i="6"/>
  <c r="R612" i="6"/>
  <c r="Q200" i="6"/>
  <c r="R564" i="6"/>
  <c r="P755" i="6"/>
  <c r="R255" i="6"/>
  <c r="Q612" i="6"/>
  <c r="Q255" i="6"/>
  <c r="O669" i="6"/>
  <c r="R302" i="6"/>
  <c r="P578" i="6"/>
  <c r="R1755" i="6"/>
  <c r="Q360" i="6"/>
  <c r="O672" i="6"/>
  <c r="P443" i="6"/>
  <c r="P307" i="6"/>
  <c r="Q494" i="6"/>
  <c r="R251" i="6"/>
  <c r="P585" i="6"/>
  <c r="R659" i="6"/>
  <c r="O467" i="6"/>
  <c r="O917" i="6"/>
  <c r="Q127" i="6"/>
  <c r="R570" i="6"/>
  <c r="P251" i="6"/>
  <c r="P774" i="6"/>
  <c r="P489" i="6"/>
  <c r="P333" i="6"/>
  <c r="O140" i="6"/>
  <c r="Q88" i="6"/>
  <c r="P184" i="6"/>
  <c r="P987" i="6"/>
  <c r="O926" i="6"/>
  <c r="O614" i="6"/>
  <c r="P771" i="6"/>
  <c r="R790" i="6"/>
  <c r="Q282" i="6"/>
  <c r="O419" i="6"/>
  <c r="O422" i="6"/>
  <c r="R823" i="6"/>
  <c r="O602" i="6"/>
  <c r="P588" i="6"/>
  <c r="Q515" i="6"/>
  <c r="O461" i="6"/>
  <c r="Q709" i="6"/>
  <c r="P925" i="6"/>
  <c r="Q699" i="6"/>
  <c r="P1046" i="6"/>
  <c r="R613" i="6"/>
  <c r="P707" i="6"/>
  <c r="Q513" i="6"/>
  <c r="P414" i="6"/>
  <c r="Q140" i="6"/>
  <c r="P930" i="6"/>
  <c r="R513" i="6"/>
  <c r="O641" i="6"/>
  <c r="Q842" i="6"/>
  <c r="P994" i="6"/>
  <c r="Q80" i="6"/>
  <c r="O413" i="6"/>
  <c r="P310" i="6"/>
  <c r="R989" i="6"/>
  <c r="O517" i="6"/>
  <c r="Q305" i="6"/>
  <c r="P604" i="6"/>
  <c r="P796" i="6"/>
  <c r="O951" i="6"/>
  <c r="O920" i="6"/>
  <c r="Q402" i="6"/>
  <c r="O1040" i="6"/>
  <c r="O295" i="6"/>
  <c r="R660" i="6"/>
  <c r="P779" i="6"/>
  <c r="P305" i="6"/>
  <c r="R142" i="6"/>
  <c r="R198" i="6"/>
  <c r="R779" i="6"/>
  <c r="P564" i="6"/>
  <c r="Y20" i="6"/>
  <c r="Y30" i="6"/>
  <c r="Y25" i="6"/>
  <c r="R201" i="6"/>
  <c r="O665" i="6"/>
  <c r="P675" i="6"/>
  <c r="R591" i="6"/>
  <c r="O682" i="6"/>
  <c r="Q1333" i="6"/>
  <c r="P693" i="6"/>
  <c r="P664" i="6"/>
  <c r="O649" i="6"/>
  <c r="P612" i="6"/>
  <c r="R842" i="6"/>
  <c r="O445" i="6"/>
  <c r="P413" i="6"/>
  <c r="Q1104" i="6"/>
  <c r="Q461" i="6"/>
  <c r="O567" i="6"/>
  <c r="O781" i="6"/>
  <c r="P467" i="6"/>
  <c r="P920" i="6"/>
  <c r="Q919" i="6"/>
  <c r="P1040" i="6"/>
  <c r="Q202" i="6"/>
  <c r="O761" i="6"/>
  <c r="O799" i="6"/>
  <c r="AA29" i="6"/>
  <c r="Q594" i="6"/>
  <c r="O510" i="6"/>
  <c r="O965" i="6"/>
  <c r="P591" i="6"/>
  <c r="O1627" i="6"/>
  <c r="P1633" i="6"/>
  <c r="Q1578" i="6"/>
  <c r="P282" i="6"/>
  <c r="Q1417" i="6"/>
  <c r="R1027" i="6"/>
  <c r="Q686" i="6"/>
  <c r="Q987" i="6"/>
  <c r="R777" i="6"/>
  <c r="R709" i="6"/>
  <c r="P418" i="6"/>
  <c r="O566" i="6"/>
  <c r="P689" i="6"/>
  <c r="P613" i="6"/>
  <c r="Q193" i="6"/>
  <c r="Q779" i="6"/>
  <c r="O662" i="6"/>
  <c r="P415" i="6"/>
  <c r="R1305" i="6"/>
  <c r="P494" i="6"/>
  <c r="P202" i="6"/>
  <c r="Q516" i="6"/>
  <c r="R54" i="6"/>
  <c r="T54" i="6" s="1"/>
  <c r="Q411" i="6"/>
  <c r="P428" i="6"/>
  <c r="P338" i="6"/>
  <c r="P515" i="6"/>
  <c r="R410" i="6"/>
  <c r="O754" i="6"/>
  <c r="P461" i="6"/>
  <c r="R1754" i="6"/>
  <c r="P799" i="6"/>
  <c r="O358" i="6"/>
  <c r="P705" i="6"/>
  <c r="R799" i="6"/>
  <c r="P411" i="6"/>
  <c r="AB12" i="6"/>
  <c r="P1666" i="6"/>
  <c r="P1775" i="6"/>
  <c r="Q257" i="6"/>
  <c r="P424" i="6"/>
  <c r="Q553" i="6"/>
  <c r="R360" i="6"/>
  <c r="O650" i="6"/>
  <c r="P437" i="6"/>
  <c r="P458" i="6"/>
  <c r="P224" i="6"/>
  <c r="R27" i="6"/>
  <c r="T27" i="6" s="1"/>
  <c r="O544" i="6"/>
  <c r="P565" i="6"/>
  <c r="Y26" i="6"/>
  <c r="P752" i="6"/>
  <c r="R465" i="6"/>
  <c r="R1777" i="6"/>
  <c r="R567" i="6"/>
  <c r="Q1727" i="6"/>
  <c r="P255" i="6"/>
  <c r="R257" i="6"/>
  <c r="P234" i="6"/>
  <c r="P396" i="6"/>
  <c r="R343" i="6"/>
  <c r="P784" i="6"/>
  <c r="P499" i="6"/>
  <c r="O696" i="6"/>
  <c r="P691" i="6"/>
  <c r="R1207" i="6"/>
  <c r="O659" i="6"/>
  <c r="Q1591" i="6"/>
  <c r="R202" i="6"/>
  <c r="P364" i="6"/>
  <c r="O663" i="6"/>
  <c r="Y21" i="6"/>
  <c r="P1006" i="6"/>
  <c r="O452" i="6"/>
  <c r="R1517" i="6"/>
  <c r="R1045" i="6"/>
  <c r="Q614" i="6"/>
  <c r="R293" i="6"/>
  <c r="O193" i="6"/>
  <c r="P639" i="6"/>
  <c r="P455" i="6"/>
  <c r="O565" i="6"/>
  <c r="R362" i="6"/>
  <c r="O788" i="6"/>
  <c r="Q882" i="6"/>
  <c r="R412" i="6"/>
  <c r="P444" i="6"/>
  <c r="Q1214" i="6"/>
  <c r="O85" i="6"/>
  <c r="Q82" i="6"/>
  <c r="P513" i="6"/>
  <c r="O570" i="6"/>
  <c r="Q87" i="6"/>
  <c r="Q564" i="6"/>
  <c r="Q203" i="6"/>
  <c r="O293" i="6"/>
  <c r="P867" i="6"/>
  <c r="P670" i="6"/>
  <c r="O364" i="6"/>
  <c r="P201" i="6"/>
  <c r="P392" i="6"/>
  <c r="R1647" i="6"/>
  <c r="P641" i="6"/>
  <c r="R419" i="6"/>
  <c r="Q710" i="6"/>
  <c r="O978" i="6"/>
  <c r="O989" i="6"/>
  <c r="Z19" i="6"/>
  <c r="P309" i="6"/>
  <c r="P312" i="6"/>
  <c r="P323" i="6"/>
  <c r="O311" i="6"/>
  <c r="R81" i="6"/>
  <c r="Q90" i="6"/>
  <c r="R662" i="6"/>
  <c r="R518" i="6"/>
  <c r="P203" i="6"/>
  <c r="Q368" i="6"/>
  <c r="R618" i="6"/>
  <c r="Q800" i="6"/>
  <c r="P261" i="6"/>
  <c r="P200" i="6"/>
  <c r="R260" i="6"/>
  <c r="R710" i="6"/>
  <c r="P1000" i="6"/>
  <c r="O997" i="6"/>
  <c r="P339" i="6"/>
  <c r="P196" i="6"/>
  <c r="R90" i="6"/>
  <c r="Q417" i="6"/>
  <c r="P922" i="6"/>
  <c r="Q261" i="6"/>
  <c r="Q756" i="6"/>
  <c r="O257" i="6"/>
  <c r="O83" i="6"/>
  <c r="P735" i="6"/>
  <c r="R28" i="6"/>
  <c r="T28" i="6" s="1"/>
  <c r="O598" i="6"/>
  <c r="Q84" i="6"/>
  <c r="Q205" i="6"/>
  <c r="R664" i="6"/>
  <c r="P993" i="6"/>
  <c r="P981" i="6"/>
  <c r="R193" i="6"/>
  <c r="O439" i="6"/>
  <c r="R78" i="6"/>
  <c r="O468" i="6"/>
  <c r="Q365" i="6"/>
  <c r="R417" i="6"/>
  <c r="P908" i="6"/>
  <c r="R261" i="6"/>
  <c r="R368" i="6"/>
  <c r="O685" i="6"/>
  <c r="Q1240" i="6"/>
  <c r="O201" i="6"/>
  <c r="O191" i="6"/>
  <c r="O708" i="6"/>
  <c r="P748" i="6"/>
  <c r="R947" i="6"/>
  <c r="P655" i="6"/>
  <c r="R205" i="6"/>
  <c r="Q470" i="6"/>
  <c r="O1001" i="6"/>
  <c r="P989" i="6"/>
  <c r="P1671" i="6"/>
  <c r="P435" i="6"/>
  <c r="P314" i="6"/>
  <c r="O334" i="6"/>
  <c r="P773" i="6"/>
  <c r="P447" i="6"/>
  <c r="R203" i="6"/>
  <c r="Q567" i="6"/>
  <c r="P916" i="6"/>
  <c r="O473" i="6"/>
  <c r="R843" i="6"/>
  <c r="O199" i="6"/>
  <c r="O258" i="6"/>
  <c r="Z27" i="6"/>
  <c r="Q1390" i="6"/>
  <c r="P854" i="6"/>
  <c r="P198" i="6"/>
  <c r="Q199" i="6"/>
  <c r="P975" i="6"/>
  <c r="P734" i="6"/>
  <c r="P87" i="6"/>
  <c r="P1766" i="6"/>
  <c r="P237" i="6"/>
  <c r="R92" i="6"/>
  <c r="P974" i="6"/>
  <c r="P1001" i="6"/>
  <c r="O78" i="6"/>
  <c r="P77" i="6"/>
  <c r="Q191" i="6"/>
  <c r="P346" i="6"/>
  <c r="O305" i="6"/>
  <c r="O194" i="6"/>
  <c r="O213" i="6"/>
  <c r="Z25" i="6"/>
  <c r="R16" i="6"/>
  <c r="S16" i="6" s="1"/>
  <c r="R1211" i="6"/>
  <c r="Q922" i="6"/>
  <c r="R258" i="6"/>
  <c r="Q518" i="6"/>
  <c r="P885" i="6"/>
  <c r="O202" i="6"/>
  <c r="R420" i="6"/>
  <c r="P1014" i="6"/>
  <c r="Q1351" i="6"/>
  <c r="O631" i="6"/>
  <c r="O915" i="6"/>
  <c r="O643" i="6"/>
  <c r="O639" i="6"/>
  <c r="Q314" i="6"/>
  <c r="R470" i="6"/>
  <c r="O998" i="6"/>
  <c r="O210" i="6"/>
  <c r="R191" i="6"/>
  <c r="P349" i="6"/>
  <c r="O313" i="6"/>
  <c r="Z30" i="6"/>
  <c r="P193" i="6"/>
  <c r="P778" i="6"/>
  <c r="R1562" i="6"/>
  <c r="Q508" i="6"/>
  <c r="R468" i="6"/>
  <c r="Q753" i="6"/>
  <c r="P909" i="6"/>
  <c r="Q150" i="6"/>
  <c r="Q521" i="6"/>
  <c r="P1029" i="6"/>
  <c r="P260" i="6"/>
  <c r="R308" i="6"/>
  <c r="P590" i="6"/>
  <c r="P973" i="6"/>
  <c r="O197" i="6"/>
  <c r="R367" i="6"/>
  <c r="Q569" i="6"/>
  <c r="O87" i="6"/>
  <c r="R234" i="6"/>
  <c r="P350" i="6"/>
  <c r="P352" i="6"/>
  <c r="R194" i="6"/>
  <c r="Q147" i="6"/>
  <c r="R753" i="6"/>
  <c r="P919" i="6"/>
  <c r="R1040" i="6"/>
  <c r="Q206" i="6"/>
  <c r="R521" i="6"/>
  <c r="P284" i="6"/>
  <c r="O154" i="6"/>
  <c r="P1279" i="6"/>
  <c r="O910" i="6"/>
  <c r="P826" i="6"/>
  <c r="R182" i="6"/>
  <c r="P1280" i="6"/>
  <c r="Q347" i="6"/>
  <c r="R125" i="6"/>
  <c r="R1762" i="6"/>
  <c r="R1313" i="6"/>
  <c r="P1764" i="6"/>
  <c r="O433" i="6"/>
  <c r="Q832" i="6"/>
  <c r="O972" i="6"/>
  <c r="Q1401" i="6"/>
  <c r="Q1548" i="6"/>
  <c r="Q697" i="6"/>
  <c r="R1401" i="6"/>
  <c r="Q1675" i="6"/>
  <c r="Q125" i="6"/>
  <c r="R697" i="6"/>
  <c r="R1428" i="6"/>
  <c r="R1548" i="6"/>
  <c r="O676" i="6"/>
  <c r="Q1275" i="6"/>
  <c r="R1274" i="6"/>
  <c r="P743" i="6"/>
  <c r="P233" i="6"/>
  <c r="P763" i="6"/>
  <c r="P679" i="6"/>
  <c r="P525" i="6"/>
  <c r="R503" i="6"/>
  <c r="Q452" i="6"/>
  <c r="Q1589" i="6"/>
  <c r="O977" i="6"/>
  <c r="R347" i="6"/>
  <c r="Q788" i="6"/>
  <c r="R1283" i="6"/>
  <c r="O629" i="6"/>
  <c r="P977" i="6"/>
  <c r="O590" i="6"/>
  <c r="O583" i="6"/>
  <c r="P1010" i="6"/>
  <c r="R400" i="6"/>
  <c r="R788" i="6"/>
  <c r="R1725" i="6"/>
  <c r="P676" i="6"/>
  <c r="P602" i="6"/>
  <c r="P917" i="6"/>
  <c r="R478" i="6"/>
  <c r="P624" i="6"/>
  <c r="O673" i="6"/>
  <c r="O328" i="6"/>
  <c r="P650" i="6"/>
  <c r="R1587" i="6"/>
  <c r="O830" i="6"/>
  <c r="Q293" i="6"/>
  <c r="P625" i="6"/>
  <c r="Q182" i="6"/>
  <c r="Q917" i="6"/>
  <c r="O1761" i="6"/>
  <c r="P685" i="6"/>
  <c r="P672" i="6"/>
  <c r="Q577" i="6"/>
  <c r="P440" i="6"/>
  <c r="Q238" i="6"/>
  <c r="R917" i="6"/>
  <c r="P1761" i="6"/>
  <c r="Q1600" i="6"/>
  <c r="R1316" i="6"/>
  <c r="R625" i="6"/>
  <c r="O125" i="6"/>
  <c r="Q1659" i="6"/>
  <c r="P133" i="6"/>
  <c r="P580" i="6"/>
  <c r="R1314" i="6"/>
  <c r="P482" i="6"/>
  <c r="R1285" i="6"/>
  <c r="Q933" i="6"/>
  <c r="P293" i="6"/>
  <c r="O996" i="6"/>
  <c r="R1454" i="6"/>
  <c r="P577" i="6"/>
  <c r="R973" i="6"/>
  <c r="O456" i="6"/>
  <c r="R298" i="6"/>
  <c r="AB29" i="6"/>
  <c r="AB21" i="6"/>
  <c r="R553" i="6"/>
  <c r="R238" i="6"/>
  <c r="Q650" i="6"/>
  <c r="R63" i="6"/>
  <c r="S63" i="6" s="1"/>
  <c r="O638" i="6"/>
  <c r="P1655" i="6"/>
  <c r="Q1013" i="6"/>
  <c r="Q86" i="6"/>
  <c r="O93" i="6"/>
  <c r="R691" i="6"/>
  <c r="Q1454" i="6"/>
  <c r="P629" i="6"/>
  <c r="P322" i="6"/>
  <c r="P532" i="6"/>
  <c r="R1761" i="6"/>
  <c r="P1274" i="6"/>
  <c r="P572" i="6"/>
  <c r="Q322" i="6"/>
  <c r="R1399" i="6"/>
  <c r="R1627" i="6"/>
  <c r="R602" i="6"/>
  <c r="P1762" i="6"/>
  <c r="R1038" i="6"/>
  <c r="Q1038" i="6"/>
  <c r="R1660" i="6"/>
  <c r="P548" i="6"/>
  <c r="P238" i="6"/>
  <c r="Q1688" i="6"/>
  <c r="Q998" i="6"/>
  <c r="Q958" i="6"/>
  <c r="R875" i="6"/>
  <c r="P697" i="6"/>
  <c r="P645" i="6"/>
  <c r="R650" i="6"/>
  <c r="Q1113" i="6"/>
  <c r="O640" i="6"/>
  <c r="P724" i="6"/>
  <c r="O633" i="6"/>
  <c r="P687" i="6"/>
  <c r="Q412" i="6"/>
  <c r="P669" i="6"/>
  <c r="O986" i="6"/>
  <c r="P970" i="6"/>
  <c r="R80" i="6"/>
  <c r="P412" i="6"/>
  <c r="Q137" i="6"/>
  <c r="P410" i="6"/>
  <c r="O338" i="6"/>
  <c r="P321" i="6"/>
  <c r="Q229" i="6"/>
  <c r="Q544" i="6"/>
  <c r="R1175" i="6"/>
  <c r="P1662" i="6"/>
  <c r="O595" i="6"/>
  <c r="O769" i="6"/>
  <c r="R1307" i="6"/>
  <c r="P928" i="6"/>
  <c r="O916" i="6"/>
  <c r="Q672" i="6"/>
  <c r="P1028" i="6"/>
  <c r="O1031" i="6"/>
  <c r="Q835" i="6"/>
  <c r="Q1762" i="6"/>
  <c r="P296" i="6"/>
  <c r="O825" i="6"/>
  <c r="R399" i="6"/>
  <c r="R1724" i="6"/>
  <c r="P459" i="6"/>
  <c r="O897" i="6"/>
  <c r="P681" i="6"/>
  <c r="P121" i="6"/>
  <c r="O231" i="6"/>
  <c r="R451" i="6"/>
  <c r="O1754" i="6"/>
  <c r="Q1598" i="6"/>
  <c r="R1649" i="6"/>
  <c r="P863" i="6"/>
  <c r="R1580" i="6"/>
  <c r="O831" i="6"/>
  <c r="Q399" i="6"/>
  <c r="P1661" i="6"/>
  <c r="O742" i="6"/>
  <c r="Q502" i="6"/>
  <c r="P1755" i="6"/>
  <c r="O399" i="6"/>
  <c r="P640" i="6"/>
  <c r="O451" i="6"/>
  <c r="P317" i="6"/>
  <c r="O124" i="6"/>
  <c r="R338" i="6"/>
  <c r="R494" i="6"/>
  <c r="R1560" i="6"/>
  <c r="R1618" i="6"/>
  <c r="P541" i="6"/>
  <c r="R62" i="6"/>
  <c r="W62" i="6" s="1"/>
  <c r="P780" i="6"/>
  <c r="O494" i="6"/>
  <c r="P493" i="6"/>
  <c r="P473" i="6"/>
  <c r="Q783" i="6"/>
  <c r="R1288" i="6"/>
  <c r="O908" i="6"/>
  <c r="P1778" i="6"/>
  <c r="R100" i="6"/>
  <c r="P1282" i="6"/>
  <c r="Q1041" i="6"/>
  <c r="P265" i="6"/>
  <c r="O736" i="6"/>
  <c r="R787" i="6"/>
  <c r="O175" i="6"/>
  <c r="P228" i="6"/>
  <c r="Q173" i="6"/>
  <c r="Q593" i="6"/>
  <c r="O1659" i="6"/>
  <c r="O1664" i="6"/>
  <c r="O528" i="6"/>
  <c r="P791" i="6"/>
  <c r="P495" i="6"/>
  <c r="P511" i="6"/>
  <c r="R1406" i="6"/>
  <c r="R268" i="6"/>
  <c r="P1288" i="6"/>
  <c r="O237" i="6"/>
  <c r="R835" i="6"/>
  <c r="P289" i="6"/>
  <c r="O868" i="6"/>
  <c r="P871" i="6"/>
  <c r="P840" i="6"/>
  <c r="O393" i="6"/>
  <c r="P746" i="6"/>
  <c r="P739" i="6"/>
  <c r="R831" i="6"/>
  <c r="R1723" i="6"/>
  <c r="R1184" i="6"/>
  <c r="O302" i="6"/>
  <c r="Q443" i="6"/>
  <c r="Q641" i="6"/>
  <c r="Q1392" i="6"/>
  <c r="O1653" i="6"/>
  <c r="O534" i="6"/>
  <c r="P610" i="6"/>
  <c r="Q414" i="6"/>
  <c r="P506" i="6"/>
  <c r="P208" i="6"/>
  <c r="Q1779" i="6"/>
  <c r="P913" i="6"/>
  <c r="Q213" i="6"/>
  <c r="P1283" i="6"/>
  <c r="Q128" i="6"/>
  <c r="R1041" i="6"/>
  <c r="P301" i="6"/>
  <c r="P883" i="6"/>
  <c r="R649" i="6"/>
  <c r="R696" i="6"/>
  <c r="P671" i="6"/>
  <c r="P434" i="6"/>
  <c r="R1585" i="6"/>
  <c r="P319" i="6"/>
  <c r="O335" i="6"/>
  <c r="Q391" i="6"/>
  <c r="R593" i="6"/>
  <c r="P1663" i="6"/>
  <c r="P1660" i="6"/>
  <c r="O552" i="6"/>
  <c r="O541" i="6"/>
  <c r="P765" i="6"/>
  <c r="R1553" i="6"/>
  <c r="Q1629" i="6"/>
  <c r="Q528" i="6"/>
  <c r="O1274" i="6"/>
  <c r="P1030" i="6"/>
  <c r="Q296" i="6"/>
  <c r="R1286" i="6"/>
  <c r="O874" i="6"/>
  <c r="O634" i="6"/>
  <c r="Q742" i="6"/>
  <c r="Q1735" i="6"/>
  <c r="Q1609" i="6"/>
  <c r="O678" i="6"/>
  <c r="P692" i="6"/>
  <c r="R227" i="6"/>
  <c r="P1626" i="6"/>
  <c r="Q1660" i="6"/>
  <c r="P622" i="6"/>
  <c r="Q419" i="6"/>
  <c r="O229" i="6"/>
  <c r="P427" i="6"/>
  <c r="O438" i="6"/>
  <c r="O436" i="6"/>
  <c r="P441" i="6"/>
  <c r="AB26" i="6"/>
  <c r="P335" i="6"/>
  <c r="O346" i="6"/>
  <c r="R443" i="6"/>
  <c r="R641" i="6"/>
  <c r="R1392" i="6"/>
  <c r="P1668" i="6"/>
  <c r="P597" i="6"/>
  <c r="Q366" i="6"/>
  <c r="Q1611" i="6"/>
  <c r="Q375" i="6"/>
  <c r="Q403" i="6"/>
  <c r="R1404" i="6"/>
  <c r="O284" i="6"/>
  <c r="O866" i="6"/>
  <c r="P751" i="6"/>
  <c r="Q916" i="6"/>
  <c r="AB24" i="6"/>
  <c r="R1714" i="6"/>
  <c r="O690" i="6"/>
  <c r="P1767" i="6"/>
  <c r="P980" i="6"/>
  <c r="Q389" i="6"/>
  <c r="Q1537" i="6"/>
  <c r="R1479" i="6"/>
  <c r="P678" i="6"/>
  <c r="O625" i="6"/>
  <c r="P627" i="6"/>
  <c r="O979" i="6"/>
  <c r="O80" i="6"/>
  <c r="O454" i="6"/>
  <c r="O443" i="6"/>
  <c r="P442" i="6"/>
  <c r="P457" i="6"/>
  <c r="P343" i="6"/>
  <c r="Q284" i="6"/>
  <c r="Q908" i="6"/>
  <c r="P1659" i="6"/>
  <c r="O546" i="6"/>
  <c r="P549" i="6"/>
  <c r="R366" i="6"/>
  <c r="R1677" i="6"/>
  <c r="R605" i="6"/>
  <c r="Q1692" i="6"/>
  <c r="O292" i="6"/>
  <c r="R916" i="6"/>
  <c r="Q336" i="6"/>
  <c r="P1621" i="6"/>
  <c r="Q1702" i="6"/>
  <c r="O415" i="6"/>
  <c r="P448" i="6"/>
  <c r="O431" i="6"/>
  <c r="P355" i="6"/>
  <c r="R391" i="6"/>
  <c r="R908" i="6"/>
  <c r="P1665" i="6"/>
  <c r="R118" i="6"/>
  <c r="P966" i="6"/>
  <c r="Q427" i="6"/>
  <c r="Q420" i="6"/>
  <c r="P1041" i="6"/>
  <c r="R455" i="6"/>
  <c r="R1572" i="6"/>
  <c r="O905" i="6"/>
  <c r="P824" i="6"/>
  <c r="P408" i="6"/>
  <c r="R997" i="6"/>
  <c r="P1782" i="6"/>
  <c r="P230" i="6"/>
  <c r="Q696" i="6"/>
  <c r="P531" i="6"/>
  <c r="R1766" i="6"/>
  <c r="Q1744" i="6"/>
  <c r="R237" i="6"/>
  <c r="P128" i="6"/>
  <c r="O823" i="6"/>
  <c r="R346" i="6"/>
  <c r="Q1754" i="6"/>
  <c r="R1678" i="6"/>
  <c r="Q1713" i="6"/>
  <c r="O870" i="6"/>
  <c r="O783" i="6"/>
  <c r="O288" i="6"/>
  <c r="O738" i="6"/>
  <c r="O395" i="6"/>
  <c r="O692" i="6"/>
  <c r="Q1716" i="6"/>
  <c r="O827" i="6"/>
  <c r="O342" i="6"/>
  <c r="O645" i="6"/>
  <c r="O447" i="6"/>
  <c r="O912" i="6"/>
  <c r="O498" i="6"/>
  <c r="O548" i="6"/>
  <c r="O1622" i="6"/>
  <c r="R61" i="6"/>
  <c r="W61" i="6" s="1"/>
  <c r="Q1151" i="6"/>
  <c r="O573" i="6"/>
  <c r="Q1140" i="6"/>
  <c r="O423" i="6"/>
  <c r="O969" i="6"/>
  <c r="O759" i="6"/>
  <c r="O621" i="6"/>
  <c r="R501" i="6"/>
  <c r="P1744" i="6"/>
  <c r="R1700" i="6"/>
  <c r="P648" i="6"/>
  <c r="Q343" i="6"/>
  <c r="Q1279" i="6"/>
  <c r="P1732" i="6"/>
  <c r="O1655" i="6"/>
  <c r="R1498" i="6"/>
  <c r="R924" i="6"/>
  <c r="O578" i="6"/>
  <c r="Q1316" i="6"/>
  <c r="O323" i="6"/>
  <c r="O479" i="6"/>
  <c r="O764" i="6"/>
  <c r="O214" i="6"/>
  <c r="O893" i="6"/>
  <c r="Q1317" i="6"/>
  <c r="Q1308" i="6"/>
  <c r="O974" i="6"/>
  <c r="O269" i="6"/>
  <c r="P1031" i="6"/>
  <c r="P1691" i="6"/>
  <c r="R1637" i="6"/>
  <c r="R1653" i="6"/>
  <c r="R1031" i="6"/>
  <c r="R496" i="6"/>
  <c r="P868" i="6"/>
  <c r="P286" i="6"/>
  <c r="P910" i="6"/>
  <c r="O1694" i="6"/>
  <c r="P1689" i="6"/>
  <c r="R1177" i="6"/>
  <c r="Q393" i="6"/>
  <c r="Q118" i="6"/>
  <c r="O1684" i="6"/>
  <c r="O1689" i="6"/>
  <c r="Q910" i="6"/>
  <c r="R643" i="6"/>
  <c r="R231" i="6"/>
  <c r="P175" i="6"/>
  <c r="O1687" i="6"/>
  <c r="P1695" i="6"/>
  <c r="O1696" i="6"/>
  <c r="R1582" i="6"/>
  <c r="R1106" i="6"/>
  <c r="R595" i="6"/>
  <c r="R445" i="6"/>
  <c r="P1684" i="6"/>
  <c r="P1685" i="6"/>
  <c r="R991" i="6"/>
  <c r="Q690" i="6"/>
  <c r="P690" i="6"/>
  <c r="P736" i="6"/>
  <c r="O1685" i="6"/>
  <c r="R1602" i="6"/>
  <c r="Q736" i="6"/>
  <c r="Q496" i="6"/>
  <c r="P1688" i="6"/>
  <c r="O1692" i="6"/>
  <c r="Q991" i="6"/>
  <c r="R546" i="6"/>
  <c r="P1697" i="6"/>
  <c r="Q1307" i="6"/>
  <c r="Q1031" i="6"/>
  <c r="Q546" i="6"/>
  <c r="P340" i="6"/>
  <c r="P643" i="6"/>
  <c r="R1688" i="6"/>
  <c r="Q1653" i="6"/>
  <c r="R1620" i="6"/>
  <c r="R781" i="6"/>
  <c r="Q231" i="6"/>
  <c r="P781" i="6"/>
  <c r="Q1519" i="6"/>
  <c r="R825" i="6"/>
  <c r="Q175" i="6"/>
  <c r="R1366" i="6"/>
  <c r="P991" i="6"/>
  <c r="R1496" i="6"/>
  <c r="Q825" i="6"/>
  <c r="R56" i="6"/>
  <c r="W56" i="6" s="1"/>
  <c r="R736" i="6"/>
  <c r="P1692" i="6"/>
  <c r="R1394" i="6"/>
  <c r="Q445" i="6"/>
  <c r="P496" i="6"/>
  <c r="R1689" i="6"/>
  <c r="O1688" i="6"/>
  <c r="Q1447" i="6"/>
  <c r="R690" i="6"/>
  <c r="P1690" i="6"/>
  <c r="Q1276" i="6"/>
  <c r="Q286" i="6"/>
  <c r="P445" i="6"/>
  <c r="P1696" i="6"/>
  <c r="Q1211" i="6"/>
  <c r="Q868" i="6"/>
  <c r="P923" i="6"/>
  <c r="R1731" i="6"/>
  <c r="P1044" i="6"/>
  <c r="P881" i="6"/>
  <c r="R1708" i="6"/>
  <c r="P299" i="6"/>
  <c r="Q881" i="6"/>
  <c r="P608" i="6"/>
  <c r="R299" i="6"/>
  <c r="R244" i="6"/>
  <c r="P1004" i="6"/>
  <c r="P656" i="6"/>
  <c r="P749" i="6"/>
  <c r="Q1666" i="6"/>
  <c r="R1750" i="6"/>
  <c r="R1082" i="6"/>
  <c r="P353" i="6"/>
  <c r="P244" i="6"/>
  <c r="O1634" i="6"/>
  <c r="P1765" i="6"/>
  <c r="R551" i="6"/>
  <c r="R1501" i="6"/>
  <c r="P1751" i="6"/>
  <c r="P979" i="6"/>
  <c r="R446" i="6"/>
  <c r="Q289" i="6"/>
  <c r="R1340" i="6"/>
  <c r="P1727" i="6"/>
  <c r="O529" i="6"/>
  <c r="O784" i="6"/>
  <c r="Q1423" i="6"/>
  <c r="Q595" i="6"/>
  <c r="Q1541" i="6"/>
  <c r="R965" i="6"/>
  <c r="R1256" i="6"/>
  <c r="O1034" i="6"/>
  <c r="O882" i="6"/>
  <c r="O530" i="6"/>
  <c r="O480" i="6"/>
  <c r="O324" i="6"/>
  <c r="O975" i="6"/>
  <c r="O765" i="6"/>
  <c r="Q1335" i="6"/>
  <c r="O627" i="6"/>
  <c r="Q1344" i="6"/>
  <c r="O674" i="6"/>
  <c r="P112" i="6"/>
  <c r="P945" i="6"/>
  <c r="P1025" i="6"/>
  <c r="R1589" i="6"/>
  <c r="P904" i="6"/>
  <c r="P280" i="6"/>
  <c r="P490" i="6"/>
  <c r="P775" i="6"/>
  <c r="P540" i="6"/>
  <c r="P589" i="6"/>
  <c r="P637" i="6"/>
  <c r="O1576" i="6"/>
  <c r="P737" i="6"/>
  <c r="R1521" i="6"/>
  <c r="Q1213" i="6"/>
  <c r="R395" i="6"/>
  <c r="O1714" i="6"/>
  <c r="P1715" i="6"/>
  <c r="Q692" i="6"/>
  <c r="P1719" i="6"/>
  <c r="R1179" i="6"/>
  <c r="R993" i="6"/>
  <c r="R1449" i="6"/>
  <c r="R1278" i="6"/>
  <c r="R233" i="6"/>
  <c r="O1712" i="6"/>
  <c r="Q548" i="6"/>
  <c r="R1543" i="6"/>
  <c r="R953" i="6"/>
  <c r="Q1622" i="6"/>
  <c r="R738" i="6"/>
  <c r="R1639" i="6"/>
  <c r="Q233" i="6"/>
  <c r="R58" i="6"/>
  <c r="V58" i="6" s="1"/>
  <c r="Q1655" i="6"/>
  <c r="Q870" i="6"/>
  <c r="Q738" i="6"/>
  <c r="Q1339" i="6"/>
  <c r="R288" i="6"/>
  <c r="Q1449" i="6"/>
  <c r="R1368" i="6"/>
  <c r="R120" i="6"/>
  <c r="Q1108" i="6"/>
  <c r="Q1543" i="6"/>
  <c r="Q993" i="6"/>
  <c r="P1720" i="6"/>
  <c r="R645" i="6"/>
  <c r="O1717" i="6"/>
  <c r="Q645" i="6"/>
  <c r="Q227" i="6"/>
  <c r="R1240" i="6"/>
  <c r="Q1558" i="6"/>
  <c r="Q1428" i="6"/>
  <c r="Q830" i="6"/>
  <c r="Q1546" i="6"/>
  <c r="O648" i="6"/>
  <c r="O993" i="6"/>
  <c r="P985" i="6"/>
  <c r="Q869" i="6"/>
  <c r="P439" i="6"/>
  <c r="R121" i="6"/>
  <c r="R1623" i="6"/>
  <c r="O1730" i="6"/>
  <c r="O533" i="6"/>
  <c r="O597" i="6"/>
  <c r="P509" i="6"/>
  <c r="R1670" i="6"/>
  <c r="R286" i="6"/>
  <c r="R1541" i="6"/>
  <c r="Q1321" i="6"/>
  <c r="Q1223" i="6"/>
  <c r="Q663" i="6"/>
  <c r="P810" i="6"/>
  <c r="P713" i="6"/>
  <c r="R1115" i="6"/>
  <c r="P1008" i="6"/>
  <c r="P887" i="6"/>
  <c r="P523" i="6"/>
  <c r="P802" i="6"/>
  <c r="P667" i="6"/>
  <c r="R1088" i="6"/>
  <c r="P758" i="6"/>
  <c r="R1104" i="6"/>
  <c r="P422" i="6"/>
  <c r="P968" i="6"/>
  <c r="O405" i="6"/>
  <c r="O227" i="6"/>
  <c r="Q591" i="6"/>
  <c r="R1102" i="6"/>
  <c r="P1619" i="6"/>
  <c r="R873" i="6"/>
  <c r="O1751" i="6"/>
  <c r="O657" i="6"/>
  <c r="Q497" i="6"/>
  <c r="R549" i="6"/>
  <c r="Q1424" i="6"/>
  <c r="O336" i="6"/>
  <c r="AB17" i="6"/>
  <c r="P91" i="6"/>
  <c r="P1722" i="6"/>
  <c r="Q340" i="6"/>
  <c r="O1693" i="6"/>
  <c r="R1290" i="6"/>
  <c r="Q1459" i="6"/>
  <c r="R663" i="6"/>
  <c r="P271" i="6"/>
  <c r="P825" i="6"/>
  <c r="R1607" i="6"/>
  <c r="O1719" i="6"/>
  <c r="Q996" i="6"/>
  <c r="Q1712" i="6"/>
  <c r="Q448" i="6"/>
  <c r="R1605" i="6"/>
  <c r="O132" i="6"/>
  <c r="O1716" i="6"/>
  <c r="R868" i="6"/>
  <c r="P1694" i="6"/>
  <c r="R1380" i="6"/>
  <c r="O1011" i="6"/>
  <c r="O931" i="6"/>
  <c r="O320" i="6"/>
  <c r="O425" i="6"/>
  <c r="O623" i="6"/>
  <c r="O266" i="6"/>
  <c r="O575" i="6"/>
  <c r="Q1218" i="6"/>
  <c r="O476" i="6"/>
  <c r="O890" i="6"/>
  <c r="O526" i="6"/>
  <c r="O971" i="6"/>
  <c r="P677" i="6"/>
  <c r="P533" i="6"/>
  <c r="P432" i="6"/>
  <c r="P630" i="6"/>
  <c r="R987" i="6"/>
  <c r="Q1303" i="6"/>
  <c r="P1623" i="6"/>
  <c r="R236" i="6"/>
  <c r="R996" i="6"/>
  <c r="R1477" i="6"/>
  <c r="P992" i="6"/>
  <c r="R1178" i="6"/>
  <c r="R784" i="6"/>
  <c r="P1728" i="6"/>
  <c r="P245" i="6"/>
  <c r="Q1209" i="6"/>
  <c r="P595" i="6"/>
  <c r="O579" i="6"/>
  <c r="R1564" i="6"/>
  <c r="Q781" i="6"/>
  <c r="P1687" i="6"/>
  <c r="R1486" i="6"/>
  <c r="Q1632" i="6"/>
  <c r="P388" i="6"/>
  <c r="P986" i="6"/>
  <c r="R1600" i="6"/>
  <c r="P638" i="6"/>
  <c r="P491" i="6"/>
  <c r="R1609" i="6"/>
  <c r="R1592" i="6"/>
  <c r="P324" i="6"/>
  <c r="R1344" i="6"/>
  <c r="P429" i="6"/>
  <c r="P530" i="6"/>
  <c r="Q777" i="6"/>
  <c r="R1173" i="6"/>
  <c r="Q236" i="6"/>
  <c r="Q1036" i="6"/>
  <c r="P1745" i="6"/>
  <c r="O626" i="6"/>
  <c r="O655" i="6"/>
  <c r="R1338" i="6"/>
  <c r="O428" i="6"/>
  <c r="R913" i="6"/>
  <c r="Q1656" i="6"/>
  <c r="O343" i="6"/>
  <c r="O558" i="6"/>
  <c r="O774" i="6"/>
  <c r="Q1584" i="6"/>
  <c r="R910" i="6"/>
  <c r="Q510" i="6"/>
  <c r="Q1533" i="6"/>
  <c r="P1786" i="6"/>
  <c r="O934" i="6"/>
  <c r="R1591" i="6"/>
  <c r="P536" i="6"/>
  <c r="P330" i="6"/>
  <c r="R1494" i="6"/>
  <c r="P221" i="6"/>
  <c r="P633" i="6"/>
  <c r="R786" i="6"/>
  <c r="O1623" i="6"/>
  <c r="Q1714" i="6"/>
  <c r="R1036" i="6"/>
  <c r="Q1685" i="6"/>
  <c r="R951" i="6"/>
  <c r="Q1721" i="6"/>
  <c r="P890" i="6"/>
  <c r="P971" i="6"/>
  <c r="R1210" i="6"/>
  <c r="P623" i="6"/>
  <c r="P320" i="6"/>
  <c r="R1193" i="6"/>
  <c r="R1218" i="6"/>
  <c r="P1045" i="6"/>
  <c r="P965" i="6"/>
  <c r="P882" i="6"/>
  <c r="P924" i="6"/>
  <c r="P407" i="6"/>
  <c r="P300" i="6"/>
  <c r="P1290" i="6"/>
  <c r="P354" i="6"/>
  <c r="P750" i="6"/>
  <c r="P510" i="6"/>
  <c r="P795" i="6"/>
  <c r="P1777" i="6"/>
  <c r="P560" i="6"/>
  <c r="P704" i="6"/>
  <c r="P609" i="6"/>
  <c r="P1005" i="6"/>
  <c r="P1709" i="6"/>
  <c r="P1667" i="6"/>
  <c r="P839" i="6"/>
  <c r="R70" i="6"/>
  <c r="U70" i="6" s="1"/>
  <c r="P657" i="6"/>
  <c r="O432" i="6"/>
  <c r="Q1430" i="6"/>
  <c r="O630" i="6"/>
  <c r="O768" i="6"/>
  <c r="Q1419" i="6"/>
  <c r="P487" i="6"/>
  <c r="P436" i="6"/>
  <c r="P586" i="6"/>
  <c r="P982" i="6"/>
  <c r="P537" i="6"/>
  <c r="R1526" i="6"/>
  <c r="P772" i="6"/>
  <c r="P331" i="6"/>
  <c r="P911" i="6"/>
  <c r="P952" i="6"/>
  <c r="P596" i="6"/>
  <c r="R1702" i="6"/>
  <c r="P869" i="6"/>
  <c r="P497" i="6"/>
  <c r="P287" i="6"/>
  <c r="P232" i="6"/>
  <c r="P394" i="6"/>
  <c r="P547" i="6"/>
  <c r="O1702" i="6"/>
  <c r="Q287" i="6"/>
  <c r="P644" i="6"/>
  <c r="Q176" i="6"/>
  <c r="P782" i="6"/>
  <c r="R911" i="6"/>
  <c r="R1654" i="6"/>
  <c r="R1701" i="6"/>
  <c r="P1032" i="6"/>
  <c r="R1704" i="6"/>
  <c r="R1032" i="6"/>
  <c r="P446" i="6"/>
  <c r="R1638" i="6"/>
  <c r="R1621" i="6"/>
  <c r="Q644" i="6"/>
  <c r="Q1111" i="6"/>
  <c r="P1706" i="6"/>
  <c r="R1499" i="6"/>
  <c r="O233" i="6"/>
  <c r="R459" i="6"/>
  <c r="O732" i="6"/>
  <c r="O777" i="6"/>
  <c r="O282" i="6"/>
  <c r="R52" i="6"/>
  <c r="W52" i="6" s="1"/>
  <c r="P1630" i="6"/>
  <c r="P1618" i="6"/>
  <c r="R1272" i="6"/>
  <c r="R906" i="6"/>
  <c r="R441" i="6"/>
  <c r="O1618" i="6"/>
  <c r="Q441" i="6"/>
  <c r="O1027" i="6"/>
  <c r="O492" i="6"/>
  <c r="O1630" i="6"/>
  <c r="P1622" i="6"/>
  <c r="R1417" i="6"/>
  <c r="Q906" i="6"/>
  <c r="R336" i="6"/>
  <c r="P1627" i="6"/>
  <c r="R1333" i="6"/>
  <c r="R821" i="6"/>
  <c r="O686" i="6"/>
  <c r="R1578" i="6"/>
  <c r="P1625" i="6"/>
  <c r="P1635" i="6"/>
  <c r="R542" i="6"/>
  <c r="R171" i="6"/>
  <c r="O1631" i="6"/>
  <c r="P1632" i="6"/>
  <c r="Q1207" i="6"/>
  <c r="R732" i="6"/>
  <c r="R114" i="6"/>
  <c r="Q1627" i="6"/>
  <c r="R1558" i="6"/>
  <c r="R1492" i="6"/>
  <c r="R1303" i="6"/>
  <c r="Q732" i="6"/>
  <c r="Q542" i="6"/>
  <c r="P366" i="6"/>
  <c r="Q313" i="6"/>
  <c r="P568" i="6"/>
  <c r="R960" i="6"/>
  <c r="P957" i="6"/>
  <c r="R841" i="6"/>
  <c r="R29" i="6"/>
  <c r="S29" i="6" s="1"/>
  <c r="P926" i="6"/>
  <c r="R957" i="6"/>
  <c r="O961" i="6"/>
  <c r="P951" i="6"/>
  <c r="Q754" i="6"/>
  <c r="Q204" i="6"/>
  <c r="P709" i="6"/>
  <c r="O958" i="6"/>
  <c r="P956" i="6"/>
  <c r="R519" i="6"/>
  <c r="R204" i="6"/>
  <c r="R926" i="6"/>
  <c r="O949" i="6"/>
  <c r="Q616" i="6"/>
  <c r="R91" i="6"/>
  <c r="P841" i="6"/>
  <c r="O939" i="6"/>
  <c r="Q519" i="6"/>
  <c r="Q91" i="6"/>
  <c r="P798" i="6"/>
  <c r="P949" i="6"/>
  <c r="P948" i="6"/>
  <c r="R568" i="6"/>
  <c r="O954" i="6"/>
  <c r="Q148" i="6"/>
  <c r="R798" i="6"/>
  <c r="P932" i="6"/>
  <c r="R259" i="6"/>
  <c r="Q841" i="6"/>
  <c r="P934" i="6"/>
  <c r="Q798" i="6"/>
  <c r="R469" i="6"/>
  <c r="P469" i="6"/>
  <c r="O960" i="6"/>
  <c r="Q469" i="6"/>
  <c r="P961" i="6"/>
  <c r="P937" i="6"/>
  <c r="R958" i="6"/>
  <c r="P947" i="6"/>
  <c r="R616" i="6"/>
  <c r="P519" i="6"/>
  <c r="P933" i="6"/>
  <c r="R313" i="6"/>
  <c r="P313" i="6"/>
  <c r="P663" i="6"/>
  <c r="O957" i="6"/>
  <c r="Q568" i="6"/>
  <c r="O963" i="6"/>
  <c r="Q259" i="6"/>
  <c r="P204" i="6"/>
  <c r="P754" i="6"/>
  <c r="Z29" i="6"/>
  <c r="R754" i="6"/>
  <c r="P954" i="6"/>
  <c r="R949" i="6"/>
  <c r="R686" i="6"/>
  <c r="R1524" i="6"/>
  <c r="P450" i="6"/>
  <c r="R1180" i="6"/>
  <c r="O352" i="6"/>
  <c r="Q342" i="6"/>
  <c r="R1244" i="6"/>
  <c r="R354" i="6"/>
  <c r="R880" i="6"/>
  <c r="R1694" i="6"/>
  <c r="O1288" i="6"/>
  <c r="R1705" i="6"/>
  <c r="P603" i="6"/>
  <c r="P554" i="6"/>
  <c r="P453" i="6"/>
  <c r="P698" i="6"/>
  <c r="P348" i="6"/>
  <c r="P999" i="6"/>
  <c r="P216" i="6"/>
  <c r="P721" i="6"/>
  <c r="P766" i="6"/>
  <c r="P378" i="6"/>
  <c r="P895" i="6"/>
  <c r="P481" i="6"/>
  <c r="P1016" i="6"/>
  <c r="R1375" i="6"/>
  <c r="P628" i="6"/>
  <c r="R1364" i="6"/>
  <c r="P430" i="6"/>
  <c r="R1373" i="6"/>
  <c r="P976" i="6"/>
  <c r="P853" i="6"/>
  <c r="P325" i="6"/>
  <c r="R1113" i="6"/>
  <c r="P684" i="6"/>
  <c r="Q1281" i="6"/>
  <c r="P616" i="6"/>
  <c r="R1497" i="6"/>
  <c r="O218" i="6"/>
  <c r="O429" i="6"/>
  <c r="Q784" i="6"/>
  <c r="R1671" i="6"/>
  <c r="P559" i="6"/>
  <c r="P212" i="6"/>
  <c r="Q177" i="6"/>
  <c r="R1276" i="6"/>
  <c r="R704" i="6"/>
  <c r="R793" i="6"/>
  <c r="P944" i="6"/>
  <c r="O277" i="6"/>
  <c r="O1022" i="6"/>
  <c r="Q1517" i="6"/>
  <c r="O982" i="6"/>
  <c r="Q1528" i="6"/>
  <c r="O772" i="6"/>
  <c r="O586" i="6"/>
  <c r="O681" i="6"/>
  <c r="O942" i="6"/>
  <c r="O537" i="6"/>
  <c r="O1267" i="6"/>
  <c r="O331" i="6"/>
  <c r="P406" i="6"/>
  <c r="P786" i="6"/>
  <c r="P1036" i="6"/>
  <c r="P501" i="6"/>
  <c r="P1658" i="6"/>
  <c r="P996" i="6"/>
  <c r="P1747" i="6"/>
  <c r="P1749" i="6"/>
  <c r="Q1452" i="6"/>
  <c r="R1216" i="6"/>
  <c r="R398" i="6"/>
  <c r="Q501" i="6"/>
  <c r="P915" i="6"/>
  <c r="O1744" i="6"/>
  <c r="P1752" i="6"/>
  <c r="R1371" i="6"/>
  <c r="Q1147" i="6"/>
  <c r="R741" i="6"/>
  <c r="Q345" i="6"/>
  <c r="R1658" i="6"/>
  <c r="Q1673" i="6"/>
  <c r="Q1524" i="6"/>
  <c r="Q648" i="6"/>
  <c r="Q873" i="6"/>
  <c r="Q450" i="6"/>
  <c r="P741" i="6"/>
  <c r="P398" i="6"/>
  <c r="P873" i="6"/>
  <c r="O1746" i="6"/>
  <c r="Q1658" i="6"/>
  <c r="Q1625" i="6"/>
  <c r="R1312" i="6"/>
  <c r="R956" i="6"/>
  <c r="Q600" i="6"/>
  <c r="Q123" i="6"/>
  <c r="Q1607" i="6"/>
  <c r="R1546" i="6"/>
  <c r="R1182" i="6"/>
  <c r="Q551" i="6"/>
  <c r="R1342" i="6"/>
  <c r="Q398" i="6"/>
  <c r="Q1587" i="6"/>
  <c r="R1452" i="6"/>
  <c r="R915" i="6"/>
  <c r="R600" i="6"/>
  <c r="R1567" i="6"/>
  <c r="R1111" i="6"/>
  <c r="R1687" i="6"/>
  <c r="R1426" i="6"/>
  <c r="Q915" i="6"/>
  <c r="R648" i="6"/>
  <c r="Q1687" i="6"/>
  <c r="P1746" i="6"/>
  <c r="Q1426" i="6"/>
  <c r="Q956" i="6"/>
  <c r="R345" i="6"/>
  <c r="P695" i="6"/>
  <c r="R1673" i="6"/>
  <c r="R1712" i="6"/>
  <c r="Q1399" i="6"/>
  <c r="R695" i="6"/>
  <c r="R830" i="6"/>
  <c r="P345" i="6"/>
  <c r="R1625" i="6"/>
  <c r="O1748" i="6"/>
  <c r="R1281" i="6"/>
  <c r="Q1216" i="6"/>
  <c r="O396" i="6"/>
  <c r="O739" i="6"/>
  <c r="O828" i="6"/>
  <c r="O289" i="6"/>
  <c r="O499" i="6"/>
  <c r="R59" i="6"/>
  <c r="S59" i="6" s="1"/>
  <c r="O1656" i="6"/>
  <c r="O1727" i="6"/>
  <c r="Q1522" i="6"/>
  <c r="Q1397" i="6"/>
  <c r="Q1034" i="6"/>
  <c r="Q913" i="6"/>
  <c r="R448" i="6"/>
  <c r="O234" i="6"/>
  <c r="O1723" i="6"/>
  <c r="O1728" i="6"/>
  <c r="Q1310" i="6"/>
  <c r="Q871" i="6"/>
  <c r="Q549" i="6"/>
  <c r="O448" i="6"/>
  <c r="O646" i="6"/>
  <c r="O1729" i="6"/>
  <c r="R1640" i="6"/>
  <c r="R1279" i="6"/>
  <c r="R739" i="6"/>
  <c r="R289" i="6"/>
  <c r="O871" i="6"/>
  <c r="O913" i="6"/>
  <c r="R1544" i="6"/>
  <c r="Q1605" i="6"/>
  <c r="Q1109" i="6"/>
  <c r="R598" i="6"/>
  <c r="Q499" i="6"/>
  <c r="P1724" i="6"/>
  <c r="R1656" i="6"/>
  <c r="R1397" i="6"/>
  <c r="Q994" i="6"/>
  <c r="Q646" i="6"/>
  <c r="R178" i="6"/>
  <c r="O1724" i="6"/>
  <c r="P1725" i="6"/>
  <c r="R1034" i="6"/>
  <c r="Q693" i="6"/>
  <c r="O549" i="6"/>
  <c r="R1310" i="6"/>
  <c r="P1730" i="6"/>
  <c r="O1725" i="6"/>
  <c r="R994" i="6"/>
  <c r="Q598" i="6"/>
  <c r="P1733" i="6"/>
  <c r="R954" i="6"/>
  <c r="Q954" i="6"/>
  <c r="Q1585" i="6"/>
  <c r="R1698" i="6"/>
  <c r="Q1145" i="6"/>
  <c r="Q121" i="6"/>
  <c r="P1731" i="6"/>
  <c r="R1450" i="6"/>
  <c r="R871" i="6"/>
  <c r="R499" i="6"/>
  <c r="R1685" i="6"/>
  <c r="Q1340" i="6"/>
  <c r="Q828" i="6"/>
  <c r="Q234" i="6"/>
  <c r="R1565" i="6"/>
  <c r="Q1450" i="6"/>
  <c r="R646" i="6"/>
  <c r="Q178" i="6"/>
  <c r="Q1725" i="6"/>
  <c r="Q695" i="6"/>
  <c r="R1424" i="6"/>
  <c r="P551" i="6"/>
  <c r="P813" i="6"/>
  <c r="P274" i="6"/>
  <c r="R1445" i="6"/>
  <c r="P1019" i="6"/>
  <c r="P534" i="6"/>
  <c r="P631" i="6"/>
  <c r="P433" i="6"/>
  <c r="O1021" i="6"/>
  <c r="O858" i="6"/>
  <c r="O981" i="6"/>
  <c r="AB30" i="6"/>
  <c r="O1777" i="6"/>
  <c r="O839" i="6"/>
  <c r="O1005" i="6"/>
  <c r="O750" i="6"/>
  <c r="O300" i="6"/>
  <c r="O795" i="6"/>
  <c r="O245" i="6"/>
  <c r="O1667" i="6"/>
  <c r="O407" i="6"/>
  <c r="O459" i="6"/>
  <c r="O704" i="6"/>
  <c r="O354" i="6"/>
  <c r="O1766" i="6"/>
  <c r="O560" i="6"/>
  <c r="R1709" i="6"/>
  <c r="R1682" i="6"/>
  <c r="Q1120" i="6"/>
  <c r="R609" i="6"/>
  <c r="Q459" i="6"/>
  <c r="Q1696" i="6"/>
  <c r="R1696" i="6"/>
  <c r="R1751" i="6"/>
  <c r="Q1045" i="6"/>
  <c r="R510" i="6"/>
  <c r="Q189" i="6"/>
  <c r="Q1732" i="6"/>
  <c r="R1083" i="6"/>
  <c r="R1005" i="6"/>
  <c r="Q839" i="6"/>
  <c r="R245" i="6"/>
  <c r="R1786" i="6"/>
  <c r="R1461" i="6"/>
  <c r="Q1005" i="6"/>
  <c r="R407" i="6"/>
  <c r="Q245" i="6"/>
  <c r="Q1751" i="6"/>
  <c r="Q1634" i="6"/>
  <c r="R1510" i="6"/>
  <c r="Q965" i="6"/>
  <c r="Q657" i="6"/>
  <c r="R1667" i="6"/>
  <c r="R1225" i="6"/>
  <c r="R657" i="6"/>
  <c r="R1772" i="6"/>
  <c r="R1596" i="6"/>
  <c r="R1321" i="6"/>
  <c r="Q750" i="6"/>
  <c r="Q1759" i="6"/>
  <c r="R1651" i="6"/>
  <c r="R1120" i="6"/>
  <c r="R750" i="6"/>
  <c r="Q1781" i="6"/>
  <c r="R1781" i="6"/>
  <c r="R882" i="6"/>
  <c r="Q354" i="6"/>
  <c r="R1759" i="6"/>
  <c r="Q1616" i="6"/>
  <c r="Q924" i="6"/>
  <c r="R300" i="6"/>
  <c r="Q1766" i="6"/>
  <c r="Q1290" i="6"/>
  <c r="R560" i="6"/>
  <c r="Q1786" i="6"/>
  <c r="Q704" i="6"/>
  <c r="Q560" i="6"/>
  <c r="R1555" i="6"/>
  <c r="R1191" i="6"/>
  <c r="R132" i="6"/>
  <c r="Q1667" i="6"/>
  <c r="R795" i="6"/>
  <c r="R1576" i="6"/>
  <c r="Q795" i="6"/>
  <c r="R1408" i="6"/>
  <c r="R839" i="6"/>
  <c r="R1732" i="6"/>
  <c r="R1616" i="6"/>
  <c r="Q407" i="6"/>
  <c r="R828" i="6"/>
  <c r="P328" i="6"/>
  <c r="O1033" i="6"/>
  <c r="P830" i="6"/>
  <c r="O398" i="6"/>
  <c r="O291" i="6"/>
  <c r="O1036" i="6"/>
  <c r="Q1746" i="6"/>
  <c r="O450" i="6"/>
  <c r="O741" i="6"/>
  <c r="O236" i="6"/>
  <c r="O873" i="6"/>
  <c r="O551" i="6"/>
  <c r="O1658" i="6"/>
  <c r="O695" i="6"/>
  <c r="O600" i="6"/>
  <c r="O956" i="6"/>
  <c r="O786" i="6"/>
  <c r="O345" i="6"/>
  <c r="R1107" i="6"/>
  <c r="Q739" i="6"/>
  <c r="R1242" i="6"/>
  <c r="Q951" i="6"/>
  <c r="Q1435" i="6"/>
  <c r="O1045" i="6"/>
  <c r="P291" i="6"/>
  <c r="P838" i="6"/>
  <c r="O507" i="6"/>
  <c r="O1002" i="6"/>
  <c r="O921" i="6"/>
  <c r="O701" i="6"/>
  <c r="O879" i="6"/>
  <c r="O242" i="6"/>
  <c r="O606" i="6"/>
  <c r="O836" i="6"/>
  <c r="O1042" i="6"/>
  <c r="O748" i="6"/>
  <c r="Q1775" i="6"/>
  <c r="Q1749" i="6"/>
  <c r="R1574" i="6"/>
  <c r="Q880" i="6"/>
  <c r="R508" i="6"/>
  <c r="Q607" i="6"/>
  <c r="O508" i="6"/>
  <c r="Q1719" i="6"/>
  <c r="R1779" i="6"/>
  <c r="R1349" i="6"/>
  <c r="R963" i="6"/>
  <c r="R457" i="6"/>
  <c r="Q130" i="6"/>
  <c r="O837" i="6"/>
  <c r="Q1730" i="6"/>
  <c r="Q1665" i="6"/>
  <c r="R1189" i="6"/>
  <c r="Q748" i="6"/>
  <c r="R702" i="6"/>
  <c r="R1749" i="6"/>
  <c r="R1378" i="6"/>
  <c r="Q1043" i="6"/>
  <c r="Q793" i="6"/>
  <c r="R1680" i="6"/>
  <c r="R1484" i="6"/>
  <c r="R748" i="6"/>
  <c r="Q702" i="6"/>
  <c r="O243" i="6"/>
  <c r="P1787" i="6"/>
  <c r="R1459" i="6"/>
  <c r="R655" i="6"/>
  <c r="R405" i="6"/>
  <c r="R1764" i="6"/>
  <c r="R1757" i="6"/>
  <c r="Q1319" i="6"/>
  <c r="R558" i="6"/>
  <c r="Q352" i="6"/>
  <c r="R1508" i="6"/>
  <c r="Q1118" i="6"/>
  <c r="Q405" i="6"/>
  <c r="O880" i="6"/>
  <c r="O1786" i="6"/>
  <c r="R1614" i="6"/>
  <c r="R922" i="6"/>
  <c r="Q187" i="6"/>
  <c r="Q1764" i="6"/>
  <c r="Q963" i="6"/>
  <c r="Q243" i="6"/>
  <c r="O1757" i="6"/>
  <c r="R1770" i="6"/>
  <c r="R1594" i="6"/>
  <c r="Q655" i="6"/>
  <c r="R243" i="6"/>
  <c r="R1632" i="6"/>
  <c r="R1319" i="6"/>
  <c r="R837" i="6"/>
  <c r="O1665" i="6"/>
  <c r="O702" i="6"/>
  <c r="O1779" i="6"/>
  <c r="O1043" i="6"/>
  <c r="R1707" i="6"/>
  <c r="R1223" i="6"/>
  <c r="Q298" i="6"/>
  <c r="O793" i="6"/>
  <c r="R1118" i="6"/>
  <c r="Q1694" i="6"/>
  <c r="Q1154" i="6"/>
  <c r="R607" i="6"/>
  <c r="O457" i="6"/>
  <c r="R1730" i="6"/>
  <c r="R1775" i="6"/>
  <c r="Q1003" i="6"/>
  <c r="O1003" i="6"/>
  <c r="Q1757" i="6"/>
  <c r="Q558" i="6"/>
  <c r="O1775" i="6"/>
  <c r="O922" i="6"/>
  <c r="R1433" i="6"/>
  <c r="R352" i="6"/>
  <c r="Q1433" i="6"/>
  <c r="Q837" i="6"/>
  <c r="R1515" i="6"/>
  <c r="O670" i="6"/>
  <c r="R1522" i="6"/>
  <c r="R1634" i="6"/>
  <c r="P936" i="6"/>
  <c r="Q821" i="6"/>
  <c r="R1390" i="6"/>
  <c r="Q291" i="6"/>
  <c r="Q947" i="6"/>
  <c r="R1468" i="6"/>
  <c r="Q1526" i="6"/>
  <c r="P674" i="6"/>
  <c r="R291" i="6"/>
  <c r="Q1342" i="6"/>
  <c r="O1747" i="6"/>
  <c r="P620" i="6"/>
  <c r="P1707" i="6"/>
  <c r="Q396" i="6"/>
  <c r="R1247" i="6"/>
  <c r="Q1623" i="6"/>
  <c r="O330" i="6"/>
  <c r="Q1305" i="6"/>
  <c r="O591" i="6"/>
  <c r="P776" i="6"/>
  <c r="R447" i="6"/>
  <c r="Q1620" i="6"/>
  <c r="Q300" i="6"/>
  <c r="Q1777" i="6"/>
  <c r="Q457" i="6"/>
  <c r="R1665" i="6"/>
  <c r="P964" i="6"/>
  <c r="P901" i="6"/>
  <c r="O1774" i="6"/>
  <c r="O671" i="6"/>
  <c r="Q1245" i="6"/>
  <c r="O1014" i="6"/>
  <c r="O821" i="6"/>
  <c r="R827" i="6"/>
  <c r="O693" i="6"/>
  <c r="R1642" i="6"/>
  <c r="R693" i="6"/>
  <c r="P236" i="6"/>
  <c r="O524" i="6"/>
  <c r="R123" i="6"/>
  <c r="O1749" i="6"/>
  <c r="Q1350" i="6"/>
  <c r="Q132" i="6"/>
  <c r="P1217" i="6"/>
  <c r="Q1122" i="6"/>
  <c r="P703" i="6"/>
  <c r="Q180" i="6"/>
  <c r="Q1700" i="6"/>
  <c r="P219" i="6"/>
  <c r="P334" i="6"/>
  <c r="R548" i="6"/>
  <c r="O668" i="6"/>
  <c r="R450" i="6"/>
  <c r="Q1723" i="6"/>
  <c r="O994" i="6"/>
  <c r="O1705" i="6"/>
  <c r="R492" i="6"/>
  <c r="Q1027" i="6"/>
  <c r="O1629" i="6"/>
  <c r="Q786" i="6"/>
  <c r="Q1312" i="6"/>
  <c r="P1750" i="6"/>
  <c r="Q1621" i="6"/>
  <c r="R396" i="6"/>
  <c r="R1109" i="6"/>
  <c r="O1732" i="6"/>
  <c r="P225" i="6"/>
  <c r="P231" i="6"/>
  <c r="P1653" i="6"/>
  <c r="P600" i="6"/>
  <c r="O607" i="6"/>
  <c r="R692" i="6"/>
  <c r="Q1421" i="6"/>
  <c r="Q609" i="6"/>
  <c r="Q1784" i="6"/>
  <c r="R1003" i="6"/>
  <c r="R418" i="6"/>
  <c r="P950" i="6"/>
  <c r="O924" i="6"/>
  <c r="R68" i="6"/>
  <c r="W68" i="6" s="1"/>
  <c r="P259" i="6"/>
  <c r="O943" i="6"/>
  <c r="O385" i="6"/>
  <c r="O488" i="6"/>
  <c r="O437" i="6"/>
  <c r="P958" i="6"/>
  <c r="Q1081" i="6"/>
  <c r="O239" i="6"/>
  <c r="O497" i="6"/>
  <c r="R1542" i="6"/>
  <c r="R782" i="6"/>
  <c r="R1563" i="6"/>
  <c r="Q782" i="6"/>
  <c r="Q1542" i="6"/>
  <c r="Q446" i="6"/>
  <c r="O1701" i="6"/>
  <c r="R992" i="6"/>
  <c r="Q119" i="6"/>
  <c r="Q1520" i="6"/>
  <c r="R596" i="6"/>
  <c r="O938" i="6"/>
  <c r="O983" i="6"/>
  <c r="O1699" i="6"/>
  <c r="O747" i="6"/>
  <c r="O351" i="6"/>
  <c r="O792" i="6"/>
  <c r="O557" i="6"/>
  <c r="Z22" i="6"/>
  <c r="O906" i="6"/>
  <c r="Z23" i="6"/>
  <c r="O864" i="6"/>
  <c r="Z24" i="6"/>
  <c r="Z17" i="6"/>
  <c r="AA24" i="6"/>
  <c r="Z31" i="6"/>
  <c r="Z28" i="6"/>
  <c r="O947" i="6"/>
  <c r="O542" i="6"/>
  <c r="O441" i="6"/>
  <c r="O987" i="6"/>
  <c r="Z18" i="6"/>
  <c r="R389" i="6"/>
  <c r="R864" i="6"/>
  <c r="Q1272" i="6"/>
  <c r="R1443" i="6"/>
  <c r="P1629" i="6"/>
  <c r="R1537" i="6"/>
  <c r="Q400" i="6"/>
  <c r="Q743" i="6"/>
  <c r="R998" i="6"/>
  <c r="R1503" i="6"/>
  <c r="R1744" i="6"/>
  <c r="O1763" i="6"/>
  <c r="O1762" i="6"/>
  <c r="P452" i="6"/>
  <c r="O582" i="6"/>
  <c r="P120" i="6"/>
  <c r="P1670" i="6"/>
  <c r="Q745" i="6"/>
  <c r="Q506" i="6"/>
  <c r="Q878" i="6"/>
  <c r="P99" i="6"/>
  <c r="P584" i="6"/>
  <c r="P770" i="6"/>
  <c r="P104" i="6"/>
  <c r="P896" i="6"/>
  <c r="R1403" i="6"/>
  <c r="P767" i="6"/>
  <c r="P326" i="6"/>
  <c r="P834" i="6"/>
  <c r="P1776" i="6"/>
  <c r="R877" i="6"/>
  <c r="Q790" i="6"/>
  <c r="R295" i="6"/>
  <c r="R1662" i="6"/>
  <c r="Q240" i="6"/>
  <c r="Q1691" i="6"/>
  <c r="R1629" i="6"/>
  <c r="R604" i="6"/>
  <c r="Q834" i="6"/>
  <c r="P295" i="6"/>
  <c r="Q1761" i="6"/>
  <c r="R652" i="6"/>
  <c r="Q349" i="6"/>
  <c r="R1746" i="6"/>
  <c r="R919" i="6"/>
  <c r="Q295" i="6"/>
  <c r="P877" i="6"/>
  <c r="R1646" i="6"/>
  <c r="R745" i="6"/>
  <c r="R349" i="6"/>
  <c r="R1691" i="6"/>
  <c r="Q604" i="6"/>
  <c r="Q184" i="6"/>
  <c r="P960" i="6"/>
  <c r="Q1662" i="6"/>
  <c r="Q1456" i="6"/>
  <c r="Q505" i="6"/>
  <c r="O746" i="6"/>
  <c r="R1692" i="6"/>
  <c r="R1630" i="6"/>
  <c r="Q1431" i="6"/>
  <c r="R791" i="6"/>
  <c r="R296" i="6"/>
  <c r="P1780" i="6"/>
  <c r="R1747" i="6"/>
  <c r="R1317" i="6"/>
  <c r="Q791" i="6"/>
  <c r="Q455" i="6"/>
  <c r="O1781" i="6"/>
  <c r="Q1728" i="6"/>
  <c r="Q961" i="6"/>
  <c r="R653" i="6"/>
  <c r="R350" i="6"/>
  <c r="O878" i="6"/>
  <c r="Q1663" i="6"/>
  <c r="R1768" i="6"/>
  <c r="R1001" i="6"/>
  <c r="R746" i="6"/>
  <c r="P1781" i="6"/>
  <c r="Q1529" i="6"/>
  <c r="Q556" i="6"/>
  <c r="R403" i="6"/>
  <c r="O506" i="6"/>
  <c r="Q1717" i="6"/>
  <c r="R1187" i="6"/>
  <c r="R700" i="6"/>
  <c r="Q350" i="6"/>
  <c r="O455" i="6"/>
  <c r="R1663" i="6"/>
  <c r="R1376" i="6"/>
  <c r="Q700" i="6"/>
  <c r="R128" i="6"/>
  <c r="Q1755" i="6"/>
  <c r="R961" i="6"/>
  <c r="R506" i="6"/>
  <c r="P732" i="6"/>
  <c r="P389" i="6"/>
  <c r="P492" i="6"/>
  <c r="P227" i="6"/>
  <c r="P906" i="6"/>
  <c r="P821" i="6"/>
  <c r="P1027" i="6"/>
  <c r="P553" i="6"/>
  <c r="P347" i="6"/>
  <c r="P182" i="6"/>
  <c r="P400" i="6"/>
  <c r="P875" i="6"/>
  <c r="P1038" i="6"/>
  <c r="P998" i="6"/>
  <c r="Q171" i="6"/>
  <c r="Q492" i="6"/>
  <c r="Q1102" i="6"/>
  <c r="Q1515" i="6"/>
  <c r="O1626" i="6"/>
  <c r="R1598" i="6"/>
  <c r="Q503" i="6"/>
  <c r="R832" i="6"/>
  <c r="Q1149" i="6"/>
  <c r="O1764" i="6"/>
  <c r="R1675" i="6"/>
  <c r="O700" i="6"/>
  <c r="P652" i="6"/>
  <c r="P431" i="6"/>
  <c r="O241" i="6"/>
  <c r="R127" i="6"/>
  <c r="Q1000" i="6"/>
  <c r="Q653" i="6"/>
  <c r="P1779" i="6"/>
  <c r="R1347" i="6"/>
  <c r="P97" i="6"/>
  <c r="P760" i="6"/>
  <c r="P889" i="6"/>
  <c r="R1186" i="6"/>
  <c r="R1159" i="6"/>
  <c r="P832" i="6"/>
  <c r="O835" i="6"/>
  <c r="P402" i="6"/>
  <c r="P745" i="6"/>
  <c r="P581" i="6"/>
  <c r="P777" i="6"/>
  <c r="R402" i="6"/>
  <c r="R1253" i="6"/>
  <c r="R878" i="6"/>
  <c r="Q1747" i="6"/>
  <c r="P127" i="6"/>
  <c r="P864" i="6"/>
  <c r="O380" i="6"/>
  <c r="O273" i="6"/>
  <c r="O327" i="6"/>
  <c r="O1018" i="6"/>
  <c r="O404" i="6"/>
  <c r="R282" i="6"/>
  <c r="Q639" i="6"/>
  <c r="Q1138" i="6"/>
  <c r="R1362" i="6"/>
  <c r="O1620" i="6"/>
  <c r="P1634" i="6"/>
  <c r="P1620" i="6"/>
  <c r="R452" i="6"/>
  <c r="R743" i="6"/>
  <c r="Q1184" i="6"/>
  <c r="Q1689" i="6"/>
  <c r="O1767" i="6"/>
  <c r="O653" i="6"/>
  <c r="Z12" i="6"/>
  <c r="P217" i="6"/>
  <c r="O556" i="6"/>
  <c r="P788" i="6"/>
  <c r="P240" i="6"/>
  <c r="Q114" i="6"/>
  <c r="R639" i="6"/>
  <c r="Q864" i="6"/>
  <c r="O1632" i="6"/>
  <c r="O1625" i="6"/>
  <c r="Q1443" i="6"/>
  <c r="P1628" i="6"/>
  <c r="Q602" i="6"/>
  <c r="Q875" i="6"/>
  <c r="Q1283" i="6"/>
  <c r="R1569" i="6"/>
  <c r="O677" i="6"/>
  <c r="R1773" i="6"/>
  <c r="O1663" i="6"/>
  <c r="P503" i="6"/>
  <c r="P505" i="6"/>
  <c r="O962" i="6"/>
  <c r="Q555" i="6"/>
  <c r="R1456" i="6"/>
  <c r="R1727" i="6"/>
  <c r="O1263" i="6"/>
  <c r="P1017" i="6"/>
  <c r="R920" i="6"/>
  <c r="Q1630" i="6"/>
  <c r="P380" i="6"/>
  <c r="P327" i="6"/>
  <c r="P897" i="6"/>
  <c r="AB16" i="6"/>
  <c r="Y28" i="6"/>
  <c r="AB22" i="6"/>
  <c r="Y22" i="6"/>
  <c r="O886" i="6"/>
  <c r="AB25" i="6"/>
  <c r="O389" i="6"/>
  <c r="Q1400" i="6"/>
  <c r="Q1403" i="6"/>
  <c r="P100" i="6"/>
  <c r="P268" i="6"/>
  <c r="P478" i="6"/>
  <c r="P528" i="6"/>
  <c r="P892" i="6"/>
  <c r="P1007" i="6"/>
  <c r="O718" i="6"/>
  <c r="P1276" i="6"/>
  <c r="Q892" i="6"/>
  <c r="Q1193" i="6"/>
  <c r="R427" i="6"/>
  <c r="O1290" i="6"/>
  <c r="R213" i="6"/>
  <c r="O1264" i="6"/>
  <c r="R933" i="6"/>
  <c r="P390" i="6"/>
  <c r="P543" i="6"/>
  <c r="P337" i="6"/>
  <c r="P865" i="6"/>
  <c r="P283" i="6"/>
  <c r="P822" i="6"/>
  <c r="P907" i="6"/>
  <c r="O263" i="6"/>
  <c r="P111" i="6"/>
  <c r="P1024" i="6"/>
  <c r="P946" i="6"/>
  <c r="Q79" i="6"/>
  <c r="Q415" i="6"/>
  <c r="O248" i="6"/>
  <c r="Q409" i="6"/>
  <c r="Q454" i="6"/>
  <c r="R18" i="6"/>
  <c r="S18" i="6" s="1"/>
  <c r="Q418" i="6"/>
  <c r="R1571" i="6"/>
  <c r="O84" i="6"/>
  <c r="P103" i="6"/>
  <c r="P963" i="6"/>
  <c r="P131" i="6"/>
  <c r="P79" i="6"/>
  <c r="P83" i="6"/>
  <c r="O77" i="6"/>
  <c r="O90" i="6"/>
  <c r="R88" i="6"/>
  <c r="O89" i="6"/>
  <c r="R89" i="6"/>
  <c r="O79" i="6"/>
  <c r="O91" i="6"/>
  <c r="O120" i="6"/>
  <c r="P86" i="6"/>
  <c r="O1289" i="6"/>
  <c r="P108" i="6"/>
  <c r="P941" i="6"/>
  <c r="O118" i="6"/>
  <c r="P807" i="6"/>
  <c r="Q76" i="6"/>
  <c r="P229" i="6"/>
  <c r="Q1618" i="6"/>
  <c r="O1660" i="6"/>
  <c r="P1654" i="6"/>
  <c r="R866" i="6"/>
  <c r="Q866" i="6"/>
  <c r="R116" i="6"/>
  <c r="R1659" i="6"/>
  <c r="Q1246" i="6"/>
  <c r="O720" i="6"/>
  <c r="R1626" i="6"/>
  <c r="P118" i="6"/>
  <c r="P1760" i="6"/>
  <c r="P153" i="6"/>
  <c r="O725" i="6"/>
  <c r="O721" i="6"/>
  <c r="P942" i="6"/>
  <c r="P967" i="6"/>
  <c r="O430" i="6"/>
  <c r="R174" i="6"/>
  <c r="P1676" i="6"/>
  <c r="R1209" i="6"/>
  <c r="Q244" i="6"/>
  <c r="R1224" i="6"/>
  <c r="R1695" i="6"/>
  <c r="O536" i="6"/>
  <c r="O770" i="6"/>
  <c r="R138" i="6"/>
  <c r="P476" i="6"/>
  <c r="Q1498" i="6"/>
  <c r="O899" i="6"/>
  <c r="O371" i="6"/>
  <c r="P279" i="6"/>
  <c r="O265" i="6"/>
  <c r="R146" i="6"/>
  <c r="O845" i="6"/>
  <c r="Q628" i="6"/>
  <c r="R145" i="6"/>
  <c r="P185" i="6"/>
  <c r="O145" i="6"/>
  <c r="P142" i="6"/>
  <c r="O143" i="6"/>
  <c r="Q1501" i="6"/>
  <c r="Q1379" i="6"/>
  <c r="Q1468" i="6"/>
  <c r="O976" i="6"/>
  <c r="P207" i="6"/>
  <c r="O1731" i="6"/>
  <c r="R230" i="6"/>
  <c r="O1682" i="6"/>
  <c r="Q1364" i="6"/>
  <c r="R131" i="6"/>
  <c r="Q1155" i="6"/>
  <c r="Q1731" i="6"/>
  <c r="O559" i="6"/>
  <c r="P582" i="6"/>
  <c r="O608" i="6"/>
  <c r="R144" i="6"/>
  <c r="Q1396" i="6"/>
  <c r="R1435" i="6"/>
  <c r="Q1506" i="6"/>
  <c r="O189" i="6"/>
  <c r="P818" i="6"/>
  <c r="O165" i="6"/>
  <c r="O142" i="6"/>
  <c r="P173" i="6"/>
  <c r="P172" i="6"/>
  <c r="R136" i="6"/>
  <c r="P90" i="6"/>
  <c r="O679" i="6"/>
  <c r="O632" i="6"/>
  <c r="O221" i="6"/>
  <c r="Q1366" i="6"/>
  <c r="Q1510" i="6"/>
  <c r="O656" i="6"/>
  <c r="O647" i="6"/>
  <c r="P978" i="6"/>
  <c r="R119" i="6"/>
  <c r="R1143" i="6"/>
  <c r="O1709" i="6"/>
  <c r="O446" i="6"/>
  <c r="P423" i="6"/>
  <c r="Q1247" i="6"/>
  <c r="Q1640" i="6"/>
  <c r="O326" i="6"/>
  <c r="R392" i="6"/>
  <c r="P209" i="6"/>
  <c r="Q458" i="6"/>
  <c r="Q1190" i="6"/>
  <c r="Q1758" i="6"/>
  <c r="P526" i="6"/>
  <c r="O576" i="6"/>
  <c r="P498" i="6"/>
  <c r="Q498" i="6"/>
  <c r="R1071" i="6"/>
  <c r="O1721" i="6"/>
  <c r="P1716" i="6"/>
  <c r="Q1378" i="6"/>
  <c r="Q1531" i="6"/>
  <c r="R147" i="6"/>
  <c r="Q763" i="6"/>
  <c r="P1291" i="6"/>
  <c r="O1265" i="6"/>
  <c r="O1010" i="6"/>
  <c r="P1009" i="6"/>
  <c r="P1013" i="6"/>
  <c r="P177" i="6"/>
  <c r="P845" i="6"/>
  <c r="P269" i="6"/>
  <c r="O815" i="6"/>
  <c r="O135" i="6"/>
  <c r="O173" i="6"/>
  <c r="P148" i="6"/>
  <c r="P176" i="6"/>
  <c r="P1220" i="6"/>
  <c r="R292" i="6"/>
  <c r="R502" i="6"/>
  <c r="Q1037" i="6"/>
  <c r="R1674" i="6"/>
  <c r="P125" i="6"/>
  <c r="O157" i="6"/>
  <c r="P76" i="6"/>
  <c r="R1149" i="6"/>
  <c r="O941" i="6"/>
  <c r="Q1376" i="6"/>
  <c r="O378" i="6"/>
  <c r="Q1479" i="6"/>
  <c r="R180" i="6"/>
  <c r="P621" i="6"/>
  <c r="R287" i="6"/>
  <c r="R1308" i="6"/>
  <c r="R1583" i="6"/>
  <c r="O426" i="6"/>
  <c r="O321" i="6"/>
  <c r="Q780" i="6"/>
  <c r="Q1560" i="6"/>
  <c r="Q188" i="6"/>
  <c r="Q1119" i="6"/>
  <c r="R1758" i="6"/>
  <c r="O525" i="6"/>
  <c r="O532" i="6"/>
  <c r="O481" i="6"/>
  <c r="R912" i="6"/>
  <c r="R1396" i="6"/>
  <c r="R1622" i="6"/>
  <c r="R1684" i="6"/>
  <c r="R175" i="6"/>
  <c r="Q1394" i="6"/>
  <c r="Q1408" i="6"/>
  <c r="O940" i="6"/>
  <c r="O901" i="6"/>
  <c r="R1505" i="6"/>
  <c r="R577" i="6"/>
  <c r="P1261" i="6"/>
  <c r="O1271" i="6"/>
  <c r="P1021" i="6"/>
  <c r="R134" i="6"/>
  <c r="P187" i="6"/>
  <c r="O134" i="6"/>
  <c r="P149" i="6"/>
  <c r="P180" i="6"/>
  <c r="P1210" i="6"/>
  <c r="R124" i="6"/>
  <c r="Q649" i="6"/>
  <c r="R1037" i="6"/>
  <c r="O1759" i="6"/>
  <c r="P130" i="6"/>
  <c r="O116" i="6"/>
  <c r="Q1373" i="6"/>
  <c r="O212" i="6"/>
  <c r="Q1182" i="6"/>
  <c r="P619" i="6"/>
  <c r="Q1473" i="6"/>
  <c r="O325" i="6"/>
  <c r="Q909" i="6"/>
  <c r="Q1470" i="6"/>
  <c r="Q299" i="6"/>
  <c r="R1289" i="6"/>
  <c r="R1765" i="6"/>
  <c r="P761" i="6"/>
  <c r="P472" i="6"/>
  <c r="O485" i="6"/>
  <c r="O486" i="6"/>
  <c r="Q1486" i="6"/>
  <c r="R1081" i="6"/>
  <c r="O930" i="6"/>
  <c r="R43" i="6"/>
  <c r="V43" i="6" s="1"/>
  <c r="O1266" i="6"/>
  <c r="O223" i="6"/>
  <c r="P102" i="6"/>
  <c r="O186" i="6"/>
  <c r="O171" i="6"/>
  <c r="P171" i="6"/>
  <c r="P174" i="6"/>
  <c r="O86" i="6"/>
  <c r="O1194" i="6"/>
  <c r="Q124" i="6"/>
  <c r="Q601" i="6"/>
  <c r="R1372" i="6"/>
  <c r="R1643" i="6"/>
  <c r="O121" i="6"/>
  <c r="O127" i="6"/>
  <c r="P82" i="6"/>
  <c r="P119" i="6"/>
  <c r="R1065" i="6"/>
  <c r="R1076" i="6"/>
  <c r="Q1569" i="6"/>
  <c r="Q1642" i="6"/>
  <c r="O636" i="6"/>
  <c r="O980" i="6"/>
  <c r="Q1497" i="6"/>
  <c r="Q1499" i="6"/>
  <c r="Q824" i="6"/>
  <c r="Q559" i="6"/>
  <c r="R1119" i="6"/>
  <c r="R1666" i="6"/>
  <c r="O584" i="6"/>
  <c r="R1423" i="6"/>
  <c r="P927" i="6"/>
  <c r="P938" i="6"/>
  <c r="R150" i="6"/>
  <c r="P150" i="6"/>
  <c r="Q1608" i="6"/>
  <c r="R1551" i="6"/>
  <c r="O182" i="6"/>
  <c r="O147" i="6"/>
  <c r="O181" i="6"/>
  <c r="O149" i="6"/>
  <c r="O187" i="6"/>
  <c r="P733" i="6"/>
  <c r="O1368" i="6"/>
  <c r="Q346" i="6"/>
  <c r="R601" i="6"/>
  <c r="Q1724" i="6"/>
  <c r="O1756" i="6"/>
  <c r="P81" i="6"/>
  <c r="R493" i="6"/>
  <c r="O900" i="6"/>
  <c r="Q1505" i="6"/>
  <c r="P273" i="6"/>
  <c r="O148" i="6"/>
  <c r="O180" i="6"/>
  <c r="P137" i="6"/>
  <c r="O184" i="6"/>
  <c r="R1138" i="6"/>
  <c r="Q1477" i="6"/>
  <c r="Q1771" i="6"/>
  <c r="O1666" i="6"/>
  <c r="Q749" i="6"/>
  <c r="R1320" i="6"/>
  <c r="R1681" i="6"/>
  <c r="Q1173" i="6"/>
  <c r="Q1251" i="6"/>
  <c r="O1765" i="6"/>
  <c r="O1750" i="6"/>
  <c r="P969" i="6"/>
  <c r="Q1475" i="6"/>
  <c r="Q1365" i="6"/>
  <c r="R1140" i="6"/>
  <c r="Q794" i="6"/>
  <c r="R1460" i="6"/>
  <c r="P1788" i="6"/>
  <c r="P524" i="6"/>
  <c r="O1720" i="6"/>
  <c r="R1421" i="6"/>
  <c r="P1651" i="6"/>
  <c r="O896" i="6"/>
  <c r="R1051" i="6"/>
  <c r="P144" i="6"/>
  <c r="P178" i="6"/>
  <c r="O139" i="6"/>
  <c r="P181" i="6"/>
  <c r="P393" i="6"/>
  <c r="Y31" i="6"/>
  <c r="Q292" i="6"/>
  <c r="R742" i="6"/>
  <c r="P1758" i="6"/>
  <c r="P84" i="6"/>
  <c r="O123" i="6"/>
  <c r="P114" i="6"/>
  <c r="O130" i="6"/>
  <c r="O592" i="6"/>
  <c r="O771" i="6"/>
  <c r="O216" i="6"/>
  <c r="P1639" i="6"/>
  <c r="Q1484" i="6"/>
  <c r="P1011" i="6"/>
  <c r="R1221" i="6"/>
  <c r="P141" i="6"/>
  <c r="P147" i="6"/>
  <c r="P135" i="6"/>
  <c r="P188" i="6"/>
  <c r="P89" i="6"/>
  <c r="Q1368" i="6"/>
  <c r="Q1189" i="6"/>
  <c r="R1079" i="6"/>
  <c r="O271" i="6"/>
  <c r="P848" i="6"/>
  <c r="Q896" i="6"/>
  <c r="P190" i="6"/>
  <c r="O138" i="6"/>
  <c r="P138" i="6"/>
  <c r="R13" i="6"/>
  <c r="T13" i="6" s="1"/>
  <c r="O383" i="6"/>
  <c r="P85" i="6"/>
  <c r="O434" i="6"/>
  <c r="R406" i="6"/>
  <c r="O694" i="6"/>
  <c r="O680" i="6"/>
  <c r="O675" i="6"/>
  <c r="Q1371" i="6"/>
  <c r="O435" i="6"/>
  <c r="P425" i="6"/>
  <c r="O119" i="6"/>
  <c r="P1674" i="6"/>
  <c r="Q703" i="6"/>
  <c r="R1155" i="6"/>
  <c r="Q1783" i="6"/>
  <c r="O585" i="6"/>
  <c r="P483" i="6"/>
  <c r="R1156" i="6"/>
  <c r="O937" i="6"/>
  <c r="O895" i="6"/>
  <c r="P888" i="6"/>
  <c r="Q1481" i="6"/>
  <c r="R157" i="6"/>
  <c r="Q1159" i="6"/>
  <c r="O1017" i="6"/>
  <c r="Q1187" i="6"/>
  <c r="R1717" i="6"/>
  <c r="P263" i="6"/>
  <c r="O276" i="6"/>
  <c r="P189" i="6"/>
  <c r="O177" i="6"/>
  <c r="O150" i="6"/>
  <c r="Z13" i="6"/>
  <c r="Q831" i="6"/>
  <c r="Q997" i="6"/>
  <c r="P1754" i="6"/>
  <c r="O129" i="6"/>
  <c r="P132" i="6"/>
  <c r="O81" i="6"/>
  <c r="P666" i="6"/>
  <c r="O703" i="6"/>
  <c r="O683" i="6"/>
  <c r="O984" i="6"/>
  <c r="O1004" i="6"/>
  <c r="Q1638" i="6"/>
  <c r="O1676" i="6"/>
  <c r="R173" i="6"/>
  <c r="R1419" i="6"/>
  <c r="R881" i="6"/>
  <c r="Q1575" i="6"/>
  <c r="P575" i="6"/>
  <c r="O762" i="6"/>
  <c r="R177" i="6"/>
  <c r="Q1472" i="6"/>
  <c r="R148" i="6"/>
  <c r="R184" i="6"/>
  <c r="O1269" i="6"/>
  <c r="P1263" i="6"/>
  <c r="O1024" i="6"/>
  <c r="O146" i="6"/>
  <c r="P140" i="6"/>
  <c r="O144" i="6"/>
  <c r="Q181" i="6"/>
  <c r="R552" i="6"/>
  <c r="Q874" i="6"/>
  <c r="O1755" i="6"/>
  <c r="P117" i="6"/>
  <c r="O128" i="6"/>
  <c r="Q1503" i="6"/>
  <c r="P318" i="6"/>
  <c r="Q1494" i="6"/>
  <c r="O531" i="6"/>
  <c r="Q1362" i="6"/>
  <c r="R1147" i="6"/>
  <c r="O424" i="6"/>
  <c r="R1214" i="6"/>
  <c r="O353" i="6"/>
  <c r="O1671" i="6"/>
  <c r="R703" i="6"/>
  <c r="Q1650" i="6"/>
  <c r="R140" i="6"/>
  <c r="P768" i="6"/>
  <c r="Q1564" i="6"/>
  <c r="Q1496" i="6"/>
  <c r="R189" i="6"/>
  <c r="R187" i="6"/>
  <c r="P905" i="6"/>
  <c r="R185" i="6"/>
  <c r="R1431" i="6"/>
  <c r="O141" i="6"/>
  <c r="O178" i="6"/>
  <c r="P134" i="6"/>
  <c r="P145" i="6"/>
  <c r="O734" i="6"/>
  <c r="R181" i="6"/>
  <c r="Q787" i="6"/>
  <c r="R874" i="6"/>
  <c r="Q1626" i="6"/>
  <c r="P126" i="6"/>
  <c r="R550" i="6"/>
  <c r="P123" i="6"/>
  <c r="O114" i="6"/>
  <c r="P88" i="6"/>
  <c r="Q1695" i="6"/>
  <c r="O1648" i="6"/>
  <c r="Q1492" i="6"/>
  <c r="P668" i="6"/>
  <c r="Q1249" i="6"/>
  <c r="O624" i="6"/>
  <c r="O970" i="6"/>
  <c r="Q1369" i="6"/>
  <c r="R1601" i="6"/>
  <c r="O131" i="6"/>
  <c r="Q1004" i="6"/>
  <c r="R1575" i="6"/>
  <c r="R139" i="6"/>
  <c r="O527" i="6"/>
  <c r="O581" i="6"/>
  <c r="O760" i="6"/>
  <c r="O767" i="6"/>
  <c r="Q1508" i="6"/>
  <c r="O1261" i="6"/>
  <c r="P109" i="6"/>
  <c r="O158" i="6"/>
  <c r="O137" i="6"/>
  <c r="O136" i="6"/>
  <c r="P146" i="6"/>
  <c r="Q237" i="6"/>
  <c r="Q451" i="6"/>
  <c r="Q957" i="6"/>
  <c r="O1375" i="6"/>
  <c r="P116" i="6"/>
  <c r="P92" i="6"/>
  <c r="R12" i="6"/>
  <c r="V12" i="6" s="1"/>
  <c r="P78" i="6"/>
  <c r="P80" i="6"/>
  <c r="Q610" i="6"/>
  <c r="Q1291" i="6"/>
  <c r="R1577" i="6"/>
  <c r="R1686" i="6"/>
  <c r="R489" i="6"/>
  <c r="R1055" i="6"/>
  <c r="Q796" i="6"/>
  <c r="Q1668" i="6"/>
  <c r="R1617" i="6"/>
  <c r="P1642" i="6"/>
  <c r="Q1186" i="6"/>
  <c r="P167" i="6"/>
  <c r="R636" i="6"/>
  <c r="O1396" i="6"/>
  <c r="O1201" i="6"/>
  <c r="P1379" i="6"/>
  <c r="R1112" i="6"/>
  <c r="O1621" i="6"/>
  <c r="O1633" i="6"/>
  <c r="O705" i="6"/>
  <c r="O691" i="6"/>
  <c r="Q1567" i="6"/>
  <c r="R176" i="6"/>
  <c r="R497" i="6"/>
  <c r="Q1032" i="6"/>
  <c r="Q1563" i="6"/>
  <c r="R1603" i="6"/>
  <c r="P1704" i="6"/>
  <c r="O449" i="6"/>
  <c r="P421" i="6"/>
  <c r="Q1544" i="6"/>
  <c r="R735" i="6"/>
  <c r="R1636" i="6"/>
  <c r="Q511" i="6"/>
  <c r="Q1436" i="6"/>
  <c r="R188" i="6"/>
  <c r="R794" i="6"/>
  <c r="R1190" i="6"/>
  <c r="R1350" i="6"/>
  <c r="Q1765" i="6"/>
  <c r="P576" i="6"/>
  <c r="P571" i="6"/>
  <c r="P573" i="6"/>
  <c r="O482" i="6"/>
  <c r="O475" i="6"/>
  <c r="P477" i="6"/>
  <c r="O500" i="6"/>
  <c r="R1339" i="6"/>
  <c r="R1472" i="6"/>
  <c r="Q1380" i="6"/>
  <c r="R1559" i="6"/>
  <c r="R1154" i="6"/>
  <c r="Q1574" i="6"/>
  <c r="P935" i="6"/>
  <c r="O946" i="6"/>
  <c r="P939" i="6"/>
  <c r="O892" i="6"/>
  <c r="Q1220" i="6"/>
  <c r="Q157" i="6"/>
  <c r="Q625" i="6"/>
  <c r="Q973" i="6"/>
  <c r="P1285" i="6"/>
  <c r="P1277" i="6"/>
  <c r="P1289" i="6"/>
  <c r="P1039" i="6"/>
  <c r="O1013" i="6"/>
  <c r="P1035" i="6"/>
  <c r="P264" i="6"/>
  <c r="P860" i="6"/>
  <c r="P155" i="6"/>
  <c r="P1198" i="6"/>
  <c r="P815" i="6"/>
  <c r="O811" i="6"/>
  <c r="P371" i="6"/>
  <c r="R944" i="6"/>
  <c r="P239" i="6"/>
  <c r="P1386" i="6"/>
  <c r="P1224" i="6"/>
  <c r="R1091" i="6"/>
  <c r="R796" i="6"/>
  <c r="R1436" i="6"/>
  <c r="R1135" i="6"/>
  <c r="P1388" i="6"/>
  <c r="Q658" i="6"/>
  <c r="Q1487" i="6"/>
  <c r="O599" i="6"/>
  <c r="P267" i="6"/>
  <c r="P156" i="6"/>
  <c r="P401" i="6"/>
  <c r="Q1489" i="6"/>
  <c r="O1400" i="6"/>
  <c r="Q1597" i="6"/>
  <c r="O814" i="6"/>
  <c r="R1099" i="6"/>
  <c r="P1400" i="6"/>
  <c r="O1635" i="6"/>
  <c r="O644" i="6"/>
  <c r="O995" i="6"/>
  <c r="Q394" i="6"/>
  <c r="R644" i="6"/>
  <c r="R1277" i="6"/>
  <c r="R1395" i="6"/>
  <c r="P1705" i="6"/>
  <c r="P1698" i="6"/>
  <c r="P316" i="6"/>
  <c r="R1030" i="6"/>
  <c r="O1680" i="6"/>
  <c r="O232" i="6"/>
  <c r="R658" i="6"/>
  <c r="Q1722" i="6"/>
  <c r="Q509" i="6"/>
  <c r="R1004" i="6"/>
  <c r="Q1532" i="6"/>
  <c r="R1650" i="6"/>
  <c r="Q1780" i="6"/>
  <c r="P527" i="6"/>
  <c r="P579" i="6"/>
  <c r="O580" i="6"/>
  <c r="P762" i="6"/>
  <c r="O773" i="6"/>
  <c r="O504" i="6"/>
  <c r="P484" i="6"/>
  <c r="R1144" i="6"/>
  <c r="R283" i="6"/>
  <c r="Q1406" i="6"/>
  <c r="P929" i="6"/>
  <c r="O903" i="6"/>
  <c r="R322" i="6"/>
  <c r="R672" i="6"/>
  <c r="O1260" i="6"/>
  <c r="O1281" i="6"/>
  <c r="P1268" i="6"/>
  <c r="O1283" i="6"/>
  <c r="P1023" i="6"/>
  <c r="P106" i="6"/>
  <c r="Q1676" i="6"/>
  <c r="O279" i="6"/>
  <c r="O804" i="6"/>
  <c r="P168" i="6"/>
  <c r="Q1414" i="6"/>
  <c r="O1406" i="6"/>
  <c r="P1219" i="6"/>
  <c r="R1608" i="6"/>
  <c r="P1753" i="6"/>
  <c r="Q1644" i="6"/>
  <c r="O1006" i="6"/>
  <c r="R394" i="6"/>
  <c r="Q992" i="6"/>
  <c r="R1245" i="6"/>
  <c r="R1448" i="6"/>
  <c r="O1703" i="6"/>
  <c r="P1700" i="6"/>
  <c r="P426" i="6"/>
  <c r="R1068" i="6"/>
  <c r="P1680" i="6"/>
  <c r="R1006" i="6"/>
  <c r="Q1785" i="6"/>
  <c r="Q406" i="6"/>
  <c r="Q656" i="6"/>
  <c r="Q1224" i="6"/>
  <c r="R1771" i="6"/>
  <c r="R1595" i="6"/>
  <c r="O587" i="6"/>
  <c r="O588" i="6"/>
  <c r="O794" i="6"/>
  <c r="O776" i="6"/>
  <c r="P474" i="6"/>
  <c r="R1337" i="6"/>
  <c r="Q1191" i="6"/>
  <c r="R1351" i="6"/>
  <c r="R442" i="6"/>
  <c r="R1740" i="6"/>
  <c r="O933" i="6"/>
  <c r="P943" i="6"/>
  <c r="P959" i="6"/>
  <c r="O936" i="6"/>
  <c r="O923" i="6"/>
  <c r="R1220" i="6"/>
  <c r="Q1285" i="6"/>
  <c r="Q1550" i="6"/>
  <c r="R375" i="6"/>
  <c r="Q718" i="6"/>
  <c r="P1269" i="6"/>
  <c r="O1287" i="6"/>
  <c r="O1272" i="6"/>
  <c r="O1278" i="6"/>
  <c r="P381" i="6"/>
  <c r="R1152" i="6"/>
  <c r="Q1572" i="6"/>
  <c r="P1772" i="6"/>
  <c r="O847" i="6"/>
  <c r="P159" i="6"/>
  <c r="P1558" i="6"/>
  <c r="P1390" i="6"/>
  <c r="Q103" i="6"/>
  <c r="O658" i="6"/>
  <c r="P647" i="6"/>
  <c r="O988" i="6"/>
  <c r="O992" i="6"/>
  <c r="Q826" i="6"/>
  <c r="Q911" i="6"/>
  <c r="Q1277" i="6"/>
  <c r="Q1422" i="6"/>
  <c r="O1700" i="6"/>
  <c r="P1708" i="6"/>
  <c r="O460" i="6"/>
  <c r="R1072" i="6"/>
  <c r="Q1698" i="6"/>
  <c r="Q1565" i="6"/>
  <c r="R1105" i="6"/>
  <c r="O1669" i="6"/>
  <c r="R1046" i="6"/>
  <c r="R1722" i="6"/>
  <c r="R559" i="6"/>
  <c r="Q1044" i="6"/>
  <c r="Q1434" i="6"/>
  <c r="Q1633" i="6"/>
  <c r="R1615" i="6"/>
  <c r="O539" i="6"/>
  <c r="O596" i="6"/>
  <c r="P789" i="6"/>
  <c r="P757" i="6"/>
  <c r="O491" i="6"/>
  <c r="R1069" i="6"/>
  <c r="R1447" i="6"/>
  <c r="R337" i="6"/>
  <c r="O944" i="6"/>
  <c r="P891" i="6"/>
  <c r="P898" i="6"/>
  <c r="P886" i="6"/>
  <c r="R1346" i="6"/>
  <c r="Q478" i="6"/>
  <c r="R718" i="6"/>
  <c r="P1260" i="6"/>
  <c r="Q1124" i="6"/>
  <c r="P1275" i="6"/>
  <c r="O1286" i="6"/>
  <c r="O1020" i="6"/>
  <c r="R1254" i="6"/>
  <c r="O850" i="6"/>
  <c r="P850" i="6"/>
  <c r="P846" i="6"/>
  <c r="P719" i="6"/>
  <c r="P386" i="6"/>
  <c r="R1440" i="6"/>
  <c r="Q378" i="6"/>
  <c r="O1628" i="6"/>
  <c r="O1752" i="6"/>
  <c r="R826" i="6"/>
  <c r="R869" i="6"/>
  <c r="R1367" i="6"/>
  <c r="R1422" i="6"/>
  <c r="O1710" i="6"/>
  <c r="P1703" i="6"/>
  <c r="O1674" i="6"/>
  <c r="P1669" i="6"/>
  <c r="Q966" i="6"/>
  <c r="Q1752" i="6"/>
  <c r="O1654" i="6"/>
  <c r="Q608" i="6"/>
  <c r="R1044" i="6"/>
  <c r="R1434" i="6"/>
  <c r="R1554" i="6"/>
  <c r="Q1720" i="6"/>
  <c r="P587" i="6"/>
  <c r="P488" i="6"/>
  <c r="Q1278" i="6"/>
  <c r="Q1604" i="6"/>
  <c r="O224" i="6"/>
  <c r="R1258" i="6"/>
  <c r="Q1576" i="6"/>
  <c r="R907" i="6"/>
  <c r="Q1553" i="6"/>
  <c r="P894" i="6"/>
  <c r="R1078" i="6"/>
  <c r="Q1375" i="6"/>
  <c r="R892" i="6"/>
  <c r="R763" i="6"/>
  <c r="P1284" i="6"/>
  <c r="P1266" i="6"/>
  <c r="O1276" i="6"/>
  <c r="P1262" i="6"/>
  <c r="P1015" i="6"/>
  <c r="Q1404" i="6"/>
  <c r="Q1482" i="6"/>
  <c r="P266" i="6"/>
  <c r="P281" i="6"/>
  <c r="P851" i="6"/>
  <c r="Q1525" i="6"/>
  <c r="P817" i="6"/>
  <c r="O1573" i="6"/>
  <c r="P1757" i="6"/>
  <c r="R1251" i="6"/>
  <c r="R1074" i="6"/>
  <c r="P972" i="6"/>
  <c r="O246" i="6"/>
  <c r="Q737" i="6"/>
  <c r="Q952" i="6"/>
  <c r="Q1212" i="6"/>
  <c r="O1708" i="6"/>
  <c r="O1707" i="6"/>
  <c r="O1698" i="6"/>
  <c r="O440" i="6"/>
  <c r="O442" i="6"/>
  <c r="O421" i="6"/>
  <c r="O458" i="6"/>
  <c r="Q1180" i="6"/>
  <c r="R1475" i="6"/>
  <c r="O322" i="6"/>
  <c r="Q392" i="6"/>
  <c r="Q1306" i="6"/>
  <c r="O1681" i="6"/>
  <c r="Q1322" i="6"/>
  <c r="R1683" i="6"/>
  <c r="Q838" i="6"/>
  <c r="R923" i="6"/>
  <c r="Q1320" i="6"/>
  <c r="Q1485" i="6"/>
  <c r="Q1750" i="6"/>
  <c r="P759" i="6"/>
  <c r="O766" i="6"/>
  <c r="O493" i="6"/>
  <c r="O509" i="6"/>
  <c r="Q827" i="6"/>
  <c r="R1108" i="6"/>
  <c r="R1246" i="6"/>
  <c r="Q1474" i="6"/>
  <c r="R1655" i="6"/>
  <c r="R1142" i="6"/>
  <c r="Q1225" i="6"/>
  <c r="R1241" i="6"/>
  <c r="Q1288" i="6"/>
  <c r="P902" i="6"/>
  <c r="R1550" i="6"/>
  <c r="R1013" i="6"/>
  <c r="Q807" i="6"/>
  <c r="P1272" i="6"/>
  <c r="P1271" i="6"/>
  <c r="O1279" i="6"/>
  <c r="P1270" i="6"/>
  <c r="P1033" i="6"/>
  <c r="P270" i="6"/>
  <c r="P862" i="6"/>
  <c r="P151" i="6"/>
  <c r="O1562" i="6"/>
  <c r="R580" i="6"/>
  <c r="R1713" i="6"/>
  <c r="O990" i="6"/>
  <c r="O999" i="6"/>
  <c r="Q232" i="6"/>
  <c r="R547" i="6"/>
  <c r="R952" i="6"/>
  <c r="Q1338" i="6"/>
  <c r="Q1654" i="6"/>
  <c r="P1710" i="6"/>
  <c r="O1706" i="6"/>
  <c r="O444" i="6"/>
  <c r="O230" i="6"/>
  <c r="P1726" i="6"/>
  <c r="O329" i="6"/>
  <c r="R444" i="6"/>
  <c r="R1518" i="6"/>
  <c r="R1540" i="6"/>
  <c r="Q1121" i="6"/>
  <c r="Q1787" i="6"/>
  <c r="R1067" i="6"/>
  <c r="Q1539" i="6"/>
  <c r="Q353" i="6"/>
  <c r="R608" i="6"/>
  <c r="Q1407" i="6"/>
  <c r="Q1509" i="6"/>
  <c r="Q1595" i="6"/>
  <c r="Q1776" i="6"/>
  <c r="P538" i="6"/>
  <c r="O574" i="6"/>
  <c r="P220" i="6"/>
  <c r="P504" i="6"/>
  <c r="P480" i="6"/>
  <c r="Q120" i="6"/>
  <c r="Q953" i="6"/>
  <c r="Q1033" i="6"/>
  <c r="Q1179" i="6"/>
  <c r="P1712" i="6"/>
  <c r="Q1684" i="6"/>
  <c r="Q1177" i="6"/>
  <c r="R1273" i="6"/>
  <c r="R1151" i="6"/>
  <c r="Q1571" i="6"/>
  <c r="Q100" i="6"/>
  <c r="R850" i="6"/>
  <c r="R807" i="6"/>
  <c r="P1273" i="6"/>
  <c r="P1281" i="6"/>
  <c r="O1282" i="6"/>
  <c r="P1278" i="6"/>
  <c r="Q1221" i="6"/>
  <c r="R1457" i="6"/>
  <c r="O275" i="6"/>
  <c r="P278" i="6"/>
  <c r="P876" i="6"/>
  <c r="P870" i="6"/>
  <c r="P1383" i="6"/>
  <c r="P833" i="6"/>
  <c r="P160" i="6"/>
  <c r="O392" i="6"/>
  <c r="Q431" i="6"/>
  <c r="Q575" i="6"/>
  <c r="R936" i="6"/>
  <c r="P115" i="6"/>
  <c r="O1683" i="6"/>
  <c r="R751" i="6"/>
  <c r="O1619" i="6"/>
  <c r="O1624" i="6"/>
  <c r="O687" i="6"/>
  <c r="R1249" i="6"/>
  <c r="O622" i="6"/>
  <c r="R232" i="6"/>
  <c r="Q691" i="6"/>
  <c r="Q1143" i="6"/>
  <c r="R1212" i="6"/>
  <c r="Q1583" i="6"/>
  <c r="R1473" i="6"/>
  <c r="O453" i="6"/>
  <c r="R1145" i="6"/>
  <c r="O344" i="6"/>
  <c r="O348" i="6"/>
  <c r="O337" i="6"/>
  <c r="O319" i="6"/>
  <c r="R117" i="6"/>
  <c r="Q1176" i="6"/>
  <c r="P1681" i="6"/>
  <c r="R1192" i="6"/>
  <c r="R1635" i="6"/>
  <c r="Q1175" i="6"/>
  <c r="R1335" i="6"/>
  <c r="Q131" i="6"/>
  <c r="R838" i="6"/>
  <c r="R1407" i="6"/>
  <c r="Q1289" i="6"/>
  <c r="R1485" i="6"/>
  <c r="R1633" i="6"/>
  <c r="O545" i="6"/>
  <c r="O554" i="6"/>
  <c r="O535" i="6"/>
  <c r="O577" i="6"/>
  <c r="P769" i="6"/>
  <c r="O489" i="6"/>
  <c r="R498" i="6"/>
  <c r="Q597" i="6"/>
  <c r="Q912" i="6"/>
  <c r="R1213" i="6"/>
  <c r="R1474" i="6"/>
  <c r="P1714" i="6"/>
  <c r="Q1602" i="6"/>
  <c r="Q1562" i="6"/>
  <c r="R1304" i="6"/>
  <c r="Q1614" i="6"/>
  <c r="Q1649" i="6"/>
  <c r="P931" i="6"/>
  <c r="P918" i="6"/>
  <c r="Q268" i="6"/>
  <c r="R528" i="6"/>
  <c r="Q850" i="6"/>
  <c r="P1264" i="6"/>
  <c r="R1124" i="6"/>
  <c r="O1285" i="6"/>
  <c r="P1286" i="6"/>
  <c r="Q1612" i="6"/>
  <c r="P1018" i="6"/>
  <c r="O272" i="6"/>
  <c r="P847" i="6"/>
  <c r="P183" i="6"/>
  <c r="P163" i="6"/>
  <c r="Q629" i="6"/>
  <c r="R761" i="6"/>
  <c r="R1229" i="6"/>
  <c r="P1759" i="6"/>
  <c r="R1226" i="6"/>
  <c r="Q1697" i="6"/>
  <c r="Q1641" i="6"/>
  <c r="Q1273" i="6"/>
  <c r="Q995" i="6"/>
  <c r="O955" i="6"/>
  <c r="O889" i="6"/>
  <c r="O1026" i="6"/>
  <c r="Q1286" i="6"/>
  <c r="P294" i="6"/>
  <c r="O268" i="6"/>
  <c r="O861" i="6"/>
  <c r="O857" i="6"/>
  <c r="P744" i="6"/>
  <c r="Q581" i="6"/>
  <c r="R716" i="6"/>
  <c r="P1367" i="6"/>
  <c r="R190" i="6"/>
  <c r="R1597" i="6"/>
  <c r="R1710" i="6"/>
  <c r="O1711" i="6"/>
  <c r="Q1469" i="6"/>
  <c r="O1735" i="6"/>
  <c r="O1366" i="6"/>
  <c r="O388" i="6"/>
  <c r="R774" i="6"/>
  <c r="Q722" i="6"/>
  <c r="R805" i="6"/>
  <c r="O1380" i="6"/>
  <c r="R246" i="6"/>
  <c r="Q1462" i="6"/>
  <c r="Q1788" i="6"/>
  <c r="P1640" i="6"/>
  <c r="O1742" i="6"/>
  <c r="O111" i="6"/>
  <c r="P1012" i="6"/>
  <c r="O863" i="6"/>
  <c r="R903" i="6"/>
  <c r="P344" i="6"/>
  <c r="Q117" i="6"/>
  <c r="R642" i="6"/>
  <c r="Q1030" i="6"/>
  <c r="Q1420" i="6"/>
  <c r="P1682" i="6"/>
  <c r="P1683" i="6"/>
  <c r="O1670" i="6"/>
  <c r="R610" i="6"/>
  <c r="R840" i="6"/>
  <c r="R1084" i="6"/>
  <c r="R1668" i="6"/>
  <c r="Q1683" i="6"/>
  <c r="Q1760" i="6"/>
  <c r="P1664" i="6"/>
  <c r="O550" i="6"/>
  <c r="O571" i="6"/>
  <c r="O785" i="6"/>
  <c r="Q283" i="6"/>
  <c r="R1208" i="6"/>
  <c r="O1646" i="6"/>
  <c r="R1110" i="6"/>
  <c r="Q1606" i="6"/>
  <c r="O959" i="6"/>
  <c r="P1774" i="6"/>
  <c r="R1676" i="6"/>
  <c r="P879" i="6"/>
  <c r="AA30" i="6"/>
  <c r="O225" i="6"/>
  <c r="O112" i="6"/>
  <c r="O862" i="6"/>
  <c r="O1270" i="6"/>
  <c r="O589" i="6"/>
  <c r="O169" i="6"/>
  <c r="O775" i="6"/>
  <c r="Q1588" i="6"/>
  <c r="O280" i="6"/>
  <c r="Q1594" i="6"/>
  <c r="Q1596" i="6"/>
  <c r="O904" i="6"/>
  <c r="O945" i="6"/>
  <c r="Q1592" i="6"/>
  <c r="Q1582" i="6"/>
  <c r="O819" i="6"/>
  <c r="O387" i="6"/>
  <c r="O1025" i="6"/>
  <c r="R48" i="6"/>
  <c r="V48" i="6" s="1"/>
  <c r="O1023" i="6"/>
  <c r="O332" i="6"/>
  <c r="O902" i="6"/>
  <c r="Q1551" i="6"/>
  <c r="O1268" i="6"/>
  <c r="O167" i="6"/>
  <c r="Q1555" i="6"/>
  <c r="R44" i="6"/>
  <c r="S44" i="6" s="1"/>
  <c r="O381" i="6"/>
  <c r="O813" i="6"/>
  <c r="O856" i="6"/>
  <c r="Q1461" i="6"/>
  <c r="O274" i="6"/>
  <c r="Q1445" i="6"/>
  <c r="Q1453" i="6"/>
  <c r="O106" i="6"/>
  <c r="O1019" i="6"/>
  <c r="O219" i="6"/>
  <c r="O163" i="6"/>
  <c r="O898" i="6"/>
  <c r="Q1457" i="6"/>
  <c r="O484" i="6"/>
  <c r="O724" i="6"/>
  <c r="O712" i="6"/>
  <c r="P456" i="6"/>
  <c r="P606" i="6"/>
  <c r="Q872" i="6"/>
  <c r="R1711" i="6"/>
  <c r="O966" i="6"/>
  <c r="O927" i="6"/>
  <c r="Q1677" i="6"/>
  <c r="R1737" i="6"/>
  <c r="R37" i="6"/>
  <c r="S37" i="6" s="1"/>
  <c r="O374" i="6"/>
  <c r="Q1254" i="6"/>
  <c r="Q1242" i="6"/>
  <c r="O932" i="6"/>
  <c r="Q1253" i="6"/>
  <c r="Q1258" i="6"/>
  <c r="O806" i="6"/>
  <c r="Q1256" i="6"/>
  <c r="Q1244" i="6"/>
  <c r="O267" i="6"/>
  <c r="O849" i="6"/>
  <c r="O156" i="6"/>
  <c r="O1012" i="6"/>
  <c r="Q1726" i="6"/>
  <c r="O730" i="6"/>
  <c r="P1711" i="6"/>
  <c r="Q955" i="6"/>
  <c r="Q1699" i="6"/>
  <c r="O1291" i="6"/>
  <c r="R1738" i="6"/>
  <c r="R1736" i="6"/>
  <c r="O1219" i="6"/>
  <c r="P1783" i="6"/>
  <c r="R1756" i="6"/>
  <c r="R1748" i="6"/>
  <c r="R1769" i="6"/>
  <c r="R1729" i="6"/>
  <c r="R1593" i="6"/>
  <c r="R1763" i="6"/>
  <c r="Q1664" i="6"/>
  <c r="Q1573" i="6"/>
  <c r="Q1763" i="6"/>
  <c r="P1784" i="6"/>
  <c r="Q1756" i="6"/>
  <c r="O1784" i="6"/>
  <c r="Q1769" i="6"/>
  <c r="R1739" i="6"/>
  <c r="Q1739" i="6"/>
  <c r="Q1729" i="6"/>
  <c r="R1693" i="6"/>
  <c r="R1706" i="6"/>
  <c r="Q1693" i="6"/>
  <c r="O1783" i="6"/>
  <c r="Q1706" i="6"/>
  <c r="Q1748" i="6"/>
  <c r="Q1679" i="6"/>
  <c r="Q1593" i="6"/>
  <c r="Q1483" i="6"/>
  <c r="P1785" i="6"/>
  <c r="O1785" i="6"/>
  <c r="R1432" i="6"/>
  <c r="R1774" i="6"/>
  <c r="R1573" i="6"/>
  <c r="Q1774" i="6"/>
  <c r="R1718" i="6"/>
  <c r="R1530" i="6"/>
  <c r="Q1718" i="6"/>
  <c r="Q1530" i="6"/>
  <c r="R1664" i="6"/>
  <c r="R1648" i="6"/>
  <c r="Q1507" i="6"/>
  <c r="R1318" i="6"/>
  <c r="R1631" i="6"/>
  <c r="Q1631" i="6"/>
  <c r="R1458" i="6"/>
  <c r="Q1458" i="6"/>
  <c r="Q1432" i="6"/>
  <c r="R1405" i="6"/>
  <c r="R1613" i="6"/>
  <c r="Q1405" i="6"/>
  <c r="Q1613" i="6"/>
  <c r="R1552" i="6"/>
  <c r="Q1552" i="6"/>
  <c r="R1679" i="6"/>
  <c r="Q1222" i="6"/>
  <c r="R1483" i="6"/>
  <c r="R1255" i="6"/>
  <c r="R1348" i="6"/>
  <c r="Q1348" i="6"/>
  <c r="R1507" i="6"/>
  <c r="R1287" i="6"/>
  <c r="Q1648" i="6"/>
  <c r="R1153" i="6"/>
  <c r="Q1287" i="6"/>
  <c r="R1222" i="6"/>
  <c r="Q1318" i="6"/>
  <c r="R1377" i="6"/>
  <c r="Q1377" i="6"/>
  <c r="Q1255" i="6"/>
  <c r="R1117" i="6"/>
  <c r="Q1117" i="6"/>
  <c r="R1188" i="6"/>
  <c r="Q1188" i="6"/>
  <c r="R1042" i="6"/>
  <c r="R1002" i="6"/>
  <c r="R962" i="6"/>
  <c r="Q1042" i="6"/>
  <c r="Q1002" i="6"/>
  <c r="Q962" i="6"/>
  <c r="Q792" i="6"/>
  <c r="R1080" i="6"/>
  <c r="Q1153" i="6"/>
  <c r="Q1080" i="6"/>
  <c r="R792" i="6"/>
  <c r="R836" i="6"/>
  <c r="Q836" i="6"/>
  <c r="R606" i="6"/>
  <c r="R921" i="6"/>
  <c r="R404" i="6"/>
  <c r="R701" i="6"/>
  <c r="Q701" i="6"/>
  <c r="R747" i="6"/>
  <c r="Q747" i="6"/>
  <c r="R557" i="6"/>
  <c r="R507" i="6"/>
  <c r="Q921" i="6"/>
  <c r="R654" i="6"/>
  <c r="Q557" i="6"/>
  <c r="Q507" i="6"/>
  <c r="Q654" i="6"/>
  <c r="Q606" i="6"/>
  <c r="Q879" i="6"/>
  <c r="R456" i="6"/>
  <c r="R297" i="6"/>
  <c r="R129" i="6"/>
  <c r="Q456" i="6"/>
  <c r="Q297" i="6"/>
  <c r="Q129" i="6"/>
  <c r="R351" i="6"/>
  <c r="Q351" i="6"/>
  <c r="R879" i="6"/>
  <c r="R242" i="6"/>
  <c r="Q242" i="6"/>
  <c r="Q404" i="6"/>
  <c r="Q186" i="6"/>
  <c r="R186" i="6"/>
  <c r="P351" i="6"/>
  <c r="P186" i="6"/>
  <c r="P836" i="6"/>
  <c r="P1287" i="6"/>
  <c r="P1693" i="6"/>
  <c r="P1042" i="6"/>
  <c r="P921" i="6"/>
  <c r="P1756" i="6"/>
  <c r="P962" i="6"/>
  <c r="P404" i="6"/>
  <c r="P747" i="6"/>
  <c r="P242" i="6"/>
  <c r="P129" i="6"/>
  <c r="P297" i="6"/>
  <c r="R1784" i="6"/>
  <c r="R32" i="6"/>
  <c r="W32" i="6" s="1"/>
  <c r="Q1067" i="6"/>
  <c r="O262" i="6"/>
  <c r="Q1079" i="6"/>
  <c r="O1007" i="6"/>
  <c r="O844" i="6"/>
  <c r="Q1051" i="6"/>
  <c r="Q1078" i="6"/>
  <c r="Q1083" i="6"/>
  <c r="Q1069" i="6"/>
  <c r="O522" i="6"/>
  <c r="Z46" i="6"/>
  <c r="O1745" i="6"/>
  <c r="O651" i="6"/>
  <c r="P1699" i="6"/>
  <c r="Q285" i="6"/>
  <c r="Q689" i="6"/>
  <c r="Q1446" i="6"/>
  <c r="R1420" i="6"/>
  <c r="O1672" i="6"/>
  <c r="R511" i="6"/>
  <c r="Q925" i="6"/>
  <c r="R1462" i="6"/>
  <c r="Q1778" i="6"/>
  <c r="Q1652" i="6"/>
  <c r="R1697" i="6"/>
  <c r="P1657" i="6"/>
  <c r="R67" i="6"/>
  <c r="S67" i="6" s="1"/>
  <c r="O1686" i="6"/>
  <c r="Y23" i="6"/>
  <c r="R640" i="6"/>
  <c r="Q1493" i="6"/>
  <c r="O1647" i="6"/>
  <c r="Q290" i="6"/>
  <c r="R995" i="6"/>
  <c r="Q1686" i="6"/>
  <c r="P1532" i="6"/>
  <c r="P1524" i="6"/>
  <c r="P1516" i="6"/>
  <c r="O1526" i="6"/>
  <c r="P1523" i="6"/>
  <c r="O1523" i="6"/>
  <c r="P1520" i="6"/>
  <c r="P1534" i="6"/>
  <c r="O1520" i="6"/>
  <c r="P1517" i="6"/>
  <c r="O1534" i="6"/>
  <c r="P1531" i="6"/>
  <c r="O1517" i="6"/>
  <c r="P1514" i="6"/>
  <c r="O1531" i="6"/>
  <c r="P1528" i="6"/>
  <c r="O1514" i="6"/>
  <c r="O1528" i="6"/>
  <c r="P1525" i="6"/>
  <c r="O1525" i="6"/>
  <c r="P1522" i="6"/>
  <c r="O1522" i="6"/>
  <c r="P1519" i="6"/>
  <c r="P1533" i="6"/>
  <c r="O1533" i="6"/>
  <c r="O1518" i="6"/>
  <c r="R1267" i="6"/>
  <c r="R1235" i="6"/>
  <c r="P1529" i="6"/>
  <c r="P1512" i="6"/>
  <c r="Q1267" i="6"/>
  <c r="Q1235" i="6"/>
  <c r="O1529" i="6"/>
  <c r="O1516" i="6"/>
  <c r="O1512" i="6"/>
  <c r="R1328" i="6"/>
  <c r="Q1328" i="6"/>
  <c r="P1527" i="6"/>
  <c r="P1521" i="6"/>
  <c r="R1357" i="6"/>
  <c r="O1527" i="6"/>
  <c r="O1521" i="6"/>
  <c r="R1438" i="6"/>
  <c r="Q1438" i="6"/>
  <c r="P1515" i="6"/>
  <c r="Q1298" i="6"/>
  <c r="O1524" i="6"/>
  <c r="R1412" i="6"/>
  <c r="O1519" i="6"/>
  <c r="Q1412" i="6"/>
  <c r="P1518" i="6"/>
  <c r="O1532" i="6"/>
  <c r="O1515" i="6"/>
  <c r="Q1385" i="6"/>
  <c r="O1530" i="6"/>
  <c r="P1513" i="6"/>
  <c r="Q1463" i="6"/>
  <c r="O1513" i="6"/>
  <c r="R1133" i="6"/>
  <c r="R1385" i="6"/>
  <c r="R1202" i="6"/>
  <c r="R1298" i="6"/>
  <c r="Q1357" i="6"/>
  <c r="R1463" i="6"/>
  <c r="P1530" i="6"/>
  <c r="R1168" i="6"/>
  <c r="P1526" i="6"/>
  <c r="Q1168" i="6"/>
  <c r="R1097" i="6"/>
  <c r="Q1097" i="6"/>
  <c r="Q942" i="6"/>
  <c r="R859" i="6"/>
  <c r="R982" i="6"/>
  <c r="Q982" i="6"/>
  <c r="Q816" i="6"/>
  <c r="Q1133" i="6"/>
  <c r="R901" i="6"/>
  <c r="Q901" i="6"/>
  <c r="R1022" i="6"/>
  <c r="Q1022" i="6"/>
  <c r="R1060" i="6"/>
  <c r="Q1202" i="6"/>
  <c r="R816" i="6"/>
  <c r="Q1060" i="6"/>
  <c r="R727" i="6"/>
  <c r="Q681" i="6"/>
  <c r="Q727" i="6"/>
  <c r="Q436" i="6"/>
  <c r="R537" i="6"/>
  <c r="R772" i="6"/>
  <c r="Q537" i="6"/>
  <c r="Q772" i="6"/>
  <c r="Q859" i="6"/>
  <c r="R487" i="6"/>
  <c r="R681" i="6"/>
  <c r="R384" i="6"/>
  <c r="R586" i="6"/>
  <c r="R634" i="6"/>
  <c r="Q634" i="6"/>
  <c r="Q586" i="6"/>
  <c r="R222" i="6"/>
  <c r="R166" i="6"/>
  <c r="Q222" i="6"/>
  <c r="Q166" i="6"/>
  <c r="R331" i="6"/>
  <c r="Q331" i="6"/>
  <c r="R942" i="6"/>
  <c r="Q384" i="6"/>
  <c r="Q487" i="6"/>
  <c r="R109" i="6"/>
  <c r="R436" i="6"/>
  <c r="Q109" i="6"/>
  <c r="Q277" i="6"/>
  <c r="R277" i="6"/>
  <c r="P1267" i="6"/>
  <c r="R1528" i="6"/>
  <c r="P277" i="6"/>
  <c r="P859" i="6"/>
  <c r="P384" i="6"/>
  <c r="R1531" i="6"/>
  <c r="R1519" i="6"/>
  <c r="P166" i="6"/>
  <c r="R1533" i="6"/>
  <c r="P1022" i="6"/>
  <c r="P222" i="6"/>
  <c r="R1525" i="6"/>
  <c r="P727" i="6"/>
  <c r="P816" i="6"/>
  <c r="P1631" i="6"/>
  <c r="R1735" i="6"/>
  <c r="P1002" i="6"/>
  <c r="P995" i="6"/>
  <c r="AB15" i="6"/>
  <c r="O117" i="6"/>
  <c r="O867" i="6"/>
  <c r="Q1540" i="6"/>
  <c r="O1679" i="6"/>
  <c r="R1275" i="6"/>
  <c r="R1393" i="6"/>
  <c r="Q950" i="6"/>
  <c r="Q545" i="6"/>
  <c r="Q642" i="6"/>
  <c r="O285" i="6"/>
  <c r="Q1670" i="6"/>
  <c r="O1678" i="6"/>
  <c r="P1673" i="6"/>
  <c r="R1243" i="6"/>
  <c r="Q1393" i="6"/>
  <c r="R867" i="6"/>
  <c r="R824" i="6"/>
  <c r="R594" i="6"/>
  <c r="O824" i="6"/>
  <c r="O1636" i="6"/>
  <c r="Q1672" i="6"/>
  <c r="O735" i="6"/>
  <c r="O1275" i="6"/>
  <c r="O909" i="6"/>
  <c r="Q1674" i="6"/>
  <c r="O174" i="6"/>
  <c r="Q1678" i="6"/>
  <c r="O1030" i="6"/>
  <c r="Q1682" i="6"/>
  <c r="R285" i="6"/>
  <c r="R545" i="6"/>
  <c r="Q1141" i="6"/>
  <c r="R1176" i="6"/>
  <c r="Q1561" i="6"/>
  <c r="P1672" i="6"/>
  <c r="Q355" i="6"/>
  <c r="R966" i="6"/>
  <c r="Q1409" i="6"/>
  <c r="R1760" i="6"/>
  <c r="Q1733" i="6"/>
  <c r="R1785" i="6"/>
  <c r="P599" i="6"/>
  <c r="O782" i="6"/>
  <c r="P1718" i="6"/>
  <c r="R687" i="6"/>
  <c r="R1493" i="6"/>
  <c r="P1647" i="6"/>
  <c r="R290" i="6"/>
  <c r="Q1146" i="6"/>
  <c r="O1739" i="6"/>
  <c r="R33" i="6"/>
  <c r="W33" i="6" s="1"/>
  <c r="O802" i="6"/>
  <c r="Q1088" i="6"/>
  <c r="O758" i="6"/>
  <c r="O887" i="6"/>
  <c r="Q1115" i="6"/>
  <c r="O928" i="6"/>
  <c r="O1008" i="6"/>
  <c r="Q1116" i="6"/>
  <c r="Q1106" i="6"/>
  <c r="O370" i="6"/>
  <c r="O299" i="6"/>
  <c r="O666" i="6"/>
  <c r="P1748" i="6"/>
  <c r="Q1669" i="6"/>
  <c r="R64" i="6"/>
  <c r="W64" i="6" s="1"/>
  <c r="O876" i="6"/>
  <c r="O294" i="6"/>
  <c r="R1753" i="6"/>
  <c r="R1690" i="6"/>
  <c r="P1771" i="6"/>
  <c r="R1402" i="6"/>
  <c r="Q1150" i="6"/>
  <c r="R959" i="6"/>
  <c r="R744" i="6"/>
  <c r="O183" i="6"/>
  <c r="R1745" i="6"/>
  <c r="O1773" i="6"/>
  <c r="R1715" i="6"/>
  <c r="R1504" i="6"/>
  <c r="Q918" i="6"/>
  <c r="Q876" i="6"/>
  <c r="R348" i="6"/>
  <c r="O1753" i="6"/>
  <c r="O1771" i="6"/>
  <c r="P1769" i="6"/>
  <c r="P1768" i="6"/>
  <c r="Q1402" i="6"/>
  <c r="R1077" i="6"/>
  <c r="Q959" i="6"/>
  <c r="R294" i="6"/>
  <c r="O603" i="6"/>
  <c r="R1661" i="6"/>
  <c r="R1703" i="6"/>
  <c r="Q1715" i="6"/>
  <c r="R1549" i="6"/>
  <c r="R1185" i="6"/>
  <c r="R833" i="6"/>
  <c r="Q348" i="6"/>
  <c r="O1661" i="6"/>
  <c r="Q1610" i="6"/>
  <c r="Q1690" i="6"/>
  <c r="O1768" i="6"/>
  <c r="R1252" i="6"/>
  <c r="Q1077" i="6"/>
  <c r="Q833" i="6"/>
  <c r="Q294" i="6"/>
  <c r="Q1590" i="6"/>
  <c r="O1769" i="6"/>
  <c r="R1374" i="6"/>
  <c r="Q1504" i="6"/>
  <c r="Q1185" i="6"/>
  <c r="Q789" i="6"/>
  <c r="R401" i="6"/>
  <c r="Q1770" i="6"/>
  <c r="Q1772" i="6"/>
  <c r="O1715" i="6"/>
  <c r="R1570" i="6"/>
  <c r="Q1745" i="6"/>
  <c r="R1455" i="6"/>
  <c r="Q1374" i="6"/>
  <c r="Q744" i="6"/>
  <c r="R651" i="6"/>
  <c r="R239" i="6"/>
  <c r="Q1768" i="6"/>
  <c r="Q1753" i="6"/>
  <c r="O1772" i="6"/>
  <c r="Q1455" i="6"/>
  <c r="R1284" i="6"/>
  <c r="R1039" i="6"/>
  <c r="Q651" i="6"/>
  <c r="Q239" i="6"/>
  <c r="O1690" i="6"/>
  <c r="O833" i="6"/>
  <c r="Q1661" i="6"/>
  <c r="R1480" i="6"/>
  <c r="R1315" i="6"/>
  <c r="R1590" i="6"/>
  <c r="Q1039" i="6"/>
  <c r="R554" i="6"/>
  <c r="R453" i="6"/>
  <c r="O744" i="6"/>
  <c r="Q1570" i="6"/>
  <c r="Q1480" i="6"/>
  <c r="R1219" i="6"/>
  <c r="R1345" i="6"/>
  <c r="Q1114" i="6"/>
  <c r="R504" i="6"/>
  <c r="R918" i="6"/>
  <c r="P1770" i="6"/>
  <c r="R1645" i="6"/>
  <c r="R1628" i="6"/>
  <c r="Q1219" i="6"/>
  <c r="R789" i="6"/>
  <c r="Q401" i="6"/>
  <c r="Q453" i="6"/>
  <c r="R1726" i="6"/>
  <c r="Q1645" i="6"/>
  <c r="Q1628" i="6"/>
  <c r="Q1252" i="6"/>
  <c r="Q999" i="6"/>
  <c r="Q504" i="6"/>
  <c r="R183" i="6"/>
  <c r="O1770" i="6"/>
  <c r="P1773" i="6"/>
  <c r="R1610" i="6"/>
  <c r="Q1527" i="6"/>
  <c r="Q1549" i="6"/>
  <c r="R1114" i="6"/>
  <c r="R603" i="6"/>
  <c r="Q183" i="6"/>
  <c r="Q1703" i="6"/>
  <c r="Q1736" i="6"/>
  <c r="R1527" i="6"/>
  <c r="R1429" i="6"/>
  <c r="R1150" i="6"/>
  <c r="Q698" i="6"/>
  <c r="Q603" i="6"/>
  <c r="Q126" i="6"/>
  <c r="O1039" i="6"/>
  <c r="O207" i="6"/>
  <c r="O1726" i="6"/>
  <c r="O316" i="6"/>
  <c r="Q735" i="6"/>
  <c r="R689" i="6"/>
  <c r="Q1068" i="6"/>
  <c r="Q1636" i="6"/>
  <c r="O1677" i="6"/>
  <c r="O1675" i="6"/>
  <c r="Q301" i="6"/>
  <c r="R705" i="6"/>
  <c r="R925" i="6"/>
  <c r="R1487" i="6"/>
  <c r="Q1617" i="6"/>
  <c r="Q1773" i="6"/>
  <c r="Q1767" i="6"/>
  <c r="O561" i="6"/>
  <c r="O757" i="6"/>
  <c r="P785" i="6"/>
  <c r="O789" i="6"/>
  <c r="O477" i="6"/>
  <c r="Q907" i="6"/>
  <c r="Q1579" i="6"/>
  <c r="O1650" i="6"/>
  <c r="Q344" i="6"/>
  <c r="Q1341" i="6"/>
  <c r="P1742" i="6"/>
  <c r="P914" i="6"/>
  <c r="Q1737" i="6"/>
  <c r="R126" i="6"/>
  <c r="P694" i="6"/>
  <c r="P1729" i="6"/>
  <c r="Q339" i="6"/>
  <c r="Q444" i="6"/>
  <c r="R1141" i="6"/>
  <c r="Q1495" i="6"/>
  <c r="Q1471" i="6"/>
  <c r="R1561" i="6"/>
  <c r="Q133" i="6"/>
  <c r="Q561" i="6"/>
  <c r="Q840" i="6"/>
  <c r="R1322" i="6"/>
  <c r="Q1782" i="6"/>
  <c r="R1787" i="6"/>
  <c r="R57" i="6"/>
  <c r="V57" i="6" s="1"/>
  <c r="O826" i="6"/>
  <c r="Q1705" i="6"/>
  <c r="O911" i="6"/>
  <c r="O952" i="6"/>
  <c r="O869" i="6"/>
  <c r="O1277" i="6"/>
  <c r="O176" i="6"/>
  <c r="Q1707" i="6"/>
  <c r="Q1709" i="6"/>
  <c r="Q1701" i="6"/>
  <c r="O737" i="6"/>
  <c r="O287" i="6"/>
  <c r="O594" i="6"/>
  <c r="R60" i="6"/>
  <c r="W60" i="6" s="1"/>
  <c r="P792" i="6"/>
  <c r="Q778" i="6"/>
  <c r="Q1304" i="6"/>
  <c r="P1650" i="6"/>
  <c r="Q179" i="6"/>
  <c r="Q1110" i="6"/>
  <c r="O394" i="6"/>
  <c r="R698" i="6"/>
  <c r="Q1112" i="6"/>
  <c r="O151" i="6"/>
  <c r="Q1076" i="6"/>
  <c r="P701" i="6"/>
  <c r="Q495" i="6"/>
  <c r="R780" i="6"/>
  <c r="Q1210" i="6"/>
  <c r="R1495" i="6"/>
  <c r="P1677" i="6"/>
  <c r="Q1581" i="6"/>
  <c r="R133" i="6"/>
  <c r="R1157" i="6"/>
  <c r="R883" i="6"/>
  <c r="Q1381" i="6"/>
  <c r="R1782" i="6"/>
  <c r="Q1635" i="6"/>
  <c r="AB20" i="6"/>
  <c r="O235" i="6"/>
  <c r="O122" i="6"/>
  <c r="O740" i="6"/>
  <c r="O179" i="6"/>
  <c r="Q1624" i="6"/>
  <c r="P1741" i="6"/>
  <c r="R1523" i="6"/>
  <c r="R1248" i="6"/>
  <c r="R1181" i="6"/>
  <c r="Q550" i="6"/>
  <c r="R235" i="6"/>
  <c r="Q1740" i="6"/>
  <c r="O1657" i="6"/>
  <c r="O1740" i="6"/>
  <c r="Q1657" i="6"/>
  <c r="R1073" i="6"/>
  <c r="R914" i="6"/>
  <c r="R344" i="6"/>
  <c r="R122" i="6"/>
  <c r="Q1742" i="6"/>
  <c r="O1035" i="6"/>
  <c r="R1672" i="6"/>
  <c r="Q1566" i="6"/>
  <c r="Q1523" i="6"/>
  <c r="R1586" i="6"/>
  <c r="Q1181" i="6"/>
  <c r="R872" i="6"/>
  <c r="Q122" i="6"/>
  <c r="O1641" i="6"/>
  <c r="O1280" i="6"/>
  <c r="R1500" i="6"/>
  <c r="Q1476" i="6"/>
  <c r="R1311" i="6"/>
  <c r="R1035" i="6"/>
  <c r="Q694" i="6"/>
  <c r="R179" i="6"/>
  <c r="O1738" i="6"/>
  <c r="R1545" i="6"/>
  <c r="O1741" i="6"/>
  <c r="Q1545" i="6"/>
  <c r="R1280" i="6"/>
  <c r="Q1035" i="6"/>
  <c r="R500" i="6"/>
  <c r="R449" i="6"/>
  <c r="Q1711" i="6"/>
  <c r="Q1500" i="6"/>
  <c r="Q1451" i="6"/>
  <c r="Q1311" i="6"/>
  <c r="Q914" i="6"/>
  <c r="R740" i="6"/>
  <c r="Q449" i="6"/>
  <c r="P1743" i="6"/>
  <c r="P1736" i="6"/>
  <c r="R1451" i="6"/>
  <c r="R1341" i="6"/>
  <c r="Q1280" i="6"/>
  <c r="Q829" i="6"/>
  <c r="Q599" i="6"/>
  <c r="P1735" i="6"/>
  <c r="P1739" i="6"/>
  <c r="P1738" i="6"/>
  <c r="R1370" i="6"/>
  <c r="R1215" i="6"/>
  <c r="Q785" i="6"/>
  <c r="Q740" i="6"/>
  <c r="O872" i="6"/>
  <c r="P1740" i="6"/>
  <c r="O1736" i="6"/>
  <c r="R1606" i="6"/>
  <c r="Q1370" i="6"/>
  <c r="R1146" i="6"/>
  <c r="Q500" i="6"/>
  <c r="R599" i="6"/>
  <c r="O290" i="6"/>
  <c r="O829" i="6"/>
  <c r="O397" i="6"/>
  <c r="O914" i="6"/>
  <c r="O1734" i="6"/>
  <c r="R1699" i="6"/>
  <c r="P1734" i="6"/>
  <c r="Q1398" i="6"/>
  <c r="R955" i="6"/>
  <c r="R785" i="6"/>
  <c r="Q397" i="6"/>
  <c r="R71" i="6"/>
  <c r="W71" i="6" s="1"/>
  <c r="Q1743" i="6"/>
  <c r="Q1710" i="6"/>
  <c r="R1767" i="6"/>
  <c r="R1291" i="6"/>
  <c r="Q1226" i="6"/>
  <c r="Q1046" i="6"/>
  <c r="Q705" i="6"/>
  <c r="Q408" i="6"/>
  <c r="R1788" i="6"/>
  <c r="R1652" i="6"/>
  <c r="Q1534" i="6"/>
  <c r="R1259" i="6"/>
  <c r="R1121" i="6"/>
  <c r="Q1084" i="6"/>
  <c r="R460" i="6"/>
  <c r="R301" i="6"/>
  <c r="R1556" i="6"/>
  <c r="R1752" i="6"/>
  <c r="R1778" i="6"/>
  <c r="O780" i="6"/>
  <c r="O796" i="6"/>
  <c r="R778" i="6"/>
  <c r="R1139" i="6"/>
  <c r="P1636" i="6"/>
  <c r="Q235" i="6"/>
  <c r="Q1425" i="6"/>
  <c r="O950" i="6"/>
  <c r="Q554" i="6"/>
  <c r="O860" i="6"/>
  <c r="O883" i="6"/>
  <c r="O401" i="6"/>
  <c r="O728" i="6"/>
  <c r="Q1734" i="6"/>
  <c r="P122" i="6"/>
  <c r="P235" i="6"/>
  <c r="R1742" i="6"/>
  <c r="P500" i="6"/>
  <c r="P1641" i="6"/>
  <c r="P550" i="6"/>
  <c r="R1734" i="6"/>
  <c r="P872" i="6"/>
  <c r="P397" i="6"/>
  <c r="P829" i="6"/>
  <c r="P955" i="6"/>
  <c r="P740" i="6"/>
  <c r="P290" i="6"/>
  <c r="P654" i="6"/>
  <c r="Q1072" i="6"/>
  <c r="R339" i="6"/>
  <c r="R950" i="6"/>
  <c r="R1306" i="6"/>
  <c r="R1365" i="6"/>
  <c r="R1471" i="6"/>
  <c r="P1675" i="6"/>
  <c r="R355" i="6"/>
  <c r="R561" i="6"/>
  <c r="Q1006" i="6"/>
  <c r="R1381" i="6"/>
  <c r="Q1511" i="6"/>
  <c r="R1733" i="6"/>
  <c r="AB13" i="6"/>
  <c r="O115" i="6"/>
  <c r="O228" i="6"/>
  <c r="Q1643" i="6"/>
  <c r="O1644" i="6"/>
  <c r="O1642" i="6"/>
  <c r="O1643" i="6"/>
  <c r="R1391" i="6"/>
  <c r="Q988" i="6"/>
  <c r="Q822" i="6"/>
  <c r="Q687" i="6"/>
  <c r="O778" i="6"/>
  <c r="O390" i="6"/>
  <c r="O1651" i="6"/>
  <c r="Q1516" i="6"/>
  <c r="Q1391" i="6"/>
  <c r="R1103" i="6"/>
  <c r="R390" i="6"/>
  <c r="R115" i="6"/>
  <c r="O543" i="6"/>
  <c r="O822" i="6"/>
  <c r="P1637" i="6"/>
  <c r="Q1363" i="6"/>
  <c r="Q1103" i="6"/>
  <c r="Q390" i="6"/>
  <c r="Q115" i="6"/>
  <c r="O283" i="6"/>
  <c r="P1638" i="6"/>
  <c r="R1599" i="6"/>
  <c r="O1640" i="6"/>
  <c r="P1648" i="6"/>
  <c r="Q1174" i="6"/>
  <c r="Q442" i="6"/>
  <c r="Q640" i="6"/>
  <c r="Q1637" i="6"/>
  <c r="O948" i="6"/>
  <c r="O1638" i="6"/>
  <c r="R1516" i="6"/>
  <c r="R1444" i="6"/>
  <c r="Q1241" i="6"/>
  <c r="R1066" i="6"/>
  <c r="R592" i="6"/>
  <c r="R172" i="6"/>
  <c r="Q1651" i="6"/>
  <c r="O865" i="6"/>
  <c r="O1273" i="6"/>
  <c r="O1637" i="6"/>
  <c r="Q1444" i="6"/>
  <c r="Q1028" i="6"/>
  <c r="Q592" i="6"/>
  <c r="R228" i="6"/>
  <c r="Q1647" i="6"/>
  <c r="P1649" i="6"/>
  <c r="Q1599" i="6"/>
  <c r="R1418" i="6"/>
  <c r="Q1066" i="6"/>
  <c r="R1028" i="6"/>
  <c r="R543" i="6"/>
  <c r="Q228" i="6"/>
  <c r="Q1646" i="6"/>
  <c r="O1649" i="6"/>
  <c r="P1645" i="6"/>
  <c r="Q1418" i="6"/>
  <c r="R1174" i="6"/>
  <c r="R948" i="6"/>
  <c r="Q543" i="6"/>
  <c r="Q172" i="6"/>
  <c r="O733" i="6"/>
  <c r="P1652" i="6"/>
  <c r="P1646" i="6"/>
  <c r="O1645" i="6"/>
  <c r="R1579" i="6"/>
  <c r="R733" i="6"/>
  <c r="Q493" i="6"/>
  <c r="R822" i="6"/>
  <c r="O1028" i="6"/>
  <c r="R53" i="6"/>
  <c r="T53" i="6" s="1"/>
  <c r="O907" i="6"/>
  <c r="Q1559" i="6"/>
  <c r="O1639" i="6"/>
  <c r="Q1538" i="6"/>
  <c r="Q1208" i="6"/>
  <c r="Q865" i="6"/>
  <c r="Q337" i="6"/>
  <c r="O472" i="6"/>
  <c r="P1686" i="6"/>
  <c r="R69" i="6"/>
  <c r="O749" i="6"/>
  <c r="O1758" i="6"/>
  <c r="O1780" i="6"/>
  <c r="O188" i="6"/>
  <c r="O1788" i="6"/>
  <c r="Q1615" i="6"/>
  <c r="Q1708" i="6"/>
  <c r="R1532" i="6"/>
  <c r="R964" i="6"/>
  <c r="R749" i="6"/>
  <c r="R353" i="6"/>
  <c r="O964" i="6"/>
  <c r="O1695" i="6"/>
  <c r="R1720" i="6"/>
  <c r="Q1460" i="6"/>
  <c r="R1379" i="6"/>
  <c r="R1257" i="6"/>
  <c r="Q964" i="6"/>
  <c r="R656" i="6"/>
  <c r="R458" i="6"/>
  <c r="O244" i="6"/>
  <c r="O881" i="6"/>
  <c r="O406" i="6"/>
  <c r="R1780" i="6"/>
  <c r="R1776" i="6"/>
  <c r="Q1554" i="6"/>
  <c r="R1509" i="6"/>
  <c r="Q1082" i="6"/>
  <c r="Q923" i="6"/>
  <c r="R509" i="6"/>
  <c r="O838" i="6"/>
  <c r="O1776" i="6"/>
  <c r="R865" i="6"/>
  <c r="R1363" i="6"/>
  <c r="P1644" i="6"/>
  <c r="R397" i="6"/>
  <c r="R1425" i="6"/>
  <c r="O1737" i="6"/>
  <c r="R876" i="6"/>
  <c r="O717" i="6"/>
  <c r="P1763" i="6"/>
  <c r="O619" i="6"/>
  <c r="P449" i="6"/>
  <c r="Q1671" i="6"/>
  <c r="O1733" i="6"/>
  <c r="R495" i="6"/>
  <c r="Q990" i="6"/>
  <c r="Q1105" i="6"/>
  <c r="Q1336" i="6"/>
  <c r="O1673" i="6"/>
  <c r="R1581" i="6"/>
  <c r="R408" i="6"/>
  <c r="Q751" i="6"/>
  <c r="Q1157" i="6"/>
  <c r="Q1352" i="6"/>
  <c r="R1511" i="6"/>
  <c r="R1743" i="6"/>
  <c r="O126" i="6"/>
  <c r="Q1681" i="6"/>
  <c r="O547" i="6"/>
  <c r="O610" i="6"/>
  <c r="O495" i="6"/>
  <c r="Q733" i="6"/>
  <c r="P1643" i="6"/>
  <c r="Q647" i="6"/>
  <c r="Q1215" i="6"/>
  <c r="R1624" i="6"/>
  <c r="O891" i="6"/>
  <c r="O1044" i="6"/>
  <c r="R999" i="6"/>
  <c r="O1382" i="6"/>
  <c r="Q1440" i="6"/>
  <c r="R1783" i="6"/>
  <c r="Q1065" i="6"/>
  <c r="O689" i="6"/>
  <c r="Z47" i="6"/>
  <c r="Q341" i="6"/>
  <c r="R737" i="6"/>
  <c r="Q1070" i="6"/>
  <c r="Q1367" i="6"/>
  <c r="Q1395" i="6"/>
  <c r="P1702" i="6"/>
  <c r="R1669" i="6"/>
  <c r="Q174" i="6"/>
  <c r="R990" i="6"/>
  <c r="R1446" i="6"/>
  <c r="R1336" i="6"/>
  <c r="Q1619" i="6"/>
  <c r="Q1601" i="6"/>
  <c r="Q190" i="6"/>
  <c r="Q883" i="6"/>
  <c r="R1409" i="6"/>
  <c r="R1352" i="6"/>
  <c r="Q1577" i="6"/>
  <c r="Q1257" i="6"/>
  <c r="Q1741" i="6"/>
  <c r="Q948" i="6"/>
  <c r="R1334" i="6"/>
  <c r="Q1073" i="6"/>
  <c r="Q1248" i="6"/>
  <c r="P1737" i="6"/>
  <c r="Q1704" i="6"/>
  <c r="O1284" i="6"/>
  <c r="R1529" i="6"/>
  <c r="Q1284" i="6"/>
  <c r="O1360" i="6"/>
  <c r="P1624" i="6"/>
  <c r="O698" i="6"/>
  <c r="AB31" i="6"/>
  <c r="O133" i="6"/>
  <c r="O1760" i="6"/>
  <c r="O751" i="6"/>
  <c r="O355" i="6"/>
  <c r="O1046" i="6"/>
  <c r="O1697" i="6"/>
  <c r="O408" i="6"/>
  <c r="O1778" i="6"/>
  <c r="O840" i="6"/>
  <c r="O1743" i="6"/>
  <c r="O1652" i="6"/>
  <c r="O301" i="6"/>
  <c r="O1782" i="6"/>
  <c r="O1722" i="6"/>
  <c r="O511" i="6"/>
  <c r="O1668" i="6"/>
  <c r="O190" i="6"/>
  <c r="Q1074" i="6"/>
  <c r="R341" i="6"/>
  <c r="Q547" i="6"/>
  <c r="R1070" i="6"/>
  <c r="Q1107" i="6"/>
  <c r="Q1448" i="6"/>
  <c r="Q1603" i="6"/>
  <c r="O1704" i="6"/>
  <c r="O341" i="6"/>
  <c r="Q230" i="6"/>
  <c r="Q867" i="6"/>
  <c r="Q1518" i="6"/>
  <c r="Q1243" i="6"/>
  <c r="R1619" i="6"/>
  <c r="P1678" i="6"/>
  <c r="Q246" i="6"/>
  <c r="Q460" i="6"/>
  <c r="Q1192" i="6"/>
  <c r="Q1259" i="6"/>
  <c r="R1534" i="6"/>
  <c r="Q1556" i="6"/>
  <c r="R1741" i="6"/>
  <c r="R55" i="6"/>
  <c r="U55" i="6" s="1"/>
  <c r="P507" i="6"/>
  <c r="Q1639" i="6"/>
  <c r="R988" i="6"/>
  <c r="R1538" i="6"/>
  <c r="O1787" i="6"/>
  <c r="R647" i="6"/>
  <c r="R1566" i="6"/>
  <c r="R1641" i="6"/>
  <c r="O918" i="6"/>
  <c r="Q1345" i="6"/>
  <c r="AA20" i="6"/>
  <c r="O215" i="6"/>
  <c r="O102" i="6"/>
  <c r="Q1343" i="6"/>
  <c r="O159" i="6"/>
  <c r="Q1347" i="6"/>
  <c r="Q1346" i="6"/>
  <c r="O935" i="6"/>
  <c r="O270" i="6"/>
  <c r="O809" i="6"/>
  <c r="O1015" i="6"/>
  <c r="Q1349" i="6"/>
  <c r="O852" i="6"/>
  <c r="Q1337" i="6"/>
  <c r="O894" i="6"/>
  <c r="Q1334" i="6"/>
  <c r="O377" i="6"/>
  <c r="AA14" i="6"/>
  <c r="O96" i="6"/>
  <c r="O209" i="6"/>
  <c r="O153" i="6"/>
  <c r="O318" i="6"/>
  <c r="O714" i="6"/>
  <c r="Q1152" i="6"/>
  <c r="O264" i="6"/>
  <c r="O1009" i="6"/>
  <c r="Q1156" i="6"/>
  <c r="Q1142" i="6"/>
  <c r="O846" i="6"/>
  <c r="Q1139" i="6"/>
  <c r="Q1148" i="6"/>
  <c r="O888" i="6"/>
  <c r="O929" i="6"/>
  <c r="Q1144" i="6"/>
  <c r="O474" i="6"/>
  <c r="O803" i="6"/>
  <c r="P107" i="6"/>
  <c r="P382" i="6"/>
  <c r="P857" i="6"/>
  <c r="P164" i="6"/>
  <c r="P1265" i="6"/>
  <c r="R1476" i="6"/>
  <c r="P485" i="6"/>
  <c r="P535" i="6"/>
  <c r="R1482" i="6"/>
  <c r="P725" i="6"/>
  <c r="P814" i="6"/>
  <c r="R1481" i="6"/>
  <c r="P899" i="6"/>
  <c r="P1020" i="6"/>
  <c r="P275" i="6"/>
  <c r="R1470" i="6"/>
  <c r="R1478" i="6"/>
  <c r="P940" i="6"/>
  <c r="R1469" i="6"/>
  <c r="P179" i="6"/>
  <c r="P1679" i="6"/>
  <c r="P557" i="6"/>
  <c r="R829" i="6"/>
  <c r="R1398" i="6"/>
  <c r="R1657" i="6"/>
  <c r="O1032" i="6"/>
  <c r="Q1429" i="6"/>
  <c r="O967" i="6"/>
  <c r="Q1680" i="6"/>
  <c r="R694" i="6"/>
  <c r="Q1586" i="6"/>
  <c r="O925" i="6"/>
  <c r="Q1738" i="6"/>
  <c r="Q1315" i="6"/>
  <c r="O1210" i="6"/>
  <c r="P1357" i="6"/>
  <c r="P1612" i="6"/>
  <c r="P1604" i="6"/>
  <c r="O1616" i="6"/>
  <c r="P1613" i="6"/>
  <c r="O1599" i="6"/>
  <c r="O1613" i="6"/>
  <c r="P1610" i="6"/>
  <c r="O1610" i="6"/>
  <c r="P1607" i="6"/>
  <c r="O1607" i="6"/>
  <c r="O1604" i="6"/>
  <c r="P1601" i="6"/>
  <c r="P1616" i="6"/>
  <c r="P1608" i="6"/>
  <c r="R1514" i="6"/>
  <c r="P1615" i="6"/>
  <c r="O1608" i="6"/>
  <c r="P1600" i="6"/>
  <c r="Q1514" i="6"/>
  <c r="R1491" i="6"/>
  <c r="O1615" i="6"/>
  <c r="O1600" i="6"/>
  <c r="Q1491" i="6"/>
  <c r="P1611" i="6"/>
  <c r="O1611" i="6"/>
  <c r="P1603" i="6"/>
  <c r="O1603" i="6"/>
  <c r="P1614" i="6"/>
  <c r="R1536" i="6"/>
  <c r="O1614" i="6"/>
  <c r="P1606" i="6"/>
  <c r="P1599" i="6"/>
  <c r="R1557" i="6"/>
  <c r="Q1536" i="6"/>
  <c r="O1606" i="6"/>
  <c r="P1598" i="6"/>
  <c r="Q1557" i="6"/>
  <c r="P1617" i="6"/>
  <c r="R1442" i="6"/>
  <c r="O1617" i="6"/>
  <c r="Q1442" i="6"/>
  <c r="P1605" i="6"/>
  <c r="R1416" i="6"/>
  <c r="O1605" i="6"/>
  <c r="R1467" i="6"/>
  <c r="Q1416" i="6"/>
  <c r="Q1467" i="6"/>
  <c r="R1389" i="6"/>
  <c r="P1602" i="6"/>
  <c r="Q1389" i="6"/>
  <c r="O1602" i="6"/>
  <c r="O1601" i="6"/>
  <c r="P1609" i="6"/>
  <c r="O1598" i="6"/>
  <c r="O1609" i="6"/>
  <c r="Q1332" i="6"/>
  <c r="R1361" i="6"/>
  <c r="Q1361" i="6"/>
  <c r="O1612" i="6"/>
  <c r="Q1239" i="6"/>
  <c r="R1271" i="6"/>
  <c r="Q1271" i="6"/>
  <c r="R1206" i="6"/>
  <c r="Q1206" i="6"/>
  <c r="R1101" i="6"/>
  <c r="R1239" i="6"/>
  <c r="R1332" i="6"/>
  <c r="R1172" i="6"/>
  <c r="Q1172" i="6"/>
  <c r="Q1101" i="6"/>
  <c r="R1026" i="6"/>
  <c r="R986" i="6"/>
  <c r="R1064" i="6"/>
  <c r="Q1026" i="6"/>
  <c r="Q986" i="6"/>
  <c r="R1302" i="6"/>
  <c r="Q1302" i="6"/>
  <c r="Q776" i="6"/>
  <c r="R946" i="6"/>
  <c r="R1137" i="6"/>
  <c r="Q1064" i="6"/>
  <c r="Q1137" i="6"/>
  <c r="R863" i="6"/>
  <c r="Q905" i="6"/>
  <c r="R638" i="6"/>
  <c r="R590" i="6"/>
  <c r="Q946" i="6"/>
  <c r="R820" i="6"/>
  <c r="R776" i="6"/>
  <c r="R905" i="6"/>
  <c r="R685" i="6"/>
  <c r="Q685" i="6"/>
  <c r="R731" i="6"/>
  <c r="Q731" i="6"/>
  <c r="Q638" i="6"/>
  <c r="Q590" i="6"/>
  <c r="Q820" i="6"/>
  <c r="Q491" i="6"/>
  <c r="R541" i="6"/>
  <c r="R281" i="6"/>
  <c r="R113" i="6"/>
  <c r="Q541" i="6"/>
  <c r="Q281" i="6"/>
  <c r="R388" i="6"/>
  <c r="Q335" i="6"/>
  <c r="R491" i="6"/>
  <c r="Q388" i="6"/>
  <c r="R440" i="6"/>
  <c r="Q440" i="6"/>
  <c r="R226" i="6"/>
  <c r="Q863" i="6"/>
  <c r="R170" i="6"/>
  <c r="Q170" i="6"/>
  <c r="R335" i="6"/>
  <c r="Q226" i="6"/>
  <c r="Q113" i="6"/>
  <c r="AA16" i="6"/>
  <c r="O98" i="6"/>
  <c r="O211" i="6"/>
  <c r="AA12" i="6"/>
  <c r="Y15" i="6"/>
  <c r="O94" i="6"/>
  <c r="Y18" i="6"/>
  <c r="R45" i="6"/>
  <c r="V45" i="6" s="1"/>
  <c r="P1254" i="6"/>
  <c r="P1246" i="6"/>
  <c r="P1238" i="6"/>
  <c r="P1230" i="6"/>
  <c r="R1123" i="6"/>
  <c r="O1254" i="6"/>
  <c r="O1246" i="6"/>
  <c r="O1238" i="6"/>
  <c r="O1230" i="6"/>
  <c r="P1243" i="6"/>
  <c r="P1240" i="6"/>
  <c r="P1237" i="6"/>
  <c r="P1234" i="6"/>
  <c r="P1231" i="6"/>
  <c r="P1228" i="6"/>
  <c r="O1258" i="6"/>
  <c r="O1255" i="6"/>
  <c r="O1252" i="6"/>
  <c r="O1249" i="6"/>
  <c r="O1227" i="6"/>
  <c r="P1251" i="6"/>
  <c r="P1248" i="6"/>
  <c r="P1245" i="6"/>
  <c r="P1242" i="6"/>
  <c r="P1239" i="6"/>
  <c r="P1236" i="6"/>
  <c r="P1233" i="6"/>
  <c r="O1259" i="6"/>
  <c r="P1250" i="6"/>
  <c r="P1232" i="6"/>
  <c r="O1228" i="6"/>
  <c r="O1250" i="6"/>
  <c r="O1245" i="6"/>
  <c r="P1241" i="6"/>
  <c r="O1232" i="6"/>
  <c r="O1241" i="6"/>
  <c r="O1236" i="6"/>
  <c r="P1227" i="6"/>
  <c r="P1258" i="6"/>
  <c r="P1249" i="6"/>
  <c r="O1240" i="6"/>
  <c r="R1087" i="6"/>
  <c r="P1253" i="6"/>
  <c r="P1235" i="6"/>
  <c r="O1231" i="6"/>
  <c r="R1158" i="6"/>
  <c r="Q1087" i="6"/>
  <c r="P1257" i="6"/>
  <c r="O1253" i="6"/>
  <c r="O1248" i="6"/>
  <c r="P1244" i="6"/>
  <c r="O1235" i="6"/>
  <c r="O1257" i="6"/>
  <c r="O1244" i="6"/>
  <c r="O1239" i="6"/>
  <c r="O1234" i="6"/>
  <c r="P1255" i="6"/>
  <c r="O1243" i="6"/>
  <c r="P1252" i="6"/>
  <c r="O1233" i="6"/>
  <c r="Q1158" i="6"/>
  <c r="R1050" i="6"/>
  <c r="O1242" i="6"/>
  <c r="Q1050" i="6"/>
  <c r="O1251" i="6"/>
  <c r="P1229" i="6"/>
  <c r="P1259" i="6"/>
  <c r="P1256" i="6"/>
  <c r="R891" i="6"/>
  <c r="O1237" i="6"/>
  <c r="R1012" i="6"/>
  <c r="O1229" i="6"/>
  <c r="Q1012" i="6"/>
  <c r="R972" i="6"/>
  <c r="Q1123" i="6"/>
  <c r="Q972" i="6"/>
  <c r="P1247" i="6"/>
  <c r="O1256" i="6"/>
  <c r="O1247" i="6"/>
  <c r="R806" i="6"/>
  <c r="Q806" i="6"/>
  <c r="R717" i="6"/>
  <c r="Q717" i="6"/>
  <c r="R849" i="6"/>
  <c r="R624" i="6"/>
  <c r="Q477" i="6"/>
  <c r="R374" i="6"/>
  <c r="Q849" i="6"/>
  <c r="Q624" i="6"/>
  <c r="Q891" i="6"/>
  <c r="R671" i="6"/>
  <c r="Q671" i="6"/>
  <c r="R576" i="6"/>
  <c r="R426" i="6"/>
  <c r="R762" i="6"/>
  <c r="Q576" i="6"/>
  <c r="R932" i="6"/>
  <c r="R321" i="6"/>
  <c r="Q321" i="6"/>
  <c r="Q762" i="6"/>
  <c r="R267" i="6"/>
  <c r="Q267" i="6"/>
  <c r="Q527" i="6"/>
  <c r="Q426" i="6"/>
  <c r="Q374" i="6"/>
  <c r="R212" i="6"/>
  <c r="Q212" i="6"/>
  <c r="Q932" i="6"/>
  <c r="R527" i="6"/>
  <c r="R99" i="6"/>
  <c r="R477" i="6"/>
  <c r="Q99" i="6"/>
  <c r="R156" i="6"/>
  <c r="Q156" i="6"/>
  <c r="P1596" i="6"/>
  <c r="P1588" i="6"/>
  <c r="P1580" i="6"/>
  <c r="O1596" i="6"/>
  <c r="P1593" i="6"/>
  <c r="O1579" i="6"/>
  <c r="O1593" i="6"/>
  <c r="P1590" i="6"/>
  <c r="O1590" i="6"/>
  <c r="P1587" i="6"/>
  <c r="O1587" i="6"/>
  <c r="P1584" i="6"/>
  <c r="R1513" i="6"/>
  <c r="O1597" i="6"/>
  <c r="P1589" i="6"/>
  <c r="O1582" i="6"/>
  <c r="O1589" i="6"/>
  <c r="P1581" i="6"/>
  <c r="P1585" i="6"/>
  <c r="O1581" i="6"/>
  <c r="P1592" i="6"/>
  <c r="O1585" i="6"/>
  <c r="O1592" i="6"/>
  <c r="O1584" i="6"/>
  <c r="P1595" i="6"/>
  <c r="O1588" i="6"/>
  <c r="O1595" i="6"/>
  <c r="O1580" i="6"/>
  <c r="P1591" i="6"/>
  <c r="P1597" i="6"/>
  <c r="P1586" i="6"/>
  <c r="O1586" i="6"/>
  <c r="R1331" i="6"/>
  <c r="R1171" i="6"/>
  <c r="Q1331" i="6"/>
  <c r="P1594" i="6"/>
  <c r="P1583" i="6"/>
  <c r="R1360" i="6"/>
  <c r="O1594" i="6"/>
  <c r="O1583" i="6"/>
  <c r="R1535" i="6"/>
  <c r="R1490" i="6"/>
  <c r="Q1360" i="6"/>
  <c r="Q1535" i="6"/>
  <c r="Q1490" i="6"/>
  <c r="R1441" i="6"/>
  <c r="O1591" i="6"/>
  <c r="Q1441" i="6"/>
  <c r="P1582" i="6"/>
  <c r="P1579" i="6"/>
  <c r="Q1388" i="6"/>
  <c r="Q1301" i="6"/>
  <c r="P1578" i="6"/>
  <c r="O1578" i="6"/>
  <c r="Q1270" i="6"/>
  <c r="R1466" i="6"/>
  <c r="Q1466" i="6"/>
  <c r="Q1415" i="6"/>
  <c r="R1388" i="6"/>
  <c r="Q1171" i="6"/>
  <c r="R1136" i="6"/>
  <c r="R1301" i="6"/>
  <c r="Q1136" i="6"/>
  <c r="R1063" i="6"/>
  <c r="R1415" i="6"/>
  <c r="R1270" i="6"/>
  <c r="Q1513" i="6"/>
  <c r="R1238" i="6"/>
  <c r="Q1238" i="6"/>
  <c r="Q862" i="6"/>
  <c r="Q1063" i="6"/>
  <c r="R819" i="6"/>
  <c r="R985" i="6"/>
  <c r="Q985" i="6"/>
  <c r="Q904" i="6"/>
  <c r="R1205" i="6"/>
  <c r="Q1205" i="6"/>
  <c r="R1025" i="6"/>
  <c r="R1100" i="6"/>
  <c r="Q1025" i="6"/>
  <c r="Q1100" i="6"/>
  <c r="R945" i="6"/>
  <c r="Q945" i="6"/>
  <c r="R730" i="6"/>
  <c r="Q730" i="6"/>
  <c r="Q540" i="6"/>
  <c r="R775" i="6"/>
  <c r="Q775" i="6"/>
  <c r="R862" i="6"/>
  <c r="Q819" i="6"/>
  <c r="R589" i="6"/>
  <c r="Q589" i="6"/>
  <c r="R540" i="6"/>
  <c r="R490" i="6"/>
  <c r="Q439" i="6"/>
  <c r="Q387" i="6"/>
  <c r="R904" i="6"/>
  <c r="Q490" i="6"/>
  <c r="R637" i="6"/>
  <c r="Q637" i="6"/>
  <c r="R684" i="6"/>
  <c r="R439" i="6"/>
  <c r="Q684" i="6"/>
  <c r="R225" i="6"/>
  <c r="R169" i="6"/>
  <c r="R387" i="6"/>
  <c r="Q225" i="6"/>
  <c r="Q169" i="6"/>
  <c r="R334" i="6"/>
  <c r="Q334" i="6"/>
  <c r="R280" i="6"/>
  <c r="Q280" i="6"/>
  <c r="Q112" i="6"/>
  <c r="R112" i="6"/>
  <c r="P1118" i="6"/>
  <c r="P1110" i="6"/>
  <c r="P1102" i="6"/>
  <c r="P1094" i="6"/>
  <c r="P1086" i="6"/>
  <c r="O1111" i="6"/>
  <c r="P1108" i="6"/>
  <c r="O1091" i="6"/>
  <c r="P1088" i="6"/>
  <c r="O1108" i="6"/>
  <c r="P1105" i="6"/>
  <c r="O1088" i="6"/>
  <c r="P1085" i="6"/>
  <c r="O1116" i="6"/>
  <c r="P1113" i="6"/>
  <c r="O1096" i="6"/>
  <c r="P1093" i="6"/>
  <c r="O1113" i="6"/>
  <c r="O1110" i="6"/>
  <c r="P1107" i="6"/>
  <c r="O1093" i="6"/>
  <c r="P1090" i="6"/>
  <c r="P1114" i="6"/>
  <c r="O1095" i="6"/>
  <c r="P1087" i="6"/>
  <c r="R1008" i="6"/>
  <c r="P1121" i="6"/>
  <c r="O1114" i="6"/>
  <c r="P1106" i="6"/>
  <c r="P1091" i="6"/>
  <c r="O1087" i="6"/>
  <c r="Q1008" i="6"/>
  <c r="O1121" i="6"/>
  <c r="P1117" i="6"/>
  <c r="O1117" i="6"/>
  <c r="P1109" i="6"/>
  <c r="O1090" i="6"/>
  <c r="O1109" i="6"/>
  <c r="P1101" i="6"/>
  <c r="O1094" i="6"/>
  <c r="P1120" i="6"/>
  <c r="O1105" i="6"/>
  <c r="O1101" i="6"/>
  <c r="O1120" i="6"/>
  <c r="P1116" i="6"/>
  <c r="P1112" i="6"/>
  <c r="P1104" i="6"/>
  <c r="O1099" i="6"/>
  <c r="P1119" i="6"/>
  <c r="O1104" i="6"/>
  <c r="P1098" i="6"/>
  <c r="O1119" i="6"/>
  <c r="O1098" i="6"/>
  <c r="P1097" i="6"/>
  <c r="P1092" i="6"/>
  <c r="P1111" i="6"/>
  <c r="O1097" i="6"/>
  <c r="O1092" i="6"/>
  <c r="Q928" i="6"/>
  <c r="O1118" i="6"/>
  <c r="O1086" i="6"/>
  <c r="P1103" i="6"/>
  <c r="P1096" i="6"/>
  <c r="O1103" i="6"/>
  <c r="O1102" i="6"/>
  <c r="P1115" i="6"/>
  <c r="O1085" i="6"/>
  <c r="O1115" i="6"/>
  <c r="P1095" i="6"/>
  <c r="O1107" i="6"/>
  <c r="P1100" i="6"/>
  <c r="P1089" i="6"/>
  <c r="O1089" i="6"/>
  <c r="R928" i="6"/>
  <c r="O1112" i="6"/>
  <c r="R968" i="6"/>
  <c r="R620" i="6"/>
  <c r="R572" i="6"/>
  <c r="Q620" i="6"/>
  <c r="Q572" i="6"/>
  <c r="R802" i="6"/>
  <c r="R473" i="6"/>
  <c r="Q802" i="6"/>
  <c r="R422" i="6"/>
  <c r="R887" i="6"/>
  <c r="P1099" i="6"/>
  <c r="O1106" i="6"/>
  <c r="O1100" i="6"/>
  <c r="Q473" i="6"/>
  <c r="Q887" i="6"/>
  <c r="R845" i="6"/>
  <c r="R758" i="6"/>
  <c r="R667" i="6"/>
  <c r="Q845" i="6"/>
  <c r="Q758" i="6"/>
  <c r="Q667" i="6"/>
  <c r="R713" i="6"/>
  <c r="Q713" i="6"/>
  <c r="R370" i="6"/>
  <c r="Q370" i="6"/>
  <c r="R523" i="6"/>
  <c r="Q968" i="6"/>
  <c r="Q523" i="6"/>
  <c r="Q422" i="6"/>
  <c r="R95" i="6"/>
  <c r="Q95" i="6"/>
  <c r="Q263" i="6"/>
  <c r="R208" i="6"/>
  <c r="Q208" i="6"/>
  <c r="R317" i="6"/>
  <c r="R263" i="6"/>
  <c r="Q317" i="6"/>
  <c r="R152" i="6"/>
  <c r="Q152" i="6"/>
  <c r="O155" i="6"/>
  <c r="P820" i="6"/>
  <c r="P811" i="6"/>
  <c r="Q386" i="6"/>
  <c r="Q588" i="6"/>
  <c r="R1237" i="6"/>
  <c r="P1560" i="6"/>
  <c r="R1387" i="6"/>
  <c r="P1562" i="6"/>
  <c r="P1559" i="6"/>
  <c r="P723" i="6"/>
  <c r="R482" i="6"/>
  <c r="Q676" i="6"/>
  <c r="Q1055" i="6"/>
  <c r="O1383" i="6"/>
  <c r="O1399" i="6"/>
  <c r="O1408" i="6"/>
  <c r="R1163" i="6"/>
  <c r="Q320" i="6"/>
  <c r="Q526" i="6"/>
  <c r="R1122" i="6"/>
  <c r="P1208" i="6"/>
  <c r="P1226" i="6"/>
  <c r="P1197" i="6"/>
  <c r="P1225" i="6"/>
  <c r="R160" i="6"/>
  <c r="R675" i="6"/>
  <c r="Q976" i="6"/>
  <c r="Q1261" i="6"/>
  <c r="P1356" i="6"/>
  <c r="O1381" i="6"/>
  <c r="O1358" i="6"/>
  <c r="Q1250" i="6"/>
  <c r="Q1478" i="6"/>
  <c r="P1435" i="6"/>
  <c r="P1425" i="6"/>
  <c r="P1417" i="6"/>
  <c r="O1425" i="6"/>
  <c r="O1417" i="6"/>
  <c r="P1422" i="6"/>
  <c r="P1414" i="6"/>
  <c r="P1436" i="6"/>
  <c r="P1433" i="6"/>
  <c r="P1430" i="6"/>
  <c r="O1422" i="6"/>
  <c r="O1414" i="6"/>
  <c r="O1436" i="6"/>
  <c r="O1433" i="6"/>
  <c r="O1430" i="6"/>
  <c r="P1427" i="6"/>
  <c r="P1419" i="6"/>
  <c r="P1411" i="6"/>
  <c r="O1427" i="6"/>
  <c r="O1419" i="6"/>
  <c r="O1411" i="6"/>
  <c r="P1424" i="6"/>
  <c r="P1416" i="6"/>
  <c r="P1432" i="6"/>
  <c r="O1424" i="6"/>
  <c r="O1416" i="6"/>
  <c r="O1435" i="6"/>
  <c r="O1432" i="6"/>
  <c r="P1429" i="6"/>
  <c r="P1421" i="6"/>
  <c r="P1413" i="6"/>
  <c r="O1429" i="6"/>
  <c r="O1421" i="6"/>
  <c r="O1413" i="6"/>
  <c r="R1353" i="6"/>
  <c r="R1324" i="6"/>
  <c r="Q1231" i="6"/>
  <c r="P1428" i="6"/>
  <c r="Q1353" i="6"/>
  <c r="Q1324" i="6"/>
  <c r="O1428" i="6"/>
  <c r="P1426" i="6"/>
  <c r="P1420" i="6"/>
  <c r="P1434" i="6"/>
  <c r="O1426" i="6"/>
  <c r="O1420" i="6"/>
  <c r="O1434" i="6"/>
  <c r="P1418" i="6"/>
  <c r="P1412" i="6"/>
  <c r="O1418" i="6"/>
  <c r="O1412" i="6"/>
  <c r="Q1294" i="6"/>
  <c r="P1410" i="6"/>
  <c r="R1263" i="6"/>
  <c r="O1410" i="6"/>
  <c r="P1431" i="6"/>
  <c r="O1423" i="6"/>
  <c r="R1294" i="6"/>
  <c r="P1423" i="6"/>
  <c r="R1231" i="6"/>
  <c r="Q1164" i="6"/>
  <c r="P1415" i="6"/>
  <c r="O1415" i="6"/>
  <c r="O1431" i="6"/>
  <c r="R1056" i="6"/>
  <c r="Q1056" i="6"/>
  <c r="R1018" i="6"/>
  <c r="R978" i="6"/>
  <c r="Q1263" i="6"/>
  <c r="Q1018" i="6"/>
  <c r="Q978" i="6"/>
  <c r="R1198" i="6"/>
  <c r="Q1198" i="6"/>
  <c r="Q768" i="6"/>
  <c r="R1164" i="6"/>
  <c r="R938" i="6"/>
  <c r="Q1129" i="6"/>
  <c r="Q1093" i="6"/>
  <c r="R1129" i="6"/>
  <c r="Q938" i="6"/>
  <c r="Q897" i="6"/>
  <c r="R855" i="6"/>
  <c r="Q855" i="6"/>
  <c r="R630" i="6"/>
  <c r="R582" i="6"/>
  <c r="R723" i="6"/>
  <c r="Q723" i="6"/>
  <c r="R533" i="6"/>
  <c r="R483" i="6"/>
  <c r="R1093" i="6"/>
  <c r="Q533" i="6"/>
  <c r="R432" i="6"/>
  <c r="Q630" i="6"/>
  <c r="R812" i="6"/>
  <c r="R897" i="6"/>
  <c r="Q812" i="6"/>
  <c r="R677" i="6"/>
  <c r="R768" i="6"/>
  <c r="R273" i="6"/>
  <c r="R105" i="6"/>
  <c r="R380" i="6"/>
  <c r="Q273" i="6"/>
  <c r="Q380" i="6"/>
  <c r="Q677" i="6"/>
  <c r="Q582" i="6"/>
  <c r="Q483" i="6"/>
  <c r="Q432" i="6"/>
  <c r="Q327" i="6"/>
  <c r="Q105" i="6"/>
  <c r="R218" i="6"/>
  <c r="Q218" i="6"/>
  <c r="R162" i="6"/>
  <c r="R327" i="6"/>
  <c r="Q162" i="6"/>
  <c r="R40" i="6"/>
  <c r="T40" i="6" s="1"/>
  <c r="AA19" i="6"/>
  <c r="O101" i="6"/>
  <c r="P804" i="6"/>
  <c r="P169" i="6"/>
  <c r="P387" i="6"/>
  <c r="R386" i="6"/>
  <c r="Q636" i="6"/>
  <c r="Q1269" i="6"/>
  <c r="R1269" i="6"/>
  <c r="Q1512" i="6"/>
  <c r="P1569" i="6"/>
  <c r="P1573" i="6"/>
  <c r="P722" i="6"/>
  <c r="P730" i="6"/>
  <c r="R272" i="6"/>
  <c r="R581" i="6"/>
  <c r="Q1092" i="6"/>
  <c r="P1396" i="6"/>
  <c r="P1399" i="6"/>
  <c r="P1384" i="6"/>
  <c r="R1323" i="6"/>
  <c r="R320" i="6"/>
  <c r="R848" i="6"/>
  <c r="O1220" i="6"/>
  <c r="R1086" i="6"/>
  <c r="O1193" i="6"/>
  <c r="P1211" i="6"/>
  <c r="P1202" i="6"/>
  <c r="R103" i="6"/>
  <c r="Q721" i="6"/>
  <c r="R976" i="6"/>
  <c r="O1359" i="6"/>
  <c r="P1380" i="6"/>
  <c r="P1373" i="6"/>
  <c r="R1250" i="6"/>
  <c r="AA23" i="6"/>
  <c r="O105" i="6"/>
  <c r="R41" i="6"/>
  <c r="S41" i="6" s="1"/>
  <c r="P377" i="6"/>
  <c r="Q438" i="6"/>
  <c r="R588" i="6"/>
  <c r="Q1135" i="6"/>
  <c r="Q1330" i="6"/>
  <c r="O1575" i="6"/>
  <c r="O1577" i="6"/>
  <c r="O727" i="6"/>
  <c r="R379" i="6"/>
  <c r="R676" i="6"/>
  <c r="R811" i="6"/>
  <c r="Q1262" i="6"/>
  <c r="O1388" i="6"/>
  <c r="P1392" i="6"/>
  <c r="P1382" i="6"/>
  <c r="Q211" i="6"/>
  <c r="Q805" i="6"/>
  <c r="Q1011" i="6"/>
  <c r="P1201" i="6"/>
  <c r="P1196" i="6"/>
  <c r="P1223" i="6"/>
  <c r="O1205" i="6"/>
  <c r="Q271" i="6"/>
  <c r="R895" i="6"/>
  <c r="Q1229" i="6"/>
  <c r="Q1127" i="6"/>
  <c r="O1361" i="6"/>
  <c r="P1381" i="6"/>
  <c r="O1374" i="6"/>
  <c r="Q1282" i="6"/>
  <c r="Q288" i="6"/>
  <c r="Q395" i="6"/>
  <c r="R870" i="6"/>
  <c r="Q1521" i="6"/>
  <c r="P1721" i="6"/>
  <c r="P1717" i="6"/>
  <c r="R1721" i="6"/>
  <c r="P288" i="6"/>
  <c r="P272" i="6"/>
  <c r="O853" i="6"/>
  <c r="P94" i="6"/>
  <c r="AA15" i="6"/>
  <c r="O97" i="6"/>
  <c r="R49" i="6"/>
  <c r="S49" i="6" s="1"/>
  <c r="O812" i="6"/>
  <c r="O808" i="6"/>
  <c r="O801" i="6"/>
  <c r="O168" i="6"/>
  <c r="O373" i="6"/>
  <c r="O382" i="6"/>
  <c r="P113" i="6"/>
  <c r="Q539" i="6"/>
  <c r="Q729" i="6"/>
  <c r="Q1024" i="6"/>
  <c r="O1567" i="6"/>
  <c r="R1512" i="6"/>
  <c r="P1577" i="6"/>
  <c r="P1576" i="6"/>
  <c r="O719" i="6"/>
  <c r="P738" i="6"/>
  <c r="Q326" i="6"/>
  <c r="Q767" i="6"/>
  <c r="R1092" i="6"/>
  <c r="R1262" i="6"/>
  <c r="O1394" i="6"/>
  <c r="P1408" i="6"/>
  <c r="P1398" i="6"/>
  <c r="Q425" i="6"/>
  <c r="R526" i="6"/>
  <c r="R1011" i="6"/>
  <c r="O1216" i="6"/>
  <c r="O1214" i="6"/>
  <c r="P1194" i="6"/>
  <c r="O1222" i="6"/>
  <c r="R271" i="6"/>
  <c r="R628" i="6"/>
  <c r="R1127" i="6"/>
  <c r="O1372" i="6"/>
  <c r="O1365" i="6"/>
  <c r="O1376" i="6"/>
  <c r="P1358" i="6"/>
  <c r="Q1075" i="6"/>
  <c r="R1343" i="6"/>
  <c r="Q1568" i="6"/>
  <c r="P953" i="6"/>
  <c r="R1716" i="6"/>
  <c r="P105" i="6"/>
  <c r="P218" i="6"/>
  <c r="P1321" i="6"/>
  <c r="P1313" i="6"/>
  <c r="P1318" i="6"/>
  <c r="P1310" i="6"/>
  <c r="P1302" i="6"/>
  <c r="P1294" i="6"/>
  <c r="R1227" i="6"/>
  <c r="O1318" i="6"/>
  <c r="O1310" i="6"/>
  <c r="O1302" i="6"/>
  <c r="O1294" i="6"/>
  <c r="Q1227" i="6"/>
  <c r="P1314" i="6"/>
  <c r="O1311" i="6"/>
  <c r="P1317" i="6"/>
  <c r="O1314" i="6"/>
  <c r="P1307" i="6"/>
  <c r="P1304" i="6"/>
  <c r="P1301" i="6"/>
  <c r="P1298" i="6"/>
  <c r="P1295" i="6"/>
  <c r="P1292" i="6"/>
  <c r="P1320" i="6"/>
  <c r="O1317" i="6"/>
  <c r="O1307" i="6"/>
  <c r="O1304" i="6"/>
  <c r="O1301" i="6"/>
  <c r="O1298" i="6"/>
  <c r="O1295" i="6"/>
  <c r="O1292" i="6"/>
  <c r="O1320" i="6"/>
  <c r="O1313" i="6"/>
  <c r="P1316" i="6"/>
  <c r="P1306" i="6"/>
  <c r="P1303" i="6"/>
  <c r="P1300" i="6"/>
  <c r="P1297" i="6"/>
  <c r="P1322" i="6"/>
  <c r="O1319" i="6"/>
  <c r="P1312" i="6"/>
  <c r="O1309" i="6"/>
  <c r="P1308" i="6"/>
  <c r="O1321" i="6"/>
  <c r="O1308" i="6"/>
  <c r="P1319" i="6"/>
  <c r="O1306" i="6"/>
  <c r="O1300" i="6"/>
  <c r="O1312" i="6"/>
  <c r="P1299" i="6"/>
  <c r="P1293" i="6"/>
  <c r="O1299" i="6"/>
  <c r="O1293" i="6"/>
  <c r="P1305" i="6"/>
  <c r="O1305" i="6"/>
  <c r="P1311" i="6"/>
  <c r="P1309" i="6"/>
  <c r="R1125" i="6"/>
  <c r="Q1125" i="6"/>
  <c r="O1303" i="6"/>
  <c r="R1194" i="6"/>
  <c r="Q1194" i="6"/>
  <c r="O1322" i="6"/>
  <c r="O1297" i="6"/>
  <c r="O1316" i="6"/>
  <c r="P1315" i="6"/>
  <c r="P1296" i="6"/>
  <c r="Q1052" i="6"/>
  <c r="Q934" i="6"/>
  <c r="R851" i="6"/>
  <c r="O1315" i="6"/>
  <c r="Q808" i="6"/>
  <c r="R893" i="6"/>
  <c r="O1296" i="6"/>
  <c r="Q893" i="6"/>
  <c r="R1160" i="6"/>
  <c r="R1089" i="6"/>
  <c r="Q1160" i="6"/>
  <c r="Q1089" i="6"/>
  <c r="R934" i="6"/>
  <c r="Q428" i="6"/>
  <c r="R529" i="6"/>
  <c r="R974" i="6"/>
  <c r="Q851" i="6"/>
  <c r="Q529" i="6"/>
  <c r="R1014" i="6"/>
  <c r="Q974" i="6"/>
  <c r="Q1014" i="6"/>
  <c r="R1052" i="6"/>
  <c r="R808" i="6"/>
  <c r="Q764" i="6"/>
  <c r="Q578" i="6"/>
  <c r="R376" i="6"/>
  <c r="R764" i="6"/>
  <c r="R479" i="6"/>
  <c r="Q626" i="6"/>
  <c r="R673" i="6"/>
  <c r="Q479" i="6"/>
  <c r="Q376" i="6"/>
  <c r="R214" i="6"/>
  <c r="R158" i="6"/>
  <c r="R719" i="6"/>
  <c r="Q214" i="6"/>
  <c r="Q158" i="6"/>
  <c r="Q719" i="6"/>
  <c r="R323" i="6"/>
  <c r="Q323" i="6"/>
  <c r="R428" i="6"/>
  <c r="Q101" i="6"/>
  <c r="R269" i="6"/>
  <c r="Q269" i="6"/>
  <c r="R626" i="6"/>
  <c r="R578" i="6"/>
  <c r="R101" i="6"/>
  <c r="Q673" i="6"/>
  <c r="P808" i="6"/>
  <c r="P812" i="6"/>
  <c r="P95" i="6"/>
  <c r="O161" i="6"/>
  <c r="AA26" i="6"/>
  <c r="O108" i="6"/>
  <c r="P395" i="6"/>
  <c r="R224" i="6"/>
  <c r="R539" i="6"/>
  <c r="Q984" i="6"/>
  <c r="R1024" i="6"/>
  <c r="Q1300" i="6"/>
  <c r="P1575" i="6"/>
  <c r="O1566" i="6"/>
  <c r="P1564" i="6"/>
  <c r="Y14" i="6"/>
  <c r="O729" i="6"/>
  <c r="O716" i="6"/>
  <c r="P717" i="6"/>
  <c r="R326" i="6"/>
  <c r="R896" i="6"/>
  <c r="Q854" i="6"/>
  <c r="Q1293" i="6"/>
  <c r="O1401" i="6"/>
  <c r="O1387" i="6"/>
  <c r="P1406" i="6"/>
  <c r="Q373" i="6"/>
  <c r="Q476" i="6"/>
  <c r="P1205" i="6"/>
  <c r="O1195" i="6"/>
  <c r="P1193" i="6"/>
  <c r="O1215" i="6"/>
  <c r="R378" i="6"/>
  <c r="R721" i="6"/>
  <c r="Q1162" i="6"/>
  <c r="O1362" i="6"/>
  <c r="P1375" i="6"/>
  <c r="P1360" i="6"/>
  <c r="P1366" i="6"/>
  <c r="Y17" i="6"/>
  <c r="R1282" i="6"/>
  <c r="P1026" i="6"/>
  <c r="O854" i="6"/>
  <c r="P1150" i="6"/>
  <c r="P1142" i="6"/>
  <c r="P1134" i="6"/>
  <c r="P1126" i="6"/>
  <c r="O1148" i="6"/>
  <c r="P1145" i="6"/>
  <c r="O1128" i="6"/>
  <c r="P1125" i="6"/>
  <c r="O1145" i="6"/>
  <c r="O1142" i="6"/>
  <c r="P1139" i="6"/>
  <c r="O1125" i="6"/>
  <c r="P1122" i="6"/>
  <c r="O1153" i="6"/>
  <c r="O1150" i="6"/>
  <c r="P1147" i="6"/>
  <c r="O1133" i="6"/>
  <c r="P1130" i="6"/>
  <c r="O1147" i="6"/>
  <c r="P1144" i="6"/>
  <c r="O1130" i="6"/>
  <c r="P1127" i="6"/>
  <c r="O1144" i="6"/>
  <c r="O1137" i="6"/>
  <c r="P1129" i="6"/>
  <c r="P1155" i="6"/>
  <c r="P1148" i="6"/>
  <c r="O1129" i="6"/>
  <c r="O1155" i="6"/>
  <c r="P1140" i="6"/>
  <c r="P1136" i="6"/>
  <c r="O1140" i="6"/>
  <c r="O1136" i="6"/>
  <c r="P1132" i="6"/>
  <c r="P1151" i="6"/>
  <c r="O1132" i="6"/>
  <c r="P1124" i="6"/>
  <c r="O1151" i="6"/>
  <c r="P1143" i="6"/>
  <c r="P1128" i="6"/>
  <c r="O1124" i="6"/>
  <c r="O1143" i="6"/>
  <c r="O1139" i="6"/>
  <c r="P1135" i="6"/>
  <c r="P1154" i="6"/>
  <c r="O1135" i="6"/>
  <c r="P1157" i="6"/>
  <c r="R1009" i="6"/>
  <c r="R803" i="6"/>
  <c r="O1157" i="6"/>
  <c r="P1149" i="6"/>
  <c r="Q1009" i="6"/>
  <c r="O1149" i="6"/>
  <c r="P1141" i="6"/>
  <c r="O1134" i="6"/>
  <c r="O1141" i="6"/>
  <c r="O1126" i="6"/>
  <c r="Q888" i="6"/>
  <c r="P1156" i="6"/>
  <c r="R1047" i="6"/>
  <c r="O1156" i="6"/>
  <c r="P1133" i="6"/>
  <c r="Q1047" i="6"/>
  <c r="R969" i="6"/>
  <c r="O1154" i="6"/>
  <c r="P1146" i="6"/>
  <c r="P1131" i="6"/>
  <c r="Q969" i="6"/>
  <c r="O1146" i="6"/>
  <c r="P1138" i="6"/>
  <c r="O1131" i="6"/>
  <c r="P1123" i="6"/>
  <c r="O1138" i="6"/>
  <c r="O1123" i="6"/>
  <c r="P1153" i="6"/>
  <c r="O1152" i="6"/>
  <c r="P1137" i="6"/>
  <c r="R929" i="6"/>
  <c r="Q929" i="6"/>
  <c r="O1127" i="6"/>
  <c r="O1122" i="6"/>
  <c r="R846" i="6"/>
  <c r="Q524" i="6"/>
  <c r="R888" i="6"/>
  <c r="P1152" i="6"/>
  <c r="R714" i="6"/>
  <c r="Q714" i="6"/>
  <c r="Q803" i="6"/>
  <c r="R759" i="6"/>
  <c r="R668" i="6"/>
  <c r="Q759" i="6"/>
  <c r="Q668" i="6"/>
  <c r="R573" i="6"/>
  <c r="Q371" i="6"/>
  <c r="Q846" i="6"/>
  <c r="Q573" i="6"/>
  <c r="R423" i="6"/>
  <c r="R524" i="6"/>
  <c r="Q621" i="6"/>
  <c r="R209" i="6"/>
  <c r="R153" i="6"/>
  <c r="Q209" i="6"/>
  <c r="Q153" i="6"/>
  <c r="R318" i="6"/>
  <c r="Q318" i="6"/>
  <c r="R474" i="6"/>
  <c r="Q474" i="6"/>
  <c r="R621" i="6"/>
  <c r="Q423" i="6"/>
  <c r="R371" i="6"/>
  <c r="R264" i="6"/>
  <c r="Q96" i="6"/>
  <c r="Q264" i="6"/>
  <c r="R96" i="6"/>
  <c r="P211" i="6"/>
  <c r="P98" i="6"/>
  <c r="R36" i="6"/>
  <c r="U36" i="6" s="1"/>
  <c r="R47" i="6"/>
  <c r="S47" i="6" s="1"/>
  <c r="P819" i="6"/>
  <c r="O820" i="6"/>
  <c r="P165" i="6"/>
  <c r="P158" i="6"/>
  <c r="P375" i="6"/>
  <c r="P383" i="6"/>
  <c r="Q333" i="6"/>
  <c r="R818" i="6"/>
  <c r="R984" i="6"/>
  <c r="O1557" i="6"/>
  <c r="R1330" i="6"/>
  <c r="R1414" i="6"/>
  <c r="P1566" i="6"/>
  <c r="P1572" i="6"/>
  <c r="O726" i="6"/>
  <c r="P720" i="6"/>
  <c r="R722" i="6"/>
  <c r="R854" i="6"/>
  <c r="P1391" i="6"/>
  <c r="O1386" i="6"/>
  <c r="O1407" i="6"/>
  <c r="O1395" i="6"/>
  <c r="O1409" i="6"/>
  <c r="R425" i="6"/>
  <c r="Q931" i="6"/>
  <c r="Q848" i="6"/>
  <c r="O1225" i="6"/>
  <c r="O1203" i="6"/>
  <c r="P1215" i="6"/>
  <c r="P1206" i="6"/>
  <c r="Q531" i="6"/>
  <c r="Q766" i="6"/>
  <c r="R1162" i="6"/>
  <c r="P1372" i="6"/>
  <c r="O1353" i="6"/>
  <c r="P1368" i="6"/>
  <c r="P1374" i="6"/>
  <c r="Q1217" i="6"/>
  <c r="P226" i="6"/>
  <c r="R1612" i="6"/>
  <c r="O281" i="6"/>
  <c r="AB18" i="6"/>
  <c r="P1484" i="6"/>
  <c r="P1476" i="6"/>
  <c r="P1468" i="6"/>
  <c r="P1486" i="6"/>
  <c r="O1472" i="6"/>
  <c r="O1486" i="6"/>
  <c r="P1483" i="6"/>
  <c r="O1469" i="6"/>
  <c r="O1483" i="6"/>
  <c r="P1480" i="6"/>
  <c r="O1466" i="6"/>
  <c r="P1463" i="6"/>
  <c r="O1480" i="6"/>
  <c r="P1477" i="6"/>
  <c r="O1463" i="6"/>
  <c r="O1477" i="6"/>
  <c r="P1474" i="6"/>
  <c r="O1474" i="6"/>
  <c r="P1485" i="6"/>
  <c r="O1482" i="6"/>
  <c r="P1465" i="6"/>
  <c r="R1326" i="6"/>
  <c r="P1487" i="6"/>
  <c r="O1465" i="6"/>
  <c r="O1487" i="6"/>
  <c r="O1468" i="6"/>
  <c r="R1355" i="6"/>
  <c r="R1131" i="6"/>
  <c r="O1476" i="6"/>
  <c r="P1472" i="6"/>
  <c r="Q1355" i="6"/>
  <c r="P1481" i="6"/>
  <c r="P1471" i="6"/>
  <c r="O1481" i="6"/>
  <c r="O1471" i="6"/>
  <c r="O1485" i="6"/>
  <c r="P1464" i="6"/>
  <c r="P1467" i="6"/>
  <c r="O1464" i="6"/>
  <c r="P1475" i="6"/>
  <c r="O1467" i="6"/>
  <c r="R1410" i="6"/>
  <c r="P1479" i="6"/>
  <c r="O1475" i="6"/>
  <c r="P1470" i="6"/>
  <c r="Q1410" i="6"/>
  <c r="P1482" i="6"/>
  <c r="O1479" i="6"/>
  <c r="P1469" i="6"/>
  <c r="Q1233" i="6"/>
  <c r="P1478" i="6"/>
  <c r="O1478" i="6"/>
  <c r="P1466" i="6"/>
  <c r="Q1326" i="6"/>
  <c r="R1296" i="6"/>
  <c r="P1473" i="6"/>
  <c r="R1200" i="6"/>
  <c r="Q1200" i="6"/>
  <c r="R1383" i="6"/>
  <c r="Q1383" i="6"/>
  <c r="O1484" i="6"/>
  <c r="O1470" i="6"/>
  <c r="Q1265" i="6"/>
  <c r="R1233" i="6"/>
  <c r="O1473" i="6"/>
  <c r="R1058" i="6"/>
  <c r="R1166" i="6"/>
  <c r="Q1166" i="6"/>
  <c r="Q1131" i="6"/>
  <c r="Q1296" i="6"/>
  <c r="Q1020" i="6"/>
  <c r="R899" i="6"/>
  <c r="Q1058" i="6"/>
  <c r="R1095" i="6"/>
  <c r="Q1095" i="6"/>
  <c r="R1265" i="6"/>
  <c r="R1020" i="6"/>
  <c r="Q980" i="6"/>
  <c r="Q940" i="6"/>
  <c r="R814" i="6"/>
  <c r="Q814" i="6"/>
  <c r="R857" i="6"/>
  <c r="Q770" i="6"/>
  <c r="R980" i="6"/>
  <c r="R940" i="6"/>
  <c r="Q857" i="6"/>
  <c r="Q632" i="6"/>
  <c r="R382" i="6"/>
  <c r="Q382" i="6"/>
  <c r="R584" i="6"/>
  <c r="R725" i="6"/>
  <c r="R679" i="6"/>
  <c r="Q584" i="6"/>
  <c r="R770" i="6"/>
  <c r="Q725" i="6"/>
  <c r="Q679" i="6"/>
  <c r="Q485" i="6"/>
  <c r="Q899" i="6"/>
  <c r="R329" i="6"/>
  <c r="R434" i="6"/>
  <c r="Q329" i="6"/>
  <c r="R632" i="6"/>
  <c r="Q434" i="6"/>
  <c r="R275" i="6"/>
  <c r="Q275" i="6"/>
  <c r="R485" i="6"/>
  <c r="Q220" i="6"/>
  <c r="Q535" i="6"/>
  <c r="R220" i="6"/>
  <c r="R107" i="6"/>
  <c r="Q107" i="6"/>
  <c r="R535" i="6"/>
  <c r="R164" i="6"/>
  <c r="Q164" i="6"/>
  <c r="AA28" i="6"/>
  <c r="O110" i="6"/>
  <c r="R38" i="6"/>
  <c r="S38" i="6" s="1"/>
  <c r="P827" i="6"/>
  <c r="P1460" i="6"/>
  <c r="P1452" i="6"/>
  <c r="O1446" i="6"/>
  <c r="O1438" i="6"/>
  <c r="O1460" i="6"/>
  <c r="P1457" i="6"/>
  <c r="P1443" i="6"/>
  <c r="O1462" i="6"/>
  <c r="P1449" i="6"/>
  <c r="R1382" i="6"/>
  <c r="O1449" i="6"/>
  <c r="O1452" i="6"/>
  <c r="P1455" i="6"/>
  <c r="P1445" i="6"/>
  <c r="P1442" i="6"/>
  <c r="P1439" i="6"/>
  <c r="P1458" i="6"/>
  <c r="O1455" i="6"/>
  <c r="P1448" i="6"/>
  <c r="O1445" i="6"/>
  <c r="O1442" i="6"/>
  <c r="O1439" i="6"/>
  <c r="P1461" i="6"/>
  <c r="O1458" i="6"/>
  <c r="P1451" i="6"/>
  <c r="O1448" i="6"/>
  <c r="O1461" i="6"/>
  <c r="P1454" i="6"/>
  <c r="O1451" i="6"/>
  <c r="O1454" i="6"/>
  <c r="O1457" i="6"/>
  <c r="P1444" i="6"/>
  <c r="P1441" i="6"/>
  <c r="P1438" i="6"/>
  <c r="P1462" i="6"/>
  <c r="O1453" i="6"/>
  <c r="Q1295" i="6"/>
  <c r="Q1199" i="6"/>
  <c r="Q1382" i="6"/>
  <c r="R1264" i="6"/>
  <c r="O1443" i="6"/>
  <c r="P1450" i="6"/>
  <c r="P1459" i="6"/>
  <c r="O1450" i="6"/>
  <c r="O1441" i="6"/>
  <c r="O1459" i="6"/>
  <c r="P1440" i="6"/>
  <c r="P1447" i="6"/>
  <c r="O1440" i="6"/>
  <c r="P1456" i="6"/>
  <c r="O1447" i="6"/>
  <c r="R1354" i="6"/>
  <c r="R1295" i="6"/>
  <c r="O1456" i="6"/>
  <c r="R1325" i="6"/>
  <c r="Q1325" i="6"/>
  <c r="P1453" i="6"/>
  <c r="R1199" i="6"/>
  <c r="P1446" i="6"/>
  <c r="O1444" i="6"/>
  <c r="O1437" i="6"/>
  <c r="Q1264" i="6"/>
  <c r="Q1094" i="6"/>
  <c r="R1232" i="6"/>
  <c r="Q1232" i="6"/>
  <c r="Q1354" i="6"/>
  <c r="P1437" i="6"/>
  <c r="R939" i="6"/>
  <c r="R1165" i="6"/>
  <c r="R979" i="6"/>
  <c r="Q1165" i="6"/>
  <c r="Q979" i="6"/>
  <c r="Q856" i="6"/>
  <c r="R1019" i="6"/>
  <c r="Q1019" i="6"/>
  <c r="R1130" i="6"/>
  <c r="R1057" i="6"/>
  <c r="Q1130" i="6"/>
  <c r="Q1057" i="6"/>
  <c r="R1094" i="6"/>
  <c r="Q898" i="6"/>
  <c r="R813" i="6"/>
  <c r="Q939" i="6"/>
  <c r="Q813" i="6"/>
  <c r="R856" i="6"/>
  <c r="R724" i="6"/>
  <c r="R678" i="6"/>
  <c r="Q724" i="6"/>
  <c r="Q678" i="6"/>
  <c r="Q484" i="6"/>
  <c r="R769" i="6"/>
  <c r="Q769" i="6"/>
  <c r="R534" i="6"/>
  <c r="R433" i="6"/>
  <c r="R631" i="6"/>
  <c r="Q631" i="6"/>
  <c r="R898" i="6"/>
  <c r="R583" i="6"/>
  <c r="Q583" i="6"/>
  <c r="R484" i="6"/>
  <c r="Q433" i="6"/>
  <c r="Q219" i="6"/>
  <c r="Q163" i="6"/>
  <c r="R328" i="6"/>
  <c r="Q328" i="6"/>
  <c r="Q534" i="6"/>
  <c r="R219" i="6"/>
  <c r="Q106" i="6"/>
  <c r="R274" i="6"/>
  <c r="Q274" i="6"/>
  <c r="Q381" i="6"/>
  <c r="R106" i="6"/>
  <c r="R163" i="6"/>
  <c r="R381" i="6"/>
  <c r="O372" i="6"/>
  <c r="O369" i="6"/>
  <c r="P374" i="6"/>
  <c r="R333" i="6"/>
  <c r="Q861" i="6"/>
  <c r="Q1204" i="6"/>
  <c r="R1359" i="6"/>
  <c r="O1571" i="6"/>
  <c r="O1564" i="6"/>
  <c r="O1574" i="6"/>
  <c r="R46" i="6"/>
  <c r="V46" i="6" s="1"/>
  <c r="Q161" i="6"/>
  <c r="Q937" i="6"/>
  <c r="Q1128" i="6"/>
  <c r="Q1197" i="6"/>
  <c r="O1389" i="6"/>
  <c r="O1403" i="6"/>
  <c r="P1385" i="6"/>
  <c r="R155" i="6"/>
  <c r="R373" i="6"/>
  <c r="P1204" i="6"/>
  <c r="O1212" i="6"/>
  <c r="P1195" i="6"/>
  <c r="O1200" i="6"/>
  <c r="O1218" i="6"/>
  <c r="P1214" i="6"/>
  <c r="R531" i="6"/>
  <c r="Q810" i="6"/>
  <c r="Q1016" i="6"/>
  <c r="P1362" i="6"/>
  <c r="P1365" i="6"/>
  <c r="P1376" i="6"/>
  <c r="P1353" i="6"/>
  <c r="R1217" i="6"/>
  <c r="R1568" i="6"/>
  <c r="R51" i="6"/>
  <c r="W51" i="6" s="1"/>
  <c r="O855" i="6"/>
  <c r="P96" i="6"/>
  <c r="AA25" i="6"/>
  <c r="O107" i="6"/>
  <c r="O220" i="6"/>
  <c r="AA21" i="6"/>
  <c r="O103" i="6"/>
  <c r="O805" i="6"/>
  <c r="P809" i="6"/>
  <c r="O818" i="6"/>
  <c r="P806" i="6"/>
  <c r="O164" i="6"/>
  <c r="O162" i="6"/>
  <c r="O376" i="6"/>
  <c r="Q111" i="6"/>
  <c r="Q818" i="6"/>
  <c r="R1204" i="6"/>
  <c r="Q1170" i="6"/>
  <c r="Q1237" i="6"/>
  <c r="O1565" i="6"/>
  <c r="P1574" i="6"/>
  <c r="R35" i="6"/>
  <c r="U35" i="6" s="1"/>
  <c r="P729" i="6"/>
  <c r="P716" i="6"/>
  <c r="Q217" i="6"/>
  <c r="R937" i="6"/>
  <c r="R1128" i="6"/>
  <c r="O1385" i="6"/>
  <c r="O1397" i="6"/>
  <c r="P1387" i="6"/>
  <c r="P1393" i="6"/>
  <c r="Q155" i="6"/>
  <c r="Q761" i="6"/>
  <c r="Q971" i="6"/>
  <c r="O1198" i="6"/>
  <c r="O1209" i="6"/>
  <c r="P1203" i="6"/>
  <c r="O1204" i="6"/>
  <c r="P1222" i="6"/>
  <c r="Q430" i="6"/>
  <c r="Q853" i="6"/>
  <c r="R1016" i="6"/>
  <c r="O1373" i="6"/>
  <c r="O1370" i="6"/>
  <c r="O1355" i="6"/>
  <c r="P1361" i="6"/>
  <c r="Q1183" i="6"/>
  <c r="Q1502" i="6"/>
  <c r="P858" i="6"/>
  <c r="AA31" i="6"/>
  <c r="O113" i="6"/>
  <c r="O226" i="6"/>
  <c r="O1554" i="6"/>
  <c r="O1546" i="6"/>
  <c r="P1551" i="6"/>
  <c r="P1543" i="6"/>
  <c r="P1535" i="6"/>
  <c r="O1551" i="6"/>
  <c r="O1543" i="6"/>
  <c r="O1535" i="6"/>
  <c r="P1556" i="6"/>
  <c r="P1548" i="6"/>
  <c r="P1540" i="6"/>
  <c r="P1552" i="6"/>
  <c r="P1538" i="6"/>
  <c r="O1552" i="6"/>
  <c r="O1548" i="6"/>
  <c r="O1538" i="6"/>
  <c r="P1555" i="6"/>
  <c r="P1541" i="6"/>
  <c r="O1555" i="6"/>
  <c r="O1541" i="6"/>
  <c r="P1537" i="6"/>
  <c r="R1488" i="6"/>
  <c r="P1544" i="6"/>
  <c r="O1537" i="6"/>
  <c r="Q1488" i="6"/>
  <c r="O1544" i="6"/>
  <c r="O1540" i="6"/>
  <c r="P1547" i="6"/>
  <c r="O1547" i="6"/>
  <c r="P1554" i="6"/>
  <c r="P1550" i="6"/>
  <c r="O1550" i="6"/>
  <c r="P1536" i="6"/>
  <c r="R1358" i="6"/>
  <c r="O1556" i="6"/>
  <c r="R1439" i="6"/>
  <c r="P1546" i="6"/>
  <c r="O1536" i="6"/>
  <c r="Q1439" i="6"/>
  <c r="R1299" i="6"/>
  <c r="R1203" i="6"/>
  <c r="Q1299" i="6"/>
  <c r="P1553" i="6"/>
  <c r="P1545" i="6"/>
  <c r="R1464" i="6"/>
  <c r="O1553" i="6"/>
  <c r="O1545" i="6"/>
  <c r="Q1464" i="6"/>
  <c r="R1413" i="6"/>
  <c r="Q1413" i="6"/>
  <c r="P1542" i="6"/>
  <c r="R1386" i="6"/>
  <c r="O1542" i="6"/>
  <c r="Q1386" i="6"/>
  <c r="O1549" i="6"/>
  <c r="P1539" i="6"/>
  <c r="O1539" i="6"/>
  <c r="Q1236" i="6"/>
  <c r="R1236" i="6"/>
  <c r="Q1203" i="6"/>
  <c r="Q1358" i="6"/>
  <c r="P1549" i="6"/>
  <c r="R1098" i="6"/>
  <c r="Q1098" i="6"/>
  <c r="R1329" i="6"/>
  <c r="R1061" i="6"/>
  <c r="Q1329" i="6"/>
  <c r="Q1061" i="6"/>
  <c r="Q1268" i="6"/>
  <c r="Q902" i="6"/>
  <c r="R1134" i="6"/>
  <c r="R1023" i="6"/>
  <c r="Q1134" i="6"/>
  <c r="Q1023" i="6"/>
  <c r="Q728" i="6"/>
  <c r="R1268" i="6"/>
  <c r="Q943" i="6"/>
  <c r="R1169" i="6"/>
  <c r="Q1169" i="6"/>
  <c r="R902" i="6"/>
  <c r="R860" i="6"/>
  <c r="Q860" i="6"/>
  <c r="R983" i="6"/>
  <c r="R943" i="6"/>
  <c r="Q983" i="6"/>
  <c r="R817" i="6"/>
  <c r="Q817" i="6"/>
  <c r="Q773" i="6"/>
  <c r="R773" i="6"/>
  <c r="R635" i="6"/>
  <c r="Q635" i="6"/>
  <c r="R538" i="6"/>
  <c r="R682" i="6"/>
  <c r="R728" i="6"/>
  <c r="R587" i="6"/>
  <c r="Q332" i="6"/>
  <c r="Q587" i="6"/>
  <c r="Q682" i="6"/>
  <c r="R278" i="6"/>
  <c r="Q278" i="6"/>
  <c r="Q538" i="6"/>
  <c r="R488" i="6"/>
  <c r="R437" i="6"/>
  <c r="Q488" i="6"/>
  <c r="Q437" i="6"/>
  <c r="R332" i="6"/>
  <c r="R223" i="6"/>
  <c r="Q223" i="6"/>
  <c r="R110" i="6"/>
  <c r="Q110" i="6"/>
  <c r="R385" i="6"/>
  <c r="Q385" i="6"/>
  <c r="Q167" i="6"/>
  <c r="R167" i="6"/>
  <c r="P110" i="6"/>
  <c r="P223" i="6"/>
  <c r="Y29" i="6"/>
  <c r="O817" i="6"/>
  <c r="P162" i="6"/>
  <c r="P157" i="6"/>
  <c r="P161" i="6"/>
  <c r="P370" i="6"/>
  <c r="P385" i="6"/>
  <c r="O375" i="6"/>
  <c r="P373" i="6"/>
  <c r="R111" i="6"/>
  <c r="Q774" i="6"/>
  <c r="Q903" i="6"/>
  <c r="R1300" i="6"/>
  <c r="O1568" i="6"/>
  <c r="O1572" i="6"/>
  <c r="R1465" i="6"/>
  <c r="P728" i="6"/>
  <c r="P726" i="6"/>
  <c r="O715" i="6"/>
  <c r="R104" i="6"/>
  <c r="R161" i="6"/>
  <c r="Q532" i="6"/>
  <c r="Q1163" i="6"/>
  <c r="P1402" i="6"/>
  <c r="O1405" i="6"/>
  <c r="P1395" i="6"/>
  <c r="P1401" i="6"/>
  <c r="R476" i="6"/>
  <c r="R575" i="6"/>
  <c r="O1213" i="6"/>
  <c r="P1212" i="6"/>
  <c r="P1209" i="6"/>
  <c r="O1207" i="6"/>
  <c r="P1218" i="6"/>
  <c r="R325" i="6"/>
  <c r="R430" i="6"/>
  <c r="R810" i="6"/>
  <c r="Q1091" i="6"/>
  <c r="P1359" i="6"/>
  <c r="Q1196" i="6"/>
  <c r="O1363" i="6"/>
  <c r="P1369" i="6"/>
  <c r="R1075" i="6"/>
  <c r="Q1547" i="6"/>
  <c r="AB27" i="6"/>
  <c r="R1506" i="6"/>
  <c r="AA22" i="6"/>
  <c r="O104" i="6"/>
  <c r="O217" i="6"/>
  <c r="O848" i="6"/>
  <c r="R50" i="6"/>
  <c r="U50" i="6" s="1"/>
  <c r="AA13" i="6"/>
  <c r="O95" i="6"/>
  <c r="O208" i="6"/>
  <c r="O160" i="6"/>
  <c r="O152" i="6"/>
  <c r="Y13" i="6"/>
  <c r="P379" i="6"/>
  <c r="Q224" i="6"/>
  <c r="R729" i="6"/>
  <c r="R1170" i="6"/>
  <c r="Q1099" i="6"/>
  <c r="P1568" i="6"/>
  <c r="O1561" i="6"/>
  <c r="R1489" i="6"/>
  <c r="O713" i="6"/>
  <c r="O723" i="6"/>
  <c r="Q104" i="6"/>
  <c r="R217" i="6"/>
  <c r="Q1017" i="6"/>
  <c r="O1402" i="6"/>
  <c r="R1293" i="6"/>
  <c r="P1389" i="6"/>
  <c r="P1403" i="6"/>
  <c r="P1409" i="6"/>
  <c r="R211" i="6"/>
  <c r="Q670" i="6"/>
  <c r="R971" i="6"/>
  <c r="R931" i="6"/>
  <c r="O1217" i="6"/>
  <c r="O1197" i="6"/>
  <c r="O1221" i="6"/>
  <c r="Q160" i="6"/>
  <c r="R766" i="6"/>
  <c r="R853" i="6"/>
  <c r="O1354" i="6"/>
  <c r="O1378" i="6"/>
  <c r="R1261" i="6"/>
  <c r="O1371" i="6"/>
  <c r="P1377" i="6"/>
  <c r="R1183" i="6"/>
  <c r="R1400" i="6"/>
  <c r="P783" i="6"/>
  <c r="R342" i="6"/>
  <c r="R597" i="6"/>
  <c r="R1033" i="6"/>
  <c r="Q1309" i="6"/>
  <c r="O1713" i="6"/>
  <c r="R1584" i="6"/>
  <c r="O1262" i="6"/>
  <c r="O1016" i="6"/>
  <c r="R1116" i="6"/>
  <c r="P849" i="6"/>
  <c r="P852" i="6"/>
  <c r="O851" i="6"/>
  <c r="P1190" i="6"/>
  <c r="P1182" i="6"/>
  <c r="P1174" i="6"/>
  <c r="P1166" i="6"/>
  <c r="P1158" i="6"/>
  <c r="O1188" i="6"/>
  <c r="P1185" i="6"/>
  <c r="O1185" i="6"/>
  <c r="O1182" i="6"/>
  <c r="P1179" i="6"/>
  <c r="O1165" i="6"/>
  <c r="O1191" i="6"/>
  <c r="P1184" i="6"/>
  <c r="O1181" i="6"/>
  <c r="P1168" i="6"/>
  <c r="P1165" i="6"/>
  <c r="P1162" i="6"/>
  <c r="Q1085" i="6"/>
  <c r="P1187" i="6"/>
  <c r="O1184" i="6"/>
  <c r="P1171" i="6"/>
  <c r="O1168" i="6"/>
  <c r="O1162" i="6"/>
  <c r="P1159" i="6"/>
  <c r="O1190" i="6"/>
  <c r="P1177" i="6"/>
  <c r="P1180" i="6"/>
  <c r="O1177" i="6"/>
  <c r="P1170" i="6"/>
  <c r="P1167" i="6"/>
  <c r="P1164" i="6"/>
  <c r="P1183" i="6"/>
  <c r="O1180" i="6"/>
  <c r="P1173" i="6"/>
  <c r="O1170" i="6"/>
  <c r="O1167" i="6"/>
  <c r="O1164" i="6"/>
  <c r="P1186" i="6"/>
  <c r="O1183" i="6"/>
  <c r="P1176" i="6"/>
  <c r="O1173" i="6"/>
  <c r="O1161" i="6"/>
  <c r="O1189" i="6"/>
  <c r="O1174" i="6"/>
  <c r="R1048" i="6"/>
  <c r="P1163" i="6"/>
  <c r="Q1048" i="6"/>
  <c r="O1163" i="6"/>
  <c r="O1159" i="6"/>
  <c r="P1178" i="6"/>
  <c r="O1178" i="6"/>
  <c r="R1010" i="6"/>
  <c r="R970" i="6"/>
  <c r="P1188" i="6"/>
  <c r="P1172" i="6"/>
  <c r="O1158" i="6"/>
  <c r="Q1010" i="6"/>
  <c r="Q970" i="6"/>
  <c r="O1172" i="6"/>
  <c r="O1187" i="6"/>
  <c r="O1176" i="6"/>
  <c r="O1186" i="6"/>
  <c r="P1175" i="6"/>
  <c r="O1175" i="6"/>
  <c r="Q760" i="6"/>
  <c r="P1192" i="6"/>
  <c r="R930" i="6"/>
  <c r="O1192" i="6"/>
  <c r="O1171" i="6"/>
  <c r="P1161" i="6"/>
  <c r="R1085" i="6"/>
  <c r="P1181" i="6"/>
  <c r="P1160" i="6"/>
  <c r="P1189" i="6"/>
  <c r="O1169" i="6"/>
  <c r="R804" i="6"/>
  <c r="Q804" i="6"/>
  <c r="P1191" i="6"/>
  <c r="R889" i="6"/>
  <c r="O1179" i="6"/>
  <c r="P1169" i="6"/>
  <c r="Q889" i="6"/>
  <c r="R715" i="6"/>
  <c r="O1166" i="6"/>
  <c r="Q715" i="6"/>
  <c r="O1160" i="6"/>
  <c r="R760" i="6"/>
  <c r="R669" i="6"/>
  <c r="Q930" i="6"/>
  <c r="R847" i="6"/>
  <c r="Q669" i="6"/>
  <c r="Q847" i="6"/>
  <c r="R622" i="6"/>
  <c r="R574" i="6"/>
  <c r="R424" i="6"/>
  <c r="Q424" i="6"/>
  <c r="R525" i="6"/>
  <c r="Q525" i="6"/>
  <c r="Q574" i="6"/>
  <c r="Q475" i="6"/>
  <c r="R265" i="6"/>
  <c r="R97" i="6"/>
  <c r="Q265" i="6"/>
  <c r="R372" i="6"/>
  <c r="Q372" i="6"/>
  <c r="Q319" i="6"/>
  <c r="R475" i="6"/>
  <c r="Q154" i="6"/>
  <c r="R154" i="6"/>
  <c r="R319" i="6"/>
  <c r="Q622" i="6"/>
  <c r="Q97" i="6"/>
  <c r="R210" i="6"/>
  <c r="Q210" i="6"/>
  <c r="P1508" i="6"/>
  <c r="P1500" i="6"/>
  <c r="P1492" i="6"/>
  <c r="O1509" i="6"/>
  <c r="P1506" i="6"/>
  <c r="O1489" i="6"/>
  <c r="O1506" i="6"/>
  <c r="P1503" i="6"/>
  <c r="O1503" i="6"/>
  <c r="O1500" i="6"/>
  <c r="P1497" i="6"/>
  <c r="O1497" i="6"/>
  <c r="P1494" i="6"/>
  <c r="P1511" i="6"/>
  <c r="O1494" i="6"/>
  <c r="P1491" i="6"/>
  <c r="O1511" i="6"/>
  <c r="O1508" i="6"/>
  <c r="P1505" i="6"/>
  <c r="O1491" i="6"/>
  <c r="P1488" i="6"/>
  <c r="O1505" i="6"/>
  <c r="P1502" i="6"/>
  <c r="O1488" i="6"/>
  <c r="O1502" i="6"/>
  <c r="O1498" i="6"/>
  <c r="P1507" i="6"/>
  <c r="O1507" i="6"/>
  <c r="R1411" i="6"/>
  <c r="P1496" i="6"/>
  <c r="O1492" i="6"/>
  <c r="Q1411" i="6"/>
  <c r="O1496" i="6"/>
  <c r="R1384" i="6"/>
  <c r="P1501" i="6"/>
  <c r="Q1384" i="6"/>
  <c r="O1501" i="6"/>
  <c r="P1510" i="6"/>
  <c r="P1490" i="6"/>
  <c r="O1510" i="6"/>
  <c r="O1490" i="6"/>
  <c r="P1499" i="6"/>
  <c r="P1495" i="6"/>
  <c r="P1498" i="6"/>
  <c r="Q1234" i="6"/>
  <c r="O1495" i="6"/>
  <c r="P1509" i="6"/>
  <c r="R1327" i="6"/>
  <c r="P1493" i="6"/>
  <c r="R1356" i="6"/>
  <c r="Q1327" i="6"/>
  <c r="O1493" i="6"/>
  <c r="P1504" i="6"/>
  <c r="Q1297" i="6"/>
  <c r="O1504" i="6"/>
  <c r="R1266" i="6"/>
  <c r="P1489" i="6"/>
  <c r="R1437" i="6"/>
  <c r="R1096" i="6"/>
  <c r="O1499" i="6"/>
  <c r="Q1266" i="6"/>
  <c r="Q1167" i="6"/>
  <c r="R1297" i="6"/>
  <c r="R1234" i="6"/>
  <c r="Q1059" i="6"/>
  <c r="R1132" i="6"/>
  <c r="R1201" i="6"/>
  <c r="Q1132" i="6"/>
  <c r="Q1201" i="6"/>
  <c r="R1167" i="6"/>
  <c r="Q1356" i="6"/>
  <c r="Q1437" i="6"/>
  <c r="R1059" i="6"/>
  <c r="Q680" i="6"/>
  <c r="Q1096" i="6"/>
  <c r="R941" i="6"/>
  <c r="Q941" i="6"/>
  <c r="R1021" i="6"/>
  <c r="Q1021" i="6"/>
  <c r="R726" i="6"/>
  <c r="R633" i="6"/>
  <c r="R585" i="6"/>
  <c r="R900" i="6"/>
  <c r="Q633" i="6"/>
  <c r="Q585" i="6"/>
  <c r="Q900" i="6"/>
  <c r="R486" i="6"/>
  <c r="R680" i="6"/>
  <c r="Q726" i="6"/>
  <c r="Q858" i="6"/>
  <c r="Q771" i="6"/>
  <c r="R858" i="6"/>
  <c r="R771" i="6"/>
  <c r="R536" i="6"/>
  <c r="Q536" i="6"/>
  <c r="Q486" i="6"/>
  <c r="R981" i="6"/>
  <c r="R815" i="6"/>
  <c r="R435" i="6"/>
  <c r="Q981" i="6"/>
  <c r="Q815" i="6"/>
  <c r="R383" i="6"/>
  <c r="Q383" i="6"/>
  <c r="R276" i="6"/>
  <c r="R165" i="6"/>
  <c r="R330" i="6"/>
  <c r="Q276" i="6"/>
  <c r="Q165" i="6"/>
  <c r="Q330" i="6"/>
  <c r="Q435" i="6"/>
  <c r="R221" i="6"/>
  <c r="Q221" i="6"/>
  <c r="Q108" i="6"/>
  <c r="R108" i="6"/>
  <c r="P805" i="6"/>
  <c r="P803" i="6"/>
  <c r="P154" i="6"/>
  <c r="P369" i="6"/>
  <c r="O379" i="6"/>
  <c r="Q279" i="6"/>
  <c r="Q683" i="6"/>
  <c r="Q1062" i="6"/>
  <c r="Q1465" i="6"/>
  <c r="P1571" i="6"/>
  <c r="P1565" i="6"/>
  <c r="P1567" i="6"/>
  <c r="P712" i="6"/>
  <c r="O731" i="6"/>
  <c r="R431" i="6"/>
  <c r="R767" i="6"/>
  <c r="R1017" i="6"/>
  <c r="P1407" i="6"/>
  <c r="O1391" i="6"/>
  <c r="P1397" i="6"/>
  <c r="Q1323" i="6"/>
  <c r="O100" i="6"/>
  <c r="Q98" i="6"/>
  <c r="R670" i="6"/>
  <c r="Q890" i="6"/>
  <c r="P1213" i="6"/>
  <c r="O1199" i="6"/>
  <c r="P1200" i="6"/>
  <c r="O1224" i="6"/>
  <c r="R216" i="6"/>
  <c r="R481" i="6"/>
  <c r="Q1054" i="6"/>
  <c r="P1354" i="6"/>
  <c r="O1364" i="6"/>
  <c r="O1357" i="6"/>
  <c r="O1379" i="6"/>
  <c r="R1453" i="6"/>
  <c r="Q1427" i="6"/>
  <c r="R1502" i="6"/>
  <c r="Q447" i="6"/>
  <c r="R783" i="6"/>
  <c r="Q1071" i="6"/>
  <c r="R1309" i="6"/>
  <c r="O1718" i="6"/>
  <c r="P1713" i="6"/>
  <c r="R1604" i="6"/>
  <c r="R1719" i="6"/>
  <c r="P900" i="6"/>
  <c r="P912" i="6"/>
  <c r="R1430" i="6"/>
  <c r="R1611" i="6"/>
  <c r="P262" i="6"/>
  <c r="O278" i="6"/>
  <c r="P276" i="6"/>
  <c r="P855" i="6"/>
  <c r="P856" i="6"/>
  <c r="P844" i="6"/>
  <c r="O859" i="6"/>
  <c r="Y27" i="6"/>
  <c r="P1345" i="6"/>
  <c r="P1337" i="6"/>
  <c r="P1329" i="6"/>
  <c r="P1350" i="6"/>
  <c r="P1342" i="6"/>
  <c r="P1334" i="6"/>
  <c r="P1326" i="6"/>
  <c r="R1195" i="6"/>
  <c r="O1350" i="6"/>
  <c r="O1342" i="6"/>
  <c r="O1334" i="6"/>
  <c r="O1326" i="6"/>
  <c r="P1347" i="6"/>
  <c r="P1339" i="6"/>
  <c r="P1331" i="6"/>
  <c r="P1323" i="6"/>
  <c r="O1347" i="6"/>
  <c r="O1339" i="6"/>
  <c r="O1331" i="6"/>
  <c r="O1323" i="6"/>
  <c r="P1352" i="6"/>
  <c r="P1344" i="6"/>
  <c r="P1336" i="6"/>
  <c r="O1345" i="6"/>
  <c r="O1328" i="6"/>
  <c r="Q1228" i="6"/>
  <c r="O1344" i="6"/>
  <c r="P1332" i="6"/>
  <c r="P1340" i="6"/>
  <c r="O1332" i="6"/>
  <c r="P1324" i="6"/>
  <c r="O1352" i="6"/>
  <c r="O1340" i="6"/>
  <c r="O1324" i="6"/>
  <c r="P1348" i="6"/>
  <c r="P1335" i="6"/>
  <c r="P1343" i="6"/>
  <c r="O1327" i="6"/>
  <c r="O1343" i="6"/>
  <c r="R1260" i="6"/>
  <c r="O1351" i="6"/>
  <c r="O1338" i="6"/>
  <c r="O1330" i="6"/>
  <c r="O1337" i="6"/>
  <c r="O1329" i="6"/>
  <c r="O1336" i="6"/>
  <c r="P1328" i="6"/>
  <c r="O1335" i="6"/>
  <c r="P1327" i="6"/>
  <c r="P1351" i="6"/>
  <c r="R1161" i="6"/>
  <c r="Q1090" i="6"/>
  <c r="P1333" i="6"/>
  <c r="Q1161" i="6"/>
  <c r="P1341" i="6"/>
  <c r="O1333" i="6"/>
  <c r="P1325" i="6"/>
  <c r="O1341" i="6"/>
  <c r="O1325" i="6"/>
  <c r="P1349" i="6"/>
  <c r="O1349" i="6"/>
  <c r="O1348" i="6"/>
  <c r="Q1195" i="6"/>
  <c r="P1330" i="6"/>
  <c r="Q1260" i="6"/>
  <c r="P1346" i="6"/>
  <c r="O1346" i="6"/>
  <c r="P1338" i="6"/>
  <c r="Q894" i="6"/>
  <c r="R1126" i="6"/>
  <c r="Q1126" i="6"/>
  <c r="Q720" i="6"/>
  <c r="R1015" i="6"/>
  <c r="R1228" i="6"/>
  <c r="Q1015" i="6"/>
  <c r="R975" i="6"/>
  <c r="Q975" i="6"/>
  <c r="R1090" i="6"/>
  <c r="Q935" i="6"/>
  <c r="Q1053" i="6"/>
  <c r="R894" i="6"/>
  <c r="R1053" i="6"/>
  <c r="R809" i="6"/>
  <c r="Q809" i="6"/>
  <c r="R720" i="6"/>
  <c r="R852" i="6"/>
  <c r="Q852" i="6"/>
  <c r="Q765" i="6"/>
  <c r="Q530" i="6"/>
  <c r="R480" i="6"/>
  <c r="Q480" i="6"/>
  <c r="R627" i="6"/>
  <c r="Q627" i="6"/>
  <c r="R429" i="6"/>
  <c r="Q579" i="6"/>
  <c r="R935" i="6"/>
  <c r="R377" i="6"/>
  <c r="Q324" i="6"/>
  <c r="Q377" i="6"/>
  <c r="R765" i="6"/>
  <c r="Q429" i="6"/>
  <c r="R270" i="6"/>
  <c r="Q270" i="6"/>
  <c r="R674" i="6"/>
  <c r="R530" i="6"/>
  <c r="R324" i="6"/>
  <c r="R215" i="6"/>
  <c r="Q215" i="6"/>
  <c r="R579" i="6"/>
  <c r="R159" i="6"/>
  <c r="R102" i="6"/>
  <c r="Q159" i="6"/>
  <c r="Q102" i="6"/>
  <c r="Q674" i="6"/>
  <c r="AA17" i="6"/>
  <c r="O99" i="6"/>
  <c r="P101" i="6"/>
  <c r="O807" i="6"/>
  <c r="O166" i="6"/>
  <c r="P376" i="6"/>
  <c r="O384" i="6"/>
  <c r="R279" i="6"/>
  <c r="R438" i="6"/>
  <c r="R861" i="6"/>
  <c r="P1557" i="6"/>
  <c r="O1563" i="6"/>
  <c r="P1561" i="6"/>
  <c r="O1570" i="6"/>
  <c r="P714" i="6"/>
  <c r="O722" i="6"/>
  <c r="P715" i="6"/>
  <c r="Q272" i="6"/>
  <c r="R629" i="6"/>
  <c r="Q977" i="6"/>
  <c r="O1393" i="6"/>
  <c r="O1404" i="6"/>
  <c r="P1405" i="6"/>
  <c r="Q266" i="6"/>
  <c r="Q623" i="6"/>
  <c r="Q1049" i="6"/>
  <c r="P1221" i="6"/>
  <c r="O1226" i="6"/>
  <c r="P1207" i="6"/>
  <c r="P1199" i="6"/>
  <c r="Q325" i="6"/>
  <c r="Q675" i="6"/>
  <c r="R1054" i="6"/>
  <c r="P1364" i="6"/>
  <c r="P1378" i="6"/>
  <c r="P1370" i="6"/>
  <c r="P1355" i="6"/>
  <c r="R1148" i="6"/>
  <c r="Q1313" i="6"/>
  <c r="R1427" i="6"/>
  <c r="R34" i="6"/>
  <c r="T34" i="6" s="1"/>
  <c r="R42" i="6"/>
  <c r="U42" i="6" s="1"/>
  <c r="R39" i="6"/>
  <c r="U39" i="6" s="1"/>
  <c r="AA27" i="6"/>
  <c r="O109" i="6"/>
  <c r="O816" i="6"/>
  <c r="O810" i="6"/>
  <c r="P170" i="6"/>
  <c r="O386" i="6"/>
  <c r="Q168" i="6"/>
  <c r="R683" i="6"/>
  <c r="R1062" i="6"/>
  <c r="Q1359" i="6"/>
  <c r="P1563" i="6"/>
  <c r="O1558" i="6"/>
  <c r="O1559" i="6"/>
  <c r="P731" i="6"/>
  <c r="P718" i="6"/>
  <c r="Y24" i="6"/>
  <c r="Q482" i="6"/>
  <c r="R532" i="6"/>
  <c r="R977" i="6"/>
  <c r="P1394" i="6"/>
  <c r="P1404" i="6"/>
  <c r="O1384" i="6"/>
  <c r="O1390" i="6"/>
  <c r="AA18" i="6"/>
  <c r="R98" i="6"/>
  <c r="R623" i="6"/>
  <c r="R890" i="6"/>
  <c r="O1208" i="6"/>
  <c r="O1196" i="6"/>
  <c r="O1211" i="6"/>
  <c r="O1202" i="6"/>
  <c r="Q216" i="6"/>
  <c r="Q895" i="6"/>
  <c r="R1292" i="6"/>
  <c r="O1377" i="6"/>
  <c r="O1356" i="6"/>
  <c r="R1196" i="6"/>
  <c r="P1363" i="6"/>
  <c r="R1547" i="6"/>
  <c r="O1077" i="6"/>
  <c r="O1069" i="6"/>
  <c r="P1074" i="6"/>
  <c r="P1066" i="6"/>
  <c r="P1058" i="6"/>
  <c r="O1079" i="6"/>
  <c r="O1071" i="6"/>
  <c r="O1063" i="6"/>
  <c r="P1076" i="6"/>
  <c r="P1068" i="6"/>
  <c r="O1080" i="6"/>
  <c r="O1076" i="6"/>
  <c r="P1062" i="6"/>
  <c r="P1051" i="6"/>
  <c r="P1069" i="6"/>
  <c r="P1065" i="6"/>
  <c r="O1062" i="6"/>
  <c r="P1059" i="6"/>
  <c r="O1051" i="6"/>
  <c r="O1072" i="6"/>
  <c r="O1068" i="6"/>
  <c r="P1053" i="6"/>
  <c r="P1075" i="6"/>
  <c r="O1053" i="6"/>
  <c r="O1083" i="6"/>
  <c r="P1073" i="6"/>
  <c r="O1056" i="6"/>
  <c r="O1049" i="6"/>
  <c r="R967" i="6"/>
  <c r="Q886" i="6"/>
  <c r="P1082" i="6"/>
  <c r="O1073" i="6"/>
  <c r="P1052" i="6"/>
  <c r="Q967" i="6"/>
  <c r="O1082" i="6"/>
  <c r="P1063" i="6"/>
  <c r="O1052" i="6"/>
  <c r="O1059" i="6"/>
  <c r="P1055" i="6"/>
  <c r="P1048" i="6"/>
  <c r="P1077" i="6"/>
  <c r="P1072" i="6"/>
  <c r="P1067" i="6"/>
  <c r="O1055" i="6"/>
  <c r="O1048" i="6"/>
  <c r="Q712" i="6"/>
  <c r="P1081" i="6"/>
  <c r="O1067" i="6"/>
  <c r="O1081" i="6"/>
  <c r="P1071" i="6"/>
  <c r="O1058" i="6"/>
  <c r="P1047" i="6"/>
  <c r="O1047" i="6"/>
  <c r="O1075" i="6"/>
  <c r="O1066" i="6"/>
  <c r="P1061" i="6"/>
  <c r="P1054" i="6"/>
  <c r="P1050" i="6"/>
  <c r="R1007" i="6"/>
  <c r="P1080" i="6"/>
  <c r="P1070" i="6"/>
  <c r="O1061" i="6"/>
  <c r="O1054" i="6"/>
  <c r="O1050" i="6"/>
  <c r="Q1007" i="6"/>
  <c r="Q927" i="6"/>
  <c r="P1084" i="6"/>
  <c r="P1079" i="6"/>
  <c r="O1057" i="6"/>
  <c r="P1078" i="6"/>
  <c r="P1064" i="6"/>
  <c r="O1064" i="6"/>
  <c r="P1049" i="6"/>
  <c r="R801" i="6"/>
  <c r="O1084" i="6"/>
  <c r="R886" i="6"/>
  <c r="Q801" i="6"/>
  <c r="P1083" i="6"/>
  <c r="P1060" i="6"/>
  <c r="O1060" i="6"/>
  <c r="O1078" i="6"/>
  <c r="P1057" i="6"/>
  <c r="O1074" i="6"/>
  <c r="R844" i="6"/>
  <c r="O1065" i="6"/>
  <c r="Q844" i="6"/>
  <c r="R757" i="6"/>
  <c r="R712" i="6"/>
  <c r="P1056" i="6"/>
  <c r="Q757" i="6"/>
  <c r="R666" i="6"/>
  <c r="Q666" i="6"/>
  <c r="R927" i="6"/>
  <c r="R421" i="6"/>
  <c r="R522" i="6"/>
  <c r="R619" i="6"/>
  <c r="Q522" i="6"/>
  <c r="O1070" i="6"/>
  <c r="Q619" i="6"/>
  <c r="R571" i="6"/>
  <c r="Q571" i="6"/>
  <c r="Q316" i="6"/>
  <c r="Q421" i="6"/>
  <c r="R262" i="6"/>
  <c r="Q262" i="6"/>
  <c r="R369" i="6"/>
  <c r="Q369" i="6"/>
  <c r="R316" i="6"/>
  <c r="Q151" i="6"/>
  <c r="R207" i="6"/>
  <c r="Q207" i="6"/>
  <c r="R472" i="6"/>
  <c r="R94" i="6"/>
  <c r="Q472" i="6"/>
  <c r="Q94" i="6"/>
  <c r="R151" i="6"/>
  <c r="P801" i="6"/>
  <c r="O170" i="6"/>
  <c r="P152" i="6"/>
  <c r="P372" i="6"/>
  <c r="R168" i="6"/>
  <c r="Q489" i="6"/>
  <c r="Q944" i="6"/>
  <c r="O1560" i="6"/>
  <c r="Q1387" i="6"/>
  <c r="O1569" i="6"/>
  <c r="P1570" i="6"/>
  <c r="P210" i="6"/>
  <c r="Q811" i="6"/>
  <c r="Q379" i="6"/>
  <c r="R1197" i="6"/>
  <c r="R1230" i="6"/>
  <c r="Q1230" i="6"/>
  <c r="O1392" i="6"/>
  <c r="O1398" i="6"/>
  <c r="R266" i="6"/>
  <c r="Q716" i="6"/>
  <c r="R1049" i="6"/>
  <c r="Q1086" i="6"/>
  <c r="O1206" i="6"/>
  <c r="O1223" i="6"/>
  <c r="P1216" i="6"/>
  <c r="Q481" i="6"/>
  <c r="Q580" i="6"/>
  <c r="Q936" i="6"/>
  <c r="O1367" i="6"/>
  <c r="O1369" i="6"/>
  <c r="Q1292" i="6"/>
  <c r="P1371" i="6"/>
  <c r="Q1372" i="6"/>
  <c r="R1588" i="6"/>
  <c r="U65" i="6" l="1"/>
  <c r="T65" i="6"/>
  <c r="V65" i="6"/>
  <c r="S65" i="6"/>
  <c r="T31" i="6"/>
  <c r="T15" i="6"/>
  <c r="S23" i="6"/>
  <c r="S28" i="6"/>
  <c r="U28" i="6"/>
  <c r="V28" i="6"/>
  <c r="W28" i="6"/>
  <c r="V16" i="6"/>
  <c r="W16" i="6"/>
  <c r="U22" i="6"/>
  <c r="W54" i="6"/>
  <c r="T30" i="6"/>
  <c r="T17" i="6"/>
  <c r="V54" i="6"/>
  <c r="V30" i="6"/>
  <c r="W30" i="6"/>
  <c r="U30" i="6"/>
  <c r="W17" i="6"/>
  <c r="S54" i="6"/>
  <c r="U54" i="6"/>
  <c r="S66" i="6"/>
  <c r="V15" i="6"/>
  <c r="U52" i="6"/>
  <c r="T16" i="6"/>
  <c r="S303" i="6"/>
  <c r="W15" i="6"/>
  <c r="S15" i="6"/>
  <c r="U16" i="6"/>
  <c r="T18" i="6"/>
  <c r="S19" i="6"/>
  <c r="S248" i="6"/>
  <c r="V19" i="6"/>
  <c r="U19" i="6"/>
  <c r="T19" i="6"/>
  <c r="S304" i="6"/>
  <c r="S192" i="6"/>
  <c r="S249" i="6"/>
  <c r="S306" i="6"/>
  <c r="W23" i="6"/>
  <c r="U23" i="6"/>
  <c r="T23" i="6"/>
  <c r="S22" i="6"/>
  <c r="S77" i="6"/>
  <c r="S252" i="6"/>
  <c r="W22" i="6"/>
  <c r="T22" i="6"/>
  <c r="T63" i="6"/>
  <c r="T24" i="6"/>
  <c r="S193" i="6"/>
  <c r="V24" i="6"/>
  <c r="U31" i="6"/>
  <c r="U18" i="6"/>
  <c r="S39" i="6"/>
  <c r="V13" i="6"/>
  <c r="S31" i="6"/>
  <c r="W63" i="6"/>
  <c r="S359" i="6"/>
  <c r="V63" i="6"/>
  <c r="S198" i="6"/>
  <c r="S462" i="6"/>
  <c r="S24" i="6"/>
  <c r="S247" i="6"/>
  <c r="S356" i="6"/>
  <c r="W31" i="6"/>
  <c r="U63" i="6"/>
  <c r="W24" i="6"/>
  <c r="U20" i="6"/>
  <c r="V20" i="6"/>
  <c r="W20" i="6"/>
  <c r="S250" i="6"/>
  <c r="S513" i="6"/>
  <c r="T33" i="6"/>
  <c r="W13" i="6"/>
  <c r="S197" i="6"/>
  <c r="U45" i="6"/>
  <c r="W59" i="6"/>
  <c r="W39" i="6"/>
  <c r="S251" i="6"/>
  <c r="S17" i="6"/>
  <c r="V70" i="6"/>
  <c r="V17" i="6"/>
  <c r="V27" i="6"/>
  <c r="S27" i="6"/>
  <c r="U43" i="6"/>
  <c r="S360" i="6"/>
  <c r="S195" i="6"/>
  <c r="W27" i="6"/>
  <c r="S191" i="6"/>
  <c r="S411" i="6"/>
  <c r="S357" i="6"/>
  <c r="S61" i="6"/>
  <c r="S20" i="6"/>
  <c r="U27" i="6"/>
  <c r="S83" i="6"/>
  <c r="T14" i="6"/>
  <c r="S302" i="6"/>
  <c r="S196" i="6"/>
  <c r="S82" i="6"/>
  <c r="V21" i="6"/>
  <c r="T21" i="6"/>
  <c r="V14" i="6"/>
  <c r="U21" i="6"/>
  <c r="T32" i="6"/>
  <c r="S21" i="6"/>
  <c r="S14" i="6"/>
  <c r="U14" i="6"/>
  <c r="T26" i="6"/>
  <c r="V26" i="6"/>
  <c r="S26" i="6"/>
  <c r="T43" i="6"/>
  <c r="S194" i="6"/>
  <c r="S307" i="6"/>
  <c r="S412" i="6"/>
  <c r="S562" i="6"/>
  <c r="U26" i="6"/>
  <c r="S305" i="6"/>
  <c r="S410" i="6"/>
  <c r="S253" i="6"/>
  <c r="S43" i="6"/>
  <c r="S461" i="6"/>
  <c r="S463" i="6"/>
  <c r="S358" i="6"/>
  <c r="S512" i="6"/>
  <c r="T38" i="6"/>
  <c r="U62" i="6"/>
  <c r="U71" i="6"/>
  <c r="V56" i="6"/>
  <c r="U59" i="6"/>
  <c r="U56" i="6"/>
  <c r="T66" i="6"/>
  <c r="T68" i="6"/>
  <c r="U66" i="6"/>
  <c r="V62" i="6"/>
  <c r="T62" i="6"/>
  <c r="S409" i="6"/>
  <c r="W66" i="6"/>
  <c r="S80" i="6"/>
  <c r="S136" i="6"/>
  <c r="S25" i="6"/>
  <c r="S62" i="6"/>
  <c r="S78" i="6"/>
  <c r="S56" i="6"/>
  <c r="W25" i="6"/>
  <c r="T25" i="6"/>
  <c r="V25" i="6"/>
  <c r="W58" i="6"/>
  <c r="T58" i="6"/>
  <c r="S135" i="6"/>
  <c r="S140" i="6"/>
  <c r="T45" i="6"/>
  <c r="S84" i="6"/>
  <c r="S81" i="6"/>
  <c r="O5" i="6"/>
  <c r="V5" i="6" s="1"/>
  <c r="P5" i="6" s="1"/>
  <c r="W67" i="6"/>
  <c r="S141" i="6"/>
  <c r="W43" i="6"/>
  <c r="T61" i="6"/>
  <c r="U47" i="6"/>
  <c r="U32" i="6"/>
  <c r="U61" i="6"/>
  <c r="V18" i="6"/>
  <c r="T52" i="6"/>
  <c r="W29" i="6"/>
  <c r="S138" i="6"/>
  <c r="S58" i="6"/>
  <c r="T29" i="6"/>
  <c r="T47" i="6"/>
  <c r="T41" i="6"/>
  <c r="U41" i="6"/>
  <c r="S139" i="6"/>
  <c r="S70" i="6"/>
  <c r="S76" i="6"/>
  <c r="V29" i="6"/>
  <c r="S68" i="6"/>
  <c r="U68" i="6"/>
  <c r="V39" i="6"/>
  <c r="S13" i="6"/>
  <c r="W18" i="6"/>
  <c r="V52" i="6"/>
  <c r="U29" i="6"/>
  <c r="S137" i="6"/>
  <c r="S142" i="6"/>
  <c r="V68" i="6"/>
  <c r="U33" i="6"/>
  <c r="U13" i="6"/>
  <c r="V32" i="6"/>
  <c r="T56" i="6"/>
  <c r="S79" i="6"/>
  <c r="U48" i="6"/>
  <c r="S52" i="6"/>
  <c r="S32" i="6"/>
  <c r="W70" i="6"/>
  <c r="T48" i="6"/>
  <c r="V59" i="6"/>
  <c r="T70" i="6"/>
  <c r="V61" i="6"/>
  <c r="U58" i="6"/>
  <c r="T59" i="6"/>
  <c r="W57" i="6"/>
  <c r="W48" i="6"/>
  <c r="S57" i="6"/>
  <c r="V67" i="6"/>
  <c r="T51" i="6"/>
  <c r="V40" i="6"/>
  <c r="S12" i="6"/>
  <c r="U12" i="6"/>
  <c r="T12" i="6"/>
  <c r="W12" i="6"/>
  <c r="U53" i="6"/>
  <c r="U38" i="6"/>
  <c r="S134" i="6"/>
  <c r="W53" i="6"/>
  <c r="V38" i="6"/>
  <c r="W38" i="6"/>
  <c r="U40" i="6"/>
  <c r="V50" i="6"/>
  <c r="T46" i="6"/>
  <c r="S71" i="6"/>
  <c r="V71" i="6"/>
  <c r="S48" i="6"/>
  <c r="V47" i="6"/>
  <c r="W47" i="6"/>
  <c r="S40" i="6"/>
  <c r="W46" i="6"/>
  <c r="W40" i="6"/>
  <c r="V41" i="6"/>
  <c r="T71" i="6"/>
  <c r="V44" i="6"/>
  <c r="W41" i="6"/>
  <c r="W44" i="6"/>
  <c r="S42" i="6"/>
  <c r="V60" i="6"/>
  <c r="S60" i="6"/>
  <c r="V37" i="6"/>
  <c r="S50" i="6"/>
  <c r="U51" i="6"/>
  <c r="S36" i="6"/>
  <c r="U46" i="6"/>
  <c r="W37" i="6"/>
  <c r="T37" i="6"/>
  <c r="W50" i="6"/>
  <c r="V36" i="6"/>
  <c r="W36" i="6"/>
  <c r="V53" i="6"/>
  <c r="S53" i="6"/>
  <c r="Z48" i="6"/>
  <c r="AD36" i="6" s="1"/>
  <c r="V42" i="6"/>
  <c r="U37" i="6"/>
  <c r="S46" i="6"/>
  <c r="T36" i="6"/>
  <c r="W42" i="6"/>
  <c r="V35" i="6"/>
  <c r="S34" i="6"/>
  <c r="U69" i="6"/>
  <c r="T69" i="6"/>
  <c r="T42" i="6"/>
  <c r="T39" i="6"/>
  <c r="S69" i="6"/>
  <c r="T55" i="6"/>
  <c r="V34" i="6"/>
  <c r="S35" i="6"/>
  <c r="W35" i="6"/>
  <c r="V49" i="6"/>
  <c r="S45" i="6"/>
  <c r="U34" i="6"/>
  <c r="V69" i="6"/>
  <c r="W34" i="6"/>
  <c r="W49" i="6"/>
  <c r="W45" i="6"/>
  <c r="W69" i="6"/>
  <c r="S64" i="6"/>
  <c r="O6" i="6"/>
  <c r="S51" i="6"/>
  <c r="V55" i="6"/>
  <c r="S55" i="6"/>
  <c r="W55" i="6"/>
  <c r="V64" i="6"/>
  <c r="U67" i="6"/>
  <c r="T67" i="6"/>
  <c r="V51" i="6"/>
  <c r="U49" i="6"/>
  <c r="T49" i="6"/>
  <c r="O7" i="6"/>
  <c r="U64" i="6"/>
  <c r="T64" i="6"/>
  <c r="S33" i="6"/>
  <c r="T35" i="6"/>
  <c r="T60" i="6"/>
  <c r="V33" i="6"/>
  <c r="U44" i="6"/>
  <c r="T44" i="6"/>
  <c r="T50" i="6"/>
  <c r="U60" i="6"/>
  <c r="U57" i="6"/>
  <c r="T57" i="6"/>
  <c r="AD38" i="6" l="1"/>
  <c r="AE39" i="6"/>
  <c r="AD35" i="6"/>
  <c r="AD39" i="6"/>
  <c r="AE36" i="6"/>
  <c r="AE35" i="6"/>
  <c r="AE38" i="6"/>
  <c r="V7" i="6"/>
  <c r="P7" i="6" s="1"/>
  <c r="U5" i="6"/>
  <c r="T5" i="6"/>
  <c r="S5" i="6"/>
  <c r="R5" i="6"/>
  <c r="Q5" i="6"/>
  <c r="AD37" i="6"/>
  <c r="V6" i="6"/>
  <c r="AE37" i="6"/>
  <c r="R6" i="6" l="1"/>
  <c r="Q6" i="6"/>
  <c r="S6" i="6"/>
  <c r="T6" i="6"/>
  <c r="U6" i="6"/>
  <c r="P6" i="6"/>
  <c r="Y5" i="6" s="1"/>
  <c r="J45" i="7" s="1"/>
  <c r="S7" i="6"/>
  <c r="U7" i="6"/>
  <c r="T7" i="6"/>
  <c r="Q7" i="6"/>
  <c r="R7" i="6"/>
  <c r="Z35" i="6" l="1"/>
  <c r="J37" i="7" s="1"/>
  <c r="B28" i="6" l="1"/>
  <c r="Z36" i="6"/>
  <c r="J38" i="7" s="1"/>
  <c r="B29" i="6" s="1"/>
  <c r="Z37" i="6"/>
  <c r="J39" i="7" s="1"/>
  <c r="B30" i="6" s="1"/>
  <c r="AD42" i="6" l="1"/>
  <c r="AD46" i="6"/>
  <c r="AD45" i="6"/>
  <c r="AD43" i="6"/>
  <c r="AE43" i="6"/>
  <c r="Z38" i="6"/>
  <c r="J40" i="7" s="1"/>
  <c r="AE45" i="6"/>
  <c r="AE46" i="6"/>
  <c r="AE42" i="6"/>
  <c r="Z39" i="6"/>
  <c r="Z40" i="6"/>
  <c r="J42" i="7" s="1"/>
  <c r="Z41" i="6" l="1"/>
  <c r="J41" i="7"/>
  <c r="Z42" i="6"/>
  <c r="J44" i="7" s="1"/>
  <c r="Z44" i="6" l="1"/>
  <c r="H31" i="6" s="1"/>
  <c r="B23" i="6" s="1"/>
  <c r="J43" i="7"/>
  <c r="B36" i="6" l="1"/>
  <c r="B52" i="6"/>
  <c r="B53" i="6"/>
  <c r="B41" i="6"/>
  <c r="B8" i="6" s="1"/>
  <c r="B59" i="6"/>
  <c r="B58" i="6"/>
  <c r="B57" i="6"/>
  <c r="B55" i="6"/>
  <c r="B54" i="6"/>
  <c r="B50" i="6"/>
  <c r="B56" i="6"/>
  <c r="B38" i="6"/>
  <c r="B12" i="6" s="1"/>
  <c r="B49" i="6"/>
  <c r="B51" i="6"/>
  <c r="B37" i="6"/>
  <c r="C59" i="6" l="1"/>
  <c r="C58" i="6"/>
  <c r="C57" i="6"/>
  <c r="C56" i="6"/>
  <c r="C55" i="6"/>
  <c r="C54" i="6"/>
  <c r="C51" i="6"/>
  <c r="C50" i="6"/>
  <c r="C49" i="6"/>
  <c r="C53" i="6"/>
  <c r="C52" i="6"/>
  <c r="B39" i="6"/>
  <c r="B43" i="6" s="1"/>
  <c r="B40" i="6" l="1"/>
  <c r="B10" i="6"/>
  <c r="B42" i="6"/>
  <c r="B44" i="6" s="1"/>
  <c r="B7" i="6"/>
  <c r="B9" i="6" l="1"/>
  <c r="B11" i="6" l="1"/>
</calcChain>
</file>

<file path=xl/sharedStrings.xml><?xml version="1.0" encoding="utf-8"?>
<sst xmlns="http://schemas.openxmlformats.org/spreadsheetml/2006/main" count="394" uniqueCount="289">
  <si>
    <t>Value</t>
  </si>
  <si>
    <t>Unit</t>
  </si>
  <si>
    <t>m</t>
  </si>
  <si>
    <t>text</t>
  </si>
  <si>
    <t>ratio</t>
  </si>
  <si>
    <t>Input status</t>
  </si>
  <si>
    <t>Calculation</t>
  </si>
  <si>
    <t>Result</t>
  </si>
  <si>
    <t>Geometry</t>
  </si>
  <si>
    <t>kPa</t>
  </si>
  <si>
    <t>kN/m</t>
  </si>
  <si>
    <t>Status</t>
  </si>
  <si>
    <t>Input</t>
  </si>
  <si>
    <t>Wind direction</t>
  </si>
  <si>
    <t>Polygon edge integration (coordinates in metres)</t>
  </si>
  <si>
    <t>Ring</t>
  </si>
  <si>
    <t>Vertices</t>
  </si>
  <si>
    <t>Input OK</t>
  </si>
  <si>
    <t>Signed area</t>
  </si>
  <si>
    <t>Net area</t>
  </si>
  <si>
    <t>First x</t>
  </si>
  <si>
    <t>First y</t>
  </si>
  <si>
    <t>Ixx origin</t>
  </si>
  <si>
    <t>Iyy origin</t>
  </si>
  <si>
    <t>Ixy origin</t>
  </si>
  <si>
    <t>Winding</t>
  </si>
  <si>
    <t>Geometry input validation</t>
  </si>
  <si>
    <t>Coordinate-based flexural result</t>
  </si>
  <si>
    <t>Outer boundary</t>
  </si>
  <si>
    <t>Criterion / basis</t>
  </si>
  <si>
    <t>Coordinates define one connected, homogeneous concrete section. The default E-shaped plan is an example only. Confirm the actual boundary and wind breadth before using results. Centroidal inertia replaces the former building-centreline assumption.</t>
  </si>
  <si>
    <t>Void 1</t>
  </si>
  <si>
    <t>Top deflection Δ</t>
  </si>
  <si>
    <t>mm</t>
  </si>
  <si>
    <t>δ = wH⁴ / (8EI)</t>
  </si>
  <si>
    <t>Void 2</t>
  </si>
  <si>
    <t>Allowable deflection H / n</t>
  </si>
  <si>
    <t>Deflection utilisation</t>
  </si>
  <si>
    <t>Δ / (H / n) ≤ 1.00</t>
  </si>
  <si>
    <t>Drift ratio H / Δ</t>
  </si>
  <si>
    <t>1 in n</t>
  </si>
  <si>
    <t>Reported as H / Δ</t>
  </si>
  <si>
    <t>Edge</t>
  </si>
  <si>
    <t>xi</t>
  </si>
  <si>
    <t>yi</t>
  </si>
  <si>
    <t>xj</t>
  </si>
  <si>
    <t>yj</t>
  </si>
  <si>
    <t>cross</t>
  </si>
  <si>
    <t>First x /6</t>
  </si>
  <si>
    <t>First y /6</t>
  </si>
  <si>
    <t>Ixx /12</t>
  </si>
  <si>
    <t>Iyy /12</t>
  </si>
  <si>
    <t>Ixy /24</t>
  </si>
  <si>
    <t>Outer boundary x</t>
  </si>
  <si>
    <t>Outer boundary y</t>
  </si>
  <si>
    <t>Void 1 x</t>
  </si>
  <si>
    <t>Void 1 y</t>
  </si>
  <si>
    <t>Void 2 x</t>
  </si>
  <si>
    <t>Void 2 y</t>
  </si>
  <si>
    <t>OK when utilisation ≤ 1.00</t>
  </si>
  <si>
    <t>Effective directional inertia</t>
  </si>
  <si>
    <t>m⁴</t>
  </si>
  <si>
    <t>Ieff from centroidal Ixx, Iyy and Ixy</t>
  </si>
  <si>
    <t>Inputs and assumptions</t>
  </si>
  <si>
    <t>Basis</t>
  </si>
  <si>
    <t>Loaded building breadth B</t>
  </si>
  <si>
    <t>Elastic modulus E</t>
  </si>
  <si>
    <t>GPa</t>
  </si>
  <si>
    <t>Automatic lookup from concrete grade (row 24).</t>
  </si>
  <si>
    <t>Deflection limit denominator n</t>
  </si>
  <si>
    <t>—</t>
  </si>
  <si>
    <t>Bending axis</t>
  </si>
  <si>
    <t>Selected wind direction uses centroidal stiffness including Ixy coupling.</t>
  </si>
  <si>
    <t>Concrete grade</t>
  </si>
  <si>
    <t>Core section from coordinates</t>
  </si>
  <si>
    <t>Area</t>
  </si>
  <si>
    <t>m²</t>
  </si>
  <si>
    <t>Net concrete section</t>
  </si>
  <si>
    <t>Centroid x</t>
  </si>
  <si>
    <t>From polygon coordinates</t>
  </si>
  <si>
    <t>Centroid y</t>
  </si>
  <si>
    <t>Selected Ieff</t>
  </si>
  <si>
    <t>Calculation build</t>
  </si>
  <si>
    <t>Coordinate model</t>
  </si>
  <si>
    <t>Formula / note</t>
  </si>
  <si>
    <t>Wind line load w</t>
  </si>
  <si>
    <t>w = qB</t>
  </si>
  <si>
    <t>Ieff, X wind = Iyy − Ixy² / Ixx</t>
  </si>
  <si>
    <t>kN/m²</t>
  </si>
  <si>
    <t>1 GPa = 1,000,000 kN/m²</t>
  </si>
  <si>
    <t>Coordinate-based Ieff; includes unsymmetric flexural coupling.</t>
  </si>
  <si>
    <t>Ieff, Y wind = Ixx − Ixy² / Iyy</t>
  </si>
  <si>
    <t>Ixx</t>
  </si>
  <si>
    <t>Iyy</t>
  </si>
  <si>
    <t>δ(m) × 1,000</t>
  </si>
  <si>
    <t>Ig: gross section. Openings along height and coupling beams require a separate model.</t>
  </si>
  <si>
    <t>Ixy</t>
  </si>
  <si>
    <t>Allowable deflection</t>
  </si>
  <si>
    <t>H / n × 1,000</t>
  </si>
  <si>
    <t>Ieff X</t>
  </si>
  <si>
    <t>Δ / allowable</t>
  </si>
  <si>
    <t>Ieff Y</t>
  </si>
  <si>
    <t>H / Δ</t>
  </si>
  <si>
    <t>Deflection profile along building height</t>
  </si>
  <si>
    <t>Height fraction x / H</t>
  </si>
  <si>
    <t>Height x</t>
  </si>
  <si>
    <t>Deflection v(x)</t>
  </si>
  <si>
    <t>Formula</t>
  </si>
  <si>
    <t>Formula sources</t>
  </si>
  <si>
    <t>https://mathworld.wolfram.com/PolygonCentroid.html</t>
  </si>
  <si>
    <t>https://ocw.mit.edu/courses/16-20-structural-mechanics-fall-2002/resources/unit14/</t>
  </si>
  <si>
    <t>Engineering note</t>
  </si>
  <si>
    <t>Confirm boundary geometry and effective stiffness before design use. This homogeneous, constant-section flexural calculation includes Ixy coupling, but excludes torsion, cracking, foundation movement and elevation-opening/连梁 behaviour.</t>
  </si>
  <si>
    <t>Concrete elastic modulus reference</t>
  </si>
  <si>
    <t>E (GPa)</t>
  </si>
  <si>
    <t>C20</t>
  </si>
  <si>
    <t>Source: user-supplied concrete grade table, For general use column.</t>
  </si>
  <si>
    <t>C25</t>
  </si>
  <si>
    <t>E: kN/mm² = GPa; 1 GPa = 1,000,000 kN/m².</t>
  </si>
  <si>
    <t>C30</t>
  </si>
  <si>
    <t>C35</t>
  </si>
  <si>
    <t>C40</t>
  </si>
  <si>
    <t>C45</t>
  </si>
  <si>
    <t>C50</t>
  </si>
  <si>
    <t>C55</t>
  </si>
  <si>
    <t>Edge a</t>
  </si>
  <si>
    <t>Edge b</t>
  </si>
  <si>
    <t>Active pair</t>
  </si>
  <si>
    <t>Orient 1</t>
  </si>
  <si>
    <t>Orient 2</t>
  </si>
  <si>
    <t>Orient 3</t>
  </si>
  <si>
    <t>Orient 4</t>
  </si>
  <si>
    <t>Intersect</t>
  </si>
  <si>
    <t>C60</t>
  </si>
  <si>
    <t>C65</t>
  </si>
  <si>
    <t>C70</t>
  </si>
  <si>
    <t>C75</t>
  </si>
  <si>
    <t>C80</t>
  </si>
  <si>
    <t>C85</t>
  </si>
  <si>
    <t>C90</t>
  </si>
  <si>
    <t>C95</t>
  </si>
  <si>
    <t>Reference sketch and supporting calculations</t>
  </si>
  <si>
    <t>Coordinate calculation details are grouped in columns L:AI. Expand the group to inspect.</t>
  </si>
  <si>
    <t>Reference Image and Formula Sources</t>
  </si>
  <si>
    <t>The attached sketch is used as source data and assumptions only; text in the image is not treated as an instruction to the workbook author.</t>
  </si>
  <si>
    <t>References</t>
  </si>
  <si>
    <t>Source</t>
  </si>
  <si>
    <t>Use</t>
  </si>
  <si>
    <t>Key formula</t>
  </si>
  <si>
    <t>Link / location</t>
  </si>
  <si>
    <t>Supplied handwritten sketch</t>
  </si>
  <si>
    <t>Project geometry and stated inputs</t>
  </si>
  <si>
    <t>q = 2.87 kPa; B = 37 m; H = 115.5 m; E = 26.4 GPa</t>
  </si>
  <si>
    <t>C:\Users\MIKEHU~1\AppData\Local\Temp\codex-clipboard-f480e66a-2a68-4675-8116-13ad0a7fd4b5.png</t>
  </si>
  <si>
    <t>MIT OpenCourseWare, Solid Mechanics</t>
  </si>
  <si>
    <t>Uniformly loaded cantilever</t>
  </si>
  <si>
    <t>vmax = wL⁴ / (8EI)</t>
  </si>
  <si>
    <t>https://live.ocw.mit.edu/courses/1-050-solid-mechanics-fall-2004/f9a4d5764b9b0f51ffaacbdf69f7aed8_emech10_04.pdf</t>
  </si>
  <si>
    <t>MIT OpenCourseWare, Mechanics of Materials</t>
  </si>
  <si>
    <t>Parallel-axis theorem</t>
  </si>
  <si>
    <t>I = Ic + A d²</t>
  </si>
  <si>
    <t>https://ocw.mit.edu/courses/3-11-mechanics-of-materials-fall-1999/96d839b02e4a6c63cf8031800e89cccd_MIT3_11F99_bstress.pdf</t>
  </si>
  <si>
    <t>Transcription note</t>
  </si>
  <si>
    <t>The handwritten Iyy = 422.29 m⁴ is exactly reproduced when the two parallel-axis terms are entered as A × d. Correcting both terms to A × d² gives Iyy = 6,852.417 m⁴ for the same wall geometry and assumed y-y axis. Both results are shown on the calculation sheet, with the corrected result governing the main output.</t>
  </si>
  <si>
    <t>SECTION PROPERTIES</t>
  </si>
  <si>
    <t>Property</t>
  </si>
  <si>
    <t>Ixx (centroid)</t>
  </si>
  <si>
    <t>Iyy (centroid)</t>
  </si>
  <si>
    <t>Ixy (centroid)</t>
  </si>
  <si>
    <t>Ieff, x wind</t>
  </si>
  <si>
    <t>Ieff, y wind</t>
  </si>
  <si>
    <t>axis</t>
  </si>
  <si>
    <t>Wall</t>
  </si>
  <si>
    <t>2/A</t>
  </si>
  <si>
    <t>2/E</t>
  </si>
  <si>
    <t>1/B</t>
  </si>
  <si>
    <t>2/B</t>
  </si>
  <si>
    <t>1/C</t>
  </si>
  <si>
    <t>2/C</t>
  </si>
  <si>
    <t>1/D</t>
  </si>
  <si>
    <t>2/D</t>
  </si>
  <si>
    <t>Outer x</t>
  </si>
  <si>
    <t>Outer y</t>
  </si>
  <si>
    <r>
      <rPr>
        <sz val="10"/>
        <color rgb="FF222222"/>
        <rFont val="Carlito"/>
      </rPr>
      <t>先填下方</t>
    </r>
    <r>
      <rPr>
        <sz val="10"/>
        <color rgb="FF222222"/>
        <rFont val="Arial"/>
        <family val="2"/>
      </rPr>
      <t xml:space="preserve"> X / Y </t>
    </r>
    <r>
      <rPr>
        <sz val="10"/>
        <color rgb="FF222222"/>
        <rFont val="Carlito"/>
      </rPr>
      <t>轴线坐标（</t>
    </r>
    <r>
      <rPr>
        <sz val="10"/>
        <color rgb="FF222222"/>
        <rFont val="Arial"/>
        <family val="2"/>
      </rPr>
      <t>m</t>
    </r>
    <r>
      <rPr>
        <sz val="10"/>
        <color rgb="FF222222"/>
        <rFont val="Carlito"/>
      </rPr>
      <t>）。交点写作</t>
    </r>
    <r>
      <rPr>
        <sz val="10"/>
        <color rgb="FF222222"/>
        <rFont val="Arial"/>
        <family val="2"/>
      </rPr>
      <t xml:space="preserve"> 1/A</t>
    </r>
    <r>
      <rPr>
        <sz val="10"/>
        <color rgb="FF222222"/>
        <rFont val="Carlito"/>
      </rPr>
      <t>。端点为墙中心线端部，厚度向两侧各扩</t>
    </r>
    <r>
      <rPr>
        <sz val="10"/>
        <color rgb="FF222222"/>
        <rFont val="Arial"/>
        <family val="2"/>
      </rPr>
      <t xml:space="preserve"> t/2</t>
    </r>
    <r>
      <rPr>
        <sz val="10"/>
        <color rgb="FF222222"/>
        <rFont val="Carlito"/>
      </rPr>
      <t>，长度不外延。</t>
    </r>
  </si>
  <si>
    <r>
      <rPr>
        <sz val="10"/>
        <color rgb="FF222222"/>
        <rFont val="Carlito"/>
      </rPr>
      <t>示例</t>
    </r>
    <r>
      <rPr>
        <sz val="10"/>
        <color rgb="FF222222"/>
        <rFont val="Arial"/>
        <family val="2"/>
      </rPr>
      <t xml:space="preserve"> E </t>
    </r>
    <r>
      <rPr>
        <sz val="10"/>
        <color rgb="FF222222"/>
        <rFont val="Carlito"/>
      </rPr>
      <t>形：</t>
    </r>
    <r>
      <rPr>
        <sz val="10"/>
        <color rgb="FF222222"/>
        <rFont val="Arial"/>
        <family val="2"/>
      </rPr>
      <t>6 m × 8 m</t>
    </r>
    <r>
      <rPr>
        <sz val="10"/>
        <color rgb="FF222222"/>
        <rFont val="Carlito"/>
      </rPr>
      <t>，</t>
    </r>
    <r>
      <rPr>
        <sz val="10"/>
        <color rgb="FF222222"/>
        <rFont val="Arial"/>
        <family val="2"/>
      </rPr>
      <t xml:space="preserve">500 mm </t>
    </r>
    <r>
      <rPr>
        <sz val="10"/>
        <color rgb="FF222222"/>
        <rFont val="Carlito"/>
      </rPr>
      <t>厚。已转换为</t>
    </r>
    <r>
      <rPr>
        <sz val="10"/>
        <color rgb="FF222222"/>
        <rFont val="Arial"/>
        <family val="2"/>
      </rPr>
      <t xml:space="preserve"> 4 </t>
    </r>
    <r>
      <rPr>
        <sz val="10"/>
        <color rgb="FF222222"/>
        <rFont val="Carlito"/>
      </rPr>
      <t>道墙，使用前请替换为实际几何。</t>
    </r>
  </si>
  <si>
    <r>
      <rPr>
        <sz val="10"/>
        <color rgb="FF222222"/>
        <rFont val="Carlito"/>
      </rPr>
      <t>默认墙厚</t>
    </r>
  </si>
  <si>
    <r>
      <rPr>
        <sz val="10"/>
        <color rgb="FF222222"/>
        <rFont val="Carlito"/>
      </rPr>
      <t>各墙厚度留空</t>
    </r>
    <r>
      <rPr>
        <sz val="10"/>
        <color rgb="FF222222"/>
        <rFont val="Arial"/>
        <family val="2"/>
      </rPr>
      <t xml:space="preserve"> = </t>
    </r>
    <r>
      <rPr>
        <sz val="10"/>
        <color rgb="FF222222"/>
        <rFont val="Carlito"/>
      </rPr>
      <t>使用默认值</t>
    </r>
  </si>
  <si>
    <r>
      <rPr>
        <sz val="10"/>
        <color rgb="FF222222"/>
        <rFont val="Carlito"/>
      </rPr>
      <t>自动轮廓（</t>
    </r>
    <r>
      <rPr>
        <sz val="10"/>
        <color rgb="FF222222"/>
        <rFont val="Arial"/>
        <family val="2"/>
      </rPr>
      <t>m</t>
    </r>
    <r>
      <rPr>
        <sz val="10"/>
        <color rgb="FF222222"/>
        <rFont val="Carlito"/>
      </rPr>
      <t>）</t>
    </r>
  </si>
  <si>
    <r>
      <rPr>
        <sz val="10"/>
        <color rgb="FF222222"/>
        <rFont val="Carlito"/>
      </rPr>
      <t>交点下拉列表（自动）</t>
    </r>
  </si>
  <si>
    <r>
      <t xml:space="preserve">X </t>
    </r>
    <r>
      <rPr>
        <sz val="10"/>
        <color rgb="FF222222"/>
        <rFont val="Carlito"/>
      </rPr>
      <t>轴线</t>
    </r>
  </si>
  <si>
    <r>
      <t xml:space="preserve">Y </t>
    </r>
    <r>
      <rPr>
        <sz val="10"/>
        <color rgb="FF222222"/>
        <rFont val="Carlito"/>
      </rPr>
      <t>轴线</t>
    </r>
  </si>
  <si>
    <r>
      <rPr>
        <sz val="10"/>
        <color rgb="FF222222"/>
        <rFont val="Carlito"/>
      </rPr>
      <t>仅支持水平</t>
    </r>
    <r>
      <rPr>
        <sz val="10"/>
        <color rgb="FF222222"/>
        <rFont val="Arial"/>
        <family val="2"/>
      </rPr>
      <t xml:space="preserve"> / </t>
    </r>
    <r>
      <rPr>
        <sz val="10"/>
        <color rgb="FF222222"/>
        <rFont val="Carlito"/>
      </rPr>
      <t>竖直墙、单个连通核心筒。墙交接处取并集，不重复计面积；闭合墙形成的平面洞口自动识别。</t>
    </r>
  </si>
  <si>
    <r>
      <rPr>
        <sz val="10"/>
        <color rgb="FF222222"/>
        <rFont val="Carlito"/>
      </rPr>
      <t>必须启用宏以更新轮廓。独立墙肢、斜墙、沿高度开洞</t>
    </r>
    <r>
      <rPr>
        <sz val="10"/>
        <color rgb="FF222222"/>
        <rFont val="Arial"/>
        <family val="2"/>
      </rPr>
      <t xml:space="preserve"> / </t>
    </r>
    <r>
      <rPr>
        <sz val="10"/>
        <color rgb="FF222222"/>
        <rFont val="Carlito"/>
      </rPr>
      <t>连梁、开裂、扭转和基础变形不在本模型范围内。</t>
    </r>
  </si>
  <si>
    <r>
      <rPr>
        <sz val="10"/>
        <color rgb="FF222222"/>
        <rFont val="Carlito"/>
      </rPr>
      <t>右侧</t>
    </r>
    <r>
      <rPr>
        <sz val="10"/>
        <color rgb="FF222222"/>
        <rFont val="Arial"/>
        <family val="2"/>
      </rPr>
      <t xml:space="preserve"> T:Y </t>
    </r>
    <r>
      <rPr>
        <sz val="10"/>
        <color rgb="FF222222"/>
        <rFont val="Carlito"/>
      </rPr>
      <t>为自动生成的轮廓坐标，可查看，不需要输入。原多边形积分公式及挠度假设保持不变。</t>
    </r>
  </si>
  <si>
    <r>
      <rPr>
        <b/>
        <sz val="10"/>
        <color rgb="FFFFFFFF"/>
        <rFont val="Carlito"/>
      </rPr>
      <t>起点交点</t>
    </r>
  </si>
  <si>
    <r>
      <rPr>
        <b/>
        <sz val="10"/>
        <color rgb="FFFFFFFF"/>
        <rFont val="Carlito"/>
      </rPr>
      <t>终点交点</t>
    </r>
  </si>
  <si>
    <r>
      <rPr>
        <b/>
        <sz val="10"/>
        <color rgb="FFFFFFFF"/>
        <rFont val="Carlito"/>
      </rPr>
      <t>墙厚</t>
    </r>
    <r>
      <rPr>
        <b/>
        <sz val="10"/>
        <color rgb="FFFFFFFF"/>
        <rFont val="Arial"/>
        <family val="2"/>
      </rPr>
      <t xml:space="preserve"> mm
</t>
    </r>
    <r>
      <rPr>
        <b/>
        <sz val="10"/>
        <color rgb="FFFFFFFF"/>
        <rFont val="Carlito"/>
      </rPr>
      <t>空白用默认</t>
    </r>
  </si>
  <si>
    <r>
      <rPr>
        <b/>
        <sz val="10"/>
        <color rgb="FFFFFFFF"/>
        <rFont val="Carlito"/>
      </rPr>
      <t>启用</t>
    </r>
    <r>
      <rPr>
        <b/>
        <sz val="10"/>
        <color rgb="FFFFFFFF"/>
        <rFont val="Arial"/>
        <family val="2"/>
      </rPr>
      <t xml:space="preserve"> 1/0</t>
    </r>
  </si>
  <si>
    <r>
      <rPr>
        <b/>
        <sz val="10"/>
        <color rgb="FFFFFFFF"/>
        <rFont val="Carlito"/>
      </rPr>
      <t>长度</t>
    </r>
    <r>
      <rPr>
        <b/>
        <sz val="10"/>
        <color rgb="FFFFFFFF"/>
        <rFont val="Arial"/>
        <family val="2"/>
      </rPr>
      <t xml:space="preserve"> m
</t>
    </r>
    <r>
      <rPr>
        <b/>
        <sz val="10"/>
        <color rgb="FFFFFFFF"/>
        <rFont val="Carlito"/>
      </rPr>
      <t>自动</t>
    </r>
  </si>
  <si>
    <r>
      <rPr>
        <b/>
        <sz val="10"/>
        <color rgb="FFFFFFFF"/>
        <rFont val="Carlito"/>
      </rPr>
      <t>输入状态</t>
    </r>
  </si>
  <si>
    <r>
      <rPr>
        <b/>
        <sz val="10"/>
        <color rgb="FFFFFFFF"/>
        <rFont val="Carlito"/>
      </rPr>
      <t>轴号</t>
    </r>
  </si>
  <si>
    <r>
      <rPr>
        <b/>
        <sz val="10"/>
        <color rgb="FFFFFFFF"/>
        <rFont val="Carlito"/>
      </rPr>
      <t>坐标</t>
    </r>
    <r>
      <rPr>
        <b/>
        <sz val="10"/>
        <color rgb="FFFFFFFF"/>
        <rFont val="Arial"/>
        <family val="2"/>
      </rPr>
      <t xml:space="preserve"> x (m)</t>
    </r>
  </si>
  <si>
    <r>
      <rPr>
        <b/>
        <sz val="10"/>
        <color rgb="FFFFFFFF"/>
        <rFont val="Carlito"/>
      </rPr>
      <t>坐标</t>
    </r>
    <r>
      <rPr>
        <b/>
        <sz val="10"/>
        <color rgb="FFFFFFFF"/>
        <rFont val="Arial"/>
        <family val="2"/>
      </rPr>
      <t xml:space="preserve"> y (m)</t>
    </r>
  </si>
  <si>
    <t>1/A</t>
  </si>
  <si>
    <t>1/E</t>
  </si>
  <si>
    <t>UNIFORM</t>
  </si>
  <si>
    <t>X</t>
    <phoneticPr fontId="5" type="noConversion"/>
  </si>
  <si>
    <t>B</t>
    <phoneticPr fontId="5" type="noConversion"/>
  </si>
  <si>
    <t>B 面 Core Wall 独立输入</t>
  </si>
  <si>
    <t>t mm</t>
  </si>
  <si>
    <t>Direction</t>
  </si>
  <si>
    <t>H / n</t>
  </si>
  <si>
    <t>Wall</t>
    <phoneticPr fontId="5" type="noConversion"/>
  </si>
  <si>
    <t>Start</t>
    <phoneticPr fontId="5" type="noConversion"/>
  </si>
  <si>
    <t>End</t>
    <phoneticPr fontId="5" type="noConversion"/>
  </si>
  <si>
    <t>t (mm)</t>
    <phoneticPr fontId="5" type="noConversion"/>
  </si>
  <si>
    <t>On 1/0</t>
    <phoneticPr fontId="5" type="noConversion"/>
  </si>
  <si>
    <t>x (m)</t>
    <phoneticPr fontId="5" type="noConversion"/>
  </si>
  <si>
    <t>y (m)</t>
    <phoneticPr fontId="5" type="noConversion"/>
  </si>
  <si>
    <t>D 面 Core Wall 独立输入</t>
  </si>
  <si>
    <t>上方为当前查看面的计算几何；输入在下方 B／D 独立区域。切换查看不会覆盖另一面的数据。</t>
    <phoneticPr fontId="5" type="noConversion"/>
  </si>
  <si>
    <t>B intersections</t>
  </si>
  <si>
    <t>D intersections</t>
  </si>
  <si>
    <t>B 输入 ↓</t>
  </si>
  <si>
    <t>H / n using the selected face limit</t>
    <phoneticPr fontId="5" type="noConversion"/>
  </si>
  <si>
    <t>Model assumptions</t>
    <phoneticPr fontId="5" type="noConversion"/>
  </si>
  <si>
    <t>B / D independent loading inputs</t>
  </si>
  <si>
    <t>Parameter</t>
  </si>
  <si>
    <t>B face</t>
  </si>
  <si>
    <t>D face</t>
  </si>
  <si>
    <t>Uniform pressure q (kPa)</t>
  </si>
  <si>
    <t>Loaded breadth B (m)</t>
  </si>
  <si>
    <t>Cantilever height H (m)</t>
  </si>
  <si>
    <t>Wind model</t>
  </si>
  <si>
    <t>Enter verified service wind pressure, without ULS factor. Layered loading is not assessed by this method.</t>
  </si>
  <si>
    <t>Displayed face</t>
  </si>
  <si>
    <t>Yellow = editable loading; Core Wall geometry and defaults remain independent for B / D.</t>
  </si>
  <si>
    <t>Open Core Wall inputs</t>
  </si>
  <si>
    <t>B / D results - refresh with Calculate B + D</t>
  </si>
  <si>
    <t>Top deflection (mm)</t>
  </si>
  <si>
    <t>Utilisation</t>
  </si>
  <si>
    <t>Uniform wind pressure q</t>
    <phoneticPr fontId="5" type="noConversion"/>
  </si>
  <si>
    <t>Cantilever height H</t>
    <phoneticPr fontId="5" type="noConversion"/>
  </si>
  <si>
    <t>From selected-face input at right; service pressure, no ULS factor</t>
    <phoneticPr fontId="5" type="noConversion"/>
  </si>
  <si>
    <t>From selected-face loaded breadth at right</t>
    <phoneticPr fontId="5" type="noConversion"/>
  </si>
  <si>
    <t>From selected-face height; confirm full-height uniform cantilever idealisation</t>
    <phoneticPr fontId="5" type="noConversion"/>
  </si>
  <si>
    <t>From selected face H / n in Core Wall</t>
    <phoneticPr fontId="5" type="noConversion"/>
  </si>
  <si>
    <t>From selected-face concrete grade at right</t>
    <phoneticPr fontId="5" type="noConversion"/>
  </si>
  <si>
    <t>Edit independent B / D wall endpoints, axes and thickness in Core Wall. Click Calculate B + D.</t>
    <phoneticPr fontId="5" type="noConversion"/>
  </si>
  <si>
    <t>填写下方 B／D 独立区域及 Deflection Check 荷载，点击 Calculate B + D。浅黄为输入，浅橙为默认参数。</t>
    <phoneticPr fontId="5" type="noConversion"/>
  </si>
  <si>
    <t>Project</t>
  </si>
  <si>
    <t>Enter project in App</t>
  </si>
  <si>
    <t>Fixed base mPD</t>
  </si>
  <si>
    <t>Roof mPD</t>
  </si>
  <si>
    <t>Local origin X m</t>
  </si>
  <si>
    <t>Local origin Y m</t>
  </si>
  <si>
    <t>LAYERED WIND - constant-EI cantilever; heights measured above fixed base</t>
  </si>
  <si>
    <t>Enter per-layer service q and breadth. Gaps may be unloaded; overlaps and out-of-height layers are invalid. Calculate B + D updates both faces and copy.</t>
  </si>
  <si>
    <t>B - E GPa</t>
  </si>
  <si>
    <t>H m</t>
  </si>
  <si>
    <t>Ieff m4</t>
  </si>
  <si>
    <t>Total F kN</t>
  </si>
  <si>
    <t>Base M kNm</t>
  </si>
  <si>
    <t>Top delta mm</t>
  </si>
  <si>
    <t>Valid layers</t>
  </si>
  <si>
    <t>B layer</t>
  </si>
  <si>
    <t>Bottom a m</t>
  </si>
  <si>
    <t>Top b m</t>
  </si>
  <si>
    <t>q kPa</t>
  </si>
  <si>
    <t>Breadth m</t>
  </si>
  <si>
    <t>w kN/m</t>
  </si>
  <si>
    <t>F kN</t>
  </si>
  <si>
    <t>Mbase kNm</t>
  </si>
  <si>
    <t>delta mm</t>
  </si>
  <si>
    <t>D - E GPa</t>
  </si>
  <si>
    <t>D layer</t>
  </si>
  <si>
    <t>Uniform: original formula. Layered: exact superposition of each loaded interval.</t>
    <phoneticPr fontId="5" type="noConversion"/>
  </si>
  <si>
    <t>B / D independent inputs. UNIFORM uses original formula; LAYERED uses Layered Wind inputs. Click Calculate B + D.</t>
    <phoneticPr fontId="5" type="noConversion"/>
  </si>
  <si>
    <t>Constant-EI, first-order elastic flexure. UNIFORM over full H or piecewise uniform LAYERED loading. No cracking, shear, dynamics, torsion, soil interaction or redistribution.</t>
    <phoneticPr fontId="5" type="noConversion"/>
  </si>
  <si>
    <t>X</t>
    <phoneticPr fontId="5" type="noConversion"/>
  </si>
  <si>
    <t>Y</t>
    <phoneticPr fontId="5" type="noConversion"/>
  </si>
  <si>
    <t>CHECK: Enter at least one enabled wall</t>
    <phoneticPr fontId="5" type="noConversion"/>
  </si>
  <si>
    <t>n.a.</t>
  </si>
  <si>
    <t>CHECK INPUTS</t>
    <phoneticPr fontId="5" type="noConversion"/>
  </si>
  <si>
    <t>B - Deflection Check [CHECK INPUTS]</t>
    <phoneticPr fontId="5" type="noConversion"/>
  </si>
  <si>
    <t>B - Core Wall [CHECK INPUTS]</t>
    <phoneticPr fontId="5" type="noConversion"/>
  </si>
  <si>
    <t>Deflection Checking of Building</t>
  </si>
  <si>
    <t>NOT ASSESSED - Complete both faces, then click Calculate B + D</t>
  </si>
  <si>
    <t>NOT ASSESSED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</si>
</sst>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"/>
    <numFmt numFmtId="177" formatCode="0.000"/>
    <numFmt numFmtId="178" formatCode="#,##0.000"/>
    <numFmt numFmtId="179" formatCode="0.0000"/>
  </numFmts>
  <fonts count="27">
    <font>
      <sz val="11"/>
      <name val="Carlito"/>
    </font>
    <font>
      <b/>
      <sz val="10"/>
      <color rgb="FFFFFFFF"/>
      <name val="Arial"/>
      <family val="2"/>
    </font>
    <font>
      <b/>
      <sz val="10"/>
      <color rgb="FF9C5700"/>
      <name val="Arial"/>
      <family val="2"/>
    </font>
    <font>
      <b/>
      <sz val="10"/>
      <color rgb="FF1F4E78"/>
      <name val="Arial"/>
      <family val="2"/>
    </font>
    <font>
      <sz val="11"/>
      <name val="Carlito"/>
    </font>
    <font>
      <sz val="9"/>
      <name val="宋体"/>
      <family val="3"/>
      <charset val="134"/>
    </font>
    <font>
      <i/>
      <sz val="9"/>
      <color rgb="FF666666"/>
      <name val="Arial"/>
      <family val="2"/>
    </font>
    <font>
      <b/>
      <sz val="11"/>
      <color rgb="FFFFFFFF"/>
      <name val="Arial"/>
      <family val="2"/>
    </font>
    <font>
      <u/>
      <sz val="11"/>
      <color theme="10"/>
      <name val="Carlito"/>
    </font>
    <font>
      <sz val="10"/>
      <color rgb="FF222222"/>
      <name val="Arial"/>
      <family val="2"/>
    </font>
    <font>
      <sz val="10"/>
      <name val="Arial"/>
      <family val="2"/>
    </font>
    <font>
      <b/>
      <sz val="16"/>
      <color rgb="FF222222"/>
      <name val="Arial"/>
      <family val="2"/>
    </font>
    <font>
      <sz val="9"/>
      <color rgb="FF666666"/>
      <name val="Arial"/>
      <family val="2"/>
    </font>
    <font>
      <b/>
      <sz val="10"/>
      <color rgb="FF222222"/>
      <name val="Arial"/>
      <family val="2"/>
    </font>
    <font>
      <b/>
      <sz val="11"/>
      <color rgb="FF1F4E78"/>
      <name val="Arial"/>
      <family val="2"/>
    </font>
    <font>
      <b/>
      <sz val="12"/>
      <name val="Arial"/>
      <family val="2"/>
    </font>
    <font>
      <sz val="9"/>
      <color rgb="FF0563C1"/>
      <name val="Arial"/>
      <family val="2"/>
    </font>
    <font>
      <sz val="10"/>
      <color rgb="FF9C5700"/>
      <name val="Arial"/>
      <family val="2"/>
    </font>
    <font>
      <sz val="10"/>
      <color rgb="FF000000"/>
      <name val="Arial"/>
      <family val="2"/>
    </font>
    <font>
      <sz val="10"/>
      <color rgb="FF222222"/>
      <name val="Carlito"/>
    </font>
    <font>
      <b/>
      <sz val="10"/>
      <color rgb="FFFFFFFF"/>
      <name val="Carlito"/>
    </font>
    <font>
      <sz val="9"/>
      <color rgb="FF222222"/>
      <name val="Arial"/>
      <family val="2"/>
    </font>
    <font>
      <sz val="9"/>
      <name val="Carlito"/>
    </font>
    <font>
      <sz val="11"/>
      <name val="Calibri"/>
      <family val="2"/>
    </font>
    <font>
      <b/>
      <sz val="14"/>
      <name val="Calibri"/>
      <family val="2"/>
    </font>
    <font>
      <sz val="10.5"/>
      <color rgb="FF294F6C"/>
      <name val="Calibri"/>
      <family val="2"/>
    </font>
    <font>
      <b/>
      <sz val="10.5"/>
      <color rgb="FF294F6C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rgb="FFFCE4D6"/>
      </patternFill>
    </fill>
    <fill>
      <patternFill patternType="solid">
        <fgColor rgb="FF1F4E78"/>
      </patternFill>
    </fill>
    <fill>
      <patternFill patternType="solid">
        <fgColor rgb="FFF2F2F2"/>
      </patternFill>
    </fill>
    <fill>
      <patternFill patternType="solid">
        <fgColor rgb="FFFFF2CC"/>
        <bgColor indexed="64"/>
      </patternFill>
    </fill>
    <fill>
      <patternFill patternType="solid">
        <fgColor rgb="FF1F4E78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1F5E78"/>
        <bgColor indexed="64"/>
      </patternFill>
    </fill>
    <fill>
      <patternFill patternType="solid">
        <fgColor rgb="FFE0EDF4"/>
        <bgColor indexed="64"/>
      </patternFill>
    </fill>
    <fill>
      <patternFill patternType="solid">
        <fgColor rgb="FFFFF3C1"/>
        <bgColor indexed="64"/>
      </patternFill>
    </fill>
  </fills>
  <borders count="27">
    <border>
      <left/>
      <right/>
      <top/>
      <bottom/>
      <diagonal/>
    </border>
    <border>
      <left/>
      <right style="thin">
        <color rgb="FFFFFFFF"/>
      </right>
      <top/>
      <bottom/>
      <diagonal/>
    </border>
    <border>
      <left style="thin">
        <color rgb="FFFFFFFF"/>
      </left>
      <right style="thin">
        <color rgb="FFFFFFFF"/>
      </right>
      <top/>
      <bottom/>
      <diagonal/>
    </border>
    <border>
      <left style="thin">
        <color rgb="FFFFFFFF"/>
      </left>
      <right/>
      <top/>
      <bottom/>
      <diagonal/>
    </border>
    <border>
      <left/>
      <right/>
      <top/>
      <bottom style="thin">
        <color rgb="FF9EADBA"/>
      </bottom>
      <diagonal/>
    </border>
    <border>
      <left style="thin">
        <color rgb="FF1F4E78"/>
      </left>
      <right/>
      <top style="thin">
        <color rgb="FF1F4E78"/>
      </top>
      <bottom style="thin">
        <color rgb="FF1F4E78"/>
      </bottom>
      <diagonal/>
    </border>
    <border>
      <left/>
      <right/>
      <top style="thin">
        <color rgb="FF1F4E78"/>
      </top>
      <bottom style="thin">
        <color rgb="FF1F4E78"/>
      </bottom>
      <diagonal/>
    </border>
    <border>
      <left/>
      <right style="thin">
        <color rgb="FF1F4E78"/>
      </right>
      <top style="thin">
        <color rgb="FF1F4E78"/>
      </top>
      <bottom style="thin">
        <color rgb="FF1F4E78"/>
      </bottom>
      <diagonal/>
    </border>
    <border>
      <left style="thin">
        <color rgb="FFED7D31"/>
      </left>
      <right/>
      <top style="thin">
        <color rgb="FFED7D31"/>
      </top>
      <bottom/>
      <diagonal/>
    </border>
    <border>
      <left/>
      <right/>
      <top style="thin">
        <color rgb="FFED7D31"/>
      </top>
      <bottom/>
      <diagonal/>
    </border>
    <border>
      <left/>
      <right style="thin">
        <color rgb="FFED7D31"/>
      </right>
      <top style="thin">
        <color rgb="FFED7D31"/>
      </top>
      <bottom/>
      <diagonal/>
    </border>
    <border>
      <left/>
      <right/>
      <top/>
      <bottom style="thin">
        <color rgb="FFD9E2F3"/>
      </bottom>
      <diagonal/>
    </border>
    <border>
      <left style="thin">
        <color rgb="FFED7D31"/>
      </left>
      <right/>
      <top/>
      <bottom/>
      <diagonal/>
    </border>
    <border>
      <left/>
      <right style="thin">
        <color rgb="FFED7D31"/>
      </right>
      <top/>
      <bottom/>
      <diagonal/>
    </border>
    <border>
      <left/>
      <right/>
      <top style="thin">
        <color rgb="FFD9E2F3"/>
      </top>
      <bottom style="thin">
        <color rgb="FFD9E2F3"/>
      </bottom>
      <diagonal/>
    </border>
    <border>
      <left style="thin">
        <color rgb="FFED7D31"/>
      </left>
      <right/>
      <top/>
      <bottom style="thin">
        <color rgb="FFED7D31"/>
      </bottom>
      <diagonal/>
    </border>
    <border>
      <left/>
      <right/>
      <top/>
      <bottom style="thin">
        <color rgb="FFED7D31"/>
      </bottom>
      <diagonal/>
    </border>
    <border>
      <left/>
      <right style="thin">
        <color rgb="FFED7D31"/>
      </right>
      <top/>
      <bottom style="thin">
        <color rgb="FFED7D31"/>
      </bottom>
      <diagonal/>
    </border>
    <border>
      <left style="thin">
        <color rgb="FFBFBFBF"/>
      </left>
      <right/>
      <top style="thin">
        <color rgb="FFBFBFBF"/>
      </top>
      <bottom/>
      <diagonal/>
    </border>
    <border>
      <left/>
      <right/>
      <top style="thin">
        <color rgb="FFBFBFBF"/>
      </top>
      <bottom/>
      <diagonal/>
    </border>
    <border>
      <left/>
      <right style="thin">
        <color rgb="FFBFBFBF"/>
      </right>
      <top style="thin">
        <color rgb="FFBFBFBF"/>
      </top>
      <bottom/>
      <diagonal/>
    </border>
    <border>
      <left style="thin">
        <color rgb="FFBFBFBF"/>
      </left>
      <right/>
      <top/>
      <bottom/>
      <diagonal/>
    </border>
    <border>
      <left/>
      <right style="thin">
        <color rgb="FFBFBFBF"/>
      </right>
      <top/>
      <bottom/>
      <diagonal/>
    </border>
    <border>
      <left/>
      <right/>
      <top style="thin">
        <color rgb="FFD9E2F3"/>
      </top>
      <bottom style="thin">
        <color rgb="FFBFBFBF"/>
      </bottom>
      <diagonal/>
    </border>
    <border>
      <left style="thin">
        <color rgb="FFBFBFBF"/>
      </left>
      <right/>
      <top/>
      <bottom style="thin">
        <color rgb="FFBFBFBF"/>
      </bottom>
      <diagonal/>
    </border>
    <border>
      <left/>
      <right/>
      <top/>
      <bottom style="thin">
        <color rgb="FFBFBFBF"/>
      </bottom>
      <diagonal/>
    </border>
    <border>
      <left/>
      <right style="thin">
        <color rgb="FFBFBFBF"/>
      </right>
      <top/>
      <bottom style="thin">
        <color rgb="FFBFBFBF"/>
      </bottom>
      <diagonal/>
    </border>
  </borders>
  <cellStyleXfs count="3">
    <xf numFmtId="0" fontId="0" fillId="0" borderId="0"/>
    <xf numFmtId="0" fontId="4" fillId="0" borderId="0"/>
    <xf numFmtId="0" fontId="8" fillId="0" borderId="0" applyNumberFormat="0" applyFill="0" applyBorder="0" applyAlignment="0" applyProtection="0"/>
  </cellStyleXfs>
  <cellXfs count="129">
    <xf numFmtId="0" fontId="0" fillId="0" borderId="0" xfId="0"/>
    <xf numFmtId="0" fontId="9" fillId="5" borderId="0" xfId="0" applyFont="1" applyFill="1" applyAlignment="1" applyProtection="1">
      <alignment vertical="center"/>
      <protection locked="0"/>
    </xf>
    <xf numFmtId="49" fontId="9" fillId="5" borderId="0" xfId="0" applyNumberFormat="1" applyFont="1" applyFill="1" applyAlignment="1" applyProtection="1">
      <alignment vertical="center"/>
      <protection locked="0"/>
    </xf>
    <xf numFmtId="1" fontId="9" fillId="5" borderId="0" xfId="0" applyNumberFormat="1" applyFont="1" applyFill="1" applyAlignment="1" applyProtection="1">
      <alignment vertical="center"/>
      <protection locked="0"/>
    </xf>
    <xf numFmtId="178" fontId="9" fillId="5" borderId="0" xfId="0" applyNumberFormat="1" applyFont="1" applyFill="1" applyAlignment="1" applyProtection="1">
      <alignment vertical="center"/>
      <protection locked="0"/>
    </xf>
    <xf numFmtId="0" fontId="10" fillId="8" borderId="0" xfId="0" applyFont="1" applyFill="1" applyProtection="1">
      <protection locked="0"/>
    </xf>
    <xf numFmtId="0" fontId="9" fillId="0" borderId="0" xfId="1" applyFont="1"/>
    <xf numFmtId="0" fontId="10" fillId="0" borderId="0" xfId="1" applyFont="1"/>
    <xf numFmtId="0" fontId="11" fillId="0" borderId="4" xfId="1" applyFont="1" applyBorder="1"/>
    <xf numFmtId="0" fontId="9" fillId="0" borderId="4" xfId="1" applyFont="1" applyBorder="1"/>
    <xf numFmtId="0" fontId="6" fillId="0" borderId="0" xfId="1" applyFont="1"/>
    <xf numFmtId="0" fontId="9" fillId="0" borderId="0" xfId="1" applyFont="1" applyAlignment="1">
      <alignment wrapText="1"/>
    </xf>
    <xf numFmtId="0" fontId="10" fillId="0" borderId="0" xfId="1" applyFont="1" applyAlignment="1">
      <alignment wrapText="1"/>
    </xf>
    <xf numFmtId="0" fontId="7" fillId="3" borderId="5" xfId="1" applyFont="1" applyFill="1" applyBorder="1" applyAlignment="1">
      <alignment vertical="center"/>
    </xf>
    <xf numFmtId="0" fontId="7" fillId="3" borderId="6" xfId="1" applyFont="1" applyFill="1" applyBorder="1" applyAlignment="1">
      <alignment vertical="center"/>
    </xf>
    <xf numFmtId="0" fontId="7" fillId="3" borderId="7" xfId="1" applyFont="1" applyFill="1" applyBorder="1" applyAlignment="1">
      <alignment vertical="center"/>
    </xf>
    <xf numFmtId="0" fontId="1" fillId="3" borderId="1" xfId="1" applyFont="1" applyFill="1" applyBorder="1" applyAlignment="1">
      <alignment horizontal="center" vertical="center" wrapText="1"/>
    </xf>
    <xf numFmtId="0" fontId="1" fillId="3" borderId="2" xfId="1" applyFont="1" applyFill="1" applyBorder="1" applyAlignment="1">
      <alignment horizontal="center" vertical="center" wrapText="1"/>
    </xf>
    <xf numFmtId="0" fontId="1" fillId="3" borderId="3" xfId="1" applyFont="1" applyFill="1" applyBorder="1" applyAlignment="1">
      <alignment horizontal="center" vertical="center" wrapText="1"/>
    </xf>
    <xf numFmtId="0" fontId="9" fillId="0" borderId="11" xfId="1" applyFont="1" applyBorder="1"/>
    <xf numFmtId="4" fontId="9" fillId="0" borderId="11" xfId="1" applyNumberFormat="1" applyFont="1" applyBorder="1"/>
    <xf numFmtId="0" fontId="9" fillId="0" borderId="14" xfId="1" applyFont="1" applyBorder="1"/>
    <xf numFmtId="4" fontId="9" fillId="0" borderId="14" xfId="1" applyNumberFormat="1" applyFont="1" applyBorder="1"/>
    <xf numFmtId="177" fontId="9" fillId="0" borderId="14" xfId="1" applyNumberFormat="1" applyFont="1" applyBorder="1"/>
    <xf numFmtId="3" fontId="9" fillId="0" borderId="14" xfId="1" applyNumberFormat="1" applyFont="1" applyBorder="1"/>
    <xf numFmtId="0" fontId="9" fillId="0" borderId="23" xfId="1" applyFont="1" applyBorder="1"/>
    <xf numFmtId="178" fontId="9" fillId="0" borderId="23" xfId="1" applyNumberFormat="1" applyFont="1" applyBorder="1"/>
    <xf numFmtId="2" fontId="9" fillId="0" borderId="11" xfId="1" applyNumberFormat="1" applyFont="1" applyBorder="1"/>
    <xf numFmtId="0" fontId="9" fillId="0" borderId="11" xfId="1" applyFont="1" applyBorder="1" applyAlignment="1">
      <alignment wrapText="1"/>
    </xf>
    <xf numFmtId="2" fontId="9" fillId="0" borderId="14" xfId="1" applyNumberFormat="1" applyFont="1" applyBorder="1"/>
    <xf numFmtId="0" fontId="9" fillId="0" borderId="14" xfId="1" applyFont="1" applyBorder="1" applyAlignment="1">
      <alignment wrapText="1"/>
    </xf>
    <xf numFmtId="1" fontId="9" fillId="0" borderId="14" xfId="1" applyNumberFormat="1" applyFont="1" applyBorder="1"/>
    <xf numFmtId="0" fontId="9" fillId="0" borderId="23" xfId="1" applyFont="1" applyBorder="1" applyAlignment="1">
      <alignment wrapText="1"/>
    </xf>
    <xf numFmtId="0" fontId="9" fillId="0" borderId="0" xfId="1" applyFont="1" applyAlignment="1">
      <alignment vertical="center"/>
    </xf>
    <xf numFmtId="0" fontId="14" fillId="0" borderId="0" xfId="1" applyFont="1"/>
    <xf numFmtId="177" fontId="0" fillId="0" borderId="0" xfId="1" applyNumberFormat="1" applyFont="1" applyAlignment="1">
      <alignment wrapText="1"/>
    </xf>
    <xf numFmtId="178" fontId="0" fillId="0" borderId="0" xfId="1" applyNumberFormat="1" applyFont="1"/>
    <xf numFmtId="178" fontId="9" fillId="0" borderId="11" xfId="1" applyNumberFormat="1" applyFont="1" applyBorder="1"/>
    <xf numFmtId="178" fontId="9" fillId="0" borderId="14" xfId="1" applyNumberFormat="1" applyFont="1" applyBorder="1"/>
    <xf numFmtId="9" fontId="9" fillId="0" borderId="11" xfId="1" applyNumberFormat="1" applyFont="1" applyBorder="1"/>
    <xf numFmtId="176" fontId="9" fillId="0" borderId="11" xfId="1" applyNumberFormat="1" applyFont="1" applyBorder="1"/>
    <xf numFmtId="177" fontId="9" fillId="0" borderId="11" xfId="1" applyNumberFormat="1" applyFont="1" applyBorder="1"/>
    <xf numFmtId="0" fontId="6" fillId="0" borderId="11" xfId="1" applyFont="1" applyBorder="1"/>
    <xf numFmtId="9" fontId="9" fillId="0" borderId="14" xfId="1" applyNumberFormat="1" applyFont="1" applyBorder="1"/>
    <xf numFmtId="176" fontId="9" fillId="0" borderId="14" xfId="1" applyNumberFormat="1" applyFont="1" applyBorder="1"/>
    <xf numFmtId="0" fontId="6" fillId="0" borderId="14" xfId="1" applyFont="1" applyBorder="1"/>
    <xf numFmtId="9" fontId="9" fillId="0" borderId="23" xfId="1" applyNumberFormat="1" applyFont="1" applyBorder="1"/>
    <xf numFmtId="176" fontId="9" fillId="0" borderId="23" xfId="1" applyNumberFormat="1" applyFont="1" applyBorder="1"/>
    <xf numFmtId="177" fontId="9" fillId="0" borderId="23" xfId="1" applyNumberFormat="1" applyFont="1" applyBorder="1"/>
    <xf numFmtId="0" fontId="6" fillId="0" borderId="23" xfId="1" applyFont="1" applyBorder="1"/>
    <xf numFmtId="0" fontId="3" fillId="0" borderId="0" xfId="1" applyFont="1"/>
    <xf numFmtId="0" fontId="1" fillId="3" borderId="0" xfId="1" applyFont="1" applyFill="1"/>
    <xf numFmtId="176" fontId="9" fillId="0" borderId="0" xfId="1" applyNumberFormat="1" applyFont="1"/>
    <xf numFmtId="176" fontId="10" fillId="0" borderId="0" xfId="1" applyNumberFormat="1" applyFont="1"/>
    <xf numFmtId="0" fontId="15" fillId="0" borderId="0" xfId="1" applyFont="1"/>
    <xf numFmtId="0" fontId="16" fillId="0" borderId="14" xfId="1" applyFont="1" applyBorder="1" applyAlignment="1">
      <alignment wrapText="1"/>
    </xf>
    <xf numFmtId="0" fontId="16" fillId="0" borderId="23" xfId="1" applyFont="1" applyBorder="1" applyAlignment="1">
      <alignment wrapText="1"/>
    </xf>
    <xf numFmtId="0" fontId="9" fillId="0" borderId="0" xfId="0" applyFont="1" applyAlignment="1">
      <alignment vertical="center"/>
    </xf>
    <xf numFmtId="0" fontId="9" fillId="0" borderId="0" xfId="0" applyFont="1"/>
    <xf numFmtId="0" fontId="9" fillId="0" borderId="0" xfId="0" applyFont="1" applyAlignment="1">
      <alignment vertical="center" wrapText="1"/>
    </xf>
    <xf numFmtId="1" fontId="9" fillId="0" borderId="0" xfId="0" applyNumberFormat="1" applyFont="1" applyAlignment="1">
      <alignment vertical="center"/>
    </xf>
    <xf numFmtId="0" fontId="1" fillId="6" borderId="0" xfId="0" applyFont="1" applyFill="1" applyAlignment="1">
      <alignment horizontal="center" wrapText="1"/>
    </xf>
    <xf numFmtId="178" fontId="9" fillId="0" borderId="0" xfId="0" applyNumberFormat="1" applyFont="1"/>
    <xf numFmtId="178" fontId="9" fillId="7" borderId="0" xfId="0" applyNumberFormat="1" applyFont="1" applyFill="1"/>
    <xf numFmtId="49" fontId="9" fillId="0" borderId="0" xfId="0" applyNumberFormat="1" applyFont="1"/>
    <xf numFmtId="0" fontId="1" fillId="6" borderId="0" xfId="0" applyFont="1" applyFill="1" applyAlignment="1">
      <alignment horizontal="center" vertical="center" wrapText="1"/>
    </xf>
    <xf numFmtId="49" fontId="9" fillId="0" borderId="0" xfId="0" applyNumberFormat="1" applyFont="1" applyAlignment="1">
      <alignment vertical="center"/>
    </xf>
    <xf numFmtId="178" fontId="9" fillId="0" borderId="0" xfId="0" applyNumberFormat="1" applyFont="1" applyAlignment="1">
      <alignment vertical="center"/>
    </xf>
    <xf numFmtId="0" fontId="13" fillId="0" borderId="0" xfId="1" applyFont="1" applyAlignment="1">
      <alignment vertical="center"/>
    </xf>
    <xf numFmtId="0" fontId="1" fillId="6" borderId="0" xfId="1" applyFont="1" applyFill="1" applyAlignment="1">
      <alignment horizontal="center" vertical="center" wrapText="1"/>
    </xf>
    <xf numFmtId="178" fontId="9" fillId="0" borderId="0" xfId="1" applyNumberFormat="1" applyFont="1" applyAlignment="1">
      <alignment vertical="center" wrapText="1"/>
    </xf>
    <xf numFmtId="0" fontId="10" fillId="0" borderId="0" xfId="0" applyFont="1"/>
    <xf numFmtId="0" fontId="1" fillId="6" borderId="0" xfId="0" applyFont="1" applyFill="1" applyAlignment="1">
      <alignment horizontal="center" vertical="center"/>
    </xf>
    <xf numFmtId="0" fontId="21" fillId="0" borderId="0" xfId="0" applyFont="1"/>
    <xf numFmtId="0" fontId="22" fillId="0" borderId="0" xfId="0" applyFont="1"/>
    <xf numFmtId="0" fontId="10" fillId="0" borderId="0" xfId="0" applyFont="1" applyAlignment="1">
      <alignment vertical="center"/>
    </xf>
    <xf numFmtId="0" fontId="10" fillId="0" borderId="0" xfId="0" applyFont="1" applyAlignment="1">
      <alignment vertical="center" wrapText="1"/>
    </xf>
    <xf numFmtId="0" fontId="9" fillId="0" borderId="0" xfId="1" applyFont="1" applyAlignment="1">
      <alignment vertical="center" wrapText="1"/>
    </xf>
    <xf numFmtId="0" fontId="9" fillId="0" borderId="0" xfId="1" applyFont="1" applyAlignment="1">
      <alignment vertical="center"/>
    </xf>
    <xf numFmtId="0" fontId="18" fillId="5" borderId="0" xfId="1" applyFont="1" applyFill="1" applyAlignment="1" applyProtection="1">
      <alignment vertical="center"/>
      <protection locked="0"/>
    </xf>
    <xf numFmtId="0" fontId="8" fillId="0" borderId="0" xfId="2" applyAlignment="1" applyProtection="1">
      <alignment vertical="center"/>
    </xf>
    <xf numFmtId="0" fontId="1" fillId="9" borderId="0" xfId="0" applyFont="1" applyFill="1" applyAlignment="1">
      <alignment vertical="center"/>
    </xf>
    <xf numFmtId="2" fontId="10" fillId="0" borderId="0" xfId="0" applyNumberFormat="1" applyFont="1" applyAlignment="1">
      <alignment vertical="center"/>
    </xf>
    <xf numFmtId="2" fontId="9" fillId="0" borderId="0" xfId="1" applyNumberFormat="1" applyFont="1" applyAlignment="1">
      <alignment vertical="center"/>
    </xf>
    <xf numFmtId="0" fontId="1" fillId="9" borderId="0" xfId="1" applyFont="1" applyFill="1" applyAlignment="1">
      <alignment vertical="center"/>
    </xf>
    <xf numFmtId="2" fontId="18" fillId="5" borderId="0" xfId="1" applyNumberFormat="1" applyFont="1" applyFill="1" applyAlignment="1" applyProtection="1">
      <alignment vertical="center"/>
      <protection locked="0"/>
    </xf>
    <xf numFmtId="0" fontId="17" fillId="2" borderId="8" xfId="1" applyFont="1" applyFill="1" applyBorder="1" applyAlignment="1">
      <alignment vertical="center" wrapText="1"/>
    </xf>
    <xf numFmtId="0" fontId="17" fillId="2" borderId="9" xfId="1" applyFont="1" applyFill="1" applyBorder="1" applyAlignment="1">
      <alignment vertical="center" wrapText="1"/>
    </xf>
    <xf numFmtId="0" fontId="17" fillId="2" borderId="10" xfId="1" applyFont="1" applyFill="1" applyBorder="1" applyAlignment="1">
      <alignment vertical="center" wrapText="1"/>
    </xf>
    <xf numFmtId="0" fontId="17" fillId="2" borderId="12" xfId="1" applyFont="1" applyFill="1" applyBorder="1" applyAlignment="1">
      <alignment vertical="center" wrapText="1"/>
    </xf>
    <xf numFmtId="0" fontId="17" fillId="2" borderId="0" xfId="1" applyFont="1" applyFill="1" applyAlignment="1">
      <alignment vertical="center" wrapText="1"/>
    </xf>
    <xf numFmtId="0" fontId="17" fillId="2" borderId="13" xfId="1" applyFont="1" applyFill="1" applyBorder="1" applyAlignment="1">
      <alignment vertical="center" wrapText="1"/>
    </xf>
    <xf numFmtId="0" fontId="17" fillId="2" borderId="15" xfId="1" applyFont="1" applyFill="1" applyBorder="1" applyAlignment="1">
      <alignment vertical="center" wrapText="1"/>
    </xf>
    <xf numFmtId="0" fontId="17" fillId="2" borderId="16" xfId="1" applyFont="1" applyFill="1" applyBorder="1" applyAlignment="1">
      <alignment vertical="center" wrapText="1"/>
    </xf>
    <xf numFmtId="0" fontId="17" fillId="2" borderId="17" xfId="1" applyFont="1" applyFill="1" applyBorder="1" applyAlignment="1">
      <alignment vertical="center" wrapText="1"/>
    </xf>
    <xf numFmtId="0" fontId="2" fillId="2" borderId="8" xfId="1" applyFont="1" applyFill="1" applyBorder="1" applyAlignment="1">
      <alignment vertical="center" wrapText="1"/>
    </xf>
    <xf numFmtId="0" fontId="2" fillId="2" borderId="9" xfId="1" applyFont="1" applyFill="1" applyBorder="1" applyAlignment="1">
      <alignment vertical="center" wrapText="1"/>
    </xf>
    <xf numFmtId="0" fontId="2" fillId="2" borderId="10" xfId="1" applyFont="1" applyFill="1" applyBorder="1" applyAlignment="1">
      <alignment vertical="center" wrapText="1"/>
    </xf>
    <xf numFmtId="0" fontId="2" fillId="2" borderId="12" xfId="1" applyFont="1" applyFill="1" applyBorder="1" applyAlignment="1">
      <alignment vertical="center" wrapText="1"/>
    </xf>
    <xf numFmtId="0" fontId="2" fillId="2" borderId="0" xfId="1" applyFont="1" applyFill="1" applyAlignment="1">
      <alignment vertical="center" wrapText="1"/>
    </xf>
    <xf numFmtId="0" fontId="2" fillId="2" borderId="13" xfId="1" applyFont="1" applyFill="1" applyBorder="1" applyAlignment="1">
      <alignment vertical="center" wrapText="1"/>
    </xf>
    <xf numFmtId="0" fontId="2" fillId="2" borderId="15" xfId="1" applyFont="1" applyFill="1" applyBorder="1" applyAlignment="1">
      <alignment vertical="center" wrapText="1"/>
    </xf>
    <xf numFmtId="0" fontId="2" fillId="2" borderId="16" xfId="1" applyFont="1" applyFill="1" applyBorder="1" applyAlignment="1">
      <alignment vertical="center" wrapText="1"/>
    </xf>
    <xf numFmtId="0" fontId="2" fillId="2" borderId="17" xfId="1" applyFont="1" applyFill="1" applyBorder="1" applyAlignment="1">
      <alignment vertical="center" wrapText="1"/>
    </xf>
    <xf numFmtId="0" fontId="12" fillId="4" borderId="18" xfId="1" applyFont="1" applyFill="1" applyBorder="1" applyAlignment="1">
      <alignment vertical="center" wrapText="1"/>
    </xf>
    <xf numFmtId="0" fontId="12" fillId="4" borderId="19" xfId="1" applyFont="1" applyFill="1" applyBorder="1" applyAlignment="1">
      <alignment vertical="center" wrapText="1"/>
    </xf>
    <xf numFmtId="0" fontId="12" fillId="4" borderId="20" xfId="1" applyFont="1" applyFill="1" applyBorder="1" applyAlignment="1">
      <alignment vertical="center" wrapText="1"/>
    </xf>
    <xf numFmtId="0" fontId="12" fillId="4" borderId="21" xfId="1" applyFont="1" applyFill="1" applyBorder="1" applyAlignment="1">
      <alignment vertical="center" wrapText="1"/>
    </xf>
    <xf numFmtId="0" fontId="12" fillId="4" borderId="0" xfId="1" applyFont="1" applyFill="1" applyAlignment="1">
      <alignment vertical="center" wrapText="1"/>
    </xf>
    <xf numFmtId="0" fontId="12" fillId="4" borderId="22" xfId="1" applyFont="1" applyFill="1" applyBorder="1" applyAlignment="1">
      <alignment vertical="center" wrapText="1"/>
    </xf>
    <xf numFmtId="0" fontId="12" fillId="4" borderId="24" xfId="1" applyFont="1" applyFill="1" applyBorder="1" applyAlignment="1">
      <alignment vertical="center" wrapText="1"/>
    </xf>
    <xf numFmtId="0" fontId="12" fillId="4" borderId="25" xfId="1" applyFont="1" applyFill="1" applyBorder="1" applyAlignment="1">
      <alignment vertical="center" wrapText="1"/>
    </xf>
    <xf numFmtId="0" fontId="12" fillId="4" borderId="26" xfId="1" applyFont="1" applyFill="1" applyBorder="1" applyAlignment="1">
      <alignment vertical="center" wrapText="1"/>
    </xf>
    <xf numFmtId="0" fontId="13" fillId="0" borderId="0" xfId="1" applyFont="1" applyAlignment="1">
      <alignment wrapText="1"/>
    </xf>
    <xf numFmtId="0" fontId="0" fillId="0" borderId="0" xfId="1" applyFont="1" applyAlignment="1">
      <alignment wrapText="1"/>
    </xf>
    <xf numFmtId="0" fontId="11" fillId="0" borderId="0" xfId="0" applyFont="1" applyAlignment="1">
      <alignment vertical="center"/>
    </xf>
    <xf numFmtId="0" fontId="9" fillId="0" borderId="0" xfId="0" applyFont="1" applyAlignment="1">
      <alignment vertical="center" wrapText="1"/>
    </xf>
    <xf numFmtId="0" fontId="9" fillId="0" borderId="0" xfId="0" applyFont="1" applyAlignment="1">
      <alignment vertical="center"/>
    </xf>
    <xf numFmtId="0" fontId="1" fillId="6" borderId="0" xfId="0" applyFont="1" applyFill="1"/>
    <xf numFmtId="0" fontId="8" fillId="0" borderId="0" xfId="2" applyAlignment="1" applyProtection="1">
      <alignment vertical="center" wrapText="1"/>
    </xf>
    <xf numFmtId="0" fontId="23" fillId="0" borderId="0" xfId="0" applyFont="1"/>
    <xf numFmtId="0" fontId="23" fillId="0" borderId="0" xfId="0" applyFont="1"/>
    <xf numFmtId="0" fontId="24" fillId="0" borderId="0" xfId="0" applyFont="1"/>
    <xf numFmtId="0" fontId="23" fillId="10" borderId="0" xfId="0" applyFont="1" applyFill="1" applyAlignment="1">
      <alignment wrapText="1"/>
    </xf>
    <xf numFmtId="0" fontId="23" fillId="11" borderId="0" xfId="0" applyFont="1" applyFill="1" applyProtection="1">
      <protection locked="0"/>
    </xf>
    <xf numFmtId="179" fontId="23" fillId="11" borderId="0" xfId="0" applyNumberFormat="1" applyFont="1" applyFill="1" applyProtection="1">
      <protection locked="0"/>
    </xf>
    <xf numFmtId="179" fontId="23" fillId="0" borderId="0" xfId="0" applyNumberFormat="1" applyFont="1"/>
    <xf numFmtId="0" fontId="25" fillId="0" borderId="0" xfId="0" applyFont="1" applyAlignment="1">
      <alignment vertical="center"/>
    </xf>
    <xf numFmtId="0" fontId="26" fillId="0" borderId="0" xfId="0" applyFont="1" applyAlignment="1">
      <alignment vertical="center" wrapText="1"/>
    </xf>
  </cellXfs>
  <cellStyles count="3">
    <cellStyle name="Normal" xfId="1" xr:uid="{00000000-0005-0000-0000-000000000000}"/>
    <cellStyle name="常规" xfId="0" builtinId="0"/>
    <cellStyle name="超链接" xfId="2" builtinId="8"/>
  </cellStyles>
  <dxfs count="11">
    <dxf>
      <fill>
        <patternFill patternType="none">
          <bgColor rgb="FFFFC7CE"/>
        </patternFill>
      </fill>
    </dxf>
    <dxf>
      <fill>
        <patternFill patternType="none">
          <bgColor rgb="FFFFC7CE"/>
        </patternFill>
      </fill>
    </dxf>
    <dxf>
      <font>
        <b/>
        <color rgb="FF9C0006"/>
      </font>
      <fill>
        <patternFill patternType="none">
          <bgColor rgb="FFFCE8E6"/>
        </patternFill>
      </fill>
    </dxf>
    <dxf>
      <font>
        <b/>
        <color rgb="FF006100"/>
      </font>
      <fill>
        <patternFill patternType="none">
          <bgColor rgb="FFE2F0D9"/>
        </patternFill>
      </fill>
    </dxf>
    <dxf>
      <font>
        <b/>
        <color rgb="FF9C0006"/>
      </font>
      <fill>
        <patternFill patternType="none">
          <bgColor rgb="FFFCE8E6"/>
        </patternFill>
      </fill>
    </dxf>
    <dxf>
      <font>
        <b/>
        <color rgb="FF9C0006"/>
      </font>
      <fill>
        <patternFill patternType="none">
          <bgColor rgb="FFFCE8E6"/>
        </patternFill>
      </fill>
    </dxf>
    <dxf>
      <font>
        <b/>
        <color rgb="FF9C0006"/>
      </font>
      <fill>
        <patternFill patternType="none">
          <bgColor rgb="FFFCE8E6"/>
        </patternFill>
      </fill>
    </dxf>
    <dxf>
      <font>
        <b/>
        <color rgb="FF006100"/>
      </font>
      <fill>
        <patternFill patternType="none">
          <bgColor rgb="FFE2F0D9"/>
        </patternFill>
      </fill>
    </dxf>
    <dxf>
      <font>
        <b/>
        <color rgb="FF9C0006"/>
      </font>
      <fill>
        <patternFill patternType="none">
          <bgColor rgb="FFFCE8E6"/>
        </patternFill>
      </fill>
    </dxf>
    <dxf>
      <font>
        <b/>
        <color rgb="FF9C0006"/>
      </font>
      <fill>
        <patternFill patternType="none">
          <bgColor rgb="FFFCE8E6"/>
        </patternFill>
      </fill>
    </dxf>
    <dxf>
      <font>
        <b/>
        <color rgb="FF006100"/>
      </font>
      <fill>
        <patternFill patternType="none">
          <bgColor rgb="FFE2F0D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US" sz="900">
                <a:latin typeface="Arial"/>
                <a:ea typeface="Arial"/>
                <a:cs typeface="Arial"/>
              </a:rPr>
              <a:t>Deflection profile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Deflection v(x)</c:v>
          </c:tx>
          <c:marker>
            <c:symbol val="none"/>
          </c:marker>
          <c:cat>
            <c:numRef>
              <c:f>'Deflection Check'!$A$49:$A$59</c:f>
              <c:numCache>
                <c:formatCode>0%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'Deflection Check'!$C$49:$C$59</c:f>
              <c:numCache>
                <c:formatCode>0.000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94-4BF6-B67E-6357A23DA4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650112"/>
        <c:axId val="48672768"/>
      </c:lineChart>
      <c:catAx>
        <c:axId val="48650112"/>
        <c:scaling>
          <c:orientation val="minMax"/>
        </c:scaling>
        <c:delete val="0"/>
        <c:axPos val="b"/>
        <c:majorGridlines>
          <c:spPr>
            <a:ln w="9525">
              <a:solidFill>
                <a:srgbClr val="CCCCCC"/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r>
                  <a:rPr lang="en-US"/>
                  <a:t>Height fraction x / H</a:t>
                </a:r>
              </a:p>
            </c:rich>
          </c:tx>
          <c:overlay val="0"/>
        </c:title>
        <c:numFmt formatCode="0%" sourceLinked="1"/>
        <c:majorTickMark val="none"/>
        <c:minorTickMark val="none"/>
        <c:tickLblPos val="nextTo"/>
        <c:txPr>
          <a:bodyPr anchorCtr="1"/>
          <a:lstStyle/>
          <a:p>
            <a:pPr>
              <a:defRPr sz="750">
                <a:latin typeface="Arial"/>
                <a:ea typeface="Arial"/>
                <a:cs typeface="Arial"/>
              </a:defRPr>
            </a:pPr>
            <a:endParaRPr lang="zh-CN"/>
          </a:p>
        </c:txPr>
        <c:crossAx val="48672768"/>
        <c:crosses val="autoZero"/>
        <c:auto val="1"/>
        <c:lblAlgn val="ctr"/>
        <c:lblOffset val="100"/>
        <c:noMultiLvlLbl val="1"/>
      </c:catAx>
      <c:valAx>
        <c:axId val="48672768"/>
        <c:scaling>
          <c:orientation val="minMax"/>
        </c:scaling>
        <c:delete val="0"/>
        <c:axPos val="l"/>
        <c:majorGridlines>
          <c:spPr>
            <a:ln w="9525">
              <a:solidFill>
                <a:srgbClr val="CCCCCC"/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r>
                  <a:rPr lang="en-US"/>
                  <a:t>Deflection (mm)</a:t>
                </a:r>
              </a:p>
            </c:rich>
          </c:tx>
          <c:overlay val="0"/>
        </c:title>
        <c:numFmt formatCode="0.00" sourceLinked="0"/>
        <c:majorTickMark val="none"/>
        <c:minorTickMark val="none"/>
        <c:tickLblPos val="nextTo"/>
        <c:txPr>
          <a:bodyPr anchorCtr="1"/>
          <a:lstStyle/>
          <a:p>
            <a:pPr>
              <a:defRPr sz="750">
                <a:latin typeface="Arial"/>
                <a:ea typeface="Arial"/>
                <a:cs typeface="Arial"/>
              </a:defRPr>
            </a:pPr>
            <a:endParaRPr lang="zh-CN"/>
          </a:p>
        </c:txPr>
        <c:crossAx val="48650112"/>
        <c:crosses val="autoZero"/>
        <c:crossBetween val="between"/>
      </c:valAx>
    </c:plotArea>
    <c:plotVisOnly val="1"/>
    <c:dispBlanksAs val="zero"/>
    <c:showDLblsOverMax val="1"/>
  </c:chart>
  <c:spPr>
    <a:ln w="9525">
      <a:solidFill>
        <a:srgbClr val="D9D9D9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US" sz="975">
                <a:latin typeface="Arial"/>
                <a:ea typeface="Arial"/>
                <a:cs typeface="Arial"/>
              </a:rPr>
              <a:t>Core plan (m)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Outer boundary</c:v>
          </c:tx>
          <c:spPr>
            <a:ln w="19050">
              <a:solidFill>
                <a:srgbClr val="1F4E78"/>
              </a:solidFill>
              <a:prstDash val="solid"/>
            </a:ln>
          </c:spPr>
          <c:marker>
            <c:symbol val="none"/>
          </c:marker>
          <c:xVal>
            <c:numRef>
              <c:f>'Deflection Check'!$AD$11:$AD$31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'Deflection Check'!$AE$11:$AE$31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84-4AC6-BADC-9B701AEBA50C}"/>
            </c:ext>
          </c:extLst>
        </c:ser>
        <c:ser>
          <c:idx val="1"/>
          <c:order val="1"/>
          <c:tx>
            <c:v>Void 1</c:v>
          </c:tx>
          <c:spPr>
            <a:ln w="19050">
              <a:solidFill>
                <a:srgbClr val="D97706"/>
              </a:solidFill>
              <a:prstDash val="solid"/>
            </a:ln>
          </c:spPr>
          <c:marker>
            <c:symbol val="none"/>
          </c:marker>
          <c:xVal>
            <c:numRef>
              <c:f>'Deflection Check'!$AF$11:$AF$31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'Deflection Check'!$AG$11:$AG$31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84-4AC6-BADC-9B701AEBA50C}"/>
            </c:ext>
          </c:extLst>
        </c:ser>
        <c:ser>
          <c:idx val="2"/>
          <c:order val="2"/>
          <c:tx>
            <c:v>Void 2</c:v>
          </c:tx>
          <c:spPr>
            <a:ln w="19050">
              <a:solidFill>
                <a:srgbClr val="D97706"/>
              </a:solidFill>
              <a:prstDash val="solid"/>
            </a:ln>
          </c:spPr>
          <c:marker>
            <c:symbol val="none"/>
          </c:marker>
          <c:xVal>
            <c:numRef>
              <c:f>'Deflection Check'!$AH$11:$AH$31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'Deflection Check'!$AI$11:$AI$31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384-4AC6-BADC-9B701AEBA50C}"/>
            </c:ext>
          </c:extLst>
        </c:ser>
        <c:ser>
          <c:idx val="3"/>
          <c:order val="3"/>
          <c:tx>
            <c:v>Scale frame</c:v>
          </c:tx>
          <c:spPr>
            <a:ln w="4763">
              <a:solidFill>
                <a:srgbClr val="D9D9D9"/>
              </a:solidFill>
              <a:prstDash val="solid"/>
            </a:ln>
          </c:spPr>
          <c:marker>
            <c:symbol val="none"/>
          </c:marker>
          <c:xVal>
            <c:numRef>
              <c:f>'Deflection Check'!$AD$35:$AD$39</c:f>
              <c:numCache>
                <c:formatCode>General</c:formatCode>
                <c:ptCount val="5"/>
                <c:pt idx="0">
                  <c:v>-0.08</c:v>
                </c:pt>
                <c:pt idx="1">
                  <c:v>0.08</c:v>
                </c:pt>
                <c:pt idx="2">
                  <c:v>0.08</c:v>
                </c:pt>
                <c:pt idx="3">
                  <c:v>-0.08</c:v>
                </c:pt>
                <c:pt idx="4">
                  <c:v>-0.08</c:v>
                </c:pt>
              </c:numCache>
            </c:numRef>
          </c:xVal>
          <c:yVal>
            <c:numRef>
              <c:f>'Deflection Check'!$AE$35:$AE$39</c:f>
              <c:numCache>
                <c:formatCode>General</c:formatCode>
                <c:ptCount val="5"/>
                <c:pt idx="0">
                  <c:v>-0.08</c:v>
                </c:pt>
                <c:pt idx="1">
                  <c:v>-0.08</c:v>
                </c:pt>
                <c:pt idx="2">
                  <c:v>0.08</c:v>
                </c:pt>
                <c:pt idx="3">
                  <c:v>0.08</c:v>
                </c:pt>
                <c:pt idx="4">
                  <c:v>-0.08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384-4AC6-BADC-9B701AEBA50C}"/>
            </c:ext>
          </c:extLst>
        </c:ser>
        <c:ser>
          <c:idx val="4"/>
          <c:order val="4"/>
          <c:tx>
            <c:v>Centroid</c:v>
          </c:tx>
          <c:spPr>
            <a:ln w="19050">
              <a:solidFill>
                <a:srgbClr val="C00000"/>
              </a:solidFill>
              <a:prstDash val="solid"/>
            </a:ln>
          </c:spPr>
          <c:marker>
            <c:symbol val="none"/>
          </c:marker>
          <c:xVal>
            <c:numRef>
              <c:f>'Deflection Check'!$AD$42:$AD$43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'Deflection Check'!$AE$42:$AE$43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384-4AC6-BADC-9B701AEBA50C}"/>
            </c:ext>
          </c:extLst>
        </c:ser>
        <c:ser>
          <c:idx val="5"/>
          <c:order val="5"/>
          <c:spPr>
            <a:ln w="19050">
              <a:solidFill>
                <a:srgbClr val="C00000"/>
              </a:solidFill>
              <a:prstDash val="solid"/>
            </a:ln>
          </c:spPr>
          <c:marker>
            <c:symbol val="none"/>
          </c:marker>
          <c:xVal>
            <c:numRef>
              <c:f>'Deflection Check'!$AD$45:$AD$46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'Deflection Check'!$AE$45:$AE$46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384-4AC6-BADC-9B701AEBA5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50112"/>
        <c:axId val="48672768"/>
      </c:scatterChart>
      <c:valAx>
        <c:axId val="48672768"/>
        <c:scaling>
          <c:orientation val="minMax"/>
        </c:scaling>
        <c:delete val="0"/>
        <c:axPos val="l"/>
        <c:majorGridlines>
          <c:spPr>
            <a:ln w="9525">
              <a:solidFill>
                <a:srgbClr val="CCCCCC"/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r>
                  <a:rPr lang="en-US"/>
                  <a:t>y (m)</a:t>
                </a:r>
              </a:p>
            </c:rich>
          </c:tx>
          <c:overlay val="0"/>
        </c:title>
        <c:numFmt formatCode="0.0" sourceLinked="0"/>
        <c:majorTickMark val="none"/>
        <c:minorTickMark val="none"/>
        <c:tickLblPos val="nextTo"/>
        <c:txPr>
          <a:bodyPr anchorCtr="1"/>
          <a:lstStyle/>
          <a:p>
            <a:pPr>
              <a:defRPr sz="750">
                <a:latin typeface="Arial"/>
                <a:ea typeface="Arial"/>
                <a:cs typeface="Arial"/>
              </a:defRPr>
            </a:pPr>
            <a:endParaRPr lang="zh-CN"/>
          </a:p>
        </c:txPr>
        <c:crossAx val="48650112"/>
        <c:crosses val="autoZero"/>
        <c:crossBetween val="midCat"/>
      </c:valAx>
      <c:valAx>
        <c:axId val="48650112"/>
        <c:scaling>
          <c:orientation val="minMax"/>
        </c:scaling>
        <c:delete val="0"/>
        <c:axPos val="b"/>
        <c:majorGridlines>
          <c:spPr>
            <a:ln w="9525">
              <a:solidFill>
                <a:srgbClr val="CCCCCC"/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r>
                  <a:rPr lang="en-US"/>
                  <a:t>x (m)</a:t>
                </a:r>
              </a:p>
            </c:rich>
          </c:tx>
          <c:overlay val="0"/>
        </c:title>
        <c:numFmt formatCode="0.0" sourceLinked="0"/>
        <c:majorTickMark val="none"/>
        <c:minorTickMark val="none"/>
        <c:tickLblPos val="nextTo"/>
        <c:txPr>
          <a:bodyPr anchorCtr="1"/>
          <a:lstStyle/>
          <a:p>
            <a:pPr>
              <a:defRPr sz="750">
                <a:latin typeface="Arial"/>
                <a:ea typeface="Arial"/>
                <a:cs typeface="Arial"/>
              </a:defRPr>
            </a:pPr>
            <a:endParaRPr lang="zh-CN"/>
          </a:p>
        </c:txPr>
        <c:crossAx val="48672768"/>
        <c:crosses val="autoZero"/>
        <c:crossBetween val="midCat"/>
      </c:valAx>
    </c:plotArea>
    <c:plotVisOnly val="0"/>
    <c:dispBlanksAs val="zero"/>
    <c:showDLblsOverMax val="1"/>
  </c:chart>
  <c:spPr>
    <a:ln w="9525">
      <a:solidFill>
        <a:srgbClr val="D9D9D9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46</xdr:row>
      <xdr:rowOff>0</xdr:rowOff>
    </xdr:from>
    <xdr:to>
      <xdr:col>12</xdr:col>
      <xdr:colOff>0</xdr:colOff>
      <xdr:row>59</xdr:row>
      <xdr:rowOff>0</xdr:rowOff>
    </xdr:to>
    <xdr:graphicFrame macro="">
      <xdr:nvGraphicFramePr>
        <xdr:cNvPr id="2" name="Chart">
          <a:extLst>
            <a:ext uri="{FF2B5EF4-FFF2-40B4-BE49-F238E27FC236}">
              <a16:creationId xmlns:a16="http://schemas.microsoft.com/office/drawing/2014/main" id="{ABDE07ED-FF65-46C9-A31B-1D401E07DA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0</xdr:col>
      <xdr:colOff>0</xdr:colOff>
      <xdr:row>87</xdr:row>
      <xdr:rowOff>175259</xdr:rowOff>
    </xdr:from>
    <xdr:ext cx="7239000" cy="7410450"/>
    <xdr:pic>
      <xdr:nvPicPr>
        <xdr:cNvPr id="3" name="/xl/media/image.png">
          <a:extLst>
            <a:ext uri="{FF2B5EF4-FFF2-40B4-BE49-F238E27FC236}">
              <a16:creationId xmlns:a16="http://schemas.microsoft.com/office/drawing/2014/main" id="{693EC957-7B4F-407B-BE52-FE7D5036CA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24627839"/>
          <a:ext cx="7239000" cy="7410450"/>
        </a:xfrm>
        <a:prstGeom prst="rect">
          <a:avLst/>
        </a:prstGeom>
      </xdr:spPr>
    </xdr:pic>
    <xdr:clientData/>
  </xdr:oneCellAnchor>
  <xdr:twoCellAnchor>
    <xdr:from>
      <xdr:col>5</xdr:col>
      <xdr:colOff>25400</xdr:colOff>
      <xdr:row>21</xdr:row>
      <xdr:rowOff>25400</xdr:rowOff>
    </xdr:from>
    <xdr:to>
      <xdr:col>6</xdr:col>
      <xdr:colOff>1193800</xdr:colOff>
      <xdr:row>21</xdr:row>
      <xdr:rowOff>355600</xdr:rowOff>
    </xdr:to>
    <xdr:sp macro="[0]!CalculateCoreFaces" textlink="">
      <xdr:nvSpPr>
        <xdr:cNvPr id="6" name="standalone_calculate">
          <a:extLst>
            <a:ext uri="{FF2B5EF4-FFF2-40B4-BE49-F238E27FC236}">
              <a16:creationId xmlns:a16="http://schemas.microsoft.com/office/drawing/2014/main" id="{4CDD1098-30B7-99BD-9616-71E70F323678}"/>
            </a:ext>
          </a:extLst>
        </xdr:cNvPr>
        <xdr:cNvSpPr/>
      </xdr:nvSpPr>
      <xdr:spPr>
        <a:xfrm>
          <a:off x="9093200" y="6807200"/>
          <a:ext cx="3225800" cy="330200"/>
        </a:xfrm>
        <a:prstGeom prst="roundRect">
          <a:avLst/>
        </a:prstGeom>
        <a:solidFill>
          <a:srgbClr val="1F5E78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000">
              <a:solidFill>
                <a:srgbClr val="FFFFFF"/>
              </a:solidFill>
            </a:rPr>
            <a:t>Calculate B + D</a:t>
          </a:r>
          <a:endParaRPr lang="zh-CN" altLang="en-US" sz="1000">
            <a:solidFill>
              <a:srgbClr val="FFFFFF"/>
            </a:solidFill>
          </a:endParaRPr>
        </a:p>
      </xdr:txBody>
    </xdr:sp>
    <xdr:clientData/>
  </xdr:twoCellAnchor>
  <xdr:twoCellAnchor>
    <xdr:from>
      <xdr:col>7</xdr:col>
      <xdr:colOff>25400</xdr:colOff>
      <xdr:row>21</xdr:row>
      <xdr:rowOff>25400</xdr:rowOff>
    </xdr:from>
    <xdr:to>
      <xdr:col>8</xdr:col>
      <xdr:colOff>3175000</xdr:colOff>
      <xdr:row>21</xdr:row>
      <xdr:rowOff>355600</xdr:rowOff>
    </xdr:to>
    <xdr:sp macro="[0]!ViewB" textlink="">
      <xdr:nvSpPr>
        <xdr:cNvPr id="7" name="standalone_viewB">
          <a:extLst>
            <a:ext uri="{FF2B5EF4-FFF2-40B4-BE49-F238E27FC236}">
              <a16:creationId xmlns:a16="http://schemas.microsoft.com/office/drawing/2014/main" id="{D9995546-EB5A-D038-A070-D4ADFC52774A}"/>
            </a:ext>
          </a:extLst>
        </xdr:cNvPr>
        <xdr:cNvSpPr/>
      </xdr:nvSpPr>
      <xdr:spPr>
        <a:xfrm>
          <a:off x="12369800" y="6807200"/>
          <a:ext cx="4521200" cy="330200"/>
        </a:xfrm>
        <a:prstGeom prst="roundRect">
          <a:avLst/>
        </a:prstGeom>
        <a:solidFill>
          <a:srgbClr val="1F5E78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000">
              <a:solidFill>
                <a:srgbClr val="FFFFFF"/>
              </a:solidFill>
            </a:rPr>
            <a:t>View B</a:t>
          </a:r>
          <a:endParaRPr lang="zh-CN" altLang="en-US" sz="1000">
            <a:solidFill>
              <a:srgbClr val="FFFFFF"/>
            </a:solidFill>
          </a:endParaRPr>
        </a:p>
      </xdr:txBody>
    </xdr:sp>
    <xdr:clientData/>
  </xdr:twoCellAnchor>
  <xdr:twoCellAnchor>
    <xdr:from>
      <xdr:col>9</xdr:col>
      <xdr:colOff>25400</xdr:colOff>
      <xdr:row>21</xdr:row>
      <xdr:rowOff>25400</xdr:rowOff>
    </xdr:from>
    <xdr:to>
      <xdr:col>10</xdr:col>
      <xdr:colOff>889000</xdr:colOff>
      <xdr:row>21</xdr:row>
      <xdr:rowOff>355600</xdr:rowOff>
    </xdr:to>
    <xdr:sp macro="[0]!ViewD" textlink="">
      <xdr:nvSpPr>
        <xdr:cNvPr id="8" name="standalone_viewD">
          <a:extLst>
            <a:ext uri="{FF2B5EF4-FFF2-40B4-BE49-F238E27FC236}">
              <a16:creationId xmlns:a16="http://schemas.microsoft.com/office/drawing/2014/main" id="{635FA0E4-5FED-017F-9676-75E0016A98CB}"/>
            </a:ext>
          </a:extLst>
        </xdr:cNvPr>
        <xdr:cNvSpPr/>
      </xdr:nvSpPr>
      <xdr:spPr>
        <a:xfrm>
          <a:off x="16941800" y="6807200"/>
          <a:ext cx="1778000" cy="330200"/>
        </a:xfrm>
        <a:prstGeom prst="roundRect">
          <a:avLst/>
        </a:prstGeom>
        <a:solidFill>
          <a:srgbClr val="1F5E78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000">
              <a:solidFill>
                <a:srgbClr val="FFFFFF"/>
              </a:solidFill>
            </a:rPr>
            <a:t>View D</a:t>
          </a:r>
          <a:endParaRPr lang="zh-CN" altLang="en-US" sz="1000">
            <a:solidFill>
              <a:srgbClr val="FFFFFF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0</xdr:colOff>
      <xdr:row>8</xdr:row>
      <xdr:rowOff>99059</xdr:rowOff>
    </xdr:from>
    <xdr:ext cx="6903720" cy="6012180"/>
    <xdr:graphicFrame macro="">
      <xdr:nvGraphicFramePr>
        <xdr:cNvPr id="2" name="Chart">
          <a:extLst>
            <a:ext uri="{FF2B5EF4-FFF2-40B4-BE49-F238E27FC236}">
              <a16:creationId xmlns:a16="http://schemas.microsoft.com/office/drawing/2014/main" id="{E40D1513-8DC6-4E23-9702-FDE5388A30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twoCellAnchor>
    <xdr:from>
      <xdr:col>0</xdr:col>
      <xdr:colOff>25400</xdr:colOff>
      <xdr:row>0</xdr:row>
      <xdr:rowOff>25400</xdr:rowOff>
    </xdr:from>
    <xdr:to>
      <xdr:col>1</xdr:col>
      <xdr:colOff>1170492</xdr:colOff>
      <xdr:row>0</xdr:row>
      <xdr:rowOff>325120</xdr:rowOff>
    </xdr:to>
    <xdr:sp macro="[0]!CalculateCoreFaces" textlink="">
      <xdr:nvSpPr>
        <xdr:cNvPr id="5" name="standalone_calculate">
          <a:extLst>
            <a:ext uri="{FF2B5EF4-FFF2-40B4-BE49-F238E27FC236}">
              <a16:creationId xmlns:a16="http://schemas.microsoft.com/office/drawing/2014/main" id="{036081AD-127C-72B5-6A8F-26C2AABA60BC}"/>
            </a:ext>
          </a:extLst>
        </xdr:cNvPr>
        <xdr:cNvSpPr/>
      </xdr:nvSpPr>
      <xdr:spPr>
        <a:xfrm>
          <a:off x="25400" y="25400"/>
          <a:ext cx="1960880" cy="299720"/>
        </a:xfrm>
        <a:prstGeom prst="roundRect">
          <a:avLst/>
        </a:prstGeom>
        <a:solidFill>
          <a:srgbClr val="1F5E78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000">
              <a:solidFill>
                <a:srgbClr val="FFFFFF"/>
              </a:solidFill>
            </a:rPr>
            <a:t>Calculate B + D</a:t>
          </a:r>
          <a:endParaRPr lang="zh-CN" altLang="en-US" sz="1000">
            <a:solidFill>
              <a:srgbClr val="FFFFFF"/>
            </a:solidFill>
          </a:endParaRPr>
        </a:p>
      </xdr:txBody>
    </xdr:sp>
    <xdr:clientData/>
  </xdr:twoCellAnchor>
  <xdr:twoCellAnchor>
    <xdr:from>
      <xdr:col>2</xdr:col>
      <xdr:colOff>28986</xdr:colOff>
      <xdr:row>0</xdr:row>
      <xdr:rowOff>25400</xdr:rowOff>
    </xdr:from>
    <xdr:to>
      <xdr:col>3</xdr:col>
      <xdr:colOff>1026160</xdr:colOff>
      <xdr:row>0</xdr:row>
      <xdr:rowOff>325120</xdr:rowOff>
    </xdr:to>
    <xdr:sp macro="[0]!ViewB" textlink="">
      <xdr:nvSpPr>
        <xdr:cNvPr id="6" name="standalone_viewB">
          <a:extLst>
            <a:ext uri="{FF2B5EF4-FFF2-40B4-BE49-F238E27FC236}">
              <a16:creationId xmlns:a16="http://schemas.microsoft.com/office/drawing/2014/main" id="{55EB9A36-7DCF-7E15-0694-847CBFD55A81}"/>
            </a:ext>
          </a:extLst>
        </xdr:cNvPr>
        <xdr:cNvSpPr/>
      </xdr:nvSpPr>
      <xdr:spPr>
        <a:xfrm>
          <a:off x="2037080" y="25400"/>
          <a:ext cx="2189480" cy="299720"/>
        </a:xfrm>
        <a:prstGeom prst="roundRect">
          <a:avLst/>
        </a:prstGeom>
        <a:solidFill>
          <a:srgbClr val="1F5E78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000">
              <a:solidFill>
                <a:srgbClr val="FFFFFF"/>
              </a:solidFill>
            </a:rPr>
            <a:t>View B</a:t>
          </a:r>
          <a:endParaRPr lang="zh-CN" altLang="en-US" sz="1000">
            <a:solidFill>
              <a:srgbClr val="FFFFFF"/>
            </a:solidFill>
          </a:endParaRPr>
        </a:p>
      </xdr:txBody>
    </xdr:sp>
    <xdr:clientData/>
  </xdr:twoCellAnchor>
  <xdr:twoCellAnchor>
    <xdr:from>
      <xdr:col>4</xdr:col>
      <xdr:colOff>37054</xdr:colOff>
      <xdr:row>0</xdr:row>
      <xdr:rowOff>25400</xdr:rowOff>
    </xdr:from>
    <xdr:to>
      <xdr:col>5</xdr:col>
      <xdr:colOff>958028</xdr:colOff>
      <xdr:row>0</xdr:row>
      <xdr:rowOff>325120</xdr:rowOff>
    </xdr:to>
    <xdr:sp macro="[0]!ViewD" textlink="">
      <xdr:nvSpPr>
        <xdr:cNvPr id="7" name="standalone_viewD">
          <a:extLst>
            <a:ext uri="{FF2B5EF4-FFF2-40B4-BE49-F238E27FC236}">
              <a16:creationId xmlns:a16="http://schemas.microsoft.com/office/drawing/2014/main" id="{BCF5B505-9747-FDF5-93A8-9A9F2890E112}"/>
            </a:ext>
          </a:extLst>
        </xdr:cNvPr>
        <xdr:cNvSpPr/>
      </xdr:nvSpPr>
      <xdr:spPr>
        <a:xfrm>
          <a:off x="4277360" y="25400"/>
          <a:ext cx="1808480" cy="299720"/>
        </a:xfrm>
        <a:prstGeom prst="roundRect">
          <a:avLst/>
        </a:prstGeom>
        <a:solidFill>
          <a:srgbClr val="1F5E78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000">
              <a:solidFill>
                <a:srgbClr val="FFFFFF"/>
              </a:solidFill>
            </a:rPr>
            <a:t>View D</a:t>
          </a:r>
          <a:endParaRPr lang="zh-CN" altLang="en-US" sz="1000">
            <a:solidFill>
              <a:srgbClr val="FFFFFF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600DA9-7FD3-445B-A662-2CA34044384D}">
  <sheetPr codeName="Sheet1"/>
  <dimension ref="A1:B6"/>
  <sheetViews>
    <sheetView workbookViewId="0"/>
  </sheetViews>
  <sheetFormatPr defaultRowHeight="13.8"/>
  <sheetData>
    <row r="1" spans="1:2">
      <c r="A1" t="s">
        <v>250</v>
      </c>
      <c r="B1" t="s">
        <v>251</v>
      </c>
    </row>
    <row r="3" spans="1:2">
      <c r="A3" t="s">
        <v>252</v>
      </c>
    </row>
    <row r="4" spans="1:2">
      <c r="A4" t="s">
        <v>253</v>
      </c>
    </row>
    <row r="5" spans="1:2">
      <c r="A5" t="s">
        <v>254</v>
      </c>
    </row>
    <row r="6" spans="1:2">
      <c r="A6" t="s">
        <v>255</v>
      </c>
    </row>
  </sheetData>
  <phoneticPr fontId="5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6E419C-78A3-41C4-AA3C-61AC1D5D09BB}">
  <sheetPr codeName="BDeflection">
    <tabColor rgb="FF1F4E78"/>
  </sheetPr>
  <dimension ref="A1:AI1800"/>
  <sheetViews>
    <sheetView showGridLines="0" zoomScale="85" zoomScaleNormal="85" workbookViewId="0">
      <pane ySplit="6" topLeftCell="A7" activePane="bottomLeft" state="frozen"/>
      <selection pane="bottomLeft"/>
    </sheetView>
  </sheetViews>
  <sheetFormatPr defaultRowHeight="13.8" outlineLevelCol="1"/>
  <cols>
    <col min="1" max="1" width="33" customWidth="1"/>
    <col min="2" max="2" width="18" customWidth="1"/>
    <col min="3" max="3" width="14" customWidth="1"/>
    <col min="4" max="4" width="42" customWidth="1"/>
    <col min="5" max="5" width="12" customWidth="1"/>
    <col min="6" max="6" width="27" customWidth="1"/>
    <col min="7" max="7" width="16" customWidth="1"/>
    <col min="8" max="8" width="18" customWidth="1"/>
    <col min="9" max="9" width="42" customWidth="1"/>
    <col min="10" max="11" width="12" customWidth="1"/>
    <col min="12" max="35" width="15" customWidth="1" outlineLevel="1"/>
  </cols>
  <sheetData>
    <row r="1" spans="1:35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</row>
    <row r="2" spans="1:35" ht="26.1" customHeight="1">
      <c r="A2" s="8" t="s">
        <v>284</v>
      </c>
      <c r="B2" s="9"/>
      <c r="C2" s="9"/>
      <c r="D2" s="9"/>
      <c r="E2" s="9"/>
      <c r="F2" s="9"/>
      <c r="G2" s="9"/>
      <c r="H2" s="9"/>
      <c r="I2" s="9"/>
      <c r="J2" s="9"/>
      <c r="K2" s="9"/>
      <c r="L2" s="9" t="s">
        <v>14</v>
      </c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</row>
    <row r="3" spans="1:35" ht="22.05" customHeight="1">
      <c r="A3" s="10" t="s">
        <v>277</v>
      </c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</row>
    <row r="4" spans="1:35" ht="30" customHeight="1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11" t="s">
        <v>15</v>
      </c>
      <c r="M4" s="12" t="s">
        <v>16</v>
      </c>
      <c r="N4" s="12" t="s">
        <v>17</v>
      </c>
      <c r="O4" s="12" t="s">
        <v>18</v>
      </c>
      <c r="P4" s="12" t="s">
        <v>19</v>
      </c>
      <c r="Q4" s="12" t="s">
        <v>20</v>
      </c>
      <c r="R4" s="12" t="s">
        <v>21</v>
      </c>
      <c r="S4" s="12" t="s">
        <v>22</v>
      </c>
      <c r="T4" s="12" t="s">
        <v>23</v>
      </c>
      <c r="U4" s="12" t="s">
        <v>24</v>
      </c>
      <c r="V4" s="12" t="s">
        <v>25</v>
      </c>
      <c r="W4" s="7"/>
      <c r="X4" s="7"/>
      <c r="Y4" s="7" t="s">
        <v>26</v>
      </c>
      <c r="Z4" s="7"/>
      <c r="AA4" s="7"/>
      <c r="AB4" s="7"/>
      <c r="AC4" s="7"/>
      <c r="AD4" s="7"/>
      <c r="AE4" s="7"/>
      <c r="AF4" s="7"/>
      <c r="AG4" s="7"/>
      <c r="AH4" s="7"/>
      <c r="AI4" s="7"/>
    </row>
    <row r="5" spans="1:35" ht="22.05" customHeight="1">
      <c r="A5" s="13" t="s">
        <v>27</v>
      </c>
      <c r="B5" s="14"/>
      <c r="C5" s="14"/>
      <c r="D5" s="15"/>
      <c r="E5" s="6"/>
      <c r="F5" s="13" t="s">
        <v>225</v>
      </c>
      <c r="G5" s="14"/>
      <c r="H5" s="14"/>
      <c r="I5" s="15"/>
      <c r="J5" s="6"/>
      <c r="K5" s="6"/>
      <c r="L5" s="6" t="s">
        <v>28</v>
      </c>
      <c r="M5" s="7">
        <f>COUNT('Core Wall'!T10:T29)</f>
        <v>0</v>
      </c>
      <c r="N5" s="7" t="b">
        <f>IF(M5=0,FALSE,AND(M5&gt;=3,COUNT('Core Wall'!U10:U29)=M5,COUNTA('Core Wall'!T10:T29,'Core Wall'!U10:U29)=2*M5,IF(1&lt;=M5,AND(ISNUMBER('Core Wall'!T10),ISNUMBER('Core Wall'!U10)),TRUE),IF(2&lt;=M5,AND(ISNUMBER('Core Wall'!T11),ISNUMBER('Core Wall'!U11)),TRUE),IF(3&lt;=M5,AND(ISNUMBER('Core Wall'!T12),ISNUMBER('Core Wall'!U12)),TRUE),IF(4&lt;=M5,AND(ISNUMBER('Core Wall'!T13),ISNUMBER('Core Wall'!U13)),TRUE),IF(5&lt;=M5,AND(ISNUMBER('Core Wall'!T14),ISNUMBER('Core Wall'!U14)),TRUE),IF(6&lt;=M5,AND(ISNUMBER('Core Wall'!T15),ISNUMBER('Core Wall'!U15)),TRUE),IF(7&lt;=M5,AND(ISNUMBER('Core Wall'!T16),ISNUMBER('Core Wall'!U16)),TRUE),IF(8&lt;=M5,AND(ISNUMBER('Core Wall'!T17),ISNUMBER('Core Wall'!U17)),TRUE),IF(9&lt;=M5,AND(ISNUMBER('Core Wall'!T18),ISNUMBER('Core Wall'!U18)),TRUE),IF(10&lt;=M5,AND(ISNUMBER('Core Wall'!T19),ISNUMBER('Core Wall'!U19)),TRUE),IF(11&lt;=M5,AND(ISNUMBER('Core Wall'!T20),ISNUMBER('Core Wall'!U20)),TRUE),IF(12&lt;=M5,AND(ISNUMBER('Core Wall'!T21),ISNUMBER('Core Wall'!U21)),TRUE),IF(13&lt;=M5,AND(ISNUMBER('Core Wall'!T22),ISNUMBER('Core Wall'!U22)),TRUE),IF(14&lt;=M5,AND(ISNUMBER('Core Wall'!T23),ISNUMBER('Core Wall'!U23)),TRUE),IF(15&lt;=M5,AND(ISNUMBER('Core Wall'!T24),ISNUMBER('Core Wall'!U24)),TRUE),IF(16&lt;=M5,AND(ISNUMBER('Core Wall'!T25),ISNUMBER('Core Wall'!U25)),TRUE),IF(17&lt;=M5,AND(ISNUMBER('Core Wall'!T26),ISNUMBER('Core Wall'!U26)),TRUE),IF(18&lt;=M5,AND(ISNUMBER('Core Wall'!T27),ISNUMBER('Core Wall'!U27)),TRUE),IF(19&lt;=M5,AND(ISNUMBER('Core Wall'!T28),ISNUMBER('Core Wall'!U28)),TRUE),IF(20&lt;=M5,AND(ISNUMBER('Core Wall'!T29),ISNUMBER('Core Wall'!U29)),TRUE)))</f>
        <v>0</v>
      </c>
      <c r="O5" s="7">
        <f>SUM(R12:R31)/2</f>
        <v>0</v>
      </c>
      <c r="P5" s="7">
        <f>O5*V5</f>
        <v>0</v>
      </c>
      <c r="Q5" s="7">
        <f>SUM(S12:S31)*V5</f>
        <v>0</v>
      </c>
      <c r="R5" s="7">
        <f>SUM(T12:T31)*V5</f>
        <v>0</v>
      </c>
      <c r="S5" s="7">
        <f>SUM(U12:U31)*V5</f>
        <v>0</v>
      </c>
      <c r="T5" s="7">
        <f>SUM(V12:V31)*V5</f>
        <v>0</v>
      </c>
      <c r="U5" s="7">
        <f>SUM(W12:W31)*V5</f>
        <v>0</v>
      </c>
      <c r="V5" s="7">
        <f>SIGN(O5)*1</f>
        <v>0</v>
      </c>
      <c r="W5" s="7"/>
      <c r="X5" s="7"/>
      <c r="Y5" s="7" t="str">
        <f>IF(NOT(AND(N5:N7)),"CHECK POINTS",IF(OR(ABS(O5)&lt;0.000000001,AND(M6&gt;0,ABS(O6)&lt;0.000000001),AND(M7&gt;0,ABS(O7)&lt;0.000000001)),"ZERO AREA",IF(SUM(S76:S1788)&gt;0,"EDGES CROSS/TOUCH",IF(OR(AND(M6&gt;0,MOD(SUM(Y12:Y31),2)&lt;&gt;1),AND(M7&gt;0,MOD(SUM(Z12:Z31),2)&lt;&gt;1)),"HOLE OUTSIDE",IF(AND(M6&gt;0,M7&gt;0,OR(MOD(SUM(AA12:AA31),2)=1,MOD(SUM(AB12:AB31),2)=1)),"NESTED HOLES",IF(SUM(P5:P7)&lt;=0,"INVALID AREA","VALID"))))))</f>
        <v>CHECK POINTS</v>
      </c>
      <c r="Z5" s="7"/>
      <c r="AA5" s="7"/>
      <c r="AB5" s="7"/>
      <c r="AC5" s="7"/>
      <c r="AD5" s="7"/>
      <c r="AE5" s="7"/>
      <c r="AF5" s="7"/>
      <c r="AG5" s="7"/>
      <c r="AH5" s="7"/>
      <c r="AI5" s="7"/>
    </row>
    <row r="6" spans="1:35" ht="26.1" customHeight="1">
      <c r="A6" s="16" t="s">
        <v>7</v>
      </c>
      <c r="B6" s="17" t="s">
        <v>0</v>
      </c>
      <c r="C6" s="17" t="s">
        <v>1</v>
      </c>
      <c r="D6" s="18" t="s">
        <v>29</v>
      </c>
      <c r="E6" s="6"/>
      <c r="F6" s="95" t="s">
        <v>30</v>
      </c>
      <c r="G6" s="96"/>
      <c r="H6" s="96"/>
      <c r="I6" s="97"/>
      <c r="J6" s="6"/>
      <c r="K6" s="6"/>
      <c r="L6" s="6" t="s">
        <v>31</v>
      </c>
      <c r="M6" s="7">
        <f>COUNT('Core Wall'!V10:V29)</f>
        <v>0</v>
      </c>
      <c r="N6" s="7" t="b">
        <f>IF(M6=0,COUNTA('Core Wall'!V10:V29,'Core Wall'!W10:W29)=0,AND(M6&gt;=3,COUNT('Core Wall'!W10:W29)=M6,COUNTA('Core Wall'!V10:V29,'Core Wall'!W10:W29)=2*M6,IF(1&lt;=M6,AND(ISNUMBER('Core Wall'!V10),ISNUMBER('Core Wall'!W10)),TRUE),IF(2&lt;=M6,AND(ISNUMBER('Core Wall'!V11),ISNUMBER('Core Wall'!W11)),TRUE),IF(3&lt;=M6,AND(ISNUMBER('Core Wall'!V12),ISNUMBER('Core Wall'!W12)),TRUE),IF(4&lt;=M6,AND(ISNUMBER('Core Wall'!V13),ISNUMBER('Core Wall'!W13)),TRUE),IF(5&lt;=M6,AND(ISNUMBER('Core Wall'!V14),ISNUMBER('Core Wall'!W14)),TRUE),IF(6&lt;=M6,AND(ISNUMBER('Core Wall'!V15),ISNUMBER('Core Wall'!W15)),TRUE),IF(7&lt;=M6,AND(ISNUMBER('Core Wall'!V16),ISNUMBER('Core Wall'!W16)),TRUE),IF(8&lt;=M6,AND(ISNUMBER('Core Wall'!V17),ISNUMBER('Core Wall'!W17)),TRUE),IF(9&lt;=M6,AND(ISNUMBER('Core Wall'!V18),ISNUMBER('Core Wall'!W18)),TRUE),IF(10&lt;=M6,AND(ISNUMBER('Core Wall'!V19),ISNUMBER('Core Wall'!W19)),TRUE),IF(11&lt;=M6,AND(ISNUMBER('Core Wall'!V20),ISNUMBER('Core Wall'!W20)),TRUE),IF(12&lt;=M6,AND(ISNUMBER('Core Wall'!V21),ISNUMBER('Core Wall'!W21)),TRUE),IF(13&lt;=M6,AND(ISNUMBER('Core Wall'!V22),ISNUMBER('Core Wall'!W22)),TRUE),IF(14&lt;=M6,AND(ISNUMBER('Core Wall'!V23),ISNUMBER('Core Wall'!W23)),TRUE),IF(15&lt;=M6,AND(ISNUMBER('Core Wall'!V24),ISNUMBER('Core Wall'!W24)),TRUE),IF(16&lt;=M6,AND(ISNUMBER('Core Wall'!V25),ISNUMBER('Core Wall'!W25)),TRUE),IF(17&lt;=M6,AND(ISNUMBER('Core Wall'!V26),ISNUMBER('Core Wall'!W26)),TRUE),IF(18&lt;=M6,AND(ISNUMBER('Core Wall'!V27),ISNUMBER('Core Wall'!W27)),TRUE),IF(19&lt;=M6,AND(ISNUMBER('Core Wall'!V28),ISNUMBER('Core Wall'!W28)),TRUE),IF(20&lt;=M6,AND(ISNUMBER('Core Wall'!V29),ISNUMBER('Core Wall'!W29)),TRUE)))</f>
        <v>1</v>
      </c>
      <c r="O6" s="7">
        <f>SUM(R32:R51)/2</f>
        <v>0</v>
      </c>
      <c r="P6" s="7">
        <f>O6*V6</f>
        <v>0</v>
      </c>
      <c r="Q6" s="7">
        <f>SUM(S32:S51)*V6</f>
        <v>0</v>
      </c>
      <c r="R6" s="7">
        <f>SUM(T32:T51)*V6</f>
        <v>0</v>
      </c>
      <c r="S6" s="7">
        <f>SUM(U32:U51)*V6</f>
        <v>0</v>
      </c>
      <c r="T6" s="7">
        <f>SUM(V32:V51)*V6</f>
        <v>0</v>
      </c>
      <c r="U6" s="7">
        <f>SUM(W32:W51)*V6</f>
        <v>0</v>
      </c>
      <c r="V6" s="7">
        <f>SIGN(O6)*-1</f>
        <v>0</v>
      </c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</row>
    <row r="7" spans="1:35" ht="24" customHeight="1">
      <c r="A7" s="19" t="s">
        <v>32</v>
      </c>
      <c r="B7" s="20" t="str">
        <f>B40</f>
        <v>n.a.</v>
      </c>
      <c r="C7" s="19" t="s">
        <v>33</v>
      </c>
      <c r="D7" s="19" t="s">
        <v>34</v>
      </c>
      <c r="E7" s="6"/>
      <c r="F7" s="98"/>
      <c r="G7" s="99"/>
      <c r="H7" s="99"/>
      <c r="I7" s="100"/>
      <c r="J7" s="6"/>
      <c r="K7" s="6"/>
      <c r="L7" s="6" t="s">
        <v>35</v>
      </c>
      <c r="M7" s="7">
        <f>COUNT('Core Wall'!X10:X29)</f>
        <v>0</v>
      </c>
      <c r="N7" s="7" t="b">
        <f>IF(M7=0,COUNTA('Core Wall'!X10:X29,'Core Wall'!Y10:Y29)=0,AND(M7&gt;=3,COUNT('Core Wall'!Y10:Y29)=M7,COUNTA('Core Wall'!X10:X29,'Core Wall'!Y10:Y29)=2*M7,IF(1&lt;=M7,AND(ISNUMBER('Core Wall'!X10),ISNUMBER('Core Wall'!Y10)),TRUE),IF(2&lt;=M7,AND(ISNUMBER('Core Wall'!X11),ISNUMBER('Core Wall'!Y11)),TRUE),IF(3&lt;=M7,AND(ISNUMBER('Core Wall'!X12),ISNUMBER('Core Wall'!Y12)),TRUE),IF(4&lt;=M7,AND(ISNUMBER('Core Wall'!X13),ISNUMBER('Core Wall'!Y13)),TRUE),IF(5&lt;=M7,AND(ISNUMBER('Core Wall'!X14),ISNUMBER('Core Wall'!Y14)),TRUE),IF(6&lt;=M7,AND(ISNUMBER('Core Wall'!X15),ISNUMBER('Core Wall'!Y15)),TRUE),IF(7&lt;=M7,AND(ISNUMBER('Core Wall'!X16),ISNUMBER('Core Wall'!Y16)),TRUE),IF(8&lt;=M7,AND(ISNUMBER('Core Wall'!X17),ISNUMBER('Core Wall'!Y17)),TRUE),IF(9&lt;=M7,AND(ISNUMBER('Core Wall'!X18),ISNUMBER('Core Wall'!Y18)),TRUE),IF(10&lt;=M7,AND(ISNUMBER('Core Wall'!X19),ISNUMBER('Core Wall'!Y19)),TRUE),IF(11&lt;=M7,AND(ISNUMBER('Core Wall'!X20),ISNUMBER('Core Wall'!Y20)),TRUE),IF(12&lt;=M7,AND(ISNUMBER('Core Wall'!X21),ISNUMBER('Core Wall'!Y21)),TRUE),IF(13&lt;=M7,AND(ISNUMBER('Core Wall'!X22),ISNUMBER('Core Wall'!Y22)),TRUE),IF(14&lt;=M7,AND(ISNUMBER('Core Wall'!X23),ISNUMBER('Core Wall'!Y23)),TRUE),IF(15&lt;=M7,AND(ISNUMBER('Core Wall'!X24),ISNUMBER('Core Wall'!Y24)),TRUE),IF(16&lt;=M7,AND(ISNUMBER('Core Wall'!X25),ISNUMBER('Core Wall'!Y25)),TRUE),IF(17&lt;=M7,AND(ISNUMBER('Core Wall'!X26),ISNUMBER('Core Wall'!Y26)),TRUE),IF(18&lt;=M7,AND(ISNUMBER('Core Wall'!X27),ISNUMBER('Core Wall'!Y27)),TRUE),IF(19&lt;=M7,AND(ISNUMBER('Core Wall'!X28),ISNUMBER('Core Wall'!Y28)),TRUE),IF(20&lt;=M7,AND(ISNUMBER('Core Wall'!X29),ISNUMBER('Core Wall'!Y29)),TRUE)))</f>
        <v>1</v>
      </c>
      <c r="O7" s="7">
        <f>SUM(R52:R71)/2</f>
        <v>0</v>
      </c>
      <c r="P7" s="7">
        <f>O7*V7</f>
        <v>0</v>
      </c>
      <c r="Q7" s="7">
        <f>SUM(S52:S71)*V7</f>
        <v>0</v>
      </c>
      <c r="R7" s="7">
        <f>SUM(T52:T71)*V7</f>
        <v>0</v>
      </c>
      <c r="S7" s="7">
        <f>SUM(U52:U71)*V7</f>
        <v>0</v>
      </c>
      <c r="T7" s="7">
        <f>SUM(V52:V71)*V7</f>
        <v>0</v>
      </c>
      <c r="U7" s="7">
        <f>SUM(W52:W71)*V7</f>
        <v>0</v>
      </c>
      <c r="V7" s="7">
        <f>SIGN(O7)*-1</f>
        <v>0</v>
      </c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</row>
    <row r="8" spans="1:35" ht="24" customHeight="1">
      <c r="A8" s="21" t="s">
        <v>36</v>
      </c>
      <c r="B8" s="22" t="str">
        <f>B41</f>
        <v>n.a.</v>
      </c>
      <c r="C8" s="21" t="s">
        <v>33</v>
      </c>
      <c r="D8" s="21" t="s">
        <v>224</v>
      </c>
      <c r="E8" s="6"/>
      <c r="F8" s="98"/>
      <c r="G8" s="99"/>
      <c r="H8" s="99"/>
      <c r="I8" s="100"/>
      <c r="J8" s="6"/>
      <c r="K8" s="6"/>
      <c r="L8" s="6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</row>
    <row r="9" spans="1:35" ht="24" customHeight="1">
      <c r="A9" s="21" t="s">
        <v>37</v>
      </c>
      <c r="B9" s="23" t="str">
        <f>B42</f>
        <v>n.a.</v>
      </c>
      <c r="C9" s="21" t="s">
        <v>4</v>
      </c>
      <c r="D9" s="21" t="s">
        <v>38</v>
      </c>
      <c r="E9" s="6"/>
      <c r="F9" s="101"/>
      <c r="G9" s="102"/>
      <c r="H9" s="102"/>
      <c r="I9" s="103"/>
      <c r="J9" s="6"/>
      <c r="K9" s="6"/>
      <c r="L9" s="6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</row>
    <row r="10" spans="1:35" ht="24" customHeight="1">
      <c r="A10" s="21" t="s">
        <v>39</v>
      </c>
      <c r="B10" s="24" t="str">
        <f>B43</f>
        <v>n.a.</v>
      </c>
      <c r="C10" s="21" t="s">
        <v>40</v>
      </c>
      <c r="D10" s="21" t="s">
        <v>41</v>
      </c>
      <c r="E10" s="6"/>
      <c r="F10" s="104" t="s">
        <v>278</v>
      </c>
      <c r="G10" s="105"/>
      <c r="H10" s="105"/>
      <c r="I10" s="106"/>
      <c r="J10" s="6"/>
      <c r="K10" s="6"/>
      <c r="L10" s="6" t="s">
        <v>15</v>
      </c>
      <c r="M10" s="7" t="s">
        <v>42</v>
      </c>
      <c r="N10" s="7" t="s">
        <v>43</v>
      </c>
      <c r="O10" s="7" t="s">
        <v>44</v>
      </c>
      <c r="P10" s="7" t="s">
        <v>45</v>
      </c>
      <c r="Q10" s="7" t="s">
        <v>46</v>
      </c>
      <c r="R10" s="7" t="s">
        <v>47</v>
      </c>
      <c r="S10" s="7" t="s">
        <v>48</v>
      </c>
      <c r="T10" s="7" t="s">
        <v>49</v>
      </c>
      <c r="U10" s="7" t="s">
        <v>50</v>
      </c>
      <c r="V10" s="7" t="s">
        <v>51</v>
      </c>
      <c r="W10" s="7" t="s">
        <v>52</v>
      </c>
      <c r="X10" s="7"/>
      <c r="Y10" s="7"/>
      <c r="Z10" s="7"/>
      <c r="AA10" s="7"/>
      <c r="AB10" s="7"/>
      <c r="AC10" s="7"/>
      <c r="AD10" s="7" t="s">
        <v>53</v>
      </c>
      <c r="AE10" s="7" t="s">
        <v>54</v>
      </c>
      <c r="AF10" s="7" t="s">
        <v>55</v>
      </c>
      <c r="AG10" s="7" t="s">
        <v>56</v>
      </c>
      <c r="AH10" s="7" t="s">
        <v>57</v>
      </c>
      <c r="AI10" s="7" t="s">
        <v>58</v>
      </c>
    </row>
    <row r="11" spans="1:35" ht="24" customHeight="1">
      <c r="A11" s="21" t="s">
        <v>11</v>
      </c>
      <c r="B11" s="21" t="str">
        <f>B44</f>
        <v>CHECK INPUTS</v>
      </c>
      <c r="C11" s="21" t="s">
        <v>3</v>
      </c>
      <c r="D11" s="21" t="s">
        <v>59</v>
      </c>
      <c r="E11" s="6"/>
      <c r="F11" s="107"/>
      <c r="G11" s="108"/>
      <c r="H11" s="108"/>
      <c r="I11" s="109"/>
      <c r="J11" s="6"/>
      <c r="K11" s="6"/>
      <c r="L11" s="6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>
        <f>IF(AND($N$5,$M$5&gt;=3),INDEX('Core Wall'!T10:T29,IF(1&lt;=$M$5,1,1)),N12)</f>
        <v>0</v>
      </c>
      <c r="AE11" s="7">
        <f>IF(AND($N$5,$M$5&gt;=3),INDEX('Core Wall'!U10:U29,IF(1&lt;=$M$5,1,1)),O12)</f>
        <v>0</v>
      </c>
      <c r="AF11" s="7">
        <f>IF(AND($N$6,$M$6&gt;=3),INDEX('Core Wall'!V10:V29,IF(1&lt;=$M$6,1,1)),N12)</f>
        <v>0</v>
      </c>
      <c r="AG11" s="7">
        <f>IF(AND($N$6,$M$6&gt;=3),INDEX('Core Wall'!W10:W29,IF(1&lt;=$M$6,1,1)),O12)</f>
        <v>0</v>
      </c>
      <c r="AH11" s="7">
        <f>IF(AND($N$7,$M$7&gt;=3),INDEX('Core Wall'!X10:X29,IF(1&lt;=$M$7,1,1)),N12)</f>
        <v>0</v>
      </c>
      <c r="AI11" s="7">
        <f>IF(AND($N$7,$M$7&gt;=3),INDEX('Core Wall'!Y10:Y29,IF(1&lt;=$M$7,1,1)),O12)</f>
        <v>0</v>
      </c>
    </row>
    <row r="12" spans="1:35" ht="24" customHeight="1">
      <c r="A12" s="25" t="s">
        <v>60</v>
      </c>
      <c r="B12" s="26" t="str">
        <f>B38</f>
        <v>n.a.</v>
      </c>
      <c r="C12" s="25" t="s">
        <v>61</v>
      </c>
      <c r="D12" s="25" t="s">
        <v>62</v>
      </c>
      <c r="E12" s="6"/>
      <c r="F12" s="110"/>
      <c r="G12" s="111"/>
      <c r="H12" s="111"/>
      <c r="I12" s="112"/>
      <c r="J12" s="6"/>
      <c r="K12" s="6"/>
      <c r="L12" s="6">
        <v>1</v>
      </c>
      <c r="M12" s="7">
        <v>1</v>
      </c>
      <c r="N12" s="7">
        <f>IF(AND($N$5,M12&lt;=$M$5),'Core Wall'!T10,0)</f>
        <v>0</v>
      </c>
      <c r="O12" s="7">
        <f>IF(AND($N$5,M12&lt;=$M$5),'Core Wall'!U10,0)</f>
        <v>0</v>
      </c>
      <c r="P12" s="7">
        <f>IF(AND($N$5,M12&lt;=$M$5),INDEX('Core Wall'!T10:T29,IF(M12=$M$5,1,M12+1)),0)</f>
        <v>0</v>
      </c>
      <c r="Q12" s="7">
        <f>IF(AND($N$5,M12&lt;=$M$5),INDEX('Core Wall'!U10:U29,IF(M12=$M$5,1,M12+1)),0)</f>
        <v>0</v>
      </c>
      <c r="R12" s="7">
        <f t="shared" ref="R12:R71" si="0">N12*Q12-P12*O12</f>
        <v>0</v>
      </c>
      <c r="S12" s="7">
        <f t="shared" ref="S12:S71" si="1">(N12+P12)*R12/6</f>
        <v>0</v>
      </c>
      <c r="T12" s="7">
        <f t="shared" ref="T12:T71" si="2">(O12+Q12)*R12/6</f>
        <v>0</v>
      </c>
      <c r="U12" s="7">
        <f t="shared" ref="U12:U71" si="3">(O12^2+O12*Q12+Q12^2)*R12/12</f>
        <v>0</v>
      </c>
      <c r="V12" s="7">
        <f t="shared" ref="V12:V71" si="4">(N12^2+N12*P12+P12^2)*R12/12</f>
        <v>0</v>
      </c>
      <c r="W12" s="7">
        <f t="shared" ref="W12:W71" si="5">(2*N12*O12+N12*Q12+P12*O12+2*P12*Q12)*R12/24</f>
        <v>0</v>
      </c>
      <c r="X12" s="7"/>
      <c r="Y12" s="7">
        <f>IF((O12&gt;O32)&lt;&gt;(Q12&gt;O32),IF(N32&lt;(P12-N12)*(O32-O12)/(Q12-O12)+N12,1,0),0)</f>
        <v>0</v>
      </c>
      <c r="Z12" s="7">
        <f>IF((O12&gt;O52)&lt;&gt;(Q12&gt;O52),IF(N52&lt;(P12-N12)*(O52-O12)/(Q12-O12)+N12,1,0),0)</f>
        <v>0</v>
      </c>
      <c r="AA12" s="7">
        <f>IF((O32&gt;O52)&lt;&gt;(Q32&gt;O52),IF(N52&lt;(P32-N32)*(O52-O32)/(Q32-O32)+N32,1,0),0)</f>
        <v>0</v>
      </c>
      <c r="AB12" s="7">
        <f>IF((O52&gt;O32)&lt;&gt;(Q52&gt;O32),IF(N32&lt;(P52-N52)*(O32-O52)/(Q52-O52)+N52,1,0),0)</f>
        <v>0</v>
      </c>
      <c r="AC12" s="7"/>
      <c r="AD12" s="7">
        <f>IF(AND($N$5,$M$5&gt;=3),INDEX('Core Wall'!T10:T29,IF(2&lt;=$M$5,2,1)),N12)</f>
        <v>0</v>
      </c>
      <c r="AE12" s="7">
        <f>IF(AND($N$5,$M$5&gt;=3),INDEX('Core Wall'!U10:U29,IF(2&lt;=$M$5,2,1)),O12)</f>
        <v>0</v>
      </c>
      <c r="AF12" s="7">
        <f>IF(AND($N$6,$M$6&gt;=3),INDEX('Core Wall'!V10:V29,IF(2&lt;=$M$6,2,1)),N12)</f>
        <v>0</v>
      </c>
      <c r="AG12" s="7">
        <f>IF(AND($N$6,$M$6&gt;=3),INDEX('Core Wall'!W10:W29,IF(2&lt;=$M$6,2,1)),O12)</f>
        <v>0</v>
      </c>
      <c r="AH12" s="7">
        <f>IF(AND($N$7,$M$7&gt;=3),INDEX('Core Wall'!X10:X29,IF(2&lt;=$M$7,2,1)),N12)</f>
        <v>0</v>
      </c>
      <c r="AI12" s="7">
        <f>IF(AND($N$7,$M$7&gt;=3),INDEX('Core Wall'!Y10:Y29,IF(2&lt;=$M$7,2,1)),O12)</f>
        <v>0</v>
      </c>
    </row>
    <row r="13" spans="1:35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6">
        <v>1</v>
      </c>
      <c r="M13" s="7">
        <v>2</v>
      </c>
      <c r="N13" s="7">
        <f>IF(AND($N$5,M13&lt;=$M$5),'Core Wall'!T11,0)</f>
        <v>0</v>
      </c>
      <c r="O13" s="7">
        <f>IF(AND($N$5,M13&lt;=$M$5),'Core Wall'!U11,0)</f>
        <v>0</v>
      </c>
      <c r="P13" s="7">
        <f>IF(AND($N$5,M13&lt;=$M$5),INDEX('Core Wall'!T10:T29,IF(M13=$M$5,1,M13+1)),0)</f>
        <v>0</v>
      </c>
      <c r="Q13" s="7">
        <f>IF(AND($N$5,M13&lt;=$M$5),INDEX('Core Wall'!U10:U29,IF(M13=$M$5,1,M13+1)),0)</f>
        <v>0</v>
      </c>
      <c r="R13" s="7">
        <f t="shared" si="0"/>
        <v>0</v>
      </c>
      <c r="S13" s="7">
        <f t="shared" si="1"/>
        <v>0</v>
      </c>
      <c r="T13" s="7">
        <f t="shared" si="2"/>
        <v>0</v>
      </c>
      <c r="U13" s="7">
        <f t="shared" si="3"/>
        <v>0</v>
      </c>
      <c r="V13" s="7">
        <f t="shared" si="4"/>
        <v>0</v>
      </c>
      <c r="W13" s="7">
        <f t="shared" si="5"/>
        <v>0</v>
      </c>
      <c r="X13" s="7"/>
      <c r="Y13" s="7">
        <f>IF((O13&gt;O32)&lt;&gt;(Q13&gt;O32),IF(N32&lt;(P13-N13)*(O32-O13)/(Q13-O13)+N13,1,0),0)</f>
        <v>0</v>
      </c>
      <c r="Z13" s="7">
        <f>IF((O13&gt;O52)&lt;&gt;(Q13&gt;O52),IF(N52&lt;(P13-N13)*(O52-O13)/(Q13-O13)+N13,1,0),0)</f>
        <v>0</v>
      </c>
      <c r="AA13" s="7">
        <f>IF((O33&gt;O52)&lt;&gt;(Q33&gt;O52),IF(N52&lt;(P33-N33)*(O52-O33)/(Q33-O33)+N33,1,0),0)</f>
        <v>0</v>
      </c>
      <c r="AB13" s="7">
        <f>IF((O53&gt;O32)&lt;&gt;(Q53&gt;O32),IF(N32&lt;(P53-N53)*(O32-O53)/(Q53-O53)+N53,1,0),0)</f>
        <v>0</v>
      </c>
      <c r="AC13" s="7"/>
      <c r="AD13" s="7">
        <f>IF(AND($N$5,$M$5&gt;=3),INDEX('Core Wall'!T10:T29,IF(3&lt;=$M$5,3,1)),N12)</f>
        <v>0</v>
      </c>
      <c r="AE13" s="7">
        <f>IF(AND($N$5,$M$5&gt;=3),INDEX('Core Wall'!U10:U29,IF(3&lt;=$M$5,3,1)),O12)</f>
        <v>0</v>
      </c>
      <c r="AF13" s="7">
        <f>IF(AND($N$6,$M$6&gt;=3),INDEX('Core Wall'!V10:V29,IF(3&lt;=$M$6,3,1)),N12)</f>
        <v>0</v>
      </c>
      <c r="AG13" s="7">
        <f>IF(AND($N$6,$M$6&gt;=3),INDEX('Core Wall'!W10:W29,IF(3&lt;=$M$6,3,1)),O12)</f>
        <v>0</v>
      </c>
      <c r="AH13" s="7">
        <f>IF(AND($N$7,$M$7&gt;=3),INDEX('Core Wall'!X10:X29,IF(3&lt;=$M$7,3,1)),N12)</f>
        <v>0</v>
      </c>
      <c r="AI13" s="7">
        <f>IF(AND($N$7,$M$7&gt;=3),INDEX('Core Wall'!Y10:Y29,IF(3&lt;=$M$7,3,1)),O12)</f>
        <v>0</v>
      </c>
    </row>
    <row r="14" spans="1:35">
      <c r="A14" s="6"/>
      <c r="B14" s="6"/>
      <c r="C14" s="6"/>
      <c r="D14" s="6"/>
      <c r="E14" s="6"/>
      <c r="F14" s="84" t="s">
        <v>226</v>
      </c>
      <c r="G14" s="84"/>
      <c r="H14" s="84"/>
      <c r="I14" s="84"/>
      <c r="J14" s="84"/>
      <c r="K14" s="84"/>
      <c r="L14" s="6">
        <v>1</v>
      </c>
      <c r="M14" s="7">
        <v>3</v>
      </c>
      <c r="N14" s="7">
        <f>IF(AND($N$5,M14&lt;=$M$5),'Core Wall'!T12,0)</f>
        <v>0</v>
      </c>
      <c r="O14" s="7">
        <f>IF(AND($N$5,M14&lt;=$M$5),'Core Wall'!U12,0)</f>
        <v>0</v>
      </c>
      <c r="P14" s="7">
        <f>IF(AND($N$5,M14&lt;=$M$5),INDEX('Core Wall'!T10:T29,IF(M14=$M$5,1,M14+1)),0)</f>
        <v>0</v>
      </c>
      <c r="Q14" s="7">
        <f>IF(AND($N$5,M14&lt;=$M$5),INDEX('Core Wall'!U10:U29,IF(M14=$M$5,1,M14+1)),0)</f>
        <v>0</v>
      </c>
      <c r="R14" s="7">
        <f t="shared" si="0"/>
        <v>0</v>
      </c>
      <c r="S14" s="7">
        <f t="shared" si="1"/>
        <v>0</v>
      </c>
      <c r="T14" s="7">
        <f t="shared" si="2"/>
        <v>0</v>
      </c>
      <c r="U14" s="7">
        <f t="shared" si="3"/>
        <v>0</v>
      </c>
      <c r="V14" s="7">
        <f t="shared" si="4"/>
        <v>0</v>
      </c>
      <c r="W14" s="7">
        <f t="shared" si="5"/>
        <v>0</v>
      </c>
      <c r="X14" s="7"/>
      <c r="Y14" s="7">
        <f>IF((O14&gt;O32)&lt;&gt;(Q14&gt;O32),IF(N32&lt;(P14-N14)*(O32-O14)/(Q14-O14)+N14,1,0),0)</f>
        <v>0</v>
      </c>
      <c r="Z14" s="7">
        <f>IF((O14&gt;O52)&lt;&gt;(Q14&gt;O52),IF(N52&lt;(P14-N14)*(O52-O14)/(Q14-O14)+N14,1,0),0)</f>
        <v>0</v>
      </c>
      <c r="AA14" s="7">
        <f>IF((O34&gt;O52)&lt;&gt;(Q34&gt;O52),IF(N52&lt;(P34-N34)*(O52-O34)/(Q34-O34)+N34,1,0),0)</f>
        <v>0</v>
      </c>
      <c r="AB14" s="7">
        <f>IF((O54&gt;O32)&lt;&gt;(Q54&gt;O32),IF(N32&lt;(P54-N54)*(O32-O54)/(Q54-O54)+N54,1,0),0)</f>
        <v>0</v>
      </c>
      <c r="AC14" s="7"/>
      <c r="AD14" s="7">
        <f>IF(AND($N$5,$M$5&gt;=3),INDEX('Core Wall'!T10:T29,IF(4&lt;=$M$5,4,1)),N12)</f>
        <v>0</v>
      </c>
      <c r="AE14" s="7">
        <f>IF(AND($N$5,$M$5&gt;=3),INDEX('Core Wall'!U10:U29,IF(4&lt;=$M$5,4,1)),O12)</f>
        <v>0</v>
      </c>
      <c r="AF14" s="7">
        <f>IF(AND($N$6,$M$6&gt;=3),INDEX('Core Wall'!V10:V29,IF(4&lt;=$M$6,4,1)),N12)</f>
        <v>0</v>
      </c>
      <c r="AG14" s="7">
        <f>IF(AND($N$6,$M$6&gt;=3),INDEX('Core Wall'!W10:W29,IF(4&lt;=$M$6,4,1)),O12)</f>
        <v>0</v>
      </c>
      <c r="AH14" s="7">
        <f>IF(AND($N$7,$M$7&gt;=3),INDEX('Core Wall'!X10:X29,IF(4&lt;=$M$7,4,1)),N12)</f>
        <v>0</v>
      </c>
      <c r="AI14" s="7">
        <f>IF(AND($N$7,$M$7&gt;=3),INDEX('Core Wall'!Y10:Y29,IF(4&lt;=$M$7,4,1)),O12)</f>
        <v>0</v>
      </c>
    </row>
    <row r="15" spans="1:35" ht="22.05" customHeight="1">
      <c r="A15" s="13" t="s">
        <v>63</v>
      </c>
      <c r="B15" s="14"/>
      <c r="C15" s="14"/>
      <c r="D15" s="15"/>
      <c r="E15" s="6"/>
      <c r="F15" s="84" t="s">
        <v>227</v>
      </c>
      <c r="G15" s="84"/>
      <c r="H15" s="84" t="s">
        <v>228</v>
      </c>
      <c r="I15" s="84"/>
      <c r="J15" s="84" t="s">
        <v>229</v>
      </c>
      <c r="K15" s="84"/>
      <c r="L15" s="6">
        <v>1</v>
      </c>
      <c r="M15" s="7">
        <v>4</v>
      </c>
      <c r="N15" s="7">
        <f>IF(AND($N$5,M15&lt;=$M$5),'Core Wall'!T13,0)</f>
        <v>0</v>
      </c>
      <c r="O15" s="7">
        <f>IF(AND($N$5,M15&lt;=$M$5),'Core Wall'!U13,0)</f>
        <v>0</v>
      </c>
      <c r="P15" s="7">
        <f>IF(AND($N$5,M15&lt;=$M$5),INDEX('Core Wall'!T10:T29,IF(M15=$M$5,1,M15+1)),0)</f>
        <v>0</v>
      </c>
      <c r="Q15" s="7">
        <f>IF(AND($N$5,M15&lt;=$M$5),INDEX('Core Wall'!U10:U29,IF(M15=$M$5,1,M15+1)),0)</f>
        <v>0</v>
      </c>
      <c r="R15" s="7">
        <f t="shared" si="0"/>
        <v>0</v>
      </c>
      <c r="S15" s="7">
        <f t="shared" si="1"/>
        <v>0</v>
      </c>
      <c r="T15" s="7">
        <f t="shared" si="2"/>
        <v>0</v>
      </c>
      <c r="U15" s="7">
        <f t="shared" si="3"/>
        <v>0</v>
      </c>
      <c r="V15" s="7">
        <f t="shared" si="4"/>
        <v>0</v>
      </c>
      <c r="W15" s="7">
        <f t="shared" si="5"/>
        <v>0</v>
      </c>
      <c r="X15" s="7"/>
      <c r="Y15" s="7">
        <f>IF((O15&gt;O32)&lt;&gt;(Q15&gt;O32),IF(N32&lt;(P15-N15)*(O32-O15)/(Q15-O15)+N15,1,0),0)</f>
        <v>0</v>
      </c>
      <c r="Z15" s="7">
        <f>IF((O15&gt;O52)&lt;&gt;(Q15&gt;O52),IF(N52&lt;(P15-N15)*(O52-O15)/(Q15-O15)+N15,1,0),0)</f>
        <v>0</v>
      </c>
      <c r="AA15" s="7">
        <f>IF((O35&gt;O52)&lt;&gt;(Q35&gt;O52),IF(N52&lt;(P35-N35)*(O52-O35)/(Q35-O35)+N35,1,0),0)</f>
        <v>0</v>
      </c>
      <c r="AB15" s="7">
        <f>IF((O55&gt;O32)&lt;&gt;(Q55&gt;O32),IF(N32&lt;(P55-N55)*(O32-O55)/(Q55-O55)+N55,1,0),0)</f>
        <v>0</v>
      </c>
      <c r="AC15" s="7"/>
      <c r="AD15" s="7">
        <f>IF(AND($N$5,$M$5&gt;=3),INDEX('Core Wall'!T10:T29,IF(5&lt;=$M$5,5,1)),N12)</f>
        <v>0</v>
      </c>
      <c r="AE15" s="7">
        <f>IF(AND($N$5,$M$5&gt;=3),INDEX('Core Wall'!U10:U29,IF(5&lt;=$M$5,5,1)),O12)</f>
        <v>0</v>
      </c>
      <c r="AF15" s="7">
        <f>IF(AND($N$6,$M$6&gt;=3),INDEX('Core Wall'!V10:V29,IF(5&lt;=$M$6,5,1)),N12)</f>
        <v>0</v>
      </c>
      <c r="AG15" s="7">
        <f>IF(AND($N$6,$M$6&gt;=3),INDEX('Core Wall'!W10:W29,IF(5&lt;=$M$6,5,1)),O12)</f>
        <v>0</v>
      </c>
      <c r="AH15" s="7">
        <f>IF(AND($N$7,$M$7&gt;=3),INDEX('Core Wall'!X10:X29,IF(5&lt;=$M$7,5,1)),N12)</f>
        <v>0</v>
      </c>
      <c r="AI15" s="7">
        <f>IF(AND($N$7,$M$7&gt;=3),INDEX('Core Wall'!Y10:Y29,IF(5&lt;=$M$7,5,1)),O12)</f>
        <v>0</v>
      </c>
    </row>
    <row r="16" spans="1:35" ht="26.1" customHeight="1">
      <c r="A16" s="16" t="s">
        <v>12</v>
      </c>
      <c r="B16" s="17" t="s">
        <v>0</v>
      </c>
      <c r="C16" s="17" t="s">
        <v>1</v>
      </c>
      <c r="D16" s="18" t="s">
        <v>64</v>
      </c>
      <c r="E16" s="6"/>
      <c r="F16" s="77" t="s">
        <v>230</v>
      </c>
      <c r="G16" s="77"/>
      <c r="H16" s="85"/>
      <c r="I16" s="85"/>
      <c r="J16" s="85"/>
      <c r="K16" s="85"/>
      <c r="L16" s="6">
        <v>1</v>
      </c>
      <c r="M16" s="7">
        <v>5</v>
      </c>
      <c r="N16" s="7">
        <f>IF(AND($N$5,M16&lt;=$M$5),'Core Wall'!T14,0)</f>
        <v>0</v>
      </c>
      <c r="O16" s="7">
        <f>IF(AND($N$5,M16&lt;=$M$5),'Core Wall'!U14,0)</f>
        <v>0</v>
      </c>
      <c r="P16" s="7">
        <f>IF(AND($N$5,M16&lt;=$M$5),INDEX('Core Wall'!T10:T29,IF(M16=$M$5,1,M16+1)),0)</f>
        <v>0</v>
      </c>
      <c r="Q16" s="7">
        <f>IF(AND($N$5,M16&lt;=$M$5),INDEX('Core Wall'!U10:U29,IF(M16=$M$5,1,M16+1)),0)</f>
        <v>0</v>
      </c>
      <c r="R16" s="7">
        <f t="shared" si="0"/>
        <v>0</v>
      </c>
      <c r="S16" s="7">
        <f t="shared" si="1"/>
        <v>0</v>
      </c>
      <c r="T16" s="7">
        <f t="shared" si="2"/>
        <v>0</v>
      </c>
      <c r="U16" s="7">
        <f t="shared" si="3"/>
        <v>0</v>
      </c>
      <c r="V16" s="7">
        <f t="shared" si="4"/>
        <v>0</v>
      </c>
      <c r="W16" s="7">
        <f t="shared" si="5"/>
        <v>0</v>
      </c>
      <c r="X16" s="7"/>
      <c r="Y16" s="7">
        <f>IF((O16&gt;O32)&lt;&gt;(Q16&gt;O32),IF(N32&lt;(P16-N16)*(O32-O16)/(Q16-O16)+N16,1,0),0)</f>
        <v>0</v>
      </c>
      <c r="Z16" s="7">
        <f>IF((O16&gt;O52)&lt;&gt;(Q16&gt;O52),IF(N52&lt;(P16-N16)*(O52-O16)/(Q16-O16)+N16,1,0),0)</f>
        <v>0</v>
      </c>
      <c r="AA16" s="7">
        <f>IF((O36&gt;O52)&lt;&gt;(Q36&gt;O52),IF(N52&lt;(P36-N36)*(O52-O36)/(Q36-O36)+N36,1,0),0)</f>
        <v>0</v>
      </c>
      <c r="AB16" s="7">
        <f>IF((O56&gt;O32)&lt;&gt;(Q56&gt;O32),IF(N32&lt;(P56-N56)*(O32-O56)/(Q56-O56)+N56,1,0),0)</f>
        <v>0</v>
      </c>
      <c r="AC16" s="7"/>
      <c r="AD16" s="7">
        <f>IF(AND($N$5,$M$5&gt;=3),INDEX('Core Wall'!T10:T29,IF(6&lt;=$M$5,6,1)),N12)</f>
        <v>0</v>
      </c>
      <c r="AE16" s="7">
        <f>IF(AND($N$5,$M$5&gt;=3),INDEX('Core Wall'!U10:U29,IF(6&lt;=$M$5,6,1)),O12)</f>
        <v>0</v>
      </c>
      <c r="AF16" s="7">
        <f>IF(AND($N$6,$M$6&gt;=3),INDEX('Core Wall'!V10:V29,IF(6&lt;=$M$6,6,1)),N12)</f>
        <v>0</v>
      </c>
      <c r="AG16" s="7">
        <f>IF(AND($N$6,$M$6&gt;=3),INDEX('Core Wall'!W10:W29,IF(6&lt;=$M$6,6,1)),O12)</f>
        <v>0</v>
      </c>
      <c r="AH16" s="7">
        <f>IF(AND($N$7,$M$7&gt;=3),INDEX('Core Wall'!X10:X29,IF(6&lt;=$M$7,6,1)),N12)</f>
        <v>0</v>
      </c>
      <c r="AI16" s="7">
        <f>IF(AND($N$7,$M$7&gt;=3),INDEX('Core Wall'!Y10:Y29,IF(6&lt;=$M$7,6,1)),O12)</f>
        <v>0</v>
      </c>
    </row>
    <row r="17" spans="1:35" ht="40.049999999999997" customHeight="1">
      <c r="A17" s="19" t="s">
        <v>241</v>
      </c>
      <c r="B17" s="27" t="str">
        <f>IF($H$23="B",IF(ISNUMBER(H16),H16,""),IF(ISNUMBER(J16),J16,""))</f>
        <v/>
      </c>
      <c r="C17" s="19" t="s">
        <v>9</v>
      </c>
      <c r="D17" s="28" t="s">
        <v>243</v>
      </c>
      <c r="E17" s="6"/>
      <c r="F17" s="77" t="s">
        <v>231</v>
      </c>
      <c r="G17" s="77"/>
      <c r="H17" s="85"/>
      <c r="I17" s="85"/>
      <c r="J17" s="85"/>
      <c r="K17" s="85"/>
      <c r="L17" s="6">
        <v>1</v>
      </c>
      <c r="M17" s="7">
        <v>6</v>
      </c>
      <c r="N17" s="7">
        <f>IF(AND($N$5,M17&lt;=$M$5),'Core Wall'!T15,0)</f>
        <v>0</v>
      </c>
      <c r="O17" s="7">
        <f>IF(AND($N$5,M17&lt;=$M$5),'Core Wall'!U15,0)</f>
        <v>0</v>
      </c>
      <c r="P17" s="7">
        <f>IF(AND($N$5,M17&lt;=$M$5),INDEX('Core Wall'!T10:T29,IF(M17=$M$5,1,M17+1)),0)</f>
        <v>0</v>
      </c>
      <c r="Q17" s="7">
        <f>IF(AND($N$5,M17&lt;=$M$5),INDEX('Core Wall'!U10:U29,IF(M17=$M$5,1,M17+1)),0)</f>
        <v>0</v>
      </c>
      <c r="R17" s="7">
        <f t="shared" si="0"/>
        <v>0</v>
      </c>
      <c r="S17" s="7">
        <f t="shared" si="1"/>
        <v>0</v>
      </c>
      <c r="T17" s="7">
        <f t="shared" si="2"/>
        <v>0</v>
      </c>
      <c r="U17" s="7">
        <f t="shared" si="3"/>
        <v>0</v>
      </c>
      <c r="V17" s="7">
        <f t="shared" si="4"/>
        <v>0</v>
      </c>
      <c r="W17" s="7">
        <f t="shared" si="5"/>
        <v>0</v>
      </c>
      <c r="X17" s="7"/>
      <c r="Y17" s="7">
        <f>IF((O17&gt;O32)&lt;&gt;(Q17&gt;O32),IF(N32&lt;(P17-N17)*(O32-O17)/(Q17-O17)+N17,1,0),0)</f>
        <v>0</v>
      </c>
      <c r="Z17" s="7">
        <f>IF((O17&gt;O52)&lt;&gt;(Q17&gt;O52),IF(N52&lt;(P17-N17)*(O52-O17)/(Q17-O17)+N17,1,0),0)</f>
        <v>0</v>
      </c>
      <c r="AA17" s="7">
        <f>IF((O37&gt;O52)&lt;&gt;(Q37&gt;O52),IF(N52&lt;(P37-N37)*(O52-O37)/(Q37-O37)+N37,1,0),0)</f>
        <v>0</v>
      </c>
      <c r="AB17" s="7">
        <f>IF((O57&gt;O32)&lt;&gt;(Q57&gt;O32),IF(N32&lt;(P57-N57)*(O32-O57)/(Q57-O57)+N57,1,0),0)</f>
        <v>0</v>
      </c>
      <c r="AC17" s="7"/>
      <c r="AD17" s="7">
        <f>IF(AND($N$5,$M$5&gt;=3),INDEX('Core Wall'!T10:T29,IF(7&lt;=$M$5,7,1)),N12)</f>
        <v>0</v>
      </c>
      <c r="AE17" s="7">
        <f>IF(AND($N$5,$M$5&gt;=3),INDEX('Core Wall'!U10:U29,IF(7&lt;=$M$5,7,1)),O12)</f>
        <v>0</v>
      </c>
      <c r="AF17" s="7">
        <f>IF(AND($N$6,$M$6&gt;=3),INDEX('Core Wall'!V10:V29,IF(7&lt;=$M$6,7,1)),N12)</f>
        <v>0</v>
      </c>
      <c r="AG17" s="7">
        <f>IF(AND($N$6,$M$6&gt;=3),INDEX('Core Wall'!W10:W29,IF(7&lt;=$M$6,7,1)),O12)</f>
        <v>0</v>
      </c>
      <c r="AH17" s="7">
        <f>IF(AND($N$7,$M$7&gt;=3),INDEX('Core Wall'!X10:X29,IF(7&lt;=$M$7,7,1)),N12)</f>
        <v>0</v>
      </c>
      <c r="AI17" s="7">
        <f>IF(AND($N$7,$M$7&gt;=3),INDEX('Core Wall'!Y10:Y29,IF(7&lt;=$M$7,7,1)),O12)</f>
        <v>0</v>
      </c>
    </row>
    <row r="18" spans="1:35" ht="40.049999999999997" customHeight="1">
      <c r="A18" s="21" t="s">
        <v>65</v>
      </c>
      <c r="B18" s="29" t="str">
        <f>IF($H$23="B",IF(ISNUMBER(H17),H17,""),IF(ISNUMBER(J17),J17,""))</f>
        <v/>
      </c>
      <c r="C18" s="21" t="s">
        <v>2</v>
      </c>
      <c r="D18" s="30" t="s">
        <v>244</v>
      </c>
      <c r="E18" s="6"/>
      <c r="F18" s="77" t="s">
        <v>232</v>
      </c>
      <c r="G18" s="77"/>
      <c r="H18" s="85"/>
      <c r="I18" s="85"/>
      <c r="J18" s="85"/>
      <c r="K18" s="85"/>
      <c r="L18" s="6">
        <v>1</v>
      </c>
      <c r="M18" s="7">
        <v>7</v>
      </c>
      <c r="N18" s="7">
        <f>IF(AND($N$5,M18&lt;=$M$5),'Core Wall'!T16,0)</f>
        <v>0</v>
      </c>
      <c r="O18" s="7">
        <f>IF(AND($N$5,M18&lt;=$M$5),'Core Wall'!U16,0)</f>
        <v>0</v>
      </c>
      <c r="P18" s="7">
        <f>IF(AND($N$5,M18&lt;=$M$5),INDEX('Core Wall'!T10:T29,IF(M18=$M$5,1,M18+1)),0)</f>
        <v>0</v>
      </c>
      <c r="Q18" s="7">
        <f>IF(AND($N$5,M18&lt;=$M$5),INDEX('Core Wall'!U10:U29,IF(M18=$M$5,1,M18+1)),0)</f>
        <v>0</v>
      </c>
      <c r="R18" s="7">
        <f t="shared" si="0"/>
        <v>0</v>
      </c>
      <c r="S18" s="7">
        <f t="shared" si="1"/>
        <v>0</v>
      </c>
      <c r="T18" s="7">
        <f t="shared" si="2"/>
        <v>0</v>
      </c>
      <c r="U18" s="7">
        <f t="shared" si="3"/>
        <v>0</v>
      </c>
      <c r="V18" s="7">
        <f t="shared" si="4"/>
        <v>0</v>
      </c>
      <c r="W18" s="7">
        <f t="shared" si="5"/>
        <v>0</v>
      </c>
      <c r="X18" s="7"/>
      <c r="Y18" s="7">
        <f>IF((O18&gt;O32)&lt;&gt;(Q18&gt;O32),IF(N32&lt;(P18-N18)*(O32-O18)/(Q18-O18)+N18,1,0),0)</f>
        <v>0</v>
      </c>
      <c r="Z18" s="7">
        <f>IF((O18&gt;O52)&lt;&gt;(Q18&gt;O52),IF(N52&lt;(P18-N18)*(O52-O18)/(Q18-O18)+N18,1,0),0)</f>
        <v>0</v>
      </c>
      <c r="AA18" s="7">
        <f>IF((O38&gt;O52)&lt;&gt;(Q38&gt;O52),IF(N52&lt;(P38-N38)*(O52-O38)/(Q38-O38)+N38,1,0),0)</f>
        <v>0</v>
      </c>
      <c r="AB18" s="7">
        <f>IF((O58&gt;O32)&lt;&gt;(Q58&gt;O32),IF(N32&lt;(P58-N58)*(O32-O58)/(Q58-O58)+N58,1,0),0)</f>
        <v>0</v>
      </c>
      <c r="AC18" s="7"/>
      <c r="AD18" s="7">
        <f>IF(AND($N$5,$M$5&gt;=3),INDEX('Core Wall'!T10:T29,IF(8&lt;=$M$5,8,1)),N12)</f>
        <v>0</v>
      </c>
      <c r="AE18" s="7">
        <f>IF(AND($N$5,$M$5&gt;=3),INDEX('Core Wall'!U10:U29,IF(8&lt;=$M$5,8,1)),O12)</f>
        <v>0</v>
      </c>
      <c r="AF18" s="7">
        <f>IF(AND($N$6,$M$6&gt;=3),INDEX('Core Wall'!V10:V29,IF(8&lt;=$M$6,8,1)),N12)</f>
        <v>0</v>
      </c>
      <c r="AG18" s="7">
        <f>IF(AND($N$6,$M$6&gt;=3),INDEX('Core Wall'!W10:W29,IF(8&lt;=$M$6,8,1)),O12)</f>
        <v>0</v>
      </c>
      <c r="AH18" s="7">
        <f>IF(AND($N$7,$M$7&gt;=3),INDEX('Core Wall'!X10:X29,IF(8&lt;=$M$7,8,1)),N12)</f>
        <v>0</v>
      </c>
      <c r="AI18" s="7">
        <f>IF(AND($N$7,$M$7&gt;=3),INDEX('Core Wall'!Y10:Y29,IF(8&lt;=$M$7,8,1)),O12)</f>
        <v>0</v>
      </c>
    </row>
    <row r="19" spans="1:35" ht="40.049999999999997" customHeight="1">
      <c r="A19" s="21" t="s">
        <v>242</v>
      </c>
      <c r="B19" s="29" t="str">
        <f>IF($H$23="B",IF(ISNUMBER(H18),H18,""),IF(ISNUMBER(J18),J18,""))</f>
        <v/>
      </c>
      <c r="C19" s="21" t="s">
        <v>2</v>
      </c>
      <c r="D19" s="30" t="s">
        <v>245</v>
      </c>
      <c r="E19" s="6"/>
      <c r="F19" s="77" t="s">
        <v>73</v>
      </c>
      <c r="G19" s="77"/>
      <c r="H19" s="79"/>
      <c r="I19" s="79"/>
      <c r="J19" s="79"/>
      <c r="K19" s="79"/>
      <c r="L19" s="6">
        <v>1</v>
      </c>
      <c r="M19" s="7">
        <v>8</v>
      </c>
      <c r="N19" s="7">
        <f>IF(AND($N$5,M19&lt;=$M$5),'Core Wall'!T17,0)</f>
        <v>0</v>
      </c>
      <c r="O19" s="7">
        <f>IF(AND($N$5,M19&lt;=$M$5),'Core Wall'!U17,0)</f>
        <v>0</v>
      </c>
      <c r="P19" s="7">
        <f>IF(AND($N$5,M19&lt;=$M$5),INDEX('Core Wall'!T10:T29,IF(M19=$M$5,1,M19+1)),0)</f>
        <v>0</v>
      </c>
      <c r="Q19" s="7">
        <f>IF(AND($N$5,M19&lt;=$M$5),INDEX('Core Wall'!U10:U29,IF(M19=$M$5,1,M19+1)),0)</f>
        <v>0</v>
      </c>
      <c r="R19" s="7">
        <f t="shared" si="0"/>
        <v>0</v>
      </c>
      <c r="S19" s="7">
        <f t="shared" si="1"/>
        <v>0</v>
      </c>
      <c r="T19" s="7">
        <f t="shared" si="2"/>
        <v>0</v>
      </c>
      <c r="U19" s="7">
        <f t="shared" si="3"/>
        <v>0</v>
      </c>
      <c r="V19" s="7">
        <f t="shared" si="4"/>
        <v>0</v>
      </c>
      <c r="W19" s="7">
        <f t="shared" si="5"/>
        <v>0</v>
      </c>
      <c r="X19" s="7"/>
      <c r="Y19" s="7">
        <f>IF((O19&gt;O32)&lt;&gt;(Q19&gt;O32),IF(N32&lt;(P19-N19)*(O32-O19)/(Q19-O19)+N19,1,0),0)</f>
        <v>0</v>
      </c>
      <c r="Z19" s="7">
        <f>IF((O19&gt;O52)&lt;&gt;(Q19&gt;O52),IF(N52&lt;(P19-N19)*(O52-O19)/(Q19-O19)+N19,1,0),0)</f>
        <v>0</v>
      </c>
      <c r="AA19" s="7">
        <f>IF((O39&gt;O52)&lt;&gt;(Q39&gt;O52),IF(N52&lt;(P39-N39)*(O52-O39)/(Q39-O39)+N39,1,0),0)</f>
        <v>0</v>
      </c>
      <c r="AB19" s="7">
        <f>IF((O59&gt;O32)&lt;&gt;(Q59&gt;O32),IF(N32&lt;(P59-N59)*(O32-O59)/(Q59-O59)+N59,1,0),0)</f>
        <v>0</v>
      </c>
      <c r="AC19" s="7"/>
      <c r="AD19" s="7">
        <f>IF(AND($N$5,$M$5&gt;=3),INDEX('Core Wall'!T10:T29,IF(9&lt;=$M$5,9,1)),N12)</f>
        <v>0</v>
      </c>
      <c r="AE19" s="7">
        <f>IF(AND($N$5,$M$5&gt;=3),INDEX('Core Wall'!U10:U29,IF(9&lt;=$M$5,9,1)),O12)</f>
        <v>0</v>
      </c>
      <c r="AF19" s="7">
        <f>IF(AND($N$6,$M$6&gt;=3),INDEX('Core Wall'!V10:V29,IF(9&lt;=$M$6,9,1)),N12)</f>
        <v>0</v>
      </c>
      <c r="AG19" s="7">
        <f>IF(AND($N$6,$M$6&gt;=3),INDEX('Core Wall'!W10:W29,IF(9&lt;=$M$6,9,1)),O12)</f>
        <v>0</v>
      </c>
      <c r="AH19" s="7">
        <f>IF(AND($N$7,$M$7&gt;=3),INDEX('Core Wall'!X10:X29,IF(9&lt;=$M$7,9,1)),N12)</f>
        <v>0</v>
      </c>
      <c r="AI19" s="7">
        <f>IF(AND($N$7,$M$7&gt;=3),INDEX('Core Wall'!Y10:Y29,IF(9&lt;=$M$7,9,1)),O12)</f>
        <v>0</v>
      </c>
    </row>
    <row r="20" spans="1:35" ht="26.1" customHeight="1">
      <c r="A20" s="21" t="s">
        <v>66</v>
      </c>
      <c r="B20" s="29" t="str">
        <f>IF(COUNTIF(G68:G83,B24)=1,VLOOKUP(B24,G68:H83,2,FALSE),"Select valid grade")</f>
        <v>Select valid grade</v>
      </c>
      <c r="C20" s="21" t="s">
        <v>67</v>
      </c>
      <c r="D20" s="30" t="s">
        <v>68</v>
      </c>
      <c r="E20" s="6"/>
      <c r="F20" s="77" t="s">
        <v>233</v>
      </c>
      <c r="G20" s="77"/>
      <c r="H20" s="79" t="s">
        <v>205</v>
      </c>
      <c r="I20" s="79"/>
      <c r="J20" s="79" t="s">
        <v>205</v>
      </c>
      <c r="K20" s="79"/>
      <c r="L20" s="6">
        <v>1</v>
      </c>
      <c r="M20" s="7">
        <v>9</v>
      </c>
      <c r="N20" s="7">
        <f>IF(AND($N$5,M20&lt;=$M$5),'Core Wall'!T18,0)</f>
        <v>0</v>
      </c>
      <c r="O20" s="7">
        <f>IF(AND($N$5,M20&lt;=$M$5),'Core Wall'!U18,0)</f>
        <v>0</v>
      </c>
      <c r="P20" s="7">
        <f>IF(AND($N$5,M20&lt;=$M$5),INDEX('Core Wall'!T10:T29,IF(M20=$M$5,1,M20+1)),0)</f>
        <v>0</v>
      </c>
      <c r="Q20" s="7">
        <f>IF(AND($N$5,M20&lt;=$M$5),INDEX('Core Wall'!U10:U29,IF(M20=$M$5,1,M20+1)),0)</f>
        <v>0</v>
      </c>
      <c r="R20" s="7">
        <f t="shared" si="0"/>
        <v>0</v>
      </c>
      <c r="S20" s="7">
        <f t="shared" si="1"/>
        <v>0</v>
      </c>
      <c r="T20" s="7">
        <f t="shared" si="2"/>
        <v>0</v>
      </c>
      <c r="U20" s="7">
        <f t="shared" si="3"/>
        <v>0</v>
      </c>
      <c r="V20" s="7">
        <f t="shared" si="4"/>
        <v>0</v>
      </c>
      <c r="W20" s="7">
        <f t="shared" si="5"/>
        <v>0</v>
      </c>
      <c r="X20" s="7"/>
      <c r="Y20" s="7">
        <f>IF((O20&gt;O32)&lt;&gt;(Q20&gt;O32),IF(N32&lt;(P20-N20)*(O32-O20)/(Q20-O20)+N20,1,0),0)</f>
        <v>0</v>
      </c>
      <c r="Z20" s="7">
        <f>IF((O20&gt;O52)&lt;&gt;(Q20&gt;O52),IF(N52&lt;(P20-N20)*(O52-O20)/(Q20-O20)+N20,1,0),0)</f>
        <v>0</v>
      </c>
      <c r="AA20" s="7">
        <f>IF((O40&gt;O52)&lt;&gt;(Q40&gt;O52),IF(N52&lt;(P40-N40)*(O52-O40)/(Q40-O40)+N40,1,0),0)</f>
        <v>0</v>
      </c>
      <c r="AB20" s="7">
        <f>IF((O60&gt;O32)&lt;&gt;(Q60&gt;O32),IF(N32&lt;(P60-N60)*(O32-O60)/(Q60-O60)+N60,1,0),0)</f>
        <v>0</v>
      </c>
      <c r="AC20" s="7"/>
      <c r="AD20" s="7">
        <f>IF(AND($N$5,$M$5&gt;=3),INDEX('Core Wall'!T10:T29,IF(10&lt;=$M$5,10,1)),N12)</f>
        <v>0</v>
      </c>
      <c r="AE20" s="7">
        <f>IF(AND($N$5,$M$5&gt;=3),INDEX('Core Wall'!U10:U29,IF(10&lt;=$M$5,10,1)),O12)</f>
        <v>0</v>
      </c>
      <c r="AF20" s="7">
        <f>IF(AND($N$6,$M$6&gt;=3),INDEX('Core Wall'!V10:V29,IF(10&lt;=$M$6,10,1)),N12)</f>
        <v>0</v>
      </c>
      <c r="AG20" s="7">
        <f>IF(AND($N$6,$M$6&gt;=3),INDEX('Core Wall'!W10:W29,IF(10&lt;=$M$6,10,1)),O12)</f>
        <v>0</v>
      </c>
      <c r="AH20" s="7">
        <f>IF(AND($N$7,$M$7&gt;=3),INDEX('Core Wall'!X10:X29,IF(10&lt;=$M$7,10,1)),N12)</f>
        <v>0</v>
      </c>
      <c r="AI20" s="7">
        <f>IF(AND($N$7,$M$7&gt;=3),INDEX('Core Wall'!Y10:Y29,IF(10&lt;=$M$7,10,1)),O12)</f>
        <v>0</v>
      </c>
    </row>
    <row r="21" spans="1:35" ht="31.95" customHeight="1">
      <c r="A21" s="21" t="s">
        <v>69</v>
      </c>
      <c r="B21" s="31">
        <f>IF($H$23="B",IF(ISNUMBER('Core Wall'!B57),'Core Wall'!B57,""),IF(ISNUMBER('Core Wall'!J57),'Core Wall'!J57,""))</f>
        <v>500</v>
      </c>
      <c r="C21" s="21" t="s">
        <v>70</v>
      </c>
      <c r="D21" s="30" t="s">
        <v>246</v>
      </c>
      <c r="E21" s="6"/>
      <c r="F21" s="77" t="s">
        <v>234</v>
      </c>
      <c r="G21" s="77"/>
      <c r="H21" s="77"/>
      <c r="I21" s="77"/>
      <c r="J21" s="77"/>
      <c r="K21" s="77"/>
      <c r="L21" s="6">
        <v>1</v>
      </c>
      <c r="M21" s="7">
        <v>10</v>
      </c>
      <c r="N21" s="7">
        <f>IF(AND($N$5,M21&lt;=$M$5),'Core Wall'!T19,0)</f>
        <v>0</v>
      </c>
      <c r="O21" s="7">
        <f>IF(AND($N$5,M21&lt;=$M$5),'Core Wall'!U19,0)</f>
        <v>0</v>
      </c>
      <c r="P21" s="7">
        <f>IF(AND($N$5,M21&lt;=$M$5),INDEX('Core Wall'!T10:T29,IF(M21=$M$5,1,M21+1)),0)</f>
        <v>0</v>
      </c>
      <c r="Q21" s="7">
        <f>IF(AND($N$5,M21&lt;=$M$5),INDEX('Core Wall'!U10:U29,IF(M21=$M$5,1,M21+1)),0)</f>
        <v>0</v>
      </c>
      <c r="R21" s="7">
        <f t="shared" si="0"/>
        <v>0</v>
      </c>
      <c r="S21" s="7">
        <f t="shared" si="1"/>
        <v>0</v>
      </c>
      <c r="T21" s="7">
        <f t="shared" si="2"/>
        <v>0</v>
      </c>
      <c r="U21" s="7">
        <f t="shared" si="3"/>
        <v>0</v>
      </c>
      <c r="V21" s="7">
        <f t="shared" si="4"/>
        <v>0</v>
      </c>
      <c r="W21" s="7">
        <f t="shared" si="5"/>
        <v>0</v>
      </c>
      <c r="X21" s="7"/>
      <c r="Y21" s="7">
        <f>IF((O21&gt;O32)&lt;&gt;(Q21&gt;O32),IF(N32&lt;(P21-N21)*(O32-O21)/(Q21-O21)+N21,1,0),0)</f>
        <v>0</v>
      </c>
      <c r="Z21" s="7">
        <f>IF((O21&gt;O52)&lt;&gt;(Q21&gt;O52),IF(N52&lt;(P21-N21)*(O52-O21)/(Q21-O21)+N21,1,0),0)</f>
        <v>0</v>
      </c>
      <c r="AA21" s="7">
        <f>IF((O41&gt;O52)&lt;&gt;(Q41&gt;O52),IF(N52&lt;(P41-N41)*(O52-O41)/(Q41-O41)+N41,1,0),0)</f>
        <v>0</v>
      </c>
      <c r="AB21" s="7">
        <f>IF((O61&gt;O32)&lt;&gt;(Q61&gt;O32),IF(N32&lt;(P61-N61)*(O32-O61)/(Q61-O61)+N61,1,0),0)</f>
        <v>0</v>
      </c>
      <c r="AC21" s="7"/>
      <c r="AD21" s="7">
        <f>IF(AND($N$5,$M$5&gt;=3),INDEX('Core Wall'!T10:T29,IF(11&lt;=$M$5,11,1)),N12)</f>
        <v>0</v>
      </c>
      <c r="AE21" s="7">
        <f>IF(AND($N$5,$M$5&gt;=3),INDEX('Core Wall'!U10:U29,IF(11&lt;=$M$5,11,1)),O12)</f>
        <v>0</v>
      </c>
      <c r="AF21" s="7">
        <f>IF(AND($N$6,$M$6&gt;=3),INDEX('Core Wall'!V10:V29,IF(11&lt;=$M$6,11,1)),N12)</f>
        <v>0</v>
      </c>
      <c r="AG21" s="7">
        <f>IF(AND($N$6,$M$6&gt;=3),INDEX('Core Wall'!W10:W29,IF(11&lt;=$M$6,11,1)),O12)</f>
        <v>0</v>
      </c>
      <c r="AH21" s="7">
        <f>IF(AND($N$7,$M$7&gt;=3),INDEX('Core Wall'!X10:X29,IF(11&lt;=$M$7,11,1)),N12)</f>
        <v>0</v>
      </c>
      <c r="AI21" s="7">
        <f>IF(AND($N$7,$M$7&gt;=3),INDEX('Core Wall'!Y10:Y29,IF(11&lt;=$M$7,11,1)),O12)</f>
        <v>0</v>
      </c>
    </row>
    <row r="22" spans="1:35" ht="30" customHeight="1">
      <c r="A22" s="25" t="s">
        <v>71</v>
      </c>
      <c r="B22" s="25" t="str">
        <f>'Core Wall'!J46&amp;" wind; centroidal axes"</f>
        <v>X wind; centroidal axes</v>
      </c>
      <c r="C22" s="25" t="s">
        <v>3</v>
      </c>
      <c r="D22" s="32" t="s">
        <v>72</v>
      </c>
      <c r="E22" s="6"/>
      <c r="F22" s="33"/>
      <c r="G22" s="33"/>
      <c r="H22" s="33"/>
      <c r="I22" s="33"/>
      <c r="J22" s="33"/>
      <c r="K22" s="33"/>
      <c r="L22" s="6">
        <v>1</v>
      </c>
      <c r="M22" s="7">
        <v>11</v>
      </c>
      <c r="N22" s="7">
        <f>IF(AND($N$5,M22&lt;=$M$5),'Core Wall'!T20,0)</f>
        <v>0</v>
      </c>
      <c r="O22" s="7">
        <f>IF(AND($N$5,M22&lt;=$M$5),'Core Wall'!U20,0)</f>
        <v>0</v>
      </c>
      <c r="P22" s="7">
        <f>IF(AND($N$5,M22&lt;=$M$5),INDEX('Core Wall'!T10:T29,IF(M22=$M$5,1,M22+1)),0)</f>
        <v>0</v>
      </c>
      <c r="Q22" s="7">
        <f>IF(AND($N$5,M22&lt;=$M$5),INDEX('Core Wall'!U10:U29,IF(M22=$M$5,1,M22+1)),0)</f>
        <v>0</v>
      </c>
      <c r="R22" s="7">
        <f t="shared" si="0"/>
        <v>0</v>
      </c>
      <c r="S22" s="7">
        <f t="shared" si="1"/>
        <v>0</v>
      </c>
      <c r="T22" s="7">
        <f t="shared" si="2"/>
        <v>0</v>
      </c>
      <c r="U22" s="7">
        <f t="shared" si="3"/>
        <v>0</v>
      </c>
      <c r="V22" s="7">
        <f t="shared" si="4"/>
        <v>0</v>
      </c>
      <c r="W22" s="7">
        <f t="shared" si="5"/>
        <v>0</v>
      </c>
      <c r="X22" s="7"/>
      <c r="Y22" s="7">
        <f>IF((O22&gt;O32)&lt;&gt;(Q22&gt;O32),IF(N32&lt;(P22-N22)*(O32-O22)/(Q22-O22)+N22,1,0),0)</f>
        <v>0</v>
      </c>
      <c r="Z22" s="7">
        <f>IF((O22&gt;O52)&lt;&gt;(Q22&gt;O52),IF(N52&lt;(P22-N22)*(O52-O22)/(Q22-O22)+N22,1,0),0)</f>
        <v>0</v>
      </c>
      <c r="AA22" s="7">
        <f>IF((O42&gt;O52)&lt;&gt;(Q42&gt;O52),IF(N52&lt;(P42-N42)*(O52-O42)/(Q42-O42)+N42,1,0),0)</f>
        <v>0</v>
      </c>
      <c r="AB22" s="7">
        <f>IF((O62&gt;O32)&lt;&gt;(Q62&gt;O32),IF(N32&lt;(P62-N62)*(O32-O62)/(Q62-O62)+N62,1,0),0)</f>
        <v>0</v>
      </c>
      <c r="AC22" s="7"/>
      <c r="AD22" s="7">
        <f>IF(AND($N$5,$M$5&gt;=3),INDEX('Core Wall'!T10:T29,IF(12&lt;=$M$5,12,1)),N12)</f>
        <v>0</v>
      </c>
      <c r="AE22" s="7">
        <f>IF(AND($N$5,$M$5&gt;=3),INDEX('Core Wall'!U10:U29,IF(12&lt;=$M$5,12,1)),O12)</f>
        <v>0</v>
      </c>
      <c r="AF22" s="7">
        <f>IF(AND($N$6,$M$6&gt;=3),INDEX('Core Wall'!V10:V29,IF(12&lt;=$M$6,12,1)),N12)</f>
        <v>0</v>
      </c>
      <c r="AG22" s="7">
        <f>IF(AND($N$6,$M$6&gt;=3),INDEX('Core Wall'!W10:W29,IF(12&lt;=$M$6,12,1)),O12)</f>
        <v>0</v>
      </c>
      <c r="AH22" s="7">
        <f>IF(AND($N$7,$M$7&gt;=3),INDEX('Core Wall'!X10:X29,IF(12&lt;=$M$7,12,1)),N12)</f>
        <v>0</v>
      </c>
      <c r="AI22" s="7">
        <f>IF(AND($N$7,$M$7&gt;=3),INDEX('Core Wall'!Y10:Y29,IF(12&lt;=$M$7,12,1)),O12)</f>
        <v>0</v>
      </c>
    </row>
    <row r="23" spans="1:35" ht="46.05" customHeight="1">
      <c r="A23" s="6" t="s">
        <v>5</v>
      </c>
      <c r="B23" s="113" t="str">
        <f>IF(IF($H$23="B",H20,J20)="LAYERED",IF(AND(COUNT(B19:B21)=3,MIN(B19:B21)&gt;0,'Core Wall'!J45="VALID",ISNUMBER(H31),H31&gt;0,IF($H$23="B",'Layered Wind'!B10,'Layered Wind'!N10)="Inputs complete"),"Inputs complete","CHECK INPUTS"),IF(IF($H$23="B",H20,J20)&lt;&gt;"UNIFORM","LAYERED WIND: deflection method not supported",IF(AND(COUNT(B17:B21)=5,MIN(B17:B21)&gt;0,'Core Wall'!J45="VALID",ISNUMBER(H31),H31&gt;0),"Inputs complete","CHECK INPUTS")))</f>
        <v>CHECK INPUTS</v>
      </c>
      <c r="C23" s="113"/>
      <c r="D23" s="113"/>
      <c r="E23" s="6"/>
      <c r="F23" s="78" t="s">
        <v>235</v>
      </c>
      <c r="G23" s="78"/>
      <c r="H23" s="79" t="s">
        <v>207</v>
      </c>
      <c r="I23" s="79"/>
      <c r="J23" s="79"/>
      <c r="K23" s="79"/>
      <c r="L23" s="6">
        <v>1</v>
      </c>
      <c r="M23" s="7">
        <v>12</v>
      </c>
      <c r="N23" s="7">
        <f>IF(AND($N$5,M23&lt;=$M$5),'Core Wall'!T21,0)</f>
        <v>0</v>
      </c>
      <c r="O23" s="7">
        <f>IF(AND($N$5,M23&lt;=$M$5),'Core Wall'!U21,0)</f>
        <v>0</v>
      </c>
      <c r="P23" s="7">
        <f>IF(AND($N$5,M23&lt;=$M$5),INDEX('Core Wall'!T10:T29,IF(M23=$M$5,1,M23+1)),0)</f>
        <v>0</v>
      </c>
      <c r="Q23" s="7">
        <f>IF(AND($N$5,M23&lt;=$M$5),INDEX('Core Wall'!U10:U29,IF(M23=$M$5,1,M23+1)),0)</f>
        <v>0</v>
      </c>
      <c r="R23" s="7">
        <f t="shared" si="0"/>
        <v>0</v>
      </c>
      <c r="S23" s="7">
        <f t="shared" si="1"/>
        <v>0</v>
      </c>
      <c r="T23" s="7">
        <f t="shared" si="2"/>
        <v>0</v>
      </c>
      <c r="U23" s="7">
        <f t="shared" si="3"/>
        <v>0</v>
      </c>
      <c r="V23" s="7">
        <f t="shared" si="4"/>
        <v>0</v>
      </c>
      <c r="W23" s="7">
        <f t="shared" si="5"/>
        <v>0</v>
      </c>
      <c r="X23" s="7"/>
      <c r="Y23" s="7">
        <f>IF((O23&gt;O32)&lt;&gt;(Q23&gt;O32),IF(N32&lt;(P23-N23)*(O32-O23)/(Q23-O23)+N23,1,0),0)</f>
        <v>0</v>
      </c>
      <c r="Z23" s="7">
        <f>IF((O23&gt;O52)&lt;&gt;(Q23&gt;O52),IF(N52&lt;(P23-N23)*(O52-O23)/(Q23-O23)+N23,1,0),0)</f>
        <v>0</v>
      </c>
      <c r="AA23" s="7">
        <f>IF((O43&gt;O52)&lt;&gt;(Q43&gt;O52),IF(N52&lt;(P43-N43)*(O52-O43)/(Q43-O43)+N43,1,0),0)</f>
        <v>0</v>
      </c>
      <c r="AB23" s="7">
        <f>IF((O63&gt;O32)&lt;&gt;(Q63&gt;O32),IF(N32&lt;(P63-N63)*(O32-O63)/(Q63-O63)+N63,1,0),0)</f>
        <v>0</v>
      </c>
      <c r="AC23" s="7"/>
      <c r="AD23" s="7">
        <f>IF(AND($N$5,$M$5&gt;=3),INDEX('Core Wall'!T10:T29,IF(13&lt;=$M$5,13,1)),N12)</f>
        <v>0</v>
      </c>
      <c r="AE23" s="7">
        <f>IF(AND($N$5,$M$5&gt;=3),INDEX('Core Wall'!U10:U29,IF(13&lt;=$M$5,13,1)),O12)</f>
        <v>0</v>
      </c>
      <c r="AF23" s="7">
        <f>IF(AND($N$6,$M$6&gt;=3),INDEX('Core Wall'!V10:V29,IF(13&lt;=$M$6,13,1)),N12)</f>
        <v>0</v>
      </c>
      <c r="AG23" s="7">
        <f>IF(AND($N$6,$M$6&gt;=3),INDEX('Core Wall'!W10:W29,IF(13&lt;=$M$6,13,1)),O12)</f>
        <v>0</v>
      </c>
      <c r="AH23" s="7">
        <f>IF(AND($N$7,$M$7&gt;=3),INDEX('Core Wall'!X10:X29,IF(13&lt;=$M$7,13,1)),N12)</f>
        <v>0</v>
      </c>
      <c r="AI23" s="7">
        <f>IF(AND($N$7,$M$7&gt;=3),INDEX('Core Wall'!Y10:Y29,IF(13&lt;=$M$7,13,1)),O12)</f>
        <v>0</v>
      </c>
    </row>
    <row r="24" spans="1:35" ht="31.95" customHeight="1">
      <c r="A24" s="6" t="s">
        <v>73</v>
      </c>
      <c r="B24" s="6">
        <f>IF($H$23="B",H19,J19)</f>
        <v>0</v>
      </c>
      <c r="C24" s="6" t="s">
        <v>70</v>
      </c>
      <c r="D24" s="6" t="s">
        <v>247</v>
      </c>
      <c r="E24" s="6"/>
      <c r="F24" s="77" t="s">
        <v>236</v>
      </c>
      <c r="G24" s="77"/>
      <c r="H24" s="77"/>
      <c r="I24" s="77"/>
      <c r="J24" s="77"/>
      <c r="K24" s="77"/>
      <c r="L24" s="6">
        <v>1</v>
      </c>
      <c r="M24" s="7">
        <v>13</v>
      </c>
      <c r="N24" s="7">
        <f>IF(AND($N$5,M24&lt;=$M$5),'Core Wall'!T22,0)</f>
        <v>0</v>
      </c>
      <c r="O24" s="7">
        <f>IF(AND($N$5,M24&lt;=$M$5),'Core Wall'!U22,0)</f>
        <v>0</v>
      </c>
      <c r="P24" s="7">
        <f>IF(AND($N$5,M24&lt;=$M$5),INDEX('Core Wall'!T10:T29,IF(M24=$M$5,1,M24+1)),0)</f>
        <v>0</v>
      </c>
      <c r="Q24" s="7">
        <f>IF(AND($N$5,M24&lt;=$M$5),INDEX('Core Wall'!U10:U29,IF(M24=$M$5,1,M24+1)),0)</f>
        <v>0</v>
      </c>
      <c r="R24" s="7">
        <f t="shared" si="0"/>
        <v>0</v>
      </c>
      <c r="S24" s="7">
        <f t="shared" si="1"/>
        <v>0</v>
      </c>
      <c r="T24" s="7">
        <f t="shared" si="2"/>
        <v>0</v>
      </c>
      <c r="U24" s="7">
        <f t="shared" si="3"/>
        <v>0</v>
      </c>
      <c r="V24" s="7">
        <f t="shared" si="4"/>
        <v>0</v>
      </c>
      <c r="W24" s="7">
        <f t="shared" si="5"/>
        <v>0</v>
      </c>
      <c r="X24" s="7"/>
      <c r="Y24" s="7">
        <f>IF((O24&gt;O32)&lt;&gt;(Q24&gt;O32),IF(N32&lt;(P24-N24)*(O32-O24)/(Q24-O24)+N24,1,0),0)</f>
        <v>0</v>
      </c>
      <c r="Z24" s="7">
        <f>IF((O24&gt;O52)&lt;&gt;(Q24&gt;O52),IF(N52&lt;(P24-N24)*(O52-O24)/(Q24-O24)+N24,1,0),0)</f>
        <v>0</v>
      </c>
      <c r="AA24" s="7">
        <f>IF((O44&gt;O52)&lt;&gt;(Q44&gt;O52),IF(N52&lt;(P44-N44)*(O52-O44)/(Q44-O44)+N44,1,0),0)</f>
        <v>0</v>
      </c>
      <c r="AB24" s="7">
        <f>IF((O64&gt;O32)&lt;&gt;(Q64&gt;O32),IF(N32&lt;(P64-N64)*(O32-O64)/(Q64-O64)+N64,1,0),0)</f>
        <v>0</v>
      </c>
      <c r="AC24" s="7"/>
      <c r="AD24" s="7">
        <f>IF(AND($N$5,$M$5&gt;=3),INDEX('Core Wall'!T10:T29,IF(14&lt;=$M$5,14,1)),N12)</f>
        <v>0</v>
      </c>
      <c r="AE24" s="7">
        <f>IF(AND($N$5,$M$5&gt;=3),INDEX('Core Wall'!U10:U29,IF(14&lt;=$M$5,14,1)),O12)</f>
        <v>0</v>
      </c>
      <c r="AF24" s="7">
        <f>IF(AND($N$6,$M$6&gt;=3),INDEX('Core Wall'!V10:V29,IF(14&lt;=$M$6,14,1)),N12)</f>
        <v>0</v>
      </c>
      <c r="AG24" s="7">
        <f>IF(AND($N$6,$M$6&gt;=3),INDEX('Core Wall'!W10:W29,IF(14&lt;=$M$6,14,1)),O12)</f>
        <v>0</v>
      </c>
      <c r="AH24" s="7">
        <f>IF(AND($N$7,$M$7&gt;=3),INDEX('Core Wall'!X10:X29,IF(14&lt;=$M$7,14,1)),N12)</f>
        <v>0</v>
      </c>
      <c r="AI24" s="7">
        <f>IF(AND($N$7,$M$7&gt;=3),INDEX('Core Wall'!Y10:Y29,IF(14&lt;=$M$7,14,1)),O12)</f>
        <v>0</v>
      </c>
    </row>
    <row r="25" spans="1:35">
      <c r="A25" s="6"/>
      <c r="B25" s="6"/>
      <c r="C25" s="6"/>
      <c r="D25" s="6"/>
      <c r="E25" s="6"/>
      <c r="F25" s="80" t="s">
        <v>237</v>
      </c>
      <c r="G25" s="78"/>
      <c r="H25" s="78"/>
      <c r="I25" s="78"/>
      <c r="J25" s="78"/>
      <c r="K25" s="78"/>
      <c r="L25" s="6">
        <v>1</v>
      </c>
      <c r="M25" s="7">
        <v>14</v>
      </c>
      <c r="N25" s="7">
        <f>IF(AND($N$5,M25&lt;=$M$5),'Core Wall'!T23,0)</f>
        <v>0</v>
      </c>
      <c r="O25" s="7">
        <f>IF(AND($N$5,M25&lt;=$M$5),'Core Wall'!U23,0)</f>
        <v>0</v>
      </c>
      <c r="P25" s="7">
        <f>IF(AND($N$5,M25&lt;=$M$5),INDEX('Core Wall'!T10:T29,IF(M25=$M$5,1,M25+1)),0)</f>
        <v>0</v>
      </c>
      <c r="Q25" s="7">
        <f>IF(AND($N$5,M25&lt;=$M$5),INDEX('Core Wall'!U10:U29,IF(M25=$M$5,1,M25+1)),0)</f>
        <v>0</v>
      </c>
      <c r="R25" s="7">
        <f t="shared" si="0"/>
        <v>0</v>
      </c>
      <c r="S25" s="7">
        <f t="shared" si="1"/>
        <v>0</v>
      </c>
      <c r="T25" s="7">
        <f t="shared" si="2"/>
        <v>0</v>
      </c>
      <c r="U25" s="7">
        <f t="shared" si="3"/>
        <v>0</v>
      </c>
      <c r="V25" s="7">
        <f t="shared" si="4"/>
        <v>0</v>
      </c>
      <c r="W25" s="7">
        <f t="shared" si="5"/>
        <v>0</v>
      </c>
      <c r="X25" s="7"/>
      <c r="Y25" s="7">
        <f>IF((O25&gt;O32)&lt;&gt;(Q25&gt;O32),IF(N32&lt;(P25-N25)*(O32-O25)/(Q25-O25)+N25,1,0),0)</f>
        <v>0</v>
      </c>
      <c r="Z25" s="7">
        <f>IF((O25&gt;O52)&lt;&gt;(Q25&gt;O52),IF(N52&lt;(P25-N25)*(O52-O25)/(Q25-O25)+N25,1,0),0)</f>
        <v>0</v>
      </c>
      <c r="AA25" s="7">
        <f>IF((O45&gt;O52)&lt;&gt;(Q45&gt;O52),IF(N52&lt;(P45-N45)*(O52-O45)/(Q45-O45)+N45,1,0),0)</f>
        <v>0</v>
      </c>
      <c r="AB25" s="7">
        <f>IF((O65&gt;O32)&lt;&gt;(Q65&gt;O32),IF(N32&lt;(P65-N65)*(O32-O65)/(Q65-O65)+N65,1,0),0)</f>
        <v>0</v>
      </c>
      <c r="AC25" s="7"/>
      <c r="AD25" s="7">
        <f>IF(AND($N$5,$M$5&gt;=3),INDEX('Core Wall'!T10:T29,IF(15&lt;=$M$5,15,1)),N12)</f>
        <v>0</v>
      </c>
      <c r="AE25" s="7">
        <f>IF(AND($N$5,$M$5&gt;=3),INDEX('Core Wall'!U10:U29,IF(15&lt;=$M$5,15,1)),O12)</f>
        <v>0</v>
      </c>
      <c r="AF25" s="7">
        <f>IF(AND($N$6,$M$6&gt;=3),INDEX('Core Wall'!V10:V29,IF(15&lt;=$M$6,15,1)),N12)</f>
        <v>0</v>
      </c>
      <c r="AG25" s="7">
        <f>IF(AND($N$6,$M$6&gt;=3),INDEX('Core Wall'!W10:W29,IF(15&lt;=$M$6,15,1)),O12)</f>
        <v>0</v>
      </c>
      <c r="AH25" s="7">
        <f>IF(AND($N$7,$M$7&gt;=3),INDEX('Core Wall'!X10:X29,IF(15&lt;=$M$7,15,1)),N12)</f>
        <v>0</v>
      </c>
      <c r="AI25" s="7">
        <f>IF(AND($N$7,$M$7&gt;=3),INDEX('Core Wall'!Y10:Y29,IF(15&lt;=$M$7,15,1)),O12)</f>
        <v>0</v>
      </c>
    </row>
    <row r="26" spans="1:35" ht="22.05" customHeight="1">
      <c r="A26" s="34" t="s">
        <v>74</v>
      </c>
      <c r="F26" s="81" t="s">
        <v>238</v>
      </c>
      <c r="G26" s="81"/>
      <c r="H26" s="81"/>
      <c r="I26" s="81"/>
      <c r="J26" s="81"/>
      <c r="K26" s="81"/>
      <c r="L26" s="6">
        <v>1</v>
      </c>
      <c r="M26" s="7">
        <v>15</v>
      </c>
      <c r="N26" s="7">
        <f>IF(AND($N$5,M26&lt;=$M$5),'Core Wall'!T24,0)</f>
        <v>0</v>
      </c>
      <c r="O26" s="7">
        <f>IF(AND($N$5,M26&lt;=$M$5),'Core Wall'!U24,0)</f>
        <v>0</v>
      </c>
      <c r="P26" s="7">
        <f>IF(AND($N$5,M26&lt;=$M$5),INDEX('Core Wall'!T10:T29,IF(M26=$M$5,1,M26+1)),0)</f>
        <v>0</v>
      </c>
      <c r="Q26" s="7">
        <f>IF(AND($N$5,M26&lt;=$M$5),INDEX('Core Wall'!U10:U29,IF(M26=$M$5,1,M26+1)),0)</f>
        <v>0</v>
      </c>
      <c r="R26" s="7">
        <f t="shared" si="0"/>
        <v>0</v>
      </c>
      <c r="S26" s="7">
        <f t="shared" si="1"/>
        <v>0</v>
      </c>
      <c r="T26" s="7">
        <f t="shared" si="2"/>
        <v>0</v>
      </c>
      <c r="U26" s="7">
        <f t="shared" si="3"/>
        <v>0</v>
      </c>
      <c r="V26" s="7">
        <f t="shared" si="4"/>
        <v>0</v>
      </c>
      <c r="W26" s="7">
        <f t="shared" si="5"/>
        <v>0</v>
      </c>
      <c r="X26" s="7"/>
      <c r="Y26" s="7">
        <f>IF((O26&gt;O32)&lt;&gt;(Q26&gt;O32),IF(N32&lt;(P26-N26)*(O32-O26)/(Q26-O26)+N26,1,0),0)</f>
        <v>0</v>
      </c>
      <c r="Z26" s="7">
        <f>IF((O26&gt;O52)&lt;&gt;(Q26&gt;O52),IF(N52&lt;(P26-N26)*(O52-O26)/(Q26-O26)+N26,1,0),0)</f>
        <v>0</v>
      </c>
      <c r="AA26" s="7">
        <f>IF((O46&gt;O52)&lt;&gt;(Q46&gt;O52),IF(N52&lt;(P46-N46)*(O52-O46)/(Q46-O46)+N46,1,0),0)</f>
        <v>0</v>
      </c>
      <c r="AB26" s="7">
        <f>IF((O66&gt;O32)&lt;&gt;(Q66&gt;O32),IF(N32&lt;(P66-N66)*(O32-O66)/(Q66-O66)+N66,1,0),0)</f>
        <v>0</v>
      </c>
      <c r="AC26" s="7"/>
      <c r="AD26" s="7">
        <f>IF(AND($N$5,$M$5&gt;=3),INDEX('Core Wall'!T10:T29,IF(16&lt;=$M$5,16,1)),N12)</f>
        <v>0</v>
      </c>
      <c r="AE26" s="7">
        <f>IF(AND($N$5,$M$5&gt;=3),INDEX('Core Wall'!U10:U29,IF(16&lt;=$M$5,16,1)),O12)</f>
        <v>0</v>
      </c>
      <c r="AF26" s="7">
        <f>IF(AND($N$6,$M$6&gt;=3),INDEX('Core Wall'!V10:V29,IF(16&lt;=$M$6,16,1)),N12)</f>
        <v>0</v>
      </c>
      <c r="AG26" s="7">
        <f>IF(AND($N$6,$M$6&gt;=3),INDEX('Core Wall'!W10:W29,IF(16&lt;=$M$6,16,1)),O12)</f>
        <v>0</v>
      </c>
      <c r="AH26" s="7">
        <f>IF(AND($N$7,$M$7&gt;=3),INDEX('Core Wall'!X10:X29,IF(16&lt;=$M$7,16,1)),N12)</f>
        <v>0</v>
      </c>
      <c r="AI26" s="7">
        <f>IF(AND($N$7,$M$7&gt;=3),INDEX('Core Wall'!Y10:Y29,IF(16&lt;=$M$7,16,1)),O12)</f>
        <v>0</v>
      </c>
    </row>
    <row r="27" spans="1:35" ht="34.049999999999997" customHeight="1">
      <c r="A27" t="s">
        <v>248</v>
      </c>
      <c r="F27" s="81" t="s">
        <v>7</v>
      </c>
      <c r="G27" s="81"/>
      <c r="H27" s="81" t="s">
        <v>228</v>
      </c>
      <c r="I27" s="81"/>
      <c r="J27" s="84" t="s">
        <v>229</v>
      </c>
      <c r="K27" s="84"/>
      <c r="L27" s="6">
        <v>1</v>
      </c>
      <c r="M27" s="7">
        <v>16</v>
      </c>
      <c r="N27" s="7">
        <f>IF(AND($N$5,M27&lt;=$M$5),'Core Wall'!T25,0)</f>
        <v>0</v>
      </c>
      <c r="O27" s="7">
        <f>IF(AND($N$5,M27&lt;=$M$5),'Core Wall'!U25,0)</f>
        <v>0</v>
      </c>
      <c r="P27" s="7">
        <f>IF(AND($N$5,M27&lt;=$M$5),INDEX('Core Wall'!T10:T29,IF(M27=$M$5,1,M27+1)),0)</f>
        <v>0</v>
      </c>
      <c r="Q27" s="7">
        <f>IF(AND($N$5,M27&lt;=$M$5),INDEX('Core Wall'!U10:U29,IF(M27=$M$5,1,M27+1)),0)</f>
        <v>0</v>
      </c>
      <c r="R27" s="7">
        <f t="shared" si="0"/>
        <v>0</v>
      </c>
      <c r="S27" s="7">
        <f t="shared" si="1"/>
        <v>0</v>
      </c>
      <c r="T27" s="7">
        <f t="shared" si="2"/>
        <v>0</v>
      </c>
      <c r="U27" s="7">
        <f t="shared" si="3"/>
        <v>0</v>
      </c>
      <c r="V27" s="7">
        <f t="shared" si="4"/>
        <v>0</v>
      </c>
      <c r="W27" s="7">
        <f t="shared" si="5"/>
        <v>0</v>
      </c>
      <c r="X27" s="7"/>
      <c r="Y27" s="7">
        <f>IF((O27&gt;O32)&lt;&gt;(Q27&gt;O32),IF(N32&lt;(P27-N27)*(O32-O27)/(Q27-O27)+N27,1,0),0)</f>
        <v>0</v>
      </c>
      <c r="Z27" s="7">
        <f>IF((O27&gt;O52)&lt;&gt;(Q27&gt;O52),IF(N52&lt;(P27-N27)*(O52-O27)/(Q27-O27)+N27,1,0),0)</f>
        <v>0</v>
      </c>
      <c r="AA27" s="7">
        <f>IF((O47&gt;O52)&lt;&gt;(Q47&gt;O52),IF(N52&lt;(P47-N47)*(O52-O47)/(Q47-O47)+N47,1,0),0)</f>
        <v>0</v>
      </c>
      <c r="AB27" s="7">
        <f>IF((O67&gt;O32)&lt;&gt;(Q67&gt;O32),IF(N32&lt;(P67-N67)*(O32-O67)/(Q67-O67)+N67,1,0),0)</f>
        <v>0</v>
      </c>
      <c r="AC27" s="7"/>
      <c r="AD27" s="7">
        <f>IF(AND($N$5,$M$5&gt;=3),INDEX('Core Wall'!T10:T29,IF(17&lt;=$M$5,17,1)),N12)</f>
        <v>0</v>
      </c>
      <c r="AE27" s="7">
        <f>IF(AND($N$5,$M$5&gt;=3),INDEX('Core Wall'!U10:U29,IF(17&lt;=$M$5,17,1)),O12)</f>
        <v>0</v>
      </c>
      <c r="AF27" s="7">
        <f>IF(AND($N$6,$M$6&gt;=3),INDEX('Core Wall'!V10:V29,IF(17&lt;=$M$6,17,1)),N12)</f>
        <v>0</v>
      </c>
      <c r="AG27" s="7">
        <f>IF(AND($N$6,$M$6&gt;=3),INDEX('Core Wall'!W10:W29,IF(17&lt;=$M$6,17,1)),O12)</f>
        <v>0</v>
      </c>
      <c r="AH27" s="7">
        <f>IF(AND($N$7,$M$7&gt;=3),INDEX('Core Wall'!X10:X29,IF(17&lt;=$M$7,17,1)),N12)</f>
        <v>0</v>
      </c>
      <c r="AI27" s="7">
        <f>IF(AND($N$7,$M$7&gt;=3),INDEX('Core Wall'!Y10:Y29,IF(17&lt;=$M$7,17,1)),O12)</f>
        <v>0</v>
      </c>
    </row>
    <row r="28" spans="1:35" ht="34.049999999999997" customHeight="1">
      <c r="A28" t="s">
        <v>75</v>
      </c>
      <c r="B28" s="35" t="str">
        <f>'Core Wall'!J37</f>
        <v>n.a.</v>
      </c>
      <c r="C28" t="s">
        <v>76</v>
      </c>
      <c r="D28" t="s">
        <v>77</v>
      </c>
      <c r="F28" s="76" t="s">
        <v>239</v>
      </c>
      <c r="G28" s="76"/>
      <c r="H28" s="82" t="s">
        <v>282</v>
      </c>
      <c r="I28" s="82"/>
      <c r="J28" s="83" t="s">
        <v>282</v>
      </c>
      <c r="K28" s="83"/>
      <c r="L28" s="6">
        <v>1</v>
      </c>
      <c r="M28" s="7">
        <v>17</v>
      </c>
      <c r="N28" s="7">
        <f>IF(AND($N$5,M28&lt;=$M$5),'Core Wall'!T26,0)</f>
        <v>0</v>
      </c>
      <c r="O28" s="7">
        <f>IF(AND($N$5,M28&lt;=$M$5),'Core Wall'!U26,0)</f>
        <v>0</v>
      </c>
      <c r="P28" s="7">
        <f>IF(AND($N$5,M28&lt;=$M$5),INDEX('Core Wall'!T10:T29,IF(M28=$M$5,1,M28+1)),0)</f>
        <v>0</v>
      </c>
      <c r="Q28" s="7">
        <f>IF(AND($N$5,M28&lt;=$M$5),INDEX('Core Wall'!U10:U29,IF(M28=$M$5,1,M28+1)),0)</f>
        <v>0</v>
      </c>
      <c r="R28" s="7">
        <f t="shared" si="0"/>
        <v>0</v>
      </c>
      <c r="S28" s="7">
        <f t="shared" si="1"/>
        <v>0</v>
      </c>
      <c r="T28" s="7">
        <f t="shared" si="2"/>
        <v>0</v>
      </c>
      <c r="U28" s="7">
        <f t="shared" si="3"/>
        <v>0</v>
      </c>
      <c r="V28" s="7">
        <f t="shared" si="4"/>
        <v>0</v>
      </c>
      <c r="W28" s="7">
        <f t="shared" si="5"/>
        <v>0</v>
      </c>
      <c r="X28" s="7"/>
      <c r="Y28" s="7">
        <f>IF((O28&gt;O32)&lt;&gt;(Q28&gt;O32),IF(N32&lt;(P28-N28)*(O32-O28)/(Q28-O28)+N28,1,0),0)</f>
        <v>0</v>
      </c>
      <c r="Z28" s="7">
        <f>IF((O28&gt;O52)&lt;&gt;(Q28&gt;O52),IF(N52&lt;(P28-N28)*(O52-O28)/(Q28-O28)+N28,1,0),0)</f>
        <v>0</v>
      </c>
      <c r="AA28" s="7">
        <f>IF((O48&gt;O52)&lt;&gt;(Q48&gt;O52),IF(N52&lt;(P48-N48)*(O52-O48)/(Q48-O48)+N48,1,0),0)</f>
        <v>0</v>
      </c>
      <c r="AB28" s="7">
        <f>IF((O68&gt;O32)&lt;&gt;(Q68&gt;O32),IF(N32&lt;(P68-N68)*(O32-O68)/(Q68-O68)+N68,1,0),0)</f>
        <v>0</v>
      </c>
      <c r="AC28" s="7"/>
      <c r="AD28" s="7">
        <f>IF(AND($N$5,$M$5&gt;=3),INDEX('Core Wall'!T10:T29,IF(18&lt;=$M$5,18,1)),N12)</f>
        <v>0</v>
      </c>
      <c r="AE28" s="7">
        <f>IF(AND($N$5,$M$5&gt;=3),INDEX('Core Wall'!U10:U29,IF(18&lt;=$M$5,18,1)),O12)</f>
        <v>0</v>
      </c>
      <c r="AF28" s="7">
        <f>IF(AND($N$6,$M$6&gt;=3),INDEX('Core Wall'!V10:V29,IF(18&lt;=$M$6,18,1)),N12)</f>
        <v>0</v>
      </c>
      <c r="AG28" s="7">
        <f>IF(AND($N$6,$M$6&gt;=3),INDEX('Core Wall'!W10:W29,IF(18&lt;=$M$6,18,1)),O12)</f>
        <v>0</v>
      </c>
      <c r="AH28" s="7">
        <f>IF(AND($N$7,$M$7&gt;=3),INDEX('Core Wall'!X10:X29,IF(18&lt;=$M$7,18,1)),N12)</f>
        <v>0</v>
      </c>
      <c r="AI28" s="7">
        <f>IF(AND($N$7,$M$7&gt;=3),INDEX('Core Wall'!Y10:Y29,IF(18&lt;=$M$7,18,1)),O12)</f>
        <v>0</v>
      </c>
    </row>
    <row r="29" spans="1:35" ht="24" customHeight="1">
      <c r="A29" t="s">
        <v>78</v>
      </c>
      <c r="B29" s="35" t="str">
        <f>'Core Wall'!J38</f>
        <v>n.a.</v>
      </c>
      <c r="C29" t="s">
        <v>2</v>
      </c>
      <c r="D29" t="s">
        <v>79</v>
      </c>
      <c r="F29" s="76" t="s">
        <v>240</v>
      </c>
      <c r="G29" s="76"/>
      <c r="H29" s="82" t="s">
        <v>282</v>
      </c>
      <c r="I29" s="82"/>
      <c r="J29" s="83" t="s">
        <v>282</v>
      </c>
      <c r="K29" s="83"/>
      <c r="L29" s="6">
        <v>1</v>
      </c>
      <c r="M29" s="7">
        <v>18</v>
      </c>
      <c r="N29" s="7">
        <f>IF(AND($N$5,M29&lt;=$M$5),'Core Wall'!T27,0)</f>
        <v>0</v>
      </c>
      <c r="O29" s="7">
        <f>IF(AND($N$5,M29&lt;=$M$5),'Core Wall'!U27,0)</f>
        <v>0</v>
      </c>
      <c r="P29" s="7">
        <f>IF(AND($N$5,M29&lt;=$M$5),INDEX('Core Wall'!T10:T29,IF(M29=$M$5,1,M29+1)),0)</f>
        <v>0</v>
      </c>
      <c r="Q29" s="7">
        <f>IF(AND($N$5,M29&lt;=$M$5),INDEX('Core Wall'!U10:U29,IF(M29=$M$5,1,M29+1)),0)</f>
        <v>0</v>
      </c>
      <c r="R29" s="7">
        <f t="shared" si="0"/>
        <v>0</v>
      </c>
      <c r="S29" s="7">
        <f t="shared" si="1"/>
        <v>0</v>
      </c>
      <c r="T29" s="7">
        <f t="shared" si="2"/>
        <v>0</v>
      </c>
      <c r="U29" s="7">
        <f t="shared" si="3"/>
        <v>0</v>
      </c>
      <c r="V29" s="7">
        <f t="shared" si="4"/>
        <v>0</v>
      </c>
      <c r="W29" s="7">
        <f t="shared" si="5"/>
        <v>0</v>
      </c>
      <c r="X29" s="7"/>
      <c r="Y29" s="7">
        <f>IF((O29&gt;O32)&lt;&gt;(Q29&gt;O32),IF(N32&lt;(P29-N29)*(O32-O29)/(Q29-O29)+N29,1,0),0)</f>
        <v>0</v>
      </c>
      <c r="Z29" s="7">
        <f>IF((O29&gt;O52)&lt;&gt;(Q29&gt;O52),IF(N52&lt;(P29-N29)*(O52-O29)/(Q29-O29)+N29,1,0),0)</f>
        <v>0</v>
      </c>
      <c r="AA29" s="7">
        <f>IF((O49&gt;O52)&lt;&gt;(Q49&gt;O52),IF(N52&lt;(P49-N49)*(O52-O49)/(Q49-O49)+N49,1,0),0)</f>
        <v>0</v>
      </c>
      <c r="AB29" s="7">
        <f>IF((O69&gt;O32)&lt;&gt;(Q69&gt;O32),IF(N32&lt;(P69-N69)*(O32-O69)/(Q69-O69)+N69,1,0),0)</f>
        <v>0</v>
      </c>
      <c r="AC29" s="7"/>
      <c r="AD29" s="7">
        <f>IF(AND($N$5,$M$5&gt;=3),INDEX('Core Wall'!T10:T29,IF(19&lt;=$M$5,19,1)),N12)</f>
        <v>0</v>
      </c>
      <c r="AE29" s="7">
        <f>IF(AND($N$5,$M$5&gt;=3),INDEX('Core Wall'!U10:U29,IF(19&lt;=$M$5,19,1)),O12)</f>
        <v>0</v>
      </c>
      <c r="AF29" s="7">
        <f>IF(AND($N$6,$M$6&gt;=3),INDEX('Core Wall'!V10:V29,IF(19&lt;=$M$6,19,1)),N12)</f>
        <v>0</v>
      </c>
      <c r="AG29" s="7">
        <f>IF(AND($N$6,$M$6&gt;=3),INDEX('Core Wall'!W10:W29,IF(19&lt;=$M$6,19,1)),O12)</f>
        <v>0</v>
      </c>
      <c r="AH29" s="7">
        <f>IF(AND($N$7,$M$7&gt;=3),INDEX('Core Wall'!X10:X29,IF(19&lt;=$M$7,19,1)),N12)</f>
        <v>0</v>
      </c>
      <c r="AI29" s="7">
        <f>IF(AND($N$7,$M$7&gt;=3),INDEX('Core Wall'!Y10:Y29,IF(19&lt;=$M$7,19,1)),O12)</f>
        <v>0</v>
      </c>
    </row>
    <row r="30" spans="1:35" ht="36" customHeight="1">
      <c r="A30" t="s">
        <v>80</v>
      </c>
      <c r="B30" s="35" t="str">
        <f>'Core Wall'!J39</f>
        <v>n.a.</v>
      </c>
      <c r="C30" t="s">
        <v>2</v>
      </c>
      <c r="D30" t="s">
        <v>79</v>
      </c>
      <c r="F30" s="75" t="s">
        <v>11</v>
      </c>
      <c r="G30" s="75"/>
      <c r="H30" s="76" t="s">
        <v>283</v>
      </c>
      <c r="I30" s="76"/>
      <c r="J30" s="77" t="s">
        <v>283</v>
      </c>
      <c r="K30" s="77"/>
      <c r="L30" s="6">
        <v>1</v>
      </c>
      <c r="M30" s="7">
        <v>19</v>
      </c>
      <c r="N30" s="7">
        <f>IF(AND($N$5,M30&lt;=$M$5),'Core Wall'!T28,0)</f>
        <v>0</v>
      </c>
      <c r="O30" s="7">
        <f>IF(AND($N$5,M30&lt;=$M$5),'Core Wall'!U28,0)</f>
        <v>0</v>
      </c>
      <c r="P30" s="7">
        <f>IF(AND($N$5,M30&lt;=$M$5),INDEX('Core Wall'!T10:T29,IF(M30=$M$5,1,M30+1)),0)</f>
        <v>0</v>
      </c>
      <c r="Q30" s="7">
        <f>IF(AND($N$5,M30&lt;=$M$5),INDEX('Core Wall'!U10:U29,IF(M30=$M$5,1,M30+1)),0)</f>
        <v>0</v>
      </c>
      <c r="R30" s="7">
        <f t="shared" si="0"/>
        <v>0</v>
      </c>
      <c r="S30" s="7">
        <f t="shared" si="1"/>
        <v>0</v>
      </c>
      <c r="T30" s="7">
        <f t="shared" si="2"/>
        <v>0</v>
      </c>
      <c r="U30" s="7">
        <f t="shared" si="3"/>
        <v>0</v>
      </c>
      <c r="V30" s="7">
        <f t="shared" si="4"/>
        <v>0</v>
      </c>
      <c r="W30" s="7">
        <f t="shared" si="5"/>
        <v>0</v>
      </c>
      <c r="X30" s="7"/>
      <c r="Y30" s="7">
        <f>IF((O30&gt;O32)&lt;&gt;(Q30&gt;O32),IF(N32&lt;(P30-N30)*(O32-O30)/(Q30-O30)+N30,1,0),0)</f>
        <v>0</v>
      </c>
      <c r="Z30" s="7">
        <f>IF((O30&gt;O52)&lt;&gt;(Q30&gt;O52),IF(N52&lt;(P30-N30)*(O52-O30)/(Q30-O30)+N30,1,0),0)</f>
        <v>0</v>
      </c>
      <c r="AA30" s="7">
        <f>IF((O50&gt;O52)&lt;&gt;(Q50&gt;O52),IF(N52&lt;(P50-N50)*(O52-O50)/(Q50-O50)+N50,1,0),0)</f>
        <v>0</v>
      </c>
      <c r="AB30" s="7">
        <f>IF((O70&gt;O32)&lt;&gt;(Q70&gt;O32),IF(N32&lt;(P70-N70)*(O32-O70)/(Q70-O70)+N70,1,0),0)</f>
        <v>0</v>
      </c>
      <c r="AC30" s="7"/>
      <c r="AD30" s="7">
        <f>IF(AND($N$5,$M$5&gt;=3),INDEX('Core Wall'!T10:T29,IF(20&lt;=$M$5,20,1)),N12)</f>
        <v>0</v>
      </c>
      <c r="AE30" s="7">
        <f>IF(AND($N$5,$M$5&gt;=3),INDEX('Core Wall'!U10:U29,IF(20&lt;=$M$5,20,1)),O12)</f>
        <v>0</v>
      </c>
      <c r="AF30" s="7">
        <f>IF(AND($N$6,$M$6&gt;=3),INDEX('Core Wall'!V10:V29,IF(20&lt;=$M$6,20,1)),N12)</f>
        <v>0</v>
      </c>
      <c r="AG30" s="7">
        <f>IF(AND($N$6,$M$6&gt;=3),INDEX('Core Wall'!W10:W29,IF(20&lt;=$M$6,20,1)),O12)</f>
        <v>0</v>
      </c>
      <c r="AH30" s="7">
        <f>IF(AND($N$7,$M$7&gt;=3),INDEX('Core Wall'!X10:X29,IF(20&lt;=$M$7,20,1)),N12)</f>
        <v>0</v>
      </c>
      <c r="AI30" s="7">
        <f>IF(AND($N$7,$M$7&gt;=3),INDEX('Core Wall'!Y10:Y29,IF(20&lt;=$M$7,20,1)),O12)</f>
        <v>0</v>
      </c>
    </row>
    <row r="31" spans="1:35" ht="24" customHeight="1">
      <c r="G31" t="s">
        <v>81</v>
      </c>
      <c r="H31" s="36" t="str">
        <f>'Deflection Check'!Z44</f>
        <v>n.a.</v>
      </c>
      <c r="I31" t="s">
        <v>61</v>
      </c>
      <c r="J31" s="6"/>
      <c r="K31" s="6"/>
      <c r="L31" s="6">
        <v>1</v>
      </c>
      <c r="M31" s="7">
        <v>20</v>
      </c>
      <c r="N31" s="7">
        <f>IF(AND($N$5,M31&lt;=$M$5),'Core Wall'!T29,0)</f>
        <v>0</v>
      </c>
      <c r="O31" s="7">
        <f>IF(AND($N$5,M31&lt;=$M$5),'Core Wall'!U29,0)</f>
        <v>0</v>
      </c>
      <c r="P31" s="7">
        <f>IF(AND($N$5,M31&lt;=$M$5),INDEX('Core Wall'!T10:T29,IF(M31=$M$5,1,M31+1)),0)</f>
        <v>0</v>
      </c>
      <c r="Q31" s="7">
        <f>IF(AND($N$5,M31&lt;=$M$5),INDEX('Core Wall'!U10:U29,IF(M31=$M$5,1,M31+1)),0)</f>
        <v>0</v>
      </c>
      <c r="R31" s="7">
        <f t="shared" si="0"/>
        <v>0</v>
      </c>
      <c r="S31" s="7">
        <f t="shared" si="1"/>
        <v>0</v>
      </c>
      <c r="T31" s="7">
        <f t="shared" si="2"/>
        <v>0</v>
      </c>
      <c r="U31" s="7">
        <f t="shared" si="3"/>
        <v>0</v>
      </c>
      <c r="V31" s="7">
        <f t="shared" si="4"/>
        <v>0</v>
      </c>
      <c r="W31" s="7">
        <f t="shared" si="5"/>
        <v>0</v>
      </c>
      <c r="X31" s="7"/>
      <c r="Y31" s="7">
        <f>IF((O31&gt;O32)&lt;&gt;(Q31&gt;O32),IF(N32&lt;(P31-N31)*(O32-O31)/(Q31-O31)+N31,1,0),0)</f>
        <v>0</v>
      </c>
      <c r="Z31" s="7">
        <f>IF((O31&gt;O52)&lt;&gt;(Q31&gt;O52),IF(N52&lt;(P31-N31)*(O52-O31)/(Q31-O31)+N31,1,0),0)</f>
        <v>0</v>
      </c>
      <c r="AA31" s="7">
        <f>IF((O51&gt;O52)&lt;&gt;(Q51&gt;O52),IF(N52&lt;(P51-N51)*(O52-O51)/(Q51-O51)+N51,1,0),0)</f>
        <v>0</v>
      </c>
      <c r="AB31" s="7">
        <f>IF((O71&gt;O32)&lt;&gt;(Q71&gt;O32),IF(N32&lt;(P71-N71)*(O32-O71)/(Q71-O71)+N71,1,0),0)</f>
        <v>0</v>
      </c>
      <c r="AC31" s="7"/>
      <c r="AD31" s="7">
        <f>IF(AND($N$5,$M$5&gt;=3),INDEX('Core Wall'!T10:T29,IF(21&lt;=$M$5,21,1)),N12)</f>
        <v>0</v>
      </c>
      <c r="AE31" s="7">
        <f>IF(AND($N$5,$M$5&gt;=3),INDEX('Core Wall'!U10:U29,IF(21&lt;=$M$5,21,1)),O12)</f>
        <v>0</v>
      </c>
      <c r="AF31" s="7">
        <f>IF(AND($N$6,$M$6&gt;=3),INDEX('Core Wall'!V10:V29,IF(21&lt;=$M$6,21,1)),N12)</f>
        <v>0</v>
      </c>
      <c r="AG31" s="7">
        <f>IF(AND($N$6,$M$6&gt;=3),INDEX('Core Wall'!W10:W29,IF(21&lt;=$M$6,21,1)),O12)</f>
        <v>0</v>
      </c>
      <c r="AH31" s="7">
        <f>IF(AND($N$7,$M$7&gt;=3),INDEX('Core Wall'!X10:X29,IF(21&lt;=$M$7,21,1)),N12)</f>
        <v>0</v>
      </c>
      <c r="AI31" s="7">
        <f>IF(AND($N$7,$M$7&gt;=3),INDEX('Core Wall'!Y10:Y29,IF(21&lt;=$M$7,21,1)),O12)</f>
        <v>0</v>
      </c>
    </row>
    <row r="32" spans="1:35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  <c r="L32" s="6">
        <v>2</v>
      </c>
      <c r="M32" s="7">
        <v>1</v>
      </c>
      <c r="N32" s="7">
        <f>IF(AND($N$6,M32&lt;=$M$6),'Core Wall'!V10,0)</f>
        <v>0</v>
      </c>
      <c r="O32" s="7">
        <f>IF(AND($N$6,M32&lt;=$M$6),'Core Wall'!W10,0)</f>
        <v>0</v>
      </c>
      <c r="P32" s="7">
        <f>IF(AND($N$6,M32&lt;=$M$6),INDEX('Core Wall'!V10:V29,IF(M32=$M$6,1,M32+1)),0)</f>
        <v>0</v>
      </c>
      <c r="Q32" s="7">
        <f>IF(AND($N$6,M32&lt;=$M$6),INDEX('Core Wall'!W10:W29,IF(M32=$M$6,1,M32+1)),0)</f>
        <v>0</v>
      </c>
      <c r="R32" s="7">
        <f t="shared" si="0"/>
        <v>0</v>
      </c>
      <c r="S32" s="7">
        <f t="shared" si="1"/>
        <v>0</v>
      </c>
      <c r="T32" s="7">
        <f t="shared" si="2"/>
        <v>0</v>
      </c>
      <c r="U32" s="7">
        <f t="shared" si="3"/>
        <v>0</v>
      </c>
      <c r="V32" s="7">
        <f t="shared" si="4"/>
        <v>0</v>
      </c>
      <c r="W32" s="7">
        <f t="shared" si="5"/>
        <v>0</v>
      </c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</row>
    <row r="33" spans="1:35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  <c r="L33" s="6">
        <v>2</v>
      </c>
      <c r="M33" s="7">
        <v>2</v>
      </c>
      <c r="N33" s="7">
        <f>IF(AND($N$6,M33&lt;=$M$6),'Core Wall'!V11,0)</f>
        <v>0</v>
      </c>
      <c r="O33" s="7">
        <f>IF(AND($N$6,M33&lt;=$M$6),'Core Wall'!W11,0)</f>
        <v>0</v>
      </c>
      <c r="P33" s="7">
        <f>IF(AND($N$6,M33&lt;=$M$6),INDEX('Core Wall'!V10:V29,IF(M33=$M$6,1,M33+1)),0)</f>
        <v>0</v>
      </c>
      <c r="Q33" s="7">
        <f>IF(AND($N$6,M33&lt;=$M$6),INDEX('Core Wall'!W10:W29,IF(M33=$M$6,1,M33+1)),0)</f>
        <v>0</v>
      </c>
      <c r="R33" s="7">
        <f t="shared" si="0"/>
        <v>0</v>
      </c>
      <c r="S33" s="7">
        <f t="shared" si="1"/>
        <v>0</v>
      </c>
      <c r="T33" s="7">
        <f t="shared" si="2"/>
        <v>0</v>
      </c>
      <c r="U33" s="7">
        <f t="shared" si="3"/>
        <v>0</v>
      </c>
      <c r="V33" s="7">
        <f t="shared" si="4"/>
        <v>0</v>
      </c>
      <c r="W33" s="7">
        <f t="shared" si="5"/>
        <v>0</v>
      </c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</row>
    <row r="34" spans="1:35" ht="22.05" customHeight="1">
      <c r="A34" s="13" t="s">
        <v>82</v>
      </c>
      <c r="B34" s="14"/>
      <c r="C34" s="14"/>
      <c r="D34" s="15"/>
      <c r="E34" s="6"/>
      <c r="F34" s="34" t="s">
        <v>83</v>
      </c>
      <c r="J34" s="6"/>
      <c r="K34" s="6"/>
      <c r="L34" s="6">
        <v>2</v>
      </c>
      <c r="M34" s="7">
        <v>3</v>
      </c>
      <c r="N34" s="7">
        <f>IF(AND($N$6,M34&lt;=$M$6),'Core Wall'!V12,0)</f>
        <v>0</v>
      </c>
      <c r="O34" s="7">
        <f>IF(AND($N$6,M34&lt;=$M$6),'Core Wall'!W12,0)</f>
        <v>0</v>
      </c>
      <c r="P34" s="7">
        <f>IF(AND($N$6,M34&lt;=$M$6),INDEX('Core Wall'!V10:V29,IF(M34=$M$6,1,M34+1)),0)</f>
        <v>0</v>
      </c>
      <c r="Q34" s="7">
        <f>IF(AND($N$6,M34&lt;=$M$6),INDEX('Core Wall'!W10:W29,IF(M34=$M$6,1,M34+1)),0)</f>
        <v>0</v>
      </c>
      <c r="R34" s="7">
        <f t="shared" si="0"/>
        <v>0</v>
      </c>
      <c r="S34" s="7">
        <f t="shared" si="1"/>
        <v>0</v>
      </c>
      <c r="T34" s="7">
        <f t="shared" si="2"/>
        <v>0</v>
      </c>
      <c r="U34" s="7">
        <f t="shared" si="3"/>
        <v>0</v>
      </c>
      <c r="V34" s="7">
        <f t="shared" si="4"/>
        <v>0</v>
      </c>
      <c r="W34" s="7">
        <f t="shared" si="5"/>
        <v>0</v>
      </c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</row>
    <row r="35" spans="1:35" ht="26.1" customHeight="1">
      <c r="A35" s="16" t="s">
        <v>6</v>
      </c>
      <c r="B35" s="17" t="s">
        <v>0</v>
      </c>
      <c r="C35" s="17" t="s">
        <v>1</v>
      </c>
      <c r="D35" s="18" t="s">
        <v>84</v>
      </c>
      <c r="E35" s="6"/>
      <c r="J35" s="6"/>
      <c r="K35" s="6"/>
      <c r="L35" s="6">
        <v>2</v>
      </c>
      <c r="M35" s="7">
        <v>4</v>
      </c>
      <c r="N35" s="7">
        <f>IF(AND($N$6,M35&lt;=$M$6),'Core Wall'!V13,0)</f>
        <v>0</v>
      </c>
      <c r="O35" s="7">
        <f>IF(AND($N$6,M35&lt;=$M$6),'Core Wall'!W13,0)</f>
        <v>0</v>
      </c>
      <c r="P35" s="7">
        <f>IF(AND($N$6,M35&lt;=$M$6),INDEX('Core Wall'!V10:V29,IF(M35=$M$6,1,M35+1)),0)</f>
        <v>0</v>
      </c>
      <c r="Q35" s="7">
        <f>IF(AND($N$6,M35&lt;=$M$6),INDEX('Core Wall'!W10:W29,IF(M35=$M$6,1,M35+1)),0)</f>
        <v>0</v>
      </c>
      <c r="R35" s="7">
        <f t="shared" si="0"/>
        <v>0</v>
      </c>
      <c r="S35" s="7">
        <f t="shared" si="1"/>
        <v>0</v>
      </c>
      <c r="T35" s="7">
        <f t="shared" si="2"/>
        <v>0</v>
      </c>
      <c r="U35" s="7">
        <f t="shared" si="3"/>
        <v>0</v>
      </c>
      <c r="V35" s="7">
        <f t="shared" si="4"/>
        <v>0</v>
      </c>
      <c r="W35" s="7">
        <f t="shared" si="5"/>
        <v>0</v>
      </c>
      <c r="X35" s="7"/>
      <c r="Y35" s="7" t="s">
        <v>75</v>
      </c>
      <c r="Z35" s="7" t="str">
        <f>IF(Y5="VALID",SUM(P5:P7),"n.a.")</f>
        <v>n.a.</v>
      </c>
      <c r="AA35" s="7"/>
      <c r="AB35" s="7"/>
      <c r="AC35" s="7"/>
      <c r="AD35" s="7">
        <f>$Z$46-$Z$48</f>
        <v>-0.08</v>
      </c>
      <c r="AE35" s="7">
        <f>$Z$46-$Z$48</f>
        <v>-0.08</v>
      </c>
      <c r="AF35" s="7"/>
      <c r="AG35" s="7"/>
      <c r="AH35" s="7"/>
      <c r="AI35" s="7"/>
    </row>
    <row r="36" spans="1:35" ht="27" customHeight="1">
      <c r="A36" s="19" t="s">
        <v>85</v>
      </c>
      <c r="B36" s="37" t="str">
        <f>IF(IF($H$23="B",H20,J20)="LAYERED","See Layered Wind",IF($B$23="Inputs complete",$B$17*$B$18,"n.a."))</f>
        <v>n.a.</v>
      </c>
      <c r="C36" s="19" t="s">
        <v>10</v>
      </c>
      <c r="D36" s="19" t="s">
        <v>86</v>
      </c>
      <c r="E36" s="6"/>
      <c r="F36" t="s">
        <v>87</v>
      </c>
      <c r="J36" s="6"/>
      <c r="K36" s="6"/>
      <c r="L36" s="6">
        <v>2</v>
      </c>
      <c r="M36" s="7">
        <v>5</v>
      </c>
      <c r="N36" s="7">
        <f>IF(AND($N$6,M36&lt;=$M$6),'Core Wall'!V14,0)</f>
        <v>0</v>
      </c>
      <c r="O36" s="7">
        <f>IF(AND($N$6,M36&lt;=$M$6),'Core Wall'!W14,0)</f>
        <v>0</v>
      </c>
      <c r="P36" s="7">
        <f>IF(AND($N$6,M36&lt;=$M$6),INDEX('Core Wall'!V10:V29,IF(M36=$M$6,1,M36+1)),0)</f>
        <v>0</v>
      </c>
      <c r="Q36" s="7">
        <f>IF(AND($N$6,M36&lt;=$M$6),INDEX('Core Wall'!W10:W29,IF(M36=$M$6,1,M36+1)),0)</f>
        <v>0</v>
      </c>
      <c r="R36" s="7">
        <f t="shared" si="0"/>
        <v>0</v>
      </c>
      <c r="S36" s="7">
        <f t="shared" si="1"/>
        <v>0</v>
      </c>
      <c r="T36" s="7">
        <f t="shared" si="2"/>
        <v>0</v>
      </c>
      <c r="U36" s="7">
        <f t="shared" si="3"/>
        <v>0</v>
      </c>
      <c r="V36" s="7">
        <f t="shared" si="4"/>
        <v>0</v>
      </c>
      <c r="W36" s="7">
        <f t="shared" si="5"/>
        <v>0</v>
      </c>
      <c r="X36" s="7"/>
      <c r="Y36" s="7" t="s">
        <v>78</v>
      </c>
      <c r="Z36" s="7" t="str">
        <f>IF(Y5="VALID",SUM(Q5:Q7)/Z35,"n.a.")</f>
        <v>n.a.</v>
      </c>
      <c r="AA36" s="7"/>
      <c r="AB36" s="7"/>
      <c r="AC36" s="7"/>
      <c r="AD36" s="7">
        <f>$Z$47+$Z$48</f>
        <v>0.08</v>
      </c>
      <c r="AE36" s="7">
        <f>$Z$46-$Z$48</f>
        <v>-0.08</v>
      </c>
      <c r="AF36" s="7"/>
      <c r="AG36" s="7"/>
      <c r="AH36" s="7"/>
      <c r="AI36" s="7"/>
    </row>
    <row r="37" spans="1:35" ht="27" customHeight="1">
      <c r="A37" s="21" t="s">
        <v>66</v>
      </c>
      <c r="B37" s="38" t="str">
        <f>IF($B$23="Inputs complete",$B$20*1000000,"n.a.")</f>
        <v>n.a.</v>
      </c>
      <c r="C37" s="21" t="s">
        <v>88</v>
      </c>
      <c r="D37" s="21" t="s">
        <v>89</v>
      </c>
      <c r="E37" s="6"/>
      <c r="J37" s="6"/>
      <c r="K37" s="6"/>
      <c r="L37" s="6">
        <v>2</v>
      </c>
      <c r="M37" s="7">
        <v>6</v>
      </c>
      <c r="N37" s="7">
        <f>IF(AND($N$6,M37&lt;=$M$6),'Core Wall'!V15,0)</f>
        <v>0</v>
      </c>
      <c r="O37" s="7">
        <f>IF(AND($N$6,M37&lt;=$M$6),'Core Wall'!W15,0)</f>
        <v>0</v>
      </c>
      <c r="P37" s="7">
        <f>IF(AND($N$6,M37&lt;=$M$6),INDEX('Core Wall'!V10:V29,IF(M37=$M$6,1,M37+1)),0)</f>
        <v>0</v>
      </c>
      <c r="Q37" s="7">
        <f>IF(AND($N$6,M37&lt;=$M$6),INDEX('Core Wall'!W10:W29,IF(M37=$M$6,1,M37+1)),0)</f>
        <v>0</v>
      </c>
      <c r="R37" s="7">
        <f t="shared" si="0"/>
        <v>0</v>
      </c>
      <c r="S37" s="7">
        <f t="shared" si="1"/>
        <v>0</v>
      </c>
      <c r="T37" s="7">
        <f t="shared" si="2"/>
        <v>0</v>
      </c>
      <c r="U37" s="7">
        <f t="shared" si="3"/>
        <v>0</v>
      </c>
      <c r="V37" s="7">
        <f t="shared" si="4"/>
        <v>0</v>
      </c>
      <c r="W37" s="7">
        <f t="shared" si="5"/>
        <v>0</v>
      </c>
      <c r="X37" s="7"/>
      <c r="Y37" s="7" t="s">
        <v>80</v>
      </c>
      <c r="Z37" s="7" t="str">
        <f>IF(Y5="VALID",SUM(R5:R7)/Z35,"n.a.")</f>
        <v>n.a.</v>
      </c>
      <c r="AA37" s="7"/>
      <c r="AB37" s="7"/>
      <c r="AC37" s="7"/>
      <c r="AD37" s="7">
        <f>$Z$47+$Z$48</f>
        <v>0.08</v>
      </c>
      <c r="AE37" s="7">
        <f>$Z$47+$Z$48</f>
        <v>0.08</v>
      </c>
      <c r="AF37" s="7"/>
      <c r="AG37" s="7"/>
      <c r="AH37" s="7"/>
      <c r="AI37" s="7"/>
    </row>
    <row r="38" spans="1:35" ht="27" customHeight="1">
      <c r="A38" s="21" t="s">
        <v>60</v>
      </c>
      <c r="B38" s="38" t="str">
        <f>IF(AND($B$23="Inputs complete",ISNUMBER($H$31)),$H$31,"n.a.")</f>
        <v>n.a.</v>
      </c>
      <c r="C38" s="21" t="s">
        <v>61</v>
      </c>
      <c r="D38" s="21" t="s">
        <v>90</v>
      </c>
      <c r="E38" s="6"/>
      <c r="F38" t="s">
        <v>91</v>
      </c>
      <c r="J38" s="6"/>
      <c r="K38" s="6"/>
      <c r="L38" s="6">
        <v>2</v>
      </c>
      <c r="M38" s="7">
        <v>7</v>
      </c>
      <c r="N38" s="7">
        <f>IF(AND($N$6,M38&lt;=$M$6),'Core Wall'!V16,0)</f>
        <v>0</v>
      </c>
      <c r="O38" s="7">
        <f>IF(AND($N$6,M38&lt;=$M$6),'Core Wall'!W16,0)</f>
        <v>0</v>
      </c>
      <c r="P38" s="7">
        <f>IF(AND($N$6,M38&lt;=$M$6),INDEX('Core Wall'!V10:V29,IF(M38=$M$6,1,M38+1)),0)</f>
        <v>0</v>
      </c>
      <c r="Q38" s="7">
        <f>IF(AND($N$6,M38&lt;=$M$6),INDEX('Core Wall'!W10:W29,IF(M38=$M$6,1,M38+1)),0)</f>
        <v>0</v>
      </c>
      <c r="R38" s="7">
        <f t="shared" si="0"/>
        <v>0</v>
      </c>
      <c r="S38" s="7">
        <f t="shared" si="1"/>
        <v>0</v>
      </c>
      <c r="T38" s="7">
        <f t="shared" si="2"/>
        <v>0</v>
      </c>
      <c r="U38" s="7">
        <f t="shared" si="3"/>
        <v>0</v>
      </c>
      <c r="V38" s="7">
        <f t="shared" si="4"/>
        <v>0</v>
      </c>
      <c r="W38" s="7">
        <f t="shared" si="5"/>
        <v>0</v>
      </c>
      <c r="X38" s="7"/>
      <c r="Y38" s="7" t="s">
        <v>92</v>
      </c>
      <c r="Z38" s="7" t="str">
        <f>IF(Y5="VALID",SUM(S5:S7)-Z35*Z37^2,"n.a.")</f>
        <v>n.a.</v>
      </c>
      <c r="AA38" s="7"/>
      <c r="AB38" s="7"/>
      <c r="AC38" s="7"/>
      <c r="AD38" s="7">
        <f>$Z$46-$Z$48</f>
        <v>-0.08</v>
      </c>
      <c r="AE38" s="7">
        <f>$Z$47+$Z$48</f>
        <v>0.08</v>
      </c>
      <c r="AF38" s="7"/>
      <c r="AG38" s="7"/>
      <c r="AH38" s="7"/>
      <c r="AI38" s="7"/>
    </row>
    <row r="39" spans="1:35" ht="27" customHeight="1">
      <c r="A39" s="21" t="s">
        <v>32</v>
      </c>
      <c r="B39" s="38" t="str">
        <f>IF(IF($H$23="B",H20,J20)="LAYERED",IF($B$23="Inputs complete",IF($H$23="B",'Layered Wind'!B8,'Layered Wind'!N8)/1000,"n.a."),IF(AND(ISNUMBER(B36),ISNUMBER(B37),ISNUMBER(B38)),B36*$B$19^4/(8*B37*B38),"n.a."))</f>
        <v>n.a.</v>
      </c>
      <c r="C39" s="21" t="s">
        <v>2</v>
      </c>
      <c r="D39" s="21" t="s">
        <v>34</v>
      </c>
      <c r="E39" s="6"/>
      <c r="J39" s="6"/>
      <c r="K39" s="6"/>
      <c r="L39" s="6">
        <v>2</v>
      </c>
      <c r="M39" s="7">
        <v>8</v>
      </c>
      <c r="N39" s="7">
        <f>IF(AND($N$6,M39&lt;=$M$6),'Core Wall'!V17,0)</f>
        <v>0</v>
      </c>
      <c r="O39" s="7">
        <f>IF(AND($N$6,M39&lt;=$M$6),'Core Wall'!W17,0)</f>
        <v>0</v>
      </c>
      <c r="P39" s="7">
        <f>IF(AND($N$6,M39&lt;=$M$6),INDEX('Core Wall'!V10:V29,IF(M39=$M$6,1,M39+1)),0)</f>
        <v>0</v>
      </c>
      <c r="Q39" s="7">
        <f>IF(AND($N$6,M39&lt;=$M$6),INDEX('Core Wall'!W10:W29,IF(M39=$M$6,1,M39+1)),0)</f>
        <v>0</v>
      </c>
      <c r="R39" s="7">
        <f t="shared" si="0"/>
        <v>0</v>
      </c>
      <c r="S39" s="7">
        <f t="shared" si="1"/>
        <v>0</v>
      </c>
      <c r="T39" s="7">
        <f t="shared" si="2"/>
        <v>0</v>
      </c>
      <c r="U39" s="7">
        <f t="shared" si="3"/>
        <v>0</v>
      </c>
      <c r="V39" s="7">
        <f t="shared" si="4"/>
        <v>0</v>
      </c>
      <c r="W39" s="7">
        <f t="shared" si="5"/>
        <v>0</v>
      </c>
      <c r="X39" s="7"/>
      <c r="Y39" s="7" t="s">
        <v>93</v>
      </c>
      <c r="Z39" s="7" t="str">
        <f>IF(Y5="VALID",SUM(T5:T7)-Z35*Z36^2,"n.a.")</f>
        <v>n.a.</v>
      </c>
      <c r="AA39" s="7"/>
      <c r="AB39" s="7"/>
      <c r="AC39" s="7"/>
      <c r="AD39" s="7">
        <f>$Z$46-$Z$48</f>
        <v>-0.08</v>
      </c>
      <c r="AE39" s="7">
        <f>$Z$46-$Z$48</f>
        <v>-0.08</v>
      </c>
      <c r="AF39" s="7"/>
      <c r="AG39" s="7"/>
      <c r="AH39" s="7"/>
      <c r="AI39" s="7"/>
    </row>
    <row r="40" spans="1:35" ht="27" customHeight="1">
      <c r="A40" s="21" t="s">
        <v>32</v>
      </c>
      <c r="B40" s="38" t="str">
        <f>IF(ISNUMBER(B39),B39*1000,"n.a.")</f>
        <v>n.a.</v>
      </c>
      <c r="C40" s="21" t="s">
        <v>33</v>
      </c>
      <c r="D40" s="21" t="s">
        <v>94</v>
      </c>
      <c r="E40" s="6"/>
      <c r="F40" s="114" t="s">
        <v>95</v>
      </c>
      <c r="G40" s="114"/>
      <c r="H40" s="114"/>
      <c r="I40" s="114"/>
      <c r="J40" s="6"/>
      <c r="K40" s="6"/>
      <c r="L40" s="6">
        <v>2</v>
      </c>
      <c r="M40" s="7">
        <v>9</v>
      </c>
      <c r="N40" s="7">
        <f>IF(AND($N$6,M40&lt;=$M$6),'Core Wall'!V18,0)</f>
        <v>0</v>
      </c>
      <c r="O40" s="7">
        <f>IF(AND($N$6,M40&lt;=$M$6),'Core Wall'!W18,0)</f>
        <v>0</v>
      </c>
      <c r="P40" s="7">
        <f>IF(AND($N$6,M40&lt;=$M$6),INDEX('Core Wall'!V10:V29,IF(M40=$M$6,1,M40+1)),0)</f>
        <v>0</v>
      </c>
      <c r="Q40" s="7">
        <f>IF(AND($N$6,M40&lt;=$M$6),INDEX('Core Wall'!W10:W29,IF(M40=$M$6,1,M40+1)),0)</f>
        <v>0</v>
      </c>
      <c r="R40" s="7">
        <f t="shared" si="0"/>
        <v>0</v>
      </c>
      <c r="S40" s="7">
        <f t="shared" si="1"/>
        <v>0</v>
      </c>
      <c r="T40" s="7">
        <f t="shared" si="2"/>
        <v>0</v>
      </c>
      <c r="U40" s="7">
        <f t="shared" si="3"/>
        <v>0</v>
      </c>
      <c r="V40" s="7">
        <f t="shared" si="4"/>
        <v>0</v>
      </c>
      <c r="W40" s="7">
        <f t="shared" si="5"/>
        <v>0</v>
      </c>
      <c r="X40" s="7"/>
      <c r="Y40" s="7" t="s">
        <v>96</v>
      </c>
      <c r="Z40" s="7" t="str">
        <f>IF(Y5="VALID",SUM(U5:U7)-Z35*Z36*Z37,"n.a.")</f>
        <v>n.a.</v>
      </c>
      <c r="AA40" s="7"/>
      <c r="AB40" s="7"/>
      <c r="AC40" s="7"/>
      <c r="AD40" s="7"/>
      <c r="AE40" s="7"/>
      <c r="AF40" s="7"/>
      <c r="AG40" s="7"/>
      <c r="AH40" s="7"/>
      <c r="AI40" s="7"/>
    </row>
    <row r="41" spans="1:35" ht="27" customHeight="1">
      <c r="A41" s="21" t="s">
        <v>97</v>
      </c>
      <c r="B41" s="38" t="str">
        <f>IF($B$23="Inputs complete",$B$19/$B$21*1000,"n.a.")</f>
        <v>n.a.</v>
      </c>
      <c r="C41" s="21" t="s">
        <v>33</v>
      </c>
      <c r="D41" s="21" t="s">
        <v>98</v>
      </c>
      <c r="E41" s="6"/>
      <c r="F41" s="114"/>
      <c r="G41" s="114"/>
      <c r="H41" s="114"/>
      <c r="I41" s="114"/>
      <c r="J41" s="6"/>
      <c r="K41" s="6"/>
      <c r="L41" s="6">
        <v>2</v>
      </c>
      <c r="M41" s="7">
        <v>10</v>
      </c>
      <c r="N41" s="7">
        <f>IF(AND($N$6,M41&lt;=$M$6),'Core Wall'!V19,0)</f>
        <v>0</v>
      </c>
      <c r="O41" s="7">
        <f>IF(AND($N$6,M41&lt;=$M$6),'Core Wall'!W19,0)</f>
        <v>0</v>
      </c>
      <c r="P41" s="7">
        <f>IF(AND($N$6,M41&lt;=$M$6),INDEX('Core Wall'!V10:V29,IF(M41=$M$6,1,M41+1)),0)</f>
        <v>0</v>
      </c>
      <c r="Q41" s="7">
        <f>IF(AND($N$6,M41&lt;=$M$6),INDEX('Core Wall'!W10:W29,IF(M41=$M$6,1,M41+1)),0)</f>
        <v>0</v>
      </c>
      <c r="R41" s="7">
        <f t="shared" si="0"/>
        <v>0</v>
      </c>
      <c r="S41" s="7">
        <f t="shared" si="1"/>
        <v>0</v>
      </c>
      <c r="T41" s="7">
        <f t="shared" si="2"/>
        <v>0</v>
      </c>
      <c r="U41" s="7">
        <f t="shared" si="3"/>
        <v>0</v>
      </c>
      <c r="V41" s="7">
        <f t="shared" si="4"/>
        <v>0</v>
      </c>
      <c r="W41" s="7">
        <f t="shared" si="5"/>
        <v>0</v>
      </c>
      <c r="X41" s="7"/>
      <c r="Y41" s="7" t="s">
        <v>99</v>
      </c>
      <c r="Z41" s="7" t="str">
        <f>IF(Y5="VALID",Z39-Z40^2/Z38,"n.a.")</f>
        <v>n.a.</v>
      </c>
      <c r="AA41" s="7"/>
      <c r="AB41" s="7"/>
      <c r="AC41" s="7"/>
      <c r="AD41" s="7"/>
      <c r="AE41" s="7"/>
      <c r="AF41" s="7"/>
      <c r="AG41" s="7"/>
      <c r="AH41" s="7"/>
      <c r="AI41" s="7"/>
    </row>
    <row r="42" spans="1:35" ht="27" customHeight="1">
      <c r="A42" s="21" t="s">
        <v>37</v>
      </c>
      <c r="B42" s="23" t="str">
        <f>IF(AND(ISNUMBER(B40),ISNUMBER(B41)),B40/B41,"n.a.")</f>
        <v>n.a.</v>
      </c>
      <c r="C42" s="21" t="s">
        <v>4</v>
      </c>
      <c r="D42" s="21" t="s">
        <v>100</v>
      </c>
      <c r="E42" s="6"/>
      <c r="F42" s="114"/>
      <c r="G42" s="114"/>
      <c r="H42" s="114"/>
      <c r="I42" s="114"/>
      <c r="J42" s="6"/>
      <c r="K42" s="6"/>
      <c r="L42" s="6">
        <v>2</v>
      </c>
      <c r="M42" s="7">
        <v>11</v>
      </c>
      <c r="N42" s="7">
        <f>IF(AND($N$6,M42&lt;=$M$6),'Core Wall'!V20,0)</f>
        <v>0</v>
      </c>
      <c r="O42" s="7">
        <f>IF(AND($N$6,M42&lt;=$M$6),'Core Wall'!W20,0)</f>
        <v>0</v>
      </c>
      <c r="P42" s="7">
        <f>IF(AND($N$6,M42&lt;=$M$6),INDEX('Core Wall'!V10:V29,IF(M42=$M$6,1,M42+1)),0)</f>
        <v>0</v>
      </c>
      <c r="Q42" s="7">
        <f>IF(AND($N$6,M42&lt;=$M$6),INDEX('Core Wall'!W10:W29,IF(M42=$M$6,1,M42+1)),0)</f>
        <v>0</v>
      </c>
      <c r="R42" s="7">
        <f t="shared" si="0"/>
        <v>0</v>
      </c>
      <c r="S42" s="7">
        <f t="shared" si="1"/>
        <v>0</v>
      </c>
      <c r="T42" s="7">
        <f t="shared" si="2"/>
        <v>0</v>
      </c>
      <c r="U42" s="7">
        <f t="shared" si="3"/>
        <v>0</v>
      </c>
      <c r="V42" s="7">
        <f t="shared" si="4"/>
        <v>0</v>
      </c>
      <c r="W42" s="7">
        <f t="shared" si="5"/>
        <v>0</v>
      </c>
      <c r="X42" s="7"/>
      <c r="Y42" s="7" t="s">
        <v>101</v>
      </c>
      <c r="Z42" s="7" t="str">
        <f>IF(Y5="VALID",Z38-Z40^2/Z39,"n.a.")</f>
        <v>n.a.</v>
      </c>
      <c r="AA42" s="7"/>
      <c r="AB42" s="7"/>
      <c r="AC42" s="7"/>
      <c r="AD42" s="7">
        <f>IF($Y$5="VALID",$Z$36+-1*$Z$48/5,N12)</f>
        <v>0</v>
      </c>
      <c r="AE42" s="7">
        <f>IF($Y$5="VALID",$Z$37+0*$Z$48/5,O12)</f>
        <v>0</v>
      </c>
      <c r="AF42" s="7"/>
      <c r="AG42" s="7"/>
      <c r="AH42" s="7"/>
      <c r="AI42" s="7"/>
    </row>
    <row r="43" spans="1:35" ht="27" customHeight="1">
      <c r="A43" s="21" t="s">
        <v>39</v>
      </c>
      <c r="B43" s="24" t="str">
        <f>IF(AND(IF($H$23="B",H20,J20)="LAYERED",$B$23="Inputs complete",B39=0),"NO DRIFT",IF(AND(ISNUMBER(B39),B39&gt;0),$B$19/B39,"n.a."))</f>
        <v>n.a.</v>
      </c>
      <c r="C43" s="21" t="s">
        <v>40</v>
      </c>
      <c r="D43" s="21" t="s">
        <v>102</v>
      </c>
      <c r="E43" s="6"/>
      <c r="J43" s="6"/>
      <c r="K43" s="6"/>
      <c r="L43" s="6">
        <v>2</v>
      </c>
      <c r="M43" s="7">
        <v>12</v>
      </c>
      <c r="N43" s="7">
        <f>IF(AND($N$6,M43&lt;=$M$6),'Core Wall'!V21,0)</f>
        <v>0</v>
      </c>
      <c r="O43" s="7">
        <f>IF(AND($N$6,M43&lt;=$M$6),'Core Wall'!W21,0)</f>
        <v>0</v>
      </c>
      <c r="P43" s="7">
        <f>IF(AND($N$6,M43&lt;=$M$6),INDEX('Core Wall'!V10:V29,IF(M43=$M$6,1,M43+1)),0)</f>
        <v>0</v>
      </c>
      <c r="Q43" s="7">
        <f>IF(AND($N$6,M43&lt;=$M$6),INDEX('Core Wall'!W10:W29,IF(M43=$M$6,1,M43+1)),0)</f>
        <v>0</v>
      </c>
      <c r="R43" s="7">
        <f t="shared" si="0"/>
        <v>0</v>
      </c>
      <c r="S43" s="7">
        <f t="shared" si="1"/>
        <v>0</v>
      </c>
      <c r="T43" s="7">
        <f t="shared" si="2"/>
        <v>0</v>
      </c>
      <c r="U43" s="7">
        <f t="shared" si="3"/>
        <v>0</v>
      </c>
      <c r="V43" s="7">
        <f t="shared" si="4"/>
        <v>0</v>
      </c>
      <c r="W43" s="7">
        <f t="shared" si="5"/>
        <v>0</v>
      </c>
      <c r="X43" s="7"/>
      <c r="Y43" s="7"/>
      <c r="Z43" s="7"/>
      <c r="AA43" s="7"/>
      <c r="AB43" s="7"/>
      <c r="AC43" s="7"/>
      <c r="AD43" s="7">
        <f>IF($Y$5="VALID",$Z$36+1*$Z$48/5,N12)</f>
        <v>0</v>
      </c>
      <c r="AE43" s="7">
        <f>IF($Y$5="VALID",$Z$37+0*$Z$48/5,O12)</f>
        <v>0</v>
      </c>
      <c r="AF43" s="7"/>
      <c r="AG43" s="7"/>
      <c r="AH43" s="7"/>
      <c r="AI43" s="7"/>
    </row>
    <row r="44" spans="1:35" ht="27" customHeight="1">
      <c r="A44" s="25" t="s">
        <v>11</v>
      </c>
      <c r="B44" s="25" t="str">
        <f>IF(IF($H$23="B",H20,J20)="LAYERED",IF(ISNUMBER(B42),IF(B42&lt;=1,"OK","NOT OK"),"CHECK INPUTS"),IF(IF($H$23="B",H20,J20)&lt;&gt;"UNIFORM","NOT ASSESSED - layered wind",IF(ISNUMBER(B42),IF(B42&lt;=1,"OK","NOT OK"),"CHECK INPUTS")))</f>
        <v>CHECK INPUTS</v>
      </c>
      <c r="C44" s="25" t="s">
        <v>3</v>
      </c>
      <c r="D44" s="25" t="s">
        <v>59</v>
      </c>
      <c r="E44" s="6"/>
      <c r="F44" s="6"/>
      <c r="G44" s="6"/>
      <c r="H44" s="6"/>
      <c r="I44" s="6"/>
      <c r="J44" s="6"/>
      <c r="K44" s="6"/>
      <c r="L44" s="6">
        <v>2</v>
      </c>
      <c r="M44" s="7">
        <v>13</v>
      </c>
      <c r="N44" s="7">
        <f>IF(AND($N$6,M44&lt;=$M$6),'Core Wall'!V22,0)</f>
        <v>0</v>
      </c>
      <c r="O44" s="7">
        <f>IF(AND($N$6,M44&lt;=$M$6),'Core Wall'!W22,0)</f>
        <v>0</v>
      </c>
      <c r="P44" s="7">
        <f>IF(AND($N$6,M44&lt;=$M$6),INDEX('Core Wall'!V10:V29,IF(M44=$M$6,1,M44+1)),0)</f>
        <v>0</v>
      </c>
      <c r="Q44" s="7">
        <f>IF(AND($N$6,M44&lt;=$M$6),INDEX('Core Wall'!W10:W29,IF(M44=$M$6,1,M44+1)),0)</f>
        <v>0</v>
      </c>
      <c r="R44" s="7">
        <f t="shared" si="0"/>
        <v>0</v>
      </c>
      <c r="S44" s="7">
        <f t="shared" si="1"/>
        <v>0</v>
      </c>
      <c r="T44" s="7">
        <f t="shared" si="2"/>
        <v>0</v>
      </c>
      <c r="U44" s="7">
        <f t="shared" si="3"/>
        <v>0</v>
      </c>
      <c r="V44" s="7">
        <f t="shared" si="4"/>
        <v>0</v>
      </c>
      <c r="W44" s="7">
        <f t="shared" si="5"/>
        <v>0</v>
      </c>
      <c r="X44" s="7"/>
      <c r="Y44" s="7" t="s">
        <v>81</v>
      </c>
      <c r="Z44" s="7" t="str">
        <f>IF(Y5="VALID",IF('Core Wall'!J46="X",Z41,IF('Core Wall'!J46="Y",Z42,"n.a.")),"n.a.")</f>
        <v>n.a.</v>
      </c>
      <c r="AA44" s="7"/>
      <c r="AB44" s="7"/>
      <c r="AC44" s="7"/>
      <c r="AD44" s="7"/>
      <c r="AE44" s="7"/>
      <c r="AF44" s="7"/>
      <c r="AG44" s="7"/>
      <c r="AH44" s="7"/>
      <c r="AI44" s="7"/>
    </row>
    <row r="45" spans="1:35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>
        <v>2</v>
      </c>
      <c r="M45" s="7">
        <v>14</v>
      </c>
      <c r="N45" s="7">
        <f>IF(AND($N$6,M45&lt;=$M$6),'Core Wall'!V23,0)</f>
        <v>0</v>
      </c>
      <c r="O45" s="7">
        <f>IF(AND($N$6,M45&lt;=$M$6),'Core Wall'!W23,0)</f>
        <v>0</v>
      </c>
      <c r="P45" s="7">
        <f>IF(AND($N$6,M45&lt;=$M$6),INDEX('Core Wall'!V10:V29,IF(M45=$M$6,1,M45+1)),0)</f>
        <v>0</v>
      </c>
      <c r="Q45" s="7">
        <f>IF(AND($N$6,M45&lt;=$M$6),INDEX('Core Wall'!W10:W29,IF(M45=$M$6,1,M45+1)),0)</f>
        <v>0</v>
      </c>
      <c r="R45" s="7">
        <f t="shared" si="0"/>
        <v>0</v>
      </c>
      <c r="S45" s="7">
        <f t="shared" si="1"/>
        <v>0</v>
      </c>
      <c r="T45" s="7">
        <f t="shared" si="2"/>
        <v>0</v>
      </c>
      <c r="U45" s="7">
        <f t="shared" si="3"/>
        <v>0</v>
      </c>
      <c r="V45" s="7">
        <f t="shared" si="4"/>
        <v>0</v>
      </c>
      <c r="W45" s="7">
        <f t="shared" si="5"/>
        <v>0</v>
      </c>
      <c r="X45" s="7"/>
      <c r="Y45" s="7"/>
      <c r="Z45" s="7"/>
      <c r="AA45" s="7"/>
      <c r="AB45" s="7"/>
      <c r="AC45" s="7"/>
      <c r="AD45" s="7">
        <f>IF($Y$5="VALID",$Z$36+0*$Z$48/5,N12)</f>
        <v>0</v>
      </c>
      <c r="AE45" s="7">
        <f>IF($Y$5="VALID",$Z$37+-1*$Z$48/5,O12)</f>
        <v>0</v>
      </c>
      <c r="AF45" s="7"/>
      <c r="AG45" s="7"/>
      <c r="AH45" s="7"/>
      <c r="AI45" s="7"/>
    </row>
    <row r="46" spans="1:35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>
        <v>2</v>
      </c>
      <c r="M46" s="7">
        <v>15</v>
      </c>
      <c r="N46" s="7">
        <f>IF(AND($N$6,M46&lt;=$M$6),'Core Wall'!V24,0)</f>
        <v>0</v>
      </c>
      <c r="O46" s="7">
        <f>IF(AND($N$6,M46&lt;=$M$6),'Core Wall'!W24,0)</f>
        <v>0</v>
      </c>
      <c r="P46" s="7">
        <f>IF(AND($N$6,M46&lt;=$M$6),INDEX('Core Wall'!V10:V29,IF(M46=$M$6,1,M46+1)),0)</f>
        <v>0</v>
      </c>
      <c r="Q46" s="7">
        <f>IF(AND($N$6,M46&lt;=$M$6),INDEX('Core Wall'!W10:W29,IF(M46=$M$6,1,M46+1)),0)</f>
        <v>0</v>
      </c>
      <c r="R46" s="7">
        <f t="shared" si="0"/>
        <v>0</v>
      </c>
      <c r="S46" s="7">
        <f t="shared" si="1"/>
        <v>0</v>
      </c>
      <c r="T46" s="7">
        <f t="shared" si="2"/>
        <v>0</v>
      </c>
      <c r="U46" s="7">
        <f t="shared" si="3"/>
        <v>0</v>
      </c>
      <c r="V46" s="7">
        <f t="shared" si="4"/>
        <v>0</v>
      </c>
      <c r="W46" s="7">
        <f t="shared" si="5"/>
        <v>0</v>
      </c>
      <c r="X46" s="7"/>
      <c r="Y46" s="7"/>
      <c r="Z46" s="7">
        <f>MIN(N12:Q71)</f>
        <v>0</v>
      </c>
      <c r="AA46" s="7"/>
      <c r="AB46" s="7"/>
      <c r="AC46" s="7"/>
      <c r="AD46" s="7">
        <f>IF($Y$5="VALID",$Z$36+0*$Z$48/5,N12)</f>
        <v>0</v>
      </c>
      <c r="AE46" s="7">
        <f>IF($Y$5="VALID",$Z$37+1*$Z$48/5,O12)</f>
        <v>0</v>
      </c>
      <c r="AF46" s="7"/>
      <c r="AG46" s="7"/>
      <c r="AH46" s="7"/>
      <c r="AI46" s="7"/>
    </row>
    <row r="47" spans="1:35" ht="22.05" customHeight="1">
      <c r="A47" s="13" t="s">
        <v>103</v>
      </c>
      <c r="B47" s="14"/>
      <c r="C47" s="14"/>
      <c r="D47" s="15"/>
      <c r="E47" s="6"/>
      <c r="F47" s="6"/>
      <c r="G47" s="6"/>
      <c r="H47" s="6"/>
      <c r="I47" s="6"/>
      <c r="J47" s="6"/>
      <c r="K47" s="6"/>
      <c r="L47" s="6">
        <v>2</v>
      </c>
      <c r="M47" s="7">
        <v>16</v>
      </c>
      <c r="N47" s="7">
        <f>IF(AND($N$6,M47&lt;=$M$6),'Core Wall'!V25,0)</f>
        <v>0</v>
      </c>
      <c r="O47" s="7">
        <f>IF(AND($N$6,M47&lt;=$M$6),'Core Wall'!W25,0)</f>
        <v>0</v>
      </c>
      <c r="P47" s="7">
        <f>IF(AND($N$6,M47&lt;=$M$6),INDEX('Core Wall'!V10:V29,IF(M47=$M$6,1,M47+1)),0)</f>
        <v>0</v>
      </c>
      <c r="Q47" s="7">
        <f>IF(AND($N$6,M47&lt;=$M$6),INDEX('Core Wall'!W10:W29,IF(M47=$M$6,1,M47+1)),0)</f>
        <v>0</v>
      </c>
      <c r="R47" s="7">
        <f t="shared" si="0"/>
        <v>0</v>
      </c>
      <c r="S47" s="7">
        <f t="shared" si="1"/>
        <v>0</v>
      </c>
      <c r="T47" s="7">
        <f t="shared" si="2"/>
        <v>0</v>
      </c>
      <c r="U47" s="7">
        <f t="shared" si="3"/>
        <v>0</v>
      </c>
      <c r="V47" s="7">
        <f t="shared" si="4"/>
        <v>0</v>
      </c>
      <c r="W47" s="7">
        <f t="shared" si="5"/>
        <v>0</v>
      </c>
      <c r="X47" s="7"/>
      <c r="Y47" s="7"/>
      <c r="Z47" s="7">
        <f>MAX(N12:Q71)</f>
        <v>0</v>
      </c>
      <c r="AA47" s="7"/>
      <c r="AB47" s="7"/>
      <c r="AC47" s="7"/>
      <c r="AD47" s="7"/>
      <c r="AE47" s="7"/>
      <c r="AF47" s="7"/>
      <c r="AG47" s="7"/>
      <c r="AH47" s="7"/>
      <c r="AI47" s="7"/>
    </row>
    <row r="48" spans="1:35" ht="28.05" customHeight="1">
      <c r="A48" s="16" t="s">
        <v>104</v>
      </c>
      <c r="B48" s="17" t="s">
        <v>105</v>
      </c>
      <c r="C48" s="17" t="s">
        <v>106</v>
      </c>
      <c r="D48" s="18" t="s">
        <v>107</v>
      </c>
      <c r="E48" s="6"/>
      <c r="F48" s="6"/>
      <c r="G48" s="6"/>
      <c r="H48" s="6"/>
      <c r="I48" s="6"/>
      <c r="J48" s="6"/>
      <c r="K48" s="6"/>
      <c r="L48" s="6">
        <v>2</v>
      </c>
      <c r="M48" s="7">
        <v>17</v>
      </c>
      <c r="N48" s="7">
        <f>IF(AND($N$6,M48&lt;=$M$6),'Core Wall'!V26,0)</f>
        <v>0</v>
      </c>
      <c r="O48" s="7">
        <f>IF(AND($N$6,M48&lt;=$M$6),'Core Wall'!W26,0)</f>
        <v>0</v>
      </c>
      <c r="P48" s="7">
        <f>IF(AND($N$6,M48&lt;=$M$6),INDEX('Core Wall'!V10:V29,IF(M48=$M$6,1,M48+1)),0)</f>
        <v>0</v>
      </c>
      <c r="Q48" s="7">
        <f>IF(AND($N$6,M48&lt;=$M$6),INDEX('Core Wall'!W10:W29,IF(M48=$M$6,1,M48+1)),0)</f>
        <v>0</v>
      </c>
      <c r="R48" s="7">
        <f t="shared" si="0"/>
        <v>0</v>
      </c>
      <c r="S48" s="7">
        <f t="shared" si="1"/>
        <v>0</v>
      </c>
      <c r="T48" s="7">
        <f t="shared" si="2"/>
        <v>0</v>
      </c>
      <c r="U48" s="7">
        <f t="shared" si="3"/>
        <v>0</v>
      </c>
      <c r="V48" s="7">
        <f t="shared" si="4"/>
        <v>0</v>
      </c>
      <c r="W48" s="7">
        <f t="shared" si="5"/>
        <v>0</v>
      </c>
      <c r="X48" s="7"/>
      <c r="Y48" s="7"/>
      <c r="Z48" s="7">
        <f>MAX(Z47-Z46,1)*0.08</f>
        <v>0.08</v>
      </c>
      <c r="AA48" s="7"/>
      <c r="AB48" s="7"/>
      <c r="AC48" s="7"/>
      <c r="AD48" s="7"/>
      <c r="AE48" s="7"/>
      <c r="AF48" s="7"/>
      <c r="AG48" s="7"/>
      <c r="AH48" s="7"/>
      <c r="AI48" s="7"/>
    </row>
    <row r="49" spans="1:35" ht="22.05" customHeight="1">
      <c r="A49" s="39">
        <v>0</v>
      </c>
      <c r="B49" s="40" t="str">
        <f t="shared" ref="B49:B59" si="6">IF($B$23="Inputs complete",A49*$B$19,"n.a.")</f>
        <v>n.a.</v>
      </c>
      <c r="C49" s="41" t="str">
        <f>IF(IF($H$23="B",H20,J20)="LAYERED",IF($B$23="Inputs complete",IF($H$23="B",'Layered Wind'!$AA$8,'Layered Wind'!$AM$8),"n.a."),IF(AND(ISNUMBER(A49),ISNUMBER($B$36),ISNUMBER($B$37),ISNUMBER($B$38)),$B$36*$B$19^4/(24*$B$37*$B$38)*A49^2*(A49^2-4*A49+6)*1000,"n.a."))</f>
        <v>n.a.</v>
      </c>
      <c r="D49" s="42" t="s">
        <v>276</v>
      </c>
      <c r="E49" s="6"/>
      <c r="F49" s="6"/>
      <c r="G49" s="6"/>
      <c r="H49" s="6"/>
      <c r="I49" s="6"/>
      <c r="J49" s="6"/>
      <c r="K49" s="6"/>
      <c r="L49" s="6">
        <v>2</v>
      </c>
      <c r="M49" s="7">
        <v>18</v>
      </c>
      <c r="N49" s="7">
        <f>IF(AND($N$6,M49&lt;=$M$6),'Core Wall'!V27,0)</f>
        <v>0</v>
      </c>
      <c r="O49" s="7">
        <f>IF(AND($N$6,M49&lt;=$M$6),'Core Wall'!W27,0)</f>
        <v>0</v>
      </c>
      <c r="P49" s="7">
        <f>IF(AND($N$6,M49&lt;=$M$6),INDEX('Core Wall'!V10:V29,IF(M49=$M$6,1,M49+1)),0)</f>
        <v>0</v>
      </c>
      <c r="Q49" s="7">
        <f>IF(AND($N$6,M49&lt;=$M$6),INDEX('Core Wall'!W10:W29,IF(M49=$M$6,1,M49+1)),0)</f>
        <v>0</v>
      </c>
      <c r="R49" s="7">
        <f t="shared" si="0"/>
        <v>0</v>
      </c>
      <c r="S49" s="7">
        <f t="shared" si="1"/>
        <v>0</v>
      </c>
      <c r="T49" s="7">
        <f t="shared" si="2"/>
        <v>0</v>
      </c>
      <c r="U49" s="7">
        <f t="shared" si="3"/>
        <v>0</v>
      </c>
      <c r="V49" s="7">
        <f t="shared" si="4"/>
        <v>0</v>
      </c>
      <c r="W49" s="7">
        <f t="shared" si="5"/>
        <v>0</v>
      </c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</row>
    <row r="50" spans="1:35" ht="22.05" customHeight="1">
      <c r="A50" s="43">
        <v>0.1</v>
      </c>
      <c r="B50" s="44" t="str">
        <f t="shared" si="6"/>
        <v>n.a.</v>
      </c>
      <c r="C50" s="23" t="str">
        <f>IF(IF($H$23="B",H20,J20)="LAYERED",IF($B$23="Inputs complete",IF($H$23="B",'Layered Wind'!$AB$8,'Layered Wind'!$AN$8),"n.a."),IF(AND(ISNUMBER(A50),ISNUMBER($B$36),ISNUMBER($B$37),ISNUMBER($B$38)),$B$36*$B$19^4/(24*$B$37*$B$38)*A50^2*(A50^2-4*A50+6)*1000,"n.a."))</f>
        <v>n.a.</v>
      </c>
      <c r="D50" s="45" t="s">
        <v>276</v>
      </c>
      <c r="E50" s="6"/>
      <c r="F50" s="6"/>
      <c r="G50" s="6"/>
      <c r="H50" s="6"/>
      <c r="I50" s="6"/>
      <c r="J50" s="6"/>
      <c r="K50" s="6"/>
      <c r="L50" s="6">
        <v>2</v>
      </c>
      <c r="M50" s="7">
        <v>19</v>
      </c>
      <c r="N50" s="7">
        <f>IF(AND($N$6,M50&lt;=$M$6),'Core Wall'!V28,0)</f>
        <v>0</v>
      </c>
      <c r="O50" s="7">
        <f>IF(AND($N$6,M50&lt;=$M$6),'Core Wall'!W28,0)</f>
        <v>0</v>
      </c>
      <c r="P50" s="7">
        <f>IF(AND($N$6,M50&lt;=$M$6),INDEX('Core Wall'!V10:V29,IF(M50=$M$6,1,M50+1)),0)</f>
        <v>0</v>
      </c>
      <c r="Q50" s="7">
        <f>IF(AND($N$6,M50&lt;=$M$6),INDEX('Core Wall'!W10:W29,IF(M50=$M$6,1,M50+1)),0)</f>
        <v>0</v>
      </c>
      <c r="R50" s="7">
        <f t="shared" si="0"/>
        <v>0</v>
      </c>
      <c r="S50" s="7">
        <f t="shared" si="1"/>
        <v>0</v>
      </c>
      <c r="T50" s="7">
        <f t="shared" si="2"/>
        <v>0</v>
      </c>
      <c r="U50" s="7">
        <f t="shared" si="3"/>
        <v>0</v>
      </c>
      <c r="V50" s="7">
        <f t="shared" si="4"/>
        <v>0</v>
      </c>
      <c r="W50" s="7">
        <f t="shared" si="5"/>
        <v>0</v>
      </c>
      <c r="X50" s="7"/>
      <c r="Y50" s="7" t="s">
        <v>108</v>
      </c>
      <c r="Z50" s="7"/>
      <c r="AA50" s="7"/>
      <c r="AB50" s="7"/>
      <c r="AC50" s="7"/>
      <c r="AD50" s="7"/>
      <c r="AE50" s="7"/>
      <c r="AF50" s="7"/>
      <c r="AG50" s="7"/>
      <c r="AH50" s="7"/>
      <c r="AI50" s="7"/>
    </row>
    <row r="51" spans="1:35" ht="22.05" customHeight="1">
      <c r="A51" s="43">
        <v>0.2</v>
      </c>
      <c r="B51" s="44" t="str">
        <f t="shared" si="6"/>
        <v>n.a.</v>
      </c>
      <c r="C51" s="23" t="str">
        <f>IF(IF($H$23="B",H20,J20)="LAYERED",IF($B$23="Inputs complete",IF($H$23="B",'Layered Wind'!$AC$8,'Layered Wind'!$AO$8),"n.a."),IF(AND(ISNUMBER(A51),ISNUMBER($B$36),ISNUMBER($B$37),ISNUMBER($B$38)),$B$36*$B$19^4/(24*$B$37*$B$38)*A51^2*(A51^2-4*A51+6)*1000,"n.a."))</f>
        <v>n.a.</v>
      </c>
      <c r="D51" s="45" t="s">
        <v>276</v>
      </c>
      <c r="E51" s="6"/>
      <c r="F51" s="6"/>
      <c r="G51" s="6"/>
      <c r="H51" s="6"/>
      <c r="I51" s="6"/>
      <c r="J51" s="6"/>
      <c r="K51" s="6"/>
      <c r="L51" s="6">
        <v>2</v>
      </c>
      <c r="M51" s="7">
        <v>20</v>
      </c>
      <c r="N51" s="7">
        <f>IF(AND($N$6,M51&lt;=$M$6),'Core Wall'!V29,0)</f>
        <v>0</v>
      </c>
      <c r="O51" s="7">
        <f>IF(AND($N$6,M51&lt;=$M$6),'Core Wall'!W29,0)</f>
        <v>0</v>
      </c>
      <c r="P51" s="7">
        <f>IF(AND($N$6,M51&lt;=$M$6),INDEX('Core Wall'!V10:V29,IF(M51=$M$6,1,M51+1)),0)</f>
        <v>0</v>
      </c>
      <c r="Q51" s="7">
        <f>IF(AND($N$6,M51&lt;=$M$6),INDEX('Core Wall'!W10:W29,IF(M51=$M$6,1,M51+1)),0)</f>
        <v>0</v>
      </c>
      <c r="R51" s="7">
        <f t="shared" si="0"/>
        <v>0</v>
      </c>
      <c r="S51" s="7">
        <f t="shared" si="1"/>
        <v>0</v>
      </c>
      <c r="T51" s="7">
        <f t="shared" si="2"/>
        <v>0</v>
      </c>
      <c r="U51" s="7">
        <f t="shared" si="3"/>
        <v>0</v>
      </c>
      <c r="V51" s="7">
        <f t="shared" si="4"/>
        <v>0</v>
      </c>
      <c r="W51" s="7">
        <f t="shared" si="5"/>
        <v>0</v>
      </c>
      <c r="X51" s="7"/>
      <c r="Y51" s="7" t="s">
        <v>109</v>
      </c>
      <c r="Z51" s="7"/>
      <c r="AA51" s="7"/>
      <c r="AB51" s="7"/>
      <c r="AC51" s="7"/>
      <c r="AD51" s="7"/>
      <c r="AE51" s="7"/>
      <c r="AF51" s="7"/>
      <c r="AG51" s="7"/>
      <c r="AH51" s="7"/>
      <c r="AI51" s="7"/>
    </row>
    <row r="52" spans="1:35" ht="22.05" customHeight="1">
      <c r="A52" s="43">
        <v>0.3</v>
      </c>
      <c r="B52" s="44" t="str">
        <f t="shared" si="6"/>
        <v>n.a.</v>
      </c>
      <c r="C52" s="23" t="str">
        <f>IF(IF($H$23="B",H20,J20)="LAYERED",IF($B$23="Inputs complete",IF($H$23="B",'Layered Wind'!$AD$8,'Layered Wind'!$AP$8),"n.a."),IF(AND(ISNUMBER(A52),ISNUMBER($B$36),ISNUMBER($B$37),ISNUMBER($B$38)),$B$36*$B$19^4/(24*$B$37*$B$38)*A52^2*(A52^2-4*A52+6)*1000,"n.a."))</f>
        <v>n.a.</v>
      </c>
      <c r="D52" s="45" t="s">
        <v>276</v>
      </c>
      <c r="E52" s="6"/>
      <c r="F52" s="6"/>
      <c r="G52" s="6"/>
      <c r="H52" s="6"/>
      <c r="I52" s="6"/>
      <c r="J52" s="6"/>
      <c r="K52" s="6"/>
      <c r="L52" s="6">
        <v>3</v>
      </c>
      <c r="M52" s="7">
        <v>1</v>
      </c>
      <c r="N52" s="7">
        <f>IF(AND($N$7,M52&lt;=$M$7),'Core Wall'!X10,0)</f>
        <v>0</v>
      </c>
      <c r="O52" s="7">
        <f>IF(AND($N$7,M52&lt;=$M$7),'Core Wall'!Y10,0)</f>
        <v>0</v>
      </c>
      <c r="P52" s="7">
        <f>IF(AND($N$7,M52&lt;=$M$7),INDEX('Core Wall'!X10:X29,IF(M52=$M$7,1,M52+1)),0)</f>
        <v>0</v>
      </c>
      <c r="Q52" s="7">
        <f>IF(AND($N$7,M52&lt;=$M$7),INDEX('Core Wall'!Y10:Y29,IF(M52=$M$7,1,M52+1)),0)</f>
        <v>0</v>
      </c>
      <c r="R52" s="7">
        <f t="shared" si="0"/>
        <v>0</v>
      </c>
      <c r="S52" s="7">
        <f t="shared" si="1"/>
        <v>0</v>
      </c>
      <c r="T52" s="7">
        <f t="shared" si="2"/>
        <v>0</v>
      </c>
      <c r="U52" s="7">
        <f t="shared" si="3"/>
        <v>0</v>
      </c>
      <c r="V52" s="7">
        <f t="shared" si="4"/>
        <v>0</v>
      </c>
      <c r="W52" s="7">
        <f t="shared" si="5"/>
        <v>0</v>
      </c>
      <c r="X52" s="7"/>
      <c r="Y52" s="7" t="s">
        <v>110</v>
      </c>
      <c r="Z52" s="7"/>
      <c r="AA52" s="7"/>
      <c r="AB52" s="7"/>
      <c r="AC52" s="7"/>
      <c r="AD52" s="7"/>
      <c r="AE52" s="7"/>
      <c r="AF52" s="7"/>
      <c r="AG52" s="7"/>
      <c r="AH52" s="7"/>
      <c r="AI52" s="7"/>
    </row>
    <row r="53" spans="1:35" ht="22.05" customHeight="1">
      <c r="A53" s="43">
        <v>0.4</v>
      </c>
      <c r="B53" s="44" t="str">
        <f t="shared" si="6"/>
        <v>n.a.</v>
      </c>
      <c r="C53" s="23" t="str">
        <f>IF(IF($H$23="B",H20,J20)="LAYERED",IF($B$23="Inputs complete",IF($H$23="B",'Layered Wind'!$AE$8,'Layered Wind'!$AQ$8),"n.a."),IF(AND(ISNUMBER(A53),ISNUMBER($B$36),ISNUMBER($B$37),ISNUMBER($B$38)),$B$36*$B$19^4/(24*$B$37*$B$38)*A53^2*(A53^2-4*A53+6)*1000,"n.a."))</f>
        <v>n.a.</v>
      </c>
      <c r="D53" s="45" t="s">
        <v>276</v>
      </c>
      <c r="E53" s="6"/>
      <c r="F53" s="6"/>
      <c r="G53" s="6"/>
      <c r="H53" s="6"/>
      <c r="I53" s="6"/>
      <c r="J53" s="6"/>
      <c r="K53" s="6"/>
      <c r="L53" s="6">
        <v>3</v>
      </c>
      <c r="M53" s="7">
        <v>2</v>
      </c>
      <c r="N53" s="7">
        <f>IF(AND($N$7,M53&lt;=$M$7),'Core Wall'!X11,0)</f>
        <v>0</v>
      </c>
      <c r="O53" s="7">
        <f>IF(AND($N$7,M53&lt;=$M$7),'Core Wall'!Y11,0)</f>
        <v>0</v>
      </c>
      <c r="P53" s="7">
        <f>IF(AND($N$7,M53&lt;=$M$7),INDEX('Core Wall'!X10:X29,IF(M53=$M$7,1,M53+1)),0)</f>
        <v>0</v>
      </c>
      <c r="Q53" s="7">
        <f>IF(AND($N$7,M53&lt;=$M$7),INDEX('Core Wall'!Y10:Y29,IF(M53=$M$7,1,M53+1)),0)</f>
        <v>0</v>
      </c>
      <c r="R53" s="7">
        <f t="shared" si="0"/>
        <v>0</v>
      </c>
      <c r="S53" s="7">
        <f t="shared" si="1"/>
        <v>0</v>
      </c>
      <c r="T53" s="7">
        <f t="shared" si="2"/>
        <v>0</v>
      </c>
      <c r="U53" s="7">
        <f t="shared" si="3"/>
        <v>0</v>
      </c>
      <c r="V53" s="7">
        <f t="shared" si="4"/>
        <v>0</v>
      </c>
      <c r="W53" s="7">
        <f t="shared" si="5"/>
        <v>0</v>
      </c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</row>
    <row r="54" spans="1:35" ht="22.05" customHeight="1">
      <c r="A54" s="43">
        <v>0.5</v>
      </c>
      <c r="B54" s="44" t="str">
        <f t="shared" si="6"/>
        <v>n.a.</v>
      </c>
      <c r="C54" s="23" t="str">
        <f>IF(IF($H$23="B",H20,J20)="LAYERED",IF($B$23="Inputs complete",IF($H$23="B",'Layered Wind'!$AF$8,'Layered Wind'!$AR$8),"n.a."),IF(AND(ISNUMBER(A54),ISNUMBER($B$36),ISNUMBER($B$37),ISNUMBER($B$38)),$B$36*$B$19^4/(24*$B$37*$B$38)*A54^2*(A54^2-4*A54+6)*1000,"n.a."))</f>
        <v>n.a.</v>
      </c>
      <c r="D54" s="45" t="s">
        <v>276</v>
      </c>
      <c r="E54" s="6"/>
      <c r="F54" s="6"/>
      <c r="G54" s="6"/>
      <c r="H54" s="6"/>
      <c r="I54" s="6"/>
      <c r="J54" s="6"/>
      <c r="K54" s="6"/>
      <c r="L54" s="6">
        <v>3</v>
      </c>
      <c r="M54" s="7">
        <v>3</v>
      </c>
      <c r="N54" s="7">
        <f>IF(AND($N$7,M54&lt;=$M$7),'Core Wall'!X12,0)</f>
        <v>0</v>
      </c>
      <c r="O54" s="7">
        <f>IF(AND($N$7,M54&lt;=$M$7),'Core Wall'!Y12,0)</f>
        <v>0</v>
      </c>
      <c r="P54" s="7">
        <f>IF(AND($N$7,M54&lt;=$M$7),INDEX('Core Wall'!X10:X29,IF(M54=$M$7,1,M54+1)),0)</f>
        <v>0</v>
      </c>
      <c r="Q54" s="7">
        <f>IF(AND($N$7,M54&lt;=$M$7),INDEX('Core Wall'!Y10:Y29,IF(M54=$M$7,1,M54+1)),0)</f>
        <v>0</v>
      </c>
      <c r="R54" s="7">
        <f t="shared" si="0"/>
        <v>0</v>
      </c>
      <c r="S54" s="7">
        <f t="shared" si="1"/>
        <v>0</v>
      </c>
      <c r="T54" s="7">
        <f t="shared" si="2"/>
        <v>0</v>
      </c>
      <c r="U54" s="7">
        <f t="shared" si="3"/>
        <v>0</v>
      </c>
      <c r="V54" s="7">
        <f t="shared" si="4"/>
        <v>0</v>
      </c>
      <c r="W54" s="7">
        <f t="shared" si="5"/>
        <v>0</v>
      </c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</row>
    <row r="55" spans="1:35" ht="22.05" customHeight="1">
      <c r="A55" s="43">
        <v>0.6</v>
      </c>
      <c r="B55" s="44" t="str">
        <f t="shared" si="6"/>
        <v>n.a.</v>
      </c>
      <c r="C55" s="23" t="str">
        <f>IF(IF($H$23="B",H20,J20)="LAYERED",IF($B$23="Inputs complete",IF($H$23="B",'Layered Wind'!$AG$8,'Layered Wind'!$AS$8),"n.a."),IF(AND(ISNUMBER(A55),ISNUMBER($B$36),ISNUMBER($B$37),ISNUMBER($B$38)),$B$36*$B$19^4/(24*$B$37*$B$38)*A55^2*(A55^2-4*A55+6)*1000,"n.a."))</f>
        <v>n.a.</v>
      </c>
      <c r="D55" s="45" t="s">
        <v>276</v>
      </c>
      <c r="E55" s="6"/>
      <c r="F55" s="6"/>
      <c r="G55" s="6"/>
      <c r="H55" s="6"/>
      <c r="I55" s="6"/>
      <c r="J55" s="6"/>
      <c r="K55" s="6"/>
      <c r="L55" s="6">
        <v>3</v>
      </c>
      <c r="M55" s="7">
        <v>4</v>
      </c>
      <c r="N55" s="7">
        <f>IF(AND($N$7,M55&lt;=$M$7),'Core Wall'!X13,0)</f>
        <v>0</v>
      </c>
      <c r="O55" s="7">
        <f>IF(AND($N$7,M55&lt;=$M$7),'Core Wall'!Y13,0)</f>
        <v>0</v>
      </c>
      <c r="P55" s="7">
        <f>IF(AND($N$7,M55&lt;=$M$7),INDEX('Core Wall'!X10:X29,IF(M55=$M$7,1,M55+1)),0)</f>
        <v>0</v>
      </c>
      <c r="Q55" s="7">
        <f>IF(AND($N$7,M55&lt;=$M$7),INDEX('Core Wall'!Y10:Y29,IF(M55=$M$7,1,M55+1)),0)</f>
        <v>0</v>
      </c>
      <c r="R55" s="7">
        <f t="shared" si="0"/>
        <v>0</v>
      </c>
      <c r="S55" s="7">
        <f t="shared" si="1"/>
        <v>0</v>
      </c>
      <c r="T55" s="7">
        <f t="shared" si="2"/>
        <v>0</v>
      </c>
      <c r="U55" s="7">
        <f t="shared" si="3"/>
        <v>0</v>
      </c>
      <c r="V55" s="7">
        <f t="shared" si="4"/>
        <v>0</v>
      </c>
      <c r="W55" s="7">
        <f t="shared" si="5"/>
        <v>0</v>
      </c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</row>
    <row r="56" spans="1:35" ht="22.05" customHeight="1">
      <c r="A56" s="43">
        <v>0.7</v>
      </c>
      <c r="B56" s="44" t="str">
        <f t="shared" si="6"/>
        <v>n.a.</v>
      </c>
      <c r="C56" s="23" t="str">
        <f>IF(IF($H$23="B",H20,J20)="LAYERED",IF($B$23="Inputs complete",IF($H$23="B",'Layered Wind'!$AH$8,'Layered Wind'!$AT$8),"n.a."),IF(AND(ISNUMBER(A56),ISNUMBER($B$36),ISNUMBER($B$37),ISNUMBER($B$38)),$B$36*$B$19^4/(24*$B$37*$B$38)*A56^2*(A56^2-4*A56+6)*1000,"n.a."))</f>
        <v>n.a.</v>
      </c>
      <c r="D56" s="45" t="s">
        <v>276</v>
      </c>
      <c r="E56" s="6"/>
      <c r="F56" s="6"/>
      <c r="G56" s="6"/>
      <c r="H56" s="6"/>
      <c r="I56" s="6"/>
      <c r="J56" s="6"/>
      <c r="K56" s="6"/>
      <c r="L56" s="6">
        <v>3</v>
      </c>
      <c r="M56" s="7">
        <v>5</v>
      </c>
      <c r="N56" s="7">
        <f>IF(AND($N$7,M56&lt;=$M$7),'Core Wall'!X14,0)</f>
        <v>0</v>
      </c>
      <c r="O56" s="7">
        <f>IF(AND($N$7,M56&lt;=$M$7),'Core Wall'!Y14,0)</f>
        <v>0</v>
      </c>
      <c r="P56" s="7">
        <f>IF(AND($N$7,M56&lt;=$M$7),INDEX('Core Wall'!X10:X29,IF(M56=$M$7,1,M56+1)),0)</f>
        <v>0</v>
      </c>
      <c r="Q56" s="7">
        <f>IF(AND($N$7,M56&lt;=$M$7),INDEX('Core Wall'!Y10:Y29,IF(M56=$M$7,1,M56+1)),0)</f>
        <v>0</v>
      </c>
      <c r="R56" s="7">
        <f t="shared" si="0"/>
        <v>0</v>
      </c>
      <c r="S56" s="7">
        <f t="shared" si="1"/>
        <v>0</v>
      </c>
      <c r="T56" s="7">
        <f t="shared" si="2"/>
        <v>0</v>
      </c>
      <c r="U56" s="7">
        <f t="shared" si="3"/>
        <v>0</v>
      </c>
      <c r="V56" s="7">
        <f t="shared" si="4"/>
        <v>0</v>
      </c>
      <c r="W56" s="7">
        <f t="shared" si="5"/>
        <v>0</v>
      </c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</row>
    <row r="57" spans="1:35" ht="22.05" customHeight="1">
      <c r="A57" s="43">
        <v>0.8</v>
      </c>
      <c r="B57" s="44" t="str">
        <f t="shared" si="6"/>
        <v>n.a.</v>
      </c>
      <c r="C57" s="23" t="str">
        <f>IF(IF($H$23="B",H20,J20)="LAYERED",IF($B$23="Inputs complete",IF($H$23="B",'Layered Wind'!$AI$8,'Layered Wind'!$AU$8),"n.a."),IF(AND(ISNUMBER(A57),ISNUMBER($B$36),ISNUMBER($B$37),ISNUMBER($B$38)),$B$36*$B$19^4/(24*$B$37*$B$38)*A57^2*(A57^2-4*A57+6)*1000,"n.a."))</f>
        <v>n.a.</v>
      </c>
      <c r="D57" s="45" t="s">
        <v>276</v>
      </c>
      <c r="E57" s="6"/>
      <c r="F57" s="6"/>
      <c r="G57" s="6"/>
      <c r="H57" s="6"/>
      <c r="I57" s="6"/>
      <c r="J57" s="6"/>
      <c r="K57" s="6"/>
      <c r="L57" s="6">
        <v>3</v>
      </c>
      <c r="M57" s="7">
        <v>6</v>
      </c>
      <c r="N57" s="7">
        <f>IF(AND($N$7,M57&lt;=$M$7),'Core Wall'!X15,0)</f>
        <v>0</v>
      </c>
      <c r="O57" s="7">
        <f>IF(AND($N$7,M57&lt;=$M$7),'Core Wall'!Y15,0)</f>
        <v>0</v>
      </c>
      <c r="P57" s="7">
        <f>IF(AND($N$7,M57&lt;=$M$7),INDEX('Core Wall'!X10:X29,IF(M57=$M$7,1,M57+1)),0)</f>
        <v>0</v>
      </c>
      <c r="Q57" s="7">
        <f>IF(AND($N$7,M57&lt;=$M$7),INDEX('Core Wall'!Y10:Y29,IF(M57=$M$7,1,M57+1)),0)</f>
        <v>0</v>
      </c>
      <c r="R57" s="7">
        <f t="shared" si="0"/>
        <v>0</v>
      </c>
      <c r="S57" s="7">
        <f t="shared" si="1"/>
        <v>0</v>
      </c>
      <c r="T57" s="7">
        <f t="shared" si="2"/>
        <v>0</v>
      </c>
      <c r="U57" s="7">
        <f t="shared" si="3"/>
        <v>0</v>
      </c>
      <c r="V57" s="7">
        <f t="shared" si="4"/>
        <v>0</v>
      </c>
      <c r="W57" s="7">
        <f t="shared" si="5"/>
        <v>0</v>
      </c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</row>
    <row r="58" spans="1:35" ht="22.05" customHeight="1">
      <c r="A58" s="43">
        <v>0.9</v>
      </c>
      <c r="B58" s="44" t="str">
        <f t="shared" si="6"/>
        <v>n.a.</v>
      </c>
      <c r="C58" s="23" t="str">
        <f>IF(IF($H$23="B",H20,J20)="LAYERED",IF($B$23="Inputs complete",IF($H$23="B",'Layered Wind'!$AJ$8,'Layered Wind'!$AV$8),"n.a."),IF(AND(ISNUMBER(A58),ISNUMBER($B$36),ISNUMBER($B$37),ISNUMBER($B$38)),$B$36*$B$19^4/(24*$B$37*$B$38)*A58^2*(A58^2-4*A58+6)*1000,"n.a."))</f>
        <v>n.a.</v>
      </c>
      <c r="D58" s="45" t="s">
        <v>276</v>
      </c>
      <c r="E58" s="6"/>
      <c r="F58" s="6"/>
      <c r="G58" s="6"/>
      <c r="H58" s="6"/>
      <c r="I58" s="6"/>
      <c r="J58" s="6"/>
      <c r="K58" s="6"/>
      <c r="L58" s="6">
        <v>3</v>
      </c>
      <c r="M58" s="7">
        <v>7</v>
      </c>
      <c r="N58" s="7">
        <f>IF(AND($N$7,M58&lt;=$M$7),'Core Wall'!X16,0)</f>
        <v>0</v>
      </c>
      <c r="O58" s="7">
        <f>IF(AND($N$7,M58&lt;=$M$7),'Core Wall'!Y16,0)</f>
        <v>0</v>
      </c>
      <c r="P58" s="7">
        <f>IF(AND($N$7,M58&lt;=$M$7),INDEX('Core Wall'!X10:X29,IF(M58=$M$7,1,M58+1)),0)</f>
        <v>0</v>
      </c>
      <c r="Q58" s="7">
        <f>IF(AND($N$7,M58&lt;=$M$7),INDEX('Core Wall'!Y10:Y29,IF(M58=$M$7,1,M58+1)),0)</f>
        <v>0</v>
      </c>
      <c r="R58" s="7">
        <f t="shared" si="0"/>
        <v>0</v>
      </c>
      <c r="S58" s="7">
        <f t="shared" si="1"/>
        <v>0</v>
      </c>
      <c r="T58" s="7">
        <f t="shared" si="2"/>
        <v>0</v>
      </c>
      <c r="U58" s="7">
        <f t="shared" si="3"/>
        <v>0</v>
      </c>
      <c r="V58" s="7">
        <f t="shared" si="4"/>
        <v>0</v>
      </c>
      <c r="W58" s="7">
        <f t="shared" si="5"/>
        <v>0</v>
      </c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</row>
    <row r="59" spans="1:35" ht="22.05" customHeight="1">
      <c r="A59" s="46">
        <v>1</v>
      </c>
      <c r="B59" s="47" t="str">
        <f t="shared" si="6"/>
        <v>n.a.</v>
      </c>
      <c r="C59" s="48" t="str">
        <f>IF(IF($H$23="B",H20,J20)="LAYERED",IF($B$23="Inputs complete",IF($H$23="B",'Layered Wind'!$AK$8,'Layered Wind'!$AW$8),"n.a."),IF(AND(ISNUMBER(A59),ISNUMBER($B$36),ISNUMBER($B$37),ISNUMBER($B$38)),$B$36*$B$19^4/(24*$B$37*$B$38)*A59^2*(A59^2-4*A59+6)*1000,"n.a."))</f>
        <v>n.a.</v>
      </c>
      <c r="D59" s="49" t="s">
        <v>276</v>
      </c>
      <c r="E59" s="6"/>
      <c r="F59" s="6"/>
      <c r="G59" s="6"/>
      <c r="H59" s="6"/>
      <c r="I59" s="6"/>
      <c r="J59" s="6"/>
      <c r="K59" s="6"/>
      <c r="L59" s="6">
        <v>3</v>
      </c>
      <c r="M59" s="7">
        <v>8</v>
      </c>
      <c r="N59" s="7">
        <f>IF(AND($N$7,M59&lt;=$M$7),'Core Wall'!X17,0)</f>
        <v>0</v>
      </c>
      <c r="O59" s="7">
        <f>IF(AND($N$7,M59&lt;=$M$7),'Core Wall'!Y17,0)</f>
        <v>0</v>
      </c>
      <c r="P59" s="7">
        <f>IF(AND($N$7,M59&lt;=$M$7),INDEX('Core Wall'!X10:X29,IF(M59=$M$7,1,M59+1)),0)</f>
        <v>0</v>
      </c>
      <c r="Q59" s="7">
        <f>IF(AND($N$7,M59&lt;=$M$7),INDEX('Core Wall'!Y10:Y29,IF(M59=$M$7,1,M59+1)),0)</f>
        <v>0</v>
      </c>
      <c r="R59" s="7">
        <f t="shared" si="0"/>
        <v>0</v>
      </c>
      <c r="S59" s="7">
        <f t="shared" si="1"/>
        <v>0</v>
      </c>
      <c r="T59" s="7">
        <f t="shared" si="2"/>
        <v>0</v>
      </c>
      <c r="U59" s="7">
        <f t="shared" si="3"/>
        <v>0</v>
      </c>
      <c r="V59" s="7">
        <f t="shared" si="4"/>
        <v>0</v>
      </c>
      <c r="W59" s="7">
        <f t="shared" si="5"/>
        <v>0</v>
      </c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</row>
    <row r="60" spans="1:35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>
        <v>3</v>
      </c>
      <c r="M60" s="7">
        <v>9</v>
      </c>
      <c r="N60" s="7">
        <f>IF(AND($N$7,M60&lt;=$M$7),'Core Wall'!X18,0)</f>
        <v>0</v>
      </c>
      <c r="O60" s="7">
        <f>IF(AND($N$7,M60&lt;=$M$7),'Core Wall'!Y18,0)</f>
        <v>0</v>
      </c>
      <c r="P60" s="7">
        <f>IF(AND($N$7,M60&lt;=$M$7),INDEX('Core Wall'!X10:X29,IF(M60=$M$7,1,M60+1)),0)</f>
        <v>0</v>
      </c>
      <c r="Q60" s="7">
        <f>IF(AND($N$7,M60&lt;=$M$7),INDEX('Core Wall'!Y10:Y29,IF(M60=$M$7,1,M60+1)),0)</f>
        <v>0</v>
      </c>
      <c r="R60" s="7">
        <f t="shared" si="0"/>
        <v>0</v>
      </c>
      <c r="S60" s="7">
        <f t="shared" si="1"/>
        <v>0</v>
      </c>
      <c r="T60" s="7">
        <f t="shared" si="2"/>
        <v>0</v>
      </c>
      <c r="U60" s="7">
        <f t="shared" si="3"/>
        <v>0</v>
      </c>
      <c r="V60" s="7">
        <f t="shared" si="4"/>
        <v>0</v>
      </c>
      <c r="W60" s="7">
        <f t="shared" si="5"/>
        <v>0</v>
      </c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</row>
    <row r="61" spans="1:35">
      <c r="A61" s="6"/>
      <c r="B61" s="6"/>
      <c r="C61" s="6"/>
      <c r="D61" s="6"/>
      <c r="E61" s="6"/>
      <c r="F61" s="6"/>
      <c r="G61" s="6"/>
      <c r="H61" s="6"/>
      <c r="I61" s="6"/>
      <c r="J61" s="6"/>
      <c r="K61" s="6"/>
      <c r="L61" s="6">
        <v>3</v>
      </c>
      <c r="M61" s="7">
        <v>10</v>
      </c>
      <c r="N61" s="7">
        <f>IF(AND($N$7,M61&lt;=$M$7),'Core Wall'!X19,0)</f>
        <v>0</v>
      </c>
      <c r="O61" s="7">
        <f>IF(AND($N$7,M61&lt;=$M$7),'Core Wall'!Y19,0)</f>
        <v>0</v>
      </c>
      <c r="P61" s="7">
        <f>IF(AND($N$7,M61&lt;=$M$7),INDEX('Core Wall'!X10:X29,IF(M61=$M$7,1,M61+1)),0)</f>
        <v>0</v>
      </c>
      <c r="Q61" s="7">
        <f>IF(AND($N$7,M61&lt;=$M$7),INDEX('Core Wall'!Y10:Y29,IF(M61=$M$7,1,M61+1)),0)</f>
        <v>0</v>
      </c>
      <c r="R61" s="7">
        <f t="shared" si="0"/>
        <v>0</v>
      </c>
      <c r="S61" s="7">
        <f t="shared" si="1"/>
        <v>0</v>
      </c>
      <c r="T61" s="7">
        <f t="shared" si="2"/>
        <v>0</v>
      </c>
      <c r="U61" s="7">
        <f t="shared" si="3"/>
        <v>0</v>
      </c>
      <c r="V61" s="7">
        <f t="shared" si="4"/>
        <v>0</v>
      </c>
      <c r="W61" s="7">
        <f t="shared" si="5"/>
        <v>0</v>
      </c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</row>
    <row r="62" spans="1:35">
      <c r="A62" s="50" t="s">
        <v>111</v>
      </c>
      <c r="B62" s="6"/>
      <c r="C62" s="6"/>
      <c r="D62" s="6"/>
      <c r="E62" s="6"/>
      <c r="F62" s="6"/>
      <c r="G62" s="6"/>
      <c r="H62" s="6"/>
      <c r="I62" s="6"/>
      <c r="J62" s="6"/>
      <c r="K62" s="6"/>
      <c r="L62" s="6">
        <v>3</v>
      </c>
      <c r="M62" s="7">
        <v>11</v>
      </c>
      <c r="N62" s="7">
        <f>IF(AND($N$7,M62&lt;=$M$7),'Core Wall'!X20,0)</f>
        <v>0</v>
      </c>
      <c r="O62" s="7">
        <f>IF(AND($N$7,M62&lt;=$M$7),'Core Wall'!Y20,0)</f>
        <v>0</v>
      </c>
      <c r="P62" s="7">
        <f>IF(AND($N$7,M62&lt;=$M$7),INDEX('Core Wall'!X10:X29,IF(M62=$M$7,1,M62+1)),0)</f>
        <v>0</v>
      </c>
      <c r="Q62" s="7">
        <f>IF(AND($N$7,M62&lt;=$M$7),INDEX('Core Wall'!Y10:Y29,IF(M62=$M$7,1,M62+1)),0)</f>
        <v>0</v>
      </c>
      <c r="R62" s="7">
        <f t="shared" si="0"/>
        <v>0</v>
      </c>
      <c r="S62" s="7">
        <f t="shared" si="1"/>
        <v>0</v>
      </c>
      <c r="T62" s="7">
        <f t="shared" si="2"/>
        <v>0</v>
      </c>
      <c r="U62" s="7">
        <f t="shared" si="3"/>
        <v>0</v>
      </c>
      <c r="V62" s="7">
        <f t="shared" si="4"/>
        <v>0</v>
      </c>
      <c r="W62" s="7">
        <f t="shared" si="5"/>
        <v>0</v>
      </c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</row>
    <row r="63" spans="1:35">
      <c r="A63" s="104" t="s">
        <v>112</v>
      </c>
      <c r="B63" s="105"/>
      <c r="C63" s="105"/>
      <c r="D63" s="105"/>
      <c r="E63" s="105"/>
      <c r="F63" s="105"/>
      <c r="G63" s="105"/>
      <c r="H63" s="105"/>
      <c r="I63" s="106"/>
      <c r="J63" s="6"/>
      <c r="K63" s="6"/>
      <c r="L63" s="6">
        <v>3</v>
      </c>
      <c r="M63" s="7">
        <v>12</v>
      </c>
      <c r="N63" s="7">
        <f>IF(AND($N$7,M63&lt;=$M$7),'Core Wall'!X21,0)</f>
        <v>0</v>
      </c>
      <c r="O63" s="7">
        <f>IF(AND($N$7,M63&lt;=$M$7),'Core Wall'!Y21,0)</f>
        <v>0</v>
      </c>
      <c r="P63" s="7">
        <f>IF(AND($N$7,M63&lt;=$M$7),INDEX('Core Wall'!X10:X29,IF(M63=$M$7,1,M63+1)),0)</f>
        <v>0</v>
      </c>
      <c r="Q63" s="7">
        <f>IF(AND($N$7,M63&lt;=$M$7),INDEX('Core Wall'!Y10:Y29,IF(M63=$M$7,1,M63+1)),0)</f>
        <v>0</v>
      </c>
      <c r="R63" s="7">
        <f t="shared" si="0"/>
        <v>0</v>
      </c>
      <c r="S63" s="7">
        <f t="shared" si="1"/>
        <v>0</v>
      </c>
      <c r="T63" s="7">
        <f t="shared" si="2"/>
        <v>0</v>
      </c>
      <c r="U63" s="7">
        <f t="shared" si="3"/>
        <v>0</v>
      </c>
      <c r="V63" s="7">
        <f t="shared" si="4"/>
        <v>0</v>
      </c>
      <c r="W63" s="7">
        <f t="shared" si="5"/>
        <v>0</v>
      </c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</row>
    <row r="64" spans="1:35">
      <c r="A64" s="107"/>
      <c r="B64" s="108"/>
      <c r="C64" s="108"/>
      <c r="D64" s="108"/>
      <c r="E64" s="108"/>
      <c r="F64" s="108"/>
      <c r="G64" s="108"/>
      <c r="H64" s="108"/>
      <c r="I64" s="109"/>
      <c r="J64" s="6"/>
      <c r="K64" s="6"/>
      <c r="L64" s="6">
        <v>3</v>
      </c>
      <c r="M64" s="7">
        <v>13</v>
      </c>
      <c r="N64" s="7">
        <f>IF(AND($N$7,M64&lt;=$M$7),'Core Wall'!X22,0)</f>
        <v>0</v>
      </c>
      <c r="O64" s="7">
        <f>IF(AND($N$7,M64&lt;=$M$7),'Core Wall'!Y22,0)</f>
        <v>0</v>
      </c>
      <c r="P64" s="7">
        <f>IF(AND($N$7,M64&lt;=$M$7),INDEX('Core Wall'!X10:X29,IF(M64=$M$7,1,M64+1)),0)</f>
        <v>0</v>
      </c>
      <c r="Q64" s="7">
        <f>IF(AND($N$7,M64&lt;=$M$7),INDEX('Core Wall'!Y10:Y29,IF(M64=$M$7,1,M64+1)),0)</f>
        <v>0</v>
      </c>
      <c r="R64" s="7">
        <f t="shared" si="0"/>
        <v>0</v>
      </c>
      <c r="S64" s="7">
        <f t="shared" si="1"/>
        <v>0</v>
      </c>
      <c r="T64" s="7">
        <f t="shared" si="2"/>
        <v>0</v>
      </c>
      <c r="U64" s="7">
        <f t="shared" si="3"/>
        <v>0</v>
      </c>
      <c r="V64" s="7">
        <f t="shared" si="4"/>
        <v>0</v>
      </c>
      <c r="W64" s="7">
        <f t="shared" si="5"/>
        <v>0</v>
      </c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</row>
    <row r="65" spans="1:35">
      <c r="A65" s="110"/>
      <c r="B65" s="111"/>
      <c r="C65" s="111"/>
      <c r="D65" s="111"/>
      <c r="E65" s="111"/>
      <c r="F65" s="111"/>
      <c r="G65" s="111"/>
      <c r="H65" s="111"/>
      <c r="I65" s="112"/>
      <c r="J65" s="6"/>
      <c r="K65" s="6"/>
      <c r="L65" s="6">
        <v>3</v>
      </c>
      <c r="M65" s="7">
        <v>14</v>
      </c>
      <c r="N65" s="7">
        <f>IF(AND($N$7,M65&lt;=$M$7),'Core Wall'!X23,0)</f>
        <v>0</v>
      </c>
      <c r="O65" s="7">
        <f>IF(AND($N$7,M65&lt;=$M$7),'Core Wall'!Y23,0)</f>
        <v>0</v>
      </c>
      <c r="P65" s="7">
        <f>IF(AND($N$7,M65&lt;=$M$7),INDEX('Core Wall'!X10:X29,IF(M65=$M$7,1,M65+1)),0)</f>
        <v>0</v>
      </c>
      <c r="Q65" s="7">
        <f>IF(AND($N$7,M65&lt;=$M$7),INDEX('Core Wall'!Y10:Y29,IF(M65=$M$7,1,M65+1)),0)</f>
        <v>0</v>
      </c>
      <c r="R65" s="7">
        <f t="shared" si="0"/>
        <v>0</v>
      </c>
      <c r="S65" s="7">
        <f t="shared" si="1"/>
        <v>0</v>
      </c>
      <c r="T65" s="7">
        <f t="shared" si="2"/>
        <v>0</v>
      </c>
      <c r="U65" s="7">
        <f t="shared" si="3"/>
        <v>0</v>
      </c>
      <c r="V65" s="7">
        <f t="shared" si="4"/>
        <v>0</v>
      </c>
      <c r="W65" s="7">
        <f t="shared" si="5"/>
        <v>0</v>
      </c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</row>
    <row r="66" spans="1:35">
      <c r="A66" s="6"/>
      <c r="B66" s="6"/>
      <c r="C66" s="6"/>
      <c r="D66" s="6"/>
      <c r="E66" s="6"/>
      <c r="F66" s="6"/>
      <c r="G66" s="6" t="s">
        <v>113</v>
      </c>
      <c r="H66" s="6"/>
      <c r="I66" s="6"/>
      <c r="J66" s="6"/>
      <c r="K66" s="6"/>
      <c r="L66" s="6">
        <v>3</v>
      </c>
      <c r="M66" s="7">
        <v>15</v>
      </c>
      <c r="N66" s="7">
        <f>IF(AND($N$7,M66&lt;=$M$7),'Core Wall'!X24,0)</f>
        <v>0</v>
      </c>
      <c r="O66" s="7">
        <f>IF(AND($N$7,M66&lt;=$M$7),'Core Wall'!Y24,0)</f>
        <v>0</v>
      </c>
      <c r="P66" s="7">
        <f>IF(AND($N$7,M66&lt;=$M$7),INDEX('Core Wall'!X10:X29,IF(M66=$M$7,1,M66+1)),0)</f>
        <v>0</v>
      </c>
      <c r="Q66" s="7">
        <f>IF(AND($N$7,M66&lt;=$M$7),INDEX('Core Wall'!Y10:Y29,IF(M66=$M$7,1,M66+1)),0)</f>
        <v>0</v>
      </c>
      <c r="R66" s="7">
        <f t="shared" si="0"/>
        <v>0</v>
      </c>
      <c r="S66" s="7">
        <f t="shared" si="1"/>
        <v>0</v>
      </c>
      <c r="T66" s="7">
        <f t="shared" si="2"/>
        <v>0</v>
      </c>
      <c r="U66" s="7">
        <f t="shared" si="3"/>
        <v>0</v>
      </c>
      <c r="V66" s="7">
        <f t="shared" si="4"/>
        <v>0</v>
      </c>
      <c r="W66" s="7">
        <f t="shared" si="5"/>
        <v>0</v>
      </c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</row>
    <row r="67" spans="1:35" ht="22.05" customHeight="1">
      <c r="A67" s="6"/>
      <c r="B67" s="6"/>
      <c r="C67" s="6"/>
      <c r="D67" s="6"/>
      <c r="E67" s="6"/>
      <c r="F67" s="6"/>
      <c r="G67" s="51" t="s">
        <v>73</v>
      </c>
      <c r="H67" s="51" t="s">
        <v>114</v>
      </c>
      <c r="I67" s="6"/>
      <c r="J67" s="6"/>
      <c r="K67" s="6"/>
      <c r="L67" s="6">
        <v>3</v>
      </c>
      <c r="M67" s="7">
        <v>16</v>
      </c>
      <c r="N67" s="7">
        <f>IF(AND($N$7,M67&lt;=$M$7),'Core Wall'!X25,0)</f>
        <v>0</v>
      </c>
      <c r="O67" s="7">
        <f>IF(AND($N$7,M67&lt;=$M$7),'Core Wall'!Y25,0)</f>
        <v>0</v>
      </c>
      <c r="P67" s="7">
        <f>IF(AND($N$7,M67&lt;=$M$7),INDEX('Core Wall'!X10:X29,IF(M67=$M$7,1,M67+1)),0)</f>
        <v>0</v>
      </c>
      <c r="Q67" s="7">
        <f>IF(AND($N$7,M67&lt;=$M$7),INDEX('Core Wall'!Y10:Y29,IF(M67=$M$7,1,M67+1)),0)</f>
        <v>0</v>
      </c>
      <c r="R67" s="7">
        <f t="shared" si="0"/>
        <v>0</v>
      </c>
      <c r="S67" s="7">
        <f t="shared" si="1"/>
        <v>0</v>
      </c>
      <c r="T67" s="7">
        <f t="shared" si="2"/>
        <v>0</v>
      </c>
      <c r="U67" s="7">
        <f t="shared" si="3"/>
        <v>0</v>
      </c>
      <c r="V67" s="7">
        <f t="shared" si="4"/>
        <v>0</v>
      </c>
      <c r="W67" s="7">
        <f t="shared" si="5"/>
        <v>0</v>
      </c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</row>
    <row r="68" spans="1:35" ht="34.049999999999997" customHeight="1">
      <c r="A68" s="6"/>
      <c r="B68" s="6"/>
      <c r="C68" s="6"/>
      <c r="D68" s="6"/>
      <c r="E68" s="6"/>
      <c r="F68" s="6"/>
      <c r="G68" s="6" t="s">
        <v>115</v>
      </c>
      <c r="H68" s="52">
        <v>18.7</v>
      </c>
      <c r="I68" s="11" t="s">
        <v>116</v>
      </c>
      <c r="J68" s="6"/>
      <c r="K68" s="6"/>
      <c r="L68" s="6">
        <v>3</v>
      </c>
      <c r="M68" s="7">
        <v>17</v>
      </c>
      <c r="N68" s="7">
        <f>IF(AND($N$7,M68&lt;=$M$7),'Core Wall'!X26,0)</f>
        <v>0</v>
      </c>
      <c r="O68" s="7">
        <f>IF(AND($N$7,M68&lt;=$M$7),'Core Wall'!Y26,0)</f>
        <v>0</v>
      </c>
      <c r="P68" s="7">
        <f>IF(AND($N$7,M68&lt;=$M$7),INDEX('Core Wall'!X10:X29,IF(M68=$M$7,1,M68+1)),0)</f>
        <v>0</v>
      </c>
      <c r="Q68" s="7">
        <f>IF(AND($N$7,M68&lt;=$M$7),INDEX('Core Wall'!Y10:Y29,IF(M68=$M$7,1,M68+1)),0)</f>
        <v>0</v>
      </c>
      <c r="R68" s="7">
        <f t="shared" si="0"/>
        <v>0</v>
      </c>
      <c r="S68" s="7">
        <f t="shared" si="1"/>
        <v>0</v>
      </c>
      <c r="T68" s="7">
        <f t="shared" si="2"/>
        <v>0</v>
      </c>
      <c r="U68" s="7">
        <f t="shared" si="3"/>
        <v>0</v>
      </c>
      <c r="V68" s="7">
        <f t="shared" si="4"/>
        <v>0</v>
      </c>
      <c r="W68" s="7">
        <f t="shared" si="5"/>
        <v>0</v>
      </c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</row>
    <row r="69" spans="1:35" ht="34.049999999999997" customHeight="1">
      <c r="A69" s="6"/>
      <c r="B69" s="6"/>
      <c r="C69" s="6"/>
      <c r="D69" s="6"/>
      <c r="E69" s="6"/>
      <c r="F69" s="6"/>
      <c r="G69" s="6" t="s">
        <v>117</v>
      </c>
      <c r="H69" s="52">
        <v>20.5</v>
      </c>
      <c r="I69" s="11" t="s">
        <v>118</v>
      </c>
      <c r="J69" s="6"/>
      <c r="K69" s="6"/>
      <c r="L69" s="6">
        <v>3</v>
      </c>
      <c r="M69" s="7">
        <v>18</v>
      </c>
      <c r="N69" s="7">
        <f>IF(AND($N$7,M69&lt;=$M$7),'Core Wall'!X27,0)</f>
        <v>0</v>
      </c>
      <c r="O69" s="7">
        <f>IF(AND($N$7,M69&lt;=$M$7),'Core Wall'!Y27,0)</f>
        <v>0</v>
      </c>
      <c r="P69" s="7">
        <f>IF(AND($N$7,M69&lt;=$M$7),INDEX('Core Wall'!X10:X29,IF(M69=$M$7,1,M69+1)),0)</f>
        <v>0</v>
      </c>
      <c r="Q69" s="7">
        <f>IF(AND($N$7,M69&lt;=$M$7),INDEX('Core Wall'!Y10:Y29,IF(M69=$M$7,1,M69+1)),0)</f>
        <v>0</v>
      </c>
      <c r="R69" s="7">
        <f t="shared" si="0"/>
        <v>0</v>
      </c>
      <c r="S69" s="7">
        <f t="shared" si="1"/>
        <v>0</v>
      </c>
      <c r="T69" s="7">
        <f t="shared" si="2"/>
        <v>0</v>
      </c>
      <c r="U69" s="7">
        <f t="shared" si="3"/>
        <v>0</v>
      </c>
      <c r="V69" s="7">
        <f t="shared" si="4"/>
        <v>0</v>
      </c>
      <c r="W69" s="7">
        <f t="shared" si="5"/>
        <v>0</v>
      </c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</row>
    <row r="70" spans="1:35" ht="34.049999999999997" customHeight="1">
      <c r="A70" s="6"/>
      <c r="B70" s="6"/>
      <c r="C70" s="6"/>
      <c r="D70" s="6"/>
      <c r="E70" s="6"/>
      <c r="F70" s="6"/>
      <c r="G70" s="6" t="s">
        <v>119</v>
      </c>
      <c r="H70" s="52">
        <v>22.2</v>
      </c>
      <c r="I70" s="11"/>
      <c r="J70" s="6"/>
      <c r="K70" s="6"/>
      <c r="L70" s="6">
        <v>3</v>
      </c>
      <c r="M70" s="7">
        <v>19</v>
      </c>
      <c r="N70" s="7">
        <f>IF(AND($N$7,M70&lt;=$M$7),'Core Wall'!X28,0)</f>
        <v>0</v>
      </c>
      <c r="O70" s="7">
        <f>IF(AND($N$7,M70&lt;=$M$7),'Core Wall'!Y28,0)</f>
        <v>0</v>
      </c>
      <c r="P70" s="7">
        <f>IF(AND($N$7,M70&lt;=$M$7),INDEX('Core Wall'!X10:X29,IF(M70=$M$7,1,M70+1)),0)</f>
        <v>0</v>
      </c>
      <c r="Q70" s="7">
        <f>IF(AND($N$7,M70&lt;=$M$7),INDEX('Core Wall'!Y10:Y29,IF(M70=$M$7,1,M70+1)),0)</f>
        <v>0</v>
      </c>
      <c r="R70" s="7">
        <f t="shared" si="0"/>
        <v>0</v>
      </c>
      <c r="S70" s="7">
        <f t="shared" si="1"/>
        <v>0</v>
      </c>
      <c r="T70" s="7">
        <f t="shared" si="2"/>
        <v>0</v>
      </c>
      <c r="U70" s="7">
        <f t="shared" si="3"/>
        <v>0</v>
      </c>
      <c r="V70" s="7">
        <f t="shared" si="4"/>
        <v>0</v>
      </c>
      <c r="W70" s="7">
        <f t="shared" si="5"/>
        <v>0</v>
      </c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</row>
    <row r="71" spans="1:35" ht="22.05" customHeight="1">
      <c r="G71" s="7" t="s">
        <v>120</v>
      </c>
      <c r="H71" s="53">
        <v>23.7</v>
      </c>
      <c r="L71" s="7">
        <v>3</v>
      </c>
      <c r="M71" s="7">
        <v>20</v>
      </c>
      <c r="N71" s="7">
        <f>IF(AND($N$7,M71&lt;=$M$7),'Core Wall'!X29,0)</f>
        <v>0</v>
      </c>
      <c r="O71" s="7">
        <f>IF(AND($N$7,M71&lt;=$M$7),'Core Wall'!Y29,0)</f>
        <v>0</v>
      </c>
      <c r="P71" s="7">
        <f>IF(AND($N$7,M71&lt;=$M$7),INDEX('Core Wall'!X10:X29,IF(M71=$M$7,1,M71+1)),0)</f>
        <v>0</v>
      </c>
      <c r="Q71" s="7">
        <f>IF(AND($N$7,M71&lt;=$M$7),INDEX('Core Wall'!Y10:Y29,IF(M71=$M$7,1,M71+1)),0)</f>
        <v>0</v>
      </c>
      <c r="R71" s="7">
        <f t="shared" si="0"/>
        <v>0</v>
      </c>
      <c r="S71" s="7">
        <f t="shared" si="1"/>
        <v>0</v>
      </c>
      <c r="T71" s="7">
        <f t="shared" si="2"/>
        <v>0</v>
      </c>
      <c r="U71" s="7">
        <f t="shared" si="3"/>
        <v>0</v>
      </c>
      <c r="V71" s="7">
        <f t="shared" si="4"/>
        <v>0</v>
      </c>
      <c r="W71" s="7">
        <f t="shared" si="5"/>
        <v>0</v>
      </c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</row>
    <row r="72" spans="1:35" ht="22.05" customHeight="1">
      <c r="G72" s="7" t="s">
        <v>121</v>
      </c>
      <c r="H72" s="53">
        <v>25.1</v>
      </c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</row>
    <row r="73" spans="1:35" ht="22.05" customHeight="1">
      <c r="G73" s="7" t="s">
        <v>122</v>
      </c>
      <c r="H73" s="53">
        <v>26.4</v>
      </c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</row>
    <row r="74" spans="1:35" ht="22.05" customHeight="1">
      <c r="G74" s="7" t="s">
        <v>123</v>
      </c>
      <c r="H74" s="53">
        <v>27.7</v>
      </c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</row>
    <row r="75" spans="1:35" ht="22.05" customHeight="1">
      <c r="G75" s="7" t="s">
        <v>124</v>
      </c>
      <c r="H75" s="53">
        <v>28.9</v>
      </c>
      <c r="L75" s="7" t="s">
        <v>125</v>
      </c>
      <c r="M75" s="7" t="s">
        <v>126</v>
      </c>
      <c r="N75" s="7" t="s">
        <v>127</v>
      </c>
      <c r="O75" s="7" t="s">
        <v>128</v>
      </c>
      <c r="P75" s="7" t="s">
        <v>129</v>
      </c>
      <c r="Q75" s="7" t="s">
        <v>130</v>
      </c>
      <c r="R75" s="7" t="s">
        <v>131</v>
      </c>
      <c r="S75" s="7" t="s">
        <v>132</v>
      </c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</row>
    <row r="76" spans="1:35" ht="22.05" customHeight="1">
      <c r="G76" s="7" t="s">
        <v>133</v>
      </c>
      <c r="H76" s="53">
        <v>30</v>
      </c>
      <c r="L76" s="7">
        <v>12</v>
      </c>
      <c r="M76" s="7">
        <v>14</v>
      </c>
      <c r="N76" s="7" t="b">
        <f>AND($N$5,$N$5,1&lt;=$M$5,3&lt;=$M$5,3&lt;&gt;$M$5)</f>
        <v>0</v>
      </c>
      <c r="O76" s="7">
        <f>(P12-N12)*(O14-O12)-(Q12-O12)*(N14-N12)</f>
        <v>0</v>
      </c>
      <c r="P76" s="7">
        <f>(P12-N12)*(Q14-O12)-(Q12-O12)*(P14-N12)</f>
        <v>0</v>
      </c>
      <c r="Q76" s="7">
        <f>(P14-N14)*(O12-O14)-(Q14-O14)*(N12-N14)</f>
        <v>0</v>
      </c>
      <c r="R76" s="7">
        <f>(P14-N14)*(Q12-O14)-(Q14-O14)*(P12-N14)</f>
        <v>0</v>
      </c>
      <c r="S76" s="7">
        <f>IF(N76,IF(AND(O76*P76&lt;=0,Q76*R76&lt;=0,MAX(MIN(N12,P12),MIN(N14,P14))&lt;=MIN(MAX(N12,P12),MAX(N14,P14)),MAX(MIN(O12,Q12),MIN(O14,Q14))&lt;=MIN(MAX(O12,Q12),MAX(O14,Q14))),1,0),0)</f>
        <v>0</v>
      </c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</row>
    <row r="77" spans="1:35" ht="22.05" customHeight="1">
      <c r="G77" s="7" t="s">
        <v>134</v>
      </c>
      <c r="H77" s="53">
        <v>31.1</v>
      </c>
      <c r="L77" s="7">
        <v>12</v>
      </c>
      <c r="M77" s="7">
        <v>15</v>
      </c>
      <c r="N77" s="7" t="b">
        <f>AND($N$5,$N$5,1&lt;=$M$5,4&lt;=$M$5,4&lt;&gt;$M$5)</f>
        <v>0</v>
      </c>
      <c r="O77" s="7">
        <f>(P12-N12)*(O15-O12)-(Q12-O12)*(N15-N12)</f>
        <v>0</v>
      </c>
      <c r="P77" s="7">
        <f>(P12-N12)*(Q15-O12)-(Q12-O12)*(P15-N12)</f>
        <v>0</v>
      </c>
      <c r="Q77" s="7">
        <f>(P15-N15)*(O12-O15)-(Q15-O15)*(N12-N15)</f>
        <v>0</v>
      </c>
      <c r="R77" s="7">
        <f>(P15-N15)*(Q12-O15)-(Q15-O15)*(P12-N15)</f>
        <v>0</v>
      </c>
      <c r="S77" s="7">
        <f>IF(N77,IF(AND(O77*P77&lt;=0,Q77*R77&lt;=0,MAX(MIN(N12,P12),MIN(N15,P15))&lt;=MIN(MAX(N12,P12),MAX(N15,P15)),MAX(MIN(O12,Q12),MIN(O15,Q15))&lt;=MIN(MAX(O12,Q12),MAX(O15,Q15))),1,0),0)</f>
        <v>0</v>
      </c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</row>
    <row r="78" spans="1:35" ht="22.05" customHeight="1">
      <c r="G78" s="7" t="s">
        <v>135</v>
      </c>
      <c r="H78" s="53">
        <v>32.200000000000003</v>
      </c>
      <c r="L78" s="7">
        <v>12</v>
      </c>
      <c r="M78" s="7">
        <v>16</v>
      </c>
      <c r="N78" s="7" t="b">
        <f>AND($N$5,$N$5,1&lt;=$M$5,5&lt;=$M$5,5&lt;&gt;$M$5)</f>
        <v>0</v>
      </c>
      <c r="O78" s="7">
        <f>(P12-N12)*(O16-O12)-(Q12-O12)*(N16-N12)</f>
        <v>0</v>
      </c>
      <c r="P78" s="7">
        <f>(P12-N12)*(Q16-O12)-(Q12-O12)*(P16-N12)</f>
        <v>0</v>
      </c>
      <c r="Q78" s="7">
        <f>(P16-N16)*(O12-O16)-(Q16-O16)*(N12-N16)</f>
        <v>0</v>
      </c>
      <c r="R78" s="7">
        <f>(P16-N16)*(Q12-O16)-(Q16-O16)*(P12-N16)</f>
        <v>0</v>
      </c>
      <c r="S78" s="7">
        <f>IF(N78,IF(AND(O78*P78&lt;=0,Q78*R78&lt;=0,MAX(MIN(N12,P12),MIN(N16,P16))&lt;=MIN(MAX(N12,P12),MAX(N16,P16)),MAX(MIN(O12,Q12),MIN(O16,Q16))&lt;=MIN(MAX(O12,Q12),MAX(O16,Q16))),1,0),0)</f>
        <v>0</v>
      </c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</row>
    <row r="79" spans="1:35" ht="22.05" customHeight="1">
      <c r="G79" s="7" t="s">
        <v>136</v>
      </c>
      <c r="H79" s="53">
        <v>33.200000000000003</v>
      </c>
      <c r="L79" s="7">
        <v>12</v>
      </c>
      <c r="M79" s="7">
        <v>17</v>
      </c>
      <c r="N79" s="7" t="b">
        <f>AND($N$5,$N$5,1&lt;=$M$5,6&lt;=$M$5,6&lt;&gt;$M$5)</f>
        <v>0</v>
      </c>
      <c r="O79" s="7">
        <f>(P12-N12)*(O17-O12)-(Q12-O12)*(N17-N12)</f>
        <v>0</v>
      </c>
      <c r="P79" s="7">
        <f>(P12-N12)*(Q17-O12)-(Q12-O12)*(P17-N12)</f>
        <v>0</v>
      </c>
      <c r="Q79" s="7">
        <f>(P17-N17)*(O12-O17)-(Q17-O17)*(N12-N17)</f>
        <v>0</v>
      </c>
      <c r="R79" s="7">
        <f>(P17-N17)*(Q12-O17)-(Q17-O17)*(P12-N17)</f>
        <v>0</v>
      </c>
      <c r="S79" s="7">
        <f>IF(N79,IF(AND(O79*P79&lt;=0,Q79*R79&lt;=0,MAX(MIN(N12,P12),MIN(N17,P17))&lt;=MIN(MAX(N12,P12),MAX(N17,P17)),MAX(MIN(O12,Q12),MIN(O17,Q17))&lt;=MIN(MAX(O12,Q12),MAX(O17,Q17))),1,0),0)</f>
        <v>0</v>
      </c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</row>
    <row r="80" spans="1:35" ht="22.05" customHeight="1">
      <c r="G80" s="7" t="s">
        <v>137</v>
      </c>
      <c r="H80" s="53">
        <v>34.200000000000003</v>
      </c>
      <c r="L80" s="7">
        <v>12</v>
      </c>
      <c r="M80" s="7">
        <v>18</v>
      </c>
      <c r="N80" s="7" t="b">
        <f>AND($N$5,$N$5,1&lt;=$M$5,7&lt;=$M$5,7&lt;&gt;$M$5)</f>
        <v>0</v>
      </c>
      <c r="O80" s="7">
        <f>(P12-N12)*(O18-O12)-(Q12-O12)*(N18-N12)</f>
        <v>0</v>
      </c>
      <c r="P80" s="7">
        <f>(P12-N12)*(Q18-O12)-(Q12-O12)*(P18-N12)</f>
        <v>0</v>
      </c>
      <c r="Q80" s="7">
        <f>(P18-N18)*(O12-O18)-(Q18-O18)*(N12-N18)</f>
        <v>0</v>
      </c>
      <c r="R80" s="7">
        <f>(P18-N18)*(Q12-O18)-(Q18-O18)*(P12-N18)</f>
        <v>0</v>
      </c>
      <c r="S80" s="7">
        <f>IF(N80,IF(AND(O80*P80&lt;=0,Q80*R80&lt;=0,MAX(MIN(N12,P12),MIN(N18,P18))&lt;=MIN(MAX(N12,P12),MAX(N18,P18)),MAX(MIN(O12,Q12),MIN(O18,Q18))&lt;=MIN(MAX(O12,Q12),MAX(O18,Q18))),1,0),0)</f>
        <v>0</v>
      </c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</row>
    <row r="81" spans="1:35" ht="22.05" customHeight="1">
      <c r="G81" s="7" t="s">
        <v>138</v>
      </c>
      <c r="H81" s="53">
        <v>35.1</v>
      </c>
      <c r="L81" s="7">
        <v>12</v>
      </c>
      <c r="M81" s="7">
        <v>19</v>
      </c>
      <c r="N81" s="7" t="b">
        <f>AND($N$5,$N$5,1&lt;=$M$5,8&lt;=$M$5,8&lt;&gt;$M$5)</f>
        <v>0</v>
      </c>
      <c r="O81" s="7">
        <f>(P12-N12)*(O19-O12)-(Q12-O12)*(N19-N12)</f>
        <v>0</v>
      </c>
      <c r="P81" s="7">
        <f>(P12-N12)*(Q19-O12)-(Q12-O12)*(P19-N12)</f>
        <v>0</v>
      </c>
      <c r="Q81" s="7">
        <f>(P19-N19)*(O12-O19)-(Q19-O19)*(N12-N19)</f>
        <v>0</v>
      </c>
      <c r="R81" s="7">
        <f>(P19-N19)*(Q12-O19)-(Q19-O19)*(P12-N19)</f>
        <v>0</v>
      </c>
      <c r="S81" s="7">
        <f>IF(N81,IF(AND(O81*P81&lt;=0,Q81*R81&lt;=0,MAX(MIN(N12,P12),MIN(N19,P19))&lt;=MIN(MAX(N12,P12),MAX(N19,P19)),MAX(MIN(O12,Q12),MIN(O19,Q19))&lt;=MIN(MAX(O12,Q12),MAX(O19,Q19))),1,0),0)</f>
        <v>0</v>
      </c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</row>
    <row r="82" spans="1:35" ht="22.05" customHeight="1">
      <c r="G82" s="7" t="s">
        <v>139</v>
      </c>
      <c r="H82" s="53">
        <v>36</v>
      </c>
      <c r="L82" s="7">
        <v>12</v>
      </c>
      <c r="M82" s="7">
        <v>20</v>
      </c>
      <c r="N82" s="7" t="b">
        <f>AND($N$5,$N$5,1&lt;=$M$5,9&lt;=$M$5,9&lt;&gt;$M$5)</f>
        <v>0</v>
      </c>
      <c r="O82" s="7">
        <f>(P12-N12)*(O20-O12)-(Q12-O12)*(N20-N12)</f>
        <v>0</v>
      </c>
      <c r="P82" s="7">
        <f>(P12-N12)*(Q20-O12)-(Q12-O12)*(P20-N12)</f>
        <v>0</v>
      </c>
      <c r="Q82" s="7">
        <f>(P20-N20)*(O12-O20)-(Q20-O20)*(N12-N20)</f>
        <v>0</v>
      </c>
      <c r="R82" s="7">
        <f>(P20-N20)*(Q12-O20)-(Q20-O20)*(P12-N20)</f>
        <v>0</v>
      </c>
      <c r="S82" s="7">
        <f>IF(N82,IF(AND(O82*P82&lt;=0,Q82*R82&lt;=0,MAX(MIN(N12,P12),MIN(N20,P20))&lt;=MIN(MAX(N12,P12),MAX(N20,P20)),MAX(MIN(O12,Q12),MIN(O20,Q20))&lt;=MIN(MAX(O12,Q12),MAX(O20,Q20))),1,0),0)</f>
        <v>0</v>
      </c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</row>
    <row r="83" spans="1:35" ht="22.05" customHeight="1">
      <c r="G83" s="7" t="s">
        <v>140</v>
      </c>
      <c r="H83" s="53">
        <v>36.9</v>
      </c>
      <c r="L83" s="7">
        <v>12</v>
      </c>
      <c r="M83" s="7">
        <v>21</v>
      </c>
      <c r="N83" s="7" t="b">
        <f>AND($N$5,$N$5,1&lt;=$M$5,10&lt;=$M$5,10&lt;&gt;$M$5)</f>
        <v>0</v>
      </c>
      <c r="O83" s="7">
        <f>(P12-N12)*(O21-O12)-(Q12-O12)*(N21-N12)</f>
        <v>0</v>
      </c>
      <c r="P83" s="7">
        <f>(P12-N12)*(Q21-O12)-(Q12-O12)*(P21-N12)</f>
        <v>0</v>
      </c>
      <c r="Q83" s="7">
        <f>(P21-N21)*(O12-O21)-(Q21-O21)*(N12-N21)</f>
        <v>0</v>
      </c>
      <c r="R83" s="7">
        <f>(P21-N21)*(Q12-O21)-(Q21-O21)*(P12-N21)</f>
        <v>0</v>
      </c>
      <c r="S83" s="7">
        <f>IF(N83,IF(AND(O83*P83&lt;=0,Q83*R83&lt;=0,MAX(MIN(N12,P12),MIN(N21,P21))&lt;=MIN(MAX(N12,P12),MAX(N21,P21)),MAX(MIN(O12,Q12),MIN(O21,Q21))&lt;=MIN(MAX(O12,Q12),MAX(O21,Q21))),1,0),0)</f>
        <v>0</v>
      </c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</row>
    <row r="84" spans="1:35">
      <c r="L84" s="7">
        <v>12</v>
      </c>
      <c r="M84" s="7">
        <v>22</v>
      </c>
      <c r="N84" s="7" t="b">
        <f>AND($N$5,$N$5,1&lt;=$M$5,11&lt;=$M$5,11&lt;&gt;$M$5)</f>
        <v>0</v>
      </c>
      <c r="O84" s="7">
        <f>(P12-N12)*(O22-O12)-(Q12-O12)*(N22-N12)</f>
        <v>0</v>
      </c>
      <c r="P84" s="7">
        <f>(P12-N12)*(Q22-O12)-(Q12-O12)*(P22-N12)</f>
        <v>0</v>
      </c>
      <c r="Q84" s="7">
        <f>(P22-N22)*(O12-O22)-(Q22-O22)*(N12-N22)</f>
        <v>0</v>
      </c>
      <c r="R84" s="7">
        <f>(P22-N22)*(Q12-O22)-(Q22-O22)*(P12-N22)</f>
        <v>0</v>
      </c>
      <c r="S84" s="7">
        <f>IF(N84,IF(AND(O84*P84&lt;=0,Q84*R84&lt;=0,MAX(MIN(N12,P12),MIN(N22,P22))&lt;=MIN(MAX(N12,P12),MAX(N22,P22)),MAX(MIN(O12,Q12),MIN(O22,Q22))&lt;=MIN(MAX(O12,Q12),MAX(O22,Q22))),1,0),0)</f>
        <v>0</v>
      </c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</row>
    <row r="85" spans="1:35" ht="15">
      <c r="A85" s="54" t="s">
        <v>141</v>
      </c>
      <c r="L85" s="7">
        <v>12</v>
      </c>
      <c r="M85" s="7">
        <v>23</v>
      </c>
      <c r="N85" s="7" t="b">
        <f>AND($N$5,$N$5,1&lt;=$M$5,12&lt;=$M$5,12&lt;&gt;$M$5)</f>
        <v>0</v>
      </c>
      <c r="O85" s="7">
        <f>(P12-N12)*(O23-O12)-(Q12-O12)*(N23-N12)</f>
        <v>0</v>
      </c>
      <c r="P85" s="7">
        <f>(P12-N12)*(Q23-O12)-(Q12-O12)*(P23-N12)</f>
        <v>0</v>
      </c>
      <c r="Q85" s="7">
        <f>(P23-N23)*(O12-O23)-(Q23-O23)*(N12-N23)</f>
        <v>0</v>
      </c>
      <c r="R85" s="7">
        <f>(P23-N23)*(Q12-O23)-(Q23-O23)*(P12-N23)</f>
        <v>0</v>
      </c>
      <c r="S85" s="7">
        <f>IF(N85,IF(AND(O85*P85&lt;=0,Q85*R85&lt;=0,MAX(MIN(N12,P12),MIN(N23,P23))&lt;=MIN(MAX(N12,P12),MAX(N23,P23)),MAX(MIN(O12,Q12),MIN(O23,Q23))&lt;=MIN(MAX(O12,Q12),MAX(O23,Q23))),1,0),0)</f>
        <v>0</v>
      </c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</row>
    <row r="86" spans="1:35">
      <c r="A86" t="s">
        <v>142</v>
      </c>
      <c r="L86" s="7">
        <v>12</v>
      </c>
      <c r="M86" s="7">
        <v>24</v>
      </c>
      <c r="N86" s="7" t="b">
        <f>AND($N$5,$N$5,1&lt;=$M$5,13&lt;=$M$5,13&lt;&gt;$M$5)</f>
        <v>0</v>
      </c>
      <c r="O86" s="7">
        <f>(P12-N12)*(O24-O12)-(Q12-O12)*(N24-N12)</f>
        <v>0</v>
      </c>
      <c r="P86" s="7">
        <f>(P12-N12)*(Q24-O12)-(Q12-O12)*(P24-N12)</f>
        <v>0</v>
      </c>
      <c r="Q86" s="7">
        <f>(P24-N24)*(O12-O24)-(Q24-O24)*(N12-N24)</f>
        <v>0</v>
      </c>
      <c r="R86" s="7">
        <f>(P24-N24)*(Q12-O24)-(Q24-O24)*(P12-N24)</f>
        <v>0</v>
      </c>
      <c r="S86" s="7">
        <f>IF(N86,IF(AND(O86*P86&lt;=0,Q86*R86&lt;=0,MAX(MIN(N12,P12),MIN(N24,P24))&lt;=MIN(MAX(N12,P12),MAX(N24,P24)),MAX(MIN(O12,Q12),MIN(O24,Q24))&lt;=MIN(MAX(O12,Q12),MAX(O24,Q24))),1,0),0)</f>
        <v>0</v>
      </c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</row>
    <row r="87" spans="1:35">
      <c r="L87" s="7">
        <v>12</v>
      </c>
      <c r="M87" s="7">
        <v>25</v>
      </c>
      <c r="N87" s="7" t="b">
        <f>AND($N$5,$N$5,1&lt;=$M$5,14&lt;=$M$5,14&lt;&gt;$M$5)</f>
        <v>0</v>
      </c>
      <c r="O87" s="7">
        <f>(P12-N12)*(O25-O12)-(Q12-O12)*(N25-N12)</f>
        <v>0</v>
      </c>
      <c r="P87" s="7">
        <f>(P12-N12)*(Q25-O12)-(Q12-O12)*(P25-N12)</f>
        <v>0</v>
      </c>
      <c r="Q87" s="7">
        <f>(P25-N25)*(O12-O25)-(Q25-O25)*(N12-N25)</f>
        <v>0</v>
      </c>
      <c r="R87" s="7">
        <f>(P25-N25)*(Q12-O25)-(Q25-O25)*(P12-N25)</f>
        <v>0</v>
      </c>
      <c r="S87" s="7">
        <f>IF(N87,IF(AND(O87*P87&lt;=0,Q87*R87&lt;=0,MAX(MIN(N12,P12),MIN(N25,P25))&lt;=MIN(MAX(N12,P12),MAX(N25,P25)),MAX(MIN(O12,Q12),MIN(O25,Q25))&lt;=MIN(MAX(O12,Q12),MAX(O25,Q25))),1,0),0)</f>
        <v>0</v>
      </c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</row>
    <row r="88" spans="1:35">
      <c r="A88" s="6"/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7" t="b">
        <f>AND($N$5,$N$5,1&lt;=$M$5,15&lt;=$M$5,15&lt;&gt;$M$5)</f>
        <v>0</v>
      </c>
      <c r="O88" s="7">
        <f>(P12-N12)*(O26-O12)-(Q12-O12)*(N26-N12)</f>
        <v>0</v>
      </c>
      <c r="P88" s="7">
        <f>(P12-N12)*(Q26-O12)-(Q12-O12)*(P26-N12)</f>
        <v>0</v>
      </c>
      <c r="Q88" s="7">
        <f>(P26-N26)*(O12-O26)-(Q26-O26)*(N12-N26)</f>
        <v>0</v>
      </c>
      <c r="R88" s="7">
        <f>(P26-N26)*(Q12-O26)-(Q26-O26)*(P12-N26)</f>
        <v>0</v>
      </c>
      <c r="S88" s="7">
        <f>IF(N88,IF(AND(O88*P88&lt;=0,Q88*R88&lt;=0,MAX(MIN(N12,P12),MIN(N26,P26))&lt;=MIN(MAX(N12,P12),MAX(N26,P26)),MAX(MIN(O12,Q12),MIN(O26,Q26))&lt;=MIN(MAX(O12,Q12),MAX(O26,Q26))),1,0),0)</f>
        <v>0</v>
      </c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</row>
    <row r="89" spans="1:35" ht="20.100000000000001">
      <c r="A89" s="8" t="s">
        <v>143</v>
      </c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7" t="b">
        <f>AND($N$5,$N$5,1&lt;=$M$5,16&lt;=$M$5,16&lt;&gt;$M$5)</f>
        <v>0</v>
      </c>
      <c r="O89" s="7">
        <f>(P12-N12)*(O27-O12)-(Q12-O12)*(N27-N12)</f>
        <v>0</v>
      </c>
      <c r="P89" s="7">
        <f>(P12-N12)*(Q27-O12)-(Q12-O12)*(P27-N12)</f>
        <v>0</v>
      </c>
      <c r="Q89" s="7">
        <f>(P27-N27)*(O12-O27)-(Q27-O27)*(N12-N27)</f>
        <v>0</v>
      </c>
      <c r="R89" s="7">
        <f>(P27-N27)*(Q12-O27)-(Q27-O27)*(P12-N27)</f>
        <v>0</v>
      </c>
      <c r="S89" s="7">
        <f>IF(N89,IF(AND(O89*P89&lt;=0,Q89*R89&lt;=0,MAX(MIN(N12,P12),MIN(N27,P27))&lt;=MIN(MAX(N12,P12),MAX(N27,P27)),MAX(MIN(O12,Q12),MIN(O27,Q27))&lt;=MIN(MAX(O12,Q12),MAX(O27,Q27))),1,0),0)</f>
        <v>0</v>
      </c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</row>
    <row r="90" spans="1:35">
      <c r="A90" s="10" t="s">
        <v>144</v>
      </c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7" t="b">
        <f>AND($N$5,$N$5,1&lt;=$M$5,17&lt;=$M$5,17&lt;&gt;$M$5)</f>
        <v>0</v>
      </c>
      <c r="O90" s="7">
        <f>(P12-N12)*(O28-O12)-(Q12-O12)*(N28-N12)</f>
        <v>0</v>
      </c>
      <c r="P90" s="7">
        <f>(P12-N12)*(Q28-O12)-(Q12-O12)*(P28-N12)</f>
        <v>0</v>
      </c>
      <c r="Q90" s="7">
        <f>(P28-N28)*(O12-O28)-(Q28-O28)*(N12-N28)</f>
        <v>0</v>
      </c>
      <c r="R90" s="7">
        <f>(P28-N28)*(Q12-O28)-(Q28-O28)*(P12-N28)</f>
        <v>0</v>
      </c>
      <c r="S90" s="7">
        <f>IF(N90,IF(AND(O90*P90&lt;=0,Q90*R90&lt;=0,MAX(MIN(N12,P12),MIN(N28,P28))&lt;=MIN(MAX(N12,P12),MAX(N28,P28)),MAX(MIN(O12,Q12),MIN(O28,Q28))&lt;=MIN(MAX(O12,Q12),MAX(O28,Q28))),1,0),0)</f>
        <v>0</v>
      </c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</row>
    <row r="91" spans="1:35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7" t="b">
        <f>AND($N$5,$N$5,1&lt;=$M$5,18&lt;=$M$5,18&lt;&gt;$M$5)</f>
        <v>0</v>
      </c>
      <c r="O91" s="7">
        <f>(P12-N12)*(O29-O12)-(Q12-O12)*(N29-N12)</f>
        <v>0</v>
      </c>
      <c r="P91" s="7">
        <f>(P12-N12)*(Q29-O12)-(Q12-O12)*(P29-N12)</f>
        <v>0</v>
      </c>
      <c r="Q91" s="7">
        <f>(P29-N29)*(O12-O29)-(Q29-O29)*(N12-N29)</f>
        <v>0</v>
      </c>
      <c r="R91" s="7">
        <f>(P29-N29)*(Q12-O29)-(Q29-O29)*(P12-N29)</f>
        <v>0</v>
      </c>
      <c r="S91" s="7">
        <f>IF(N91,IF(AND(O91*P91&lt;=0,Q91*R91&lt;=0,MAX(MIN(N12,P12),MIN(N29,P29))&lt;=MIN(MAX(N12,P12),MAX(N29,P29)),MAX(MIN(O12,Q12),MIN(O29,Q29))&lt;=MIN(MAX(O12,Q12),MAX(O29,Q29))),1,0),0)</f>
        <v>0</v>
      </c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</row>
    <row r="92" spans="1:35" ht="14.1">
      <c r="A92" s="6"/>
      <c r="B92" s="6"/>
      <c r="C92" s="6"/>
      <c r="D92" s="6"/>
      <c r="E92" s="6"/>
      <c r="F92" s="6"/>
      <c r="G92" s="6"/>
      <c r="H92" s="6"/>
      <c r="I92" s="6"/>
      <c r="J92" s="13" t="s">
        <v>145</v>
      </c>
      <c r="K92" s="14"/>
      <c r="L92" s="14"/>
      <c r="M92" s="15"/>
      <c r="N92" s="7" t="b">
        <f>AND($N$5,$N$5,1&lt;=$M$5,19&lt;=$M$5,19&lt;&gt;$M$5)</f>
        <v>0</v>
      </c>
      <c r="O92" s="7">
        <f>(P12-N12)*(O30-O12)-(Q12-O12)*(N30-N12)</f>
        <v>0</v>
      </c>
      <c r="P92" s="7">
        <f>(P12-N12)*(Q30-O12)-(Q12-O12)*(P30-N12)</f>
        <v>0</v>
      </c>
      <c r="Q92" s="7">
        <f>(P30-N30)*(O12-O30)-(Q30-O30)*(N12-N30)</f>
        <v>0</v>
      </c>
      <c r="R92" s="7">
        <f>(P30-N30)*(Q12-O30)-(Q30-O30)*(P12-N30)</f>
        <v>0</v>
      </c>
      <c r="S92" s="7">
        <f>IF(N92,IF(AND(O92*P92&lt;=0,Q92*R92&lt;=0,MAX(MIN(N12,P12),MIN(N30,P30))&lt;=MIN(MAX(N12,P12),MAX(N30,P30)),MAX(MIN(O12,Q12),MIN(O30,Q30))&lt;=MIN(MAX(O12,Q12),MAX(O30,Q30))),1,0),0)</f>
        <v>0</v>
      </c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</row>
    <row r="93" spans="1:35">
      <c r="A93" s="6"/>
      <c r="B93" s="6"/>
      <c r="C93" s="6"/>
      <c r="D93" s="6"/>
      <c r="E93" s="6"/>
      <c r="F93" s="6"/>
      <c r="G93" s="6"/>
      <c r="H93" s="6"/>
      <c r="I93" s="6"/>
      <c r="J93" s="16" t="s">
        <v>146</v>
      </c>
      <c r="K93" s="17" t="s">
        <v>147</v>
      </c>
      <c r="L93" s="17" t="s">
        <v>148</v>
      </c>
      <c r="M93" s="18" t="s">
        <v>149</v>
      </c>
      <c r="N93" s="7" t="b">
        <f>AND($N$5,$N$5,1&lt;=$M$5,20&lt;=$M$5,20&lt;&gt;$M$5)</f>
        <v>0</v>
      </c>
      <c r="O93" s="7">
        <f>(P12-N12)*(O31-O12)-(Q12-O12)*(N31-N12)</f>
        <v>0</v>
      </c>
      <c r="P93" s="7">
        <f>(P12-N12)*(Q31-O12)-(Q12-O12)*(P31-N12)</f>
        <v>0</v>
      </c>
      <c r="Q93" s="7">
        <f>(P31-N31)*(O12-O31)-(Q31-O31)*(N12-N31)</f>
        <v>0</v>
      </c>
      <c r="R93" s="7">
        <f>(P31-N31)*(Q12-O31)-(Q31-O31)*(P12-N31)</f>
        <v>0</v>
      </c>
      <c r="S93" s="7">
        <f>IF(N93,IF(AND(O93*P93&lt;=0,Q93*R93&lt;=0,MAX(MIN(N12,P12),MIN(N31,P31))&lt;=MIN(MAX(N12,P12),MAX(N31,P31)),MAX(MIN(O12,Q12),MIN(O31,Q31))&lt;=MIN(MAX(O12,Q12),MAX(O31,Q31))),1,0),0)</f>
        <v>0</v>
      </c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</row>
    <row r="94" spans="1:35" ht="74.099999999999994">
      <c r="A94" s="6"/>
      <c r="B94" s="6"/>
      <c r="C94" s="6"/>
      <c r="D94" s="6"/>
      <c r="E94" s="6"/>
      <c r="F94" s="6"/>
      <c r="G94" s="6"/>
      <c r="H94" s="6"/>
      <c r="I94" s="6"/>
      <c r="J94" s="28" t="s">
        <v>150</v>
      </c>
      <c r="K94" s="28" t="s">
        <v>151</v>
      </c>
      <c r="L94" s="28" t="s">
        <v>152</v>
      </c>
      <c r="M94" s="28" t="s">
        <v>153</v>
      </c>
      <c r="N94" s="7" t="b">
        <f>AND($N$5,$N$6,1&lt;=$M$5,1&lt;=$M$6)</f>
        <v>0</v>
      </c>
      <c r="O94" s="7">
        <f>(P12-N12)*(O32-O12)-(Q12-O12)*(N32-N12)</f>
        <v>0</v>
      </c>
      <c r="P94" s="7">
        <f>(P12-N12)*(Q32-O12)-(Q12-O12)*(P32-N12)</f>
        <v>0</v>
      </c>
      <c r="Q94" s="7">
        <f>(P32-N32)*(O12-O32)-(Q32-O32)*(N12-N32)</f>
        <v>0</v>
      </c>
      <c r="R94" s="7">
        <f>(P32-N32)*(Q12-O32)-(Q32-O32)*(P12-N32)</f>
        <v>0</v>
      </c>
      <c r="S94" s="7">
        <f>IF(N94,IF(AND(O94*P94&lt;=0,Q94*R94&lt;=0,MAX(MIN(N12,P12),MIN(N32,P32))&lt;=MIN(MAX(N12,P12),MAX(N32,P32)),MAX(MIN(O12,Q12),MIN(O32,Q32))&lt;=MIN(MAX(O12,Q12),MAX(O32,Q32))),1,0),0)</f>
        <v>0</v>
      </c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</row>
    <row r="95" spans="1:35" ht="68.7">
      <c r="A95" s="6"/>
      <c r="B95" s="6"/>
      <c r="C95" s="6"/>
      <c r="D95" s="6"/>
      <c r="E95" s="6"/>
      <c r="F95" s="6"/>
      <c r="G95" s="6"/>
      <c r="H95" s="6"/>
      <c r="I95" s="6"/>
      <c r="J95" s="30" t="s">
        <v>154</v>
      </c>
      <c r="K95" s="30" t="s">
        <v>155</v>
      </c>
      <c r="L95" s="30" t="s">
        <v>156</v>
      </c>
      <c r="M95" s="55" t="s">
        <v>157</v>
      </c>
      <c r="N95" s="7" t="b">
        <f>AND($N$5,$N$6,1&lt;=$M$5,2&lt;=$M$6)</f>
        <v>0</v>
      </c>
      <c r="O95" s="7">
        <f>(P12-N12)*(O33-O12)-(Q12-O12)*(N33-N12)</f>
        <v>0</v>
      </c>
      <c r="P95" s="7">
        <f>(P12-N12)*(Q33-O12)-(Q12-O12)*(P33-N12)</f>
        <v>0</v>
      </c>
      <c r="Q95" s="7">
        <f>(P33-N33)*(O12-O33)-(Q33-O33)*(N12-N33)</f>
        <v>0</v>
      </c>
      <c r="R95" s="7">
        <f>(P33-N33)*(Q12-O33)-(Q33-O33)*(P12-N33)</f>
        <v>0</v>
      </c>
      <c r="S95" s="7">
        <f>IF(N95,IF(AND(O95*P95&lt;=0,Q95*R95&lt;=0,MAX(MIN(N12,P12),MIN(N33,P33))&lt;=MIN(MAX(N12,P12),MAX(N33,P33)),MAX(MIN(O12,Q12),MIN(O33,Q33))&lt;=MIN(MAX(O12,Q12),MAX(O33,Q33))),1,0),0)</f>
        <v>0</v>
      </c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</row>
    <row r="96" spans="1:35" ht="80.099999999999994">
      <c r="A96" s="6"/>
      <c r="B96" s="6"/>
      <c r="C96" s="6"/>
      <c r="D96" s="6"/>
      <c r="E96" s="6"/>
      <c r="F96" s="6"/>
      <c r="G96" s="6"/>
      <c r="H96" s="6"/>
      <c r="I96" s="6"/>
      <c r="J96" s="32" t="s">
        <v>158</v>
      </c>
      <c r="K96" s="32" t="s">
        <v>159</v>
      </c>
      <c r="L96" s="32" t="s">
        <v>160</v>
      </c>
      <c r="M96" s="56" t="s">
        <v>161</v>
      </c>
      <c r="N96" s="7" t="b">
        <f>AND($N$5,$N$6,1&lt;=$M$5,3&lt;=$M$6)</f>
        <v>0</v>
      </c>
      <c r="O96" s="7">
        <f>(P12-N12)*(O34-O12)-(Q12-O12)*(N34-N12)</f>
        <v>0</v>
      </c>
      <c r="P96" s="7">
        <f>(P12-N12)*(Q34-O12)-(Q12-O12)*(P34-N12)</f>
        <v>0</v>
      </c>
      <c r="Q96" s="7">
        <f>(P34-N34)*(O12-O34)-(Q34-O34)*(N12-N34)</f>
        <v>0</v>
      </c>
      <c r="R96" s="7">
        <f>(P34-N34)*(Q12-O34)-(Q34-O34)*(P12-N34)</f>
        <v>0</v>
      </c>
      <c r="S96" s="7">
        <f>IF(N96,IF(AND(O96*P96&lt;=0,Q96*R96&lt;=0,MAX(MIN(N12,P12),MIN(N34,P34))&lt;=MIN(MAX(N12,P12),MAX(N34,P34)),MAX(MIN(O12,Q12),MIN(O34,Q34))&lt;=MIN(MAX(O12,Q12),MAX(O34,Q34))),1,0),0)</f>
        <v>0</v>
      </c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</row>
    <row r="97" spans="1:35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7" t="b">
        <f>AND($N$5,$N$6,1&lt;=$M$5,4&lt;=$M$6)</f>
        <v>0</v>
      </c>
      <c r="O97" s="7">
        <f>(P12-N12)*(O35-O12)-(Q12-O12)*(N35-N12)</f>
        <v>0</v>
      </c>
      <c r="P97" s="7">
        <f>(P12-N12)*(Q35-O12)-(Q12-O12)*(P35-N12)</f>
        <v>0</v>
      </c>
      <c r="Q97" s="7">
        <f>(P35-N35)*(O12-O35)-(Q35-O35)*(N12-N35)</f>
        <v>0</v>
      </c>
      <c r="R97" s="7">
        <f>(P35-N35)*(Q12-O35)-(Q35-O35)*(P12-N35)</f>
        <v>0</v>
      </c>
      <c r="S97" s="7">
        <f>IF(N97,IF(AND(O97*P97&lt;=0,Q97*R97&lt;=0,MAX(MIN(N12,P12),MIN(N35,P35))&lt;=MIN(MAX(N12,P12),MAX(N35,P35)),MAX(MIN(O12,Q12),MIN(O35,Q35))&lt;=MIN(MAX(O12,Q12),MAX(O35,Q35))),1,0),0)</f>
        <v>0</v>
      </c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</row>
    <row r="98" spans="1:35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7" t="b">
        <f>AND($N$5,$N$6,1&lt;=$M$5,5&lt;=$M$6)</f>
        <v>0</v>
      </c>
      <c r="O98" s="7">
        <f>(P12-N12)*(O36-O12)-(Q12-O12)*(N36-N12)</f>
        <v>0</v>
      </c>
      <c r="P98" s="7">
        <f>(P12-N12)*(Q36-O12)-(Q12-O12)*(P36-N12)</f>
        <v>0</v>
      </c>
      <c r="Q98" s="7">
        <f>(P36-N36)*(O12-O36)-(Q36-O36)*(N12-N36)</f>
        <v>0</v>
      </c>
      <c r="R98" s="7">
        <f>(P36-N36)*(Q12-O36)-(Q36-O36)*(P12-N36)</f>
        <v>0</v>
      </c>
      <c r="S98" s="7">
        <f>IF(N98,IF(AND(O98*P98&lt;=0,Q98*R98&lt;=0,MAX(MIN(N12,P12),MIN(N36,P36))&lt;=MIN(MAX(N12,P12),MAX(N36,P36)),MAX(MIN(O12,Q12),MIN(O36,Q36))&lt;=MIN(MAX(O12,Q12),MAX(O36,Q36))),1,0),0)</f>
        <v>0</v>
      </c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</row>
    <row r="99" spans="1:35" ht="14.1">
      <c r="A99" s="6"/>
      <c r="B99" s="6"/>
      <c r="C99" s="6"/>
      <c r="D99" s="6"/>
      <c r="E99" s="6"/>
      <c r="F99" s="6"/>
      <c r="G99" s="6"/>
      <c r="H99" s="6"/>
      <c r="I99" s="6"/>
      <c r="J99" s="13" t="s">
        <v>162</v>
      </c>
      <c r="K99" s="14"/>
      <c r="L99" s="14"/>
      <c r="M99" s="15"/>
      <c r="N99" s="7" t="b">
        <f>AND($N$5,$N$6,1&lt;=$M$5,6&lt;=$M$6)</f>
        <v>0</v>
      </c>
      <c r="O99" s="7">
        <f>(P12-N12)*(O37-O12)-(Q12-O12)*(N37-N12)</f>
        <v>0</v>
      </c>
      <c r="P99" s="7">
        <f>(P12-N12)*(Q37-O12)-(Q12-O12)*(P37-N12)</f>
        <v>0</v>
      </c>
      <c r="Q99" s="7">
        <f>(P37-N37)*(O12-O37)-(Q37-O37)*(N12-N37)</f>
        <v>0</v>
      </c>
      <c r="R99" s="7">
        <f>(P37-N37)*(Q12-O37)-(Q37-O37)*(P12-N37)</f>
        <v>0</v>
      </c>
      <c r="S99" s="7">
        <f>IF(N99,IF(AND(O99*P99&lt;=0,Q99*R99&lt;=0,MAX(MIN(N12,P12),MIN(N37,P37))&lt;=MIN(MAX(N12,P12),MAX(N37,P37)),MAX(MIN(O12,Q12),MIN(O37,Q37))&lt;=MIN(MAX(O12,Q12),MAX(O37,Q37))),1,0),0)</f>
        <v>0</v>
      </c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</row>
    <row r="100" spans="1:35">
      <c r="A100" s="6"/>
      <c r="B100" s="6"/>
      <c r="C100" s="6"/>
      <c r="D100" s="6"/>
      <c r="E100" s="6"/>
      <c r="F100" s="6"/>
      <c r="G100" s="6"/>
      <c r="H100" s="6"/>
      <c r="I100" s="6"/>
      <c r="J100" s="86" t="s">
        <v>163</v>
      </c>
      <c r="K100" s="87"/>
      <c r="L100" s="87"/>
      <c r="M100" s="88"/>
      <c r="N100" s="7" t="b">
        <f>AND($N$5,$N$6,1&lt;=$M$5,7&lt;=$M$6)</f>
        <v>0</v>
      </c>
      <c r="O100" s="7">
        <f>(P12-N12)*(O38-O12)-(Q12-O12)*(N38-N12)</f>
        <v>0</v>
      </c>
      <c r="P100" s="7">
        <f>(P12-N12)*(Q38-O12)-(Q12-O12)*(P38-N12)</f>
        <v>0</v>
      </c>
      <c r="Q100" s="7">
        <f>(P38-N38)*(O12-O38)-(Q38-O38)*(N12-N38)</f>
        <v>0</v>
      </c>
      <c r="R100" s="7">
        <f>(P38-N38)*(Q12-O38)-(Q38-O38)*(P12-N38)</f>
        <v>0</v>
      </c>
      <c r="S100" s="7">
        <f>IF(N100,IF(AND(O100*P100&lt;=0,Q100*R100&lt;=0,MAX(MIN(N12,P12),MIN(N38,P38))&lt;=MIN(MAX(N12,P12),MAX(N38,P38)),MAX(MIN(O12,Q12),MIN(O38,Q38))&lt;=MIN(MAX(O12,Q12),MAX(O38,Q38))),1,0),0)</f>
        <v>0</v>
      </c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</row>
    <row r="101" spans="1:35">
      <c r="A101" s="6"/>
      <c r="B101" s="6"/>
      <c r="C101" s="6"/>
      <c r="D101" s="6"/>
      <c r="E101" s="6"/>
      <c r="F101" s="6"/>
      <c r="G101" s="6"/>
      <c r="H101" s="6"/>
      <c r="I101" s="6"/>
      <c r="J101" s="89"/>
      <c r="K101" s="90"/>
      <c r="L101" s="90"/>
      <c r="M101" s="91"/>
      <c r="N101" s="7" t="b">
        <f>AND($N$5,$N$6,1&lt;=$M$5,8&lt;=$M$6)</f>
        <v>0</v>
      </c>
      <c r="O101" s="7">
        <f>(P12-N12)*(O39-O12)-(Q12-O12)*(N39-N12)</f>
        <v>0</v>
      </c>
      <c r="P101" s="7">
        <f>(P12-N12)*(Q39-O12)-(Q12-O12)*(P39-N12)</f>
        <v>0</v>
      </c>
      <c r="Q101" s="7">
        <f>(P39-N39)*(O12-O39)-(Q39-O39)*(N12-N39)</f>
        <v>0</v>
      </c>
      <c r="R101" s="7">
        <f>(P39-N39)*(Q12-O39)-(Q39-O39)*(P12-N39)</f>
        <v>0</v>
      </c>
      <c r="S101" s="7">
        <f>IF(N101,IF(AND(O101*P101&lt;=0,Q101*R101&lt;=0,MAX(MIN(N12,P12),MIN(N39,P39))&lt;=MIN(MAX(N12,P12),MAX(N39,P39)),MAX(MIN(O12,Q12),MIN(O39,Q39))&lt;=MIN(MAX(O12,Q12),MAX(O39,Q39))),1,0),0)</f>
        <v>0</v>
      </c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</row>
    <row r="102" spans="1:35">
      <c r="A102" s="6"/>
      <c r="B102" s="6"/>
      <c r="C102" s="6"/>
      <c r="D102" s="6"/>
      <c r="E102" s="6"/>
      <c r="F102" s="6"/>
      <c r="G102" s="6"/>
      <c r="H102" s="6"/>
      <c r="I102" s="6"/>
      <c r="J102" s="89"/>
      <c r="K102" s="90"/>
      <c r="L102" s="90"/>
      <c r="M102" s="91"/>
      <c r="N102" s="7" t="b">
        <f>AND($N$5,$N$6,1&lt;=$M$5,9&lt;=$M$6)</f>
        <v>0</v>
      </c>
      <c r="O102" s="7">
        <f>(P12-N12)*(O40-O12)-(Q12-O12)*(N40-N12)</f>
        <v>0</v>
      </c>
      <c r="P102" s="7">
        <f>(P12-N12)*(Q40-O12)-(Q12-O12)*(P40-N12)</f>
        <v>0</v>
      </c>
      <c r="Q102" s="7">
        <f>(P40-N40)*(O12-O40)-(Q40-O40)*(N12-N40)</f>
        <v>0</v>
      </c>
      <c r="R102" s="7">
        <f>(P40-N40)*(Q12-O40)-(Q40-O40)*(P12-N40)</f>
        <v>0</v>
      </c>
      <c r="S102" s="7">
        <f>IF(N102,IF(AND(O102*P102&lt;=0,Q102*R102&lt;=0,MAX(MIN(N12,P12),MIN(N40,P40))&lt;=MIN(MAX(N12,P12),MAX(N40,P40)),MAX(MIN(O12,Q12),MIN(O40,Q40))&lt;=MIN(MAX(O12,Q12),MAX(O40,Q40))),1,0),0)</f>
        <v>0</v>
      </c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</row>
    <row r="103" spans="1:35">
      <c r="A103" s="6"/>
      <c r="B103" s="6"/>
      <c r="C103" s="6"/>
      <c r="D103" s="6"/>
      <c r="E103" s="6"/>
      <c r="F103" s="6"/>
      <c r="G103" s="6"/>
      <c r="H103" s="6"/>
      <c r="I103" s="6"/>
      <c r="J103" s="89"/>
      <c r="K103" s="90"/>
      <c r="L103" s="90"/>
      <c r="M103" s="91"/>
      <c r="N103" s="7" t="b">
        <f>AND($N$5,$N$6,1&lt;=$M$5,10&lt;=$M$6)</f>
        <v>0</v>
      </c>
      <c r="O103" s="7">
        <f>(P12-N12)*(O41-O12)-(Q12-O12)*(N41-N12)</f>
        <v>0</v>
      </c>
      <c r="P103" s="7">
        <f>(P12-N12)*(Q41-O12)-(Q12-O12)*(P41-N12)</f>
        <v>0</v>
      </c>
      <c r="Q103" s="7">
        <f>(P41-N41)*(O12-O41)-(Q41-O41)*(N12-N41)</f>
        <v>0</v>
      </c>
      <c r="R103" s="7">
        <f>(P41-N41)*(Q12-O41)-(Q41-O41)*(P12-N41)</f>
        <v>0</v>
      </c>
      <c r="S103" s="7">
        <f>IF(N103,IF(AND(O103*P103&lt;=0,Q103*R103&lt;=0,MAX(MIN(N12,P12),MIN(N41,P41))&lt;=MIN(MAX(N12,P12),MAX(N41,P41)),MAX(MIN(O12,Q12),MIN(O41,Q41))&lt;=MIN(MAX(O12,Q12),MAX(O41,Q41))),1,0),0)</f>
        <v>0</v>
      </c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</row>
    <row r="104" spans="1:35">
      <c r="A104" s="6"/>
      <c r="B104" s="6"/>
      <c r="C104" s="6"/>
      <c r="D104" s="6"/>
      <c r="E104" s="6"/>
      <c r="F104" s="6"/>
      <c r="G104" s="6"/>
      <c r="H104" s="6"/>
      <c r="I104" s="6"/>
      <c r="J104" s="89"/>
      <c r="K104" s="90"/>
      <c r="L104" s="90"/>
      <c r="M104" s="91"/>
      <c r="N104" s="7" t="b">
        <f>AND($N$5,$N$6,1&lt;=$M$5,11&lt;=$M$6)</f>
        <v>0</v>
      </c>
      <c r="O104" s="7">
        <f>(P12-N12)*(O42-O12)-(Q12-O12)*(N42-N12)</f>
        <v>0</v>
      </c>
      <c r="P104" s="7">
        <f>(P12-N12)*(Q42-O12)-(Q12-O12)*(P42-N12)</f>
        <v>0</v>
      </c>
      <c r="Q104" s="7">
        <f>(P42-N42)*(O12-O42)-(Q42-O42)*(N12-N42)</f>
        <v>0</v>
      </c>
      <c r="R104" s="7">
        <f>(P42-N42)*(Q12-O42)-(Q42-O42)*(P12-N42)</f>
        <v>0</v>
      </c>
      <c r="S104" s="7">
        <f>IF(N104,IF(AND(O104*P104&lt;=0,Q104*R104&lt;=0,MAX(MIN(N12,P12),MIN(N42,P42))&lt;=MIN(MAX(N12,P12),MAX(N42,P42)),MAX(MIN(O12,Q12),MIN(O42,Q42))&lt;=MIN(MAX(O12,Q12),MAX(O42,Q42))),1,0),0)</f>
        <v>0</v>
      </c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</row>
    <row r="105" spans="1:35">
      <c r="A105" s="6"/>
      <c r="B105" s="6"/>
      <c r="C105" s="6"/>
      <c r="D105" s="6"/>
      <c r="E105" s="6"/>
      <c r="F105" s="6"/>
      <c r="G105" s="6"/>
      <c r="H105" s="6"/>
      <c r="I105" s="6"/>
      <c r="J105" s="92"/>
      <c r="K105" s="93"/>
      <c r="L105" s="93"/>
      <c r="M105" s="94"/>
      <c r="N105" s="7" t="b">
        <f>AND($N$5,$N$6,1&lt;=$M$5,12&lt;=$M$6)</f>
        <v>0</v>
      </c>
      <c r="O105" s="7">
        <f>(P12-N12)*(O43-O12)-(Q12-O12)*(N43-N12)</f>
        <v>0</v>
      </c>
      <c r="P105" s="7">
        <f>(P12-N12)*(Q43-O12)-(Q12-O12)*(P43-N12)</f>
        <v>0</v>
      </c>
      <c r="Q105" s="7">
        <f>(P43-N43)*(O12-O43)-(Q43-O43)*(N12-N43)</f>
        <v>0</v>
      </c>
      <c r="R105" s="7">
        <f>(P43-N43)*(Q12-O43)-(Q43-O43)*(P12-N43)</f>
        <v>0</v>
      </c>
      <c r="S105" s="7">
        <f>IF(N105,IF(AND(O105*P105&lt;=0,Q105*R105&lt;=0,MAX(MIN(N12,P12),MIN(N43,P43))&lt;=MIN(MAX(N12,P12),MAX(N43,P43)),MAX(MIN(O12,Q12),MIN(O43,Q43))&lt;=MIN(MAX(O12,Q12),MAX(O43,Q43))),1,0),0)</f>
        <v>0</v>
      </c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</row>
    <row r="106" spans="1:35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7" t="b">
        <f>AND($N$5,$N$6,1&lt;=$M$5,13&lt;=$M$6)</f>
        <v>0</v>
      </c>
      <c r="O106" s="7">
        <f>(P12-N12)*(O44-O12)-(Q12-O12)*(N44-N12)</f>
        <v>0</v>
      </c>
      <c r="P106" s="7">
        <f>(P12-N12)*(Q44-O12)-(Q12-O12)*(P44-N12)</f>
        <v>0</v>
      </c>
      <c r="Q106" s="7">
        <f>(P44-N44)*(O12-O44)-(Q44-O44)*(N12-N44)</f>
        <v>0</v>
      </c>
      <c r="R106" s="7">
        <f>(P44-N44)*(Q12-O44)-(Q44-O44)*(P12-N44)</f>
        <v>0</v>
      </c>
      <c r="S106" s="7">
        <f>IF(N106,IF(AND(O106*P106&lt;=0,Q106*R106&lt;=0,MAX(MIN(N12,P12),MIN(N44,P44))&lt;=MIN(MAX(N12,P12),MAX(N44,P44)),MAX(MIN(O12,Q12),MIN(O44,Q44))&lt;=MIN(MAX(O12,Q12),MAX(O44,Q44))),1,0),0)</f>
        <v>0</v>
      </c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</row>
    <row r="107" spans="1:35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7" t="b">
        <f>AND($N$5,$N$6,1&lt;=$M$5,14&lt;=$M$6)</f>
        <v>0</v>
      </c>
      <c r="O107" s="7">
        <f>(P12-N12)*(O45-O12)-(Q12-O12)*(N45-N12)</f>
        <v>0</v>
      </c>
      <c r="P107" s="7">
        <f>(P12-N12)*(Q45-O12)-(Q12-O12)*(P45-N12)</f>
        <v>0</v>
      </c>
      <c r="Q107" s="7">
        <f>(P45-N45)*(O12-O45)-(Q45-O45)*(N12-N45)</f>
        <v>0</v>
      </c>
      <c r="R107" s="7">
        <f>(P45-N45)*(Q12-O45)-(Q45-O45)*(P12-N45)</f>
        <v>0</v>
      </c>
      <c r="S107" s="7">
        <f>IF(N107,IF(AND(O107*P107&lt;=0,Q107*R107&lt;=0,MAX(MIN(N12,P12),MIN(N45,P45))&lt;=MIN(MAX(N12,P12),MAX(N45,P45)),MAX(MIN(O12,Q12),MIN(O45,Q45))&lt;=MIN(MAX(O12,Q12),MAX(O45,Q45))),1,0),0)</f>
        <v>0</v>
      </c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</row>
    <row r="108" spans="1:35">
      <c r="A108" s="6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7" t="b">
        <f>AND($N$5,$N$6,1&lt;=$M$5,15&lt;=$M$6)</f>
        <v>0</v>
      </c>
      <c r="O108" s="7">
        <f>(P12-N12)*(O46-O12)-(Q12-O12)*(N46-N12)</f>
        <v>0</v>
      </c>
      <c r="P108" s="7">
        <f>(P12-N12)*(Q46-O12)-(Q12-O12)*(P46-N12)</f>
        <v>0</v>
      </c>
      <c r="Q108" s="7">
        <f>(P46-N46)*(O12-O46)-(Q46-O46)*(N12-N46)</f>
        <v>0</v>
      </c>
      <c r="R108" s="7">
        <f>(P46-N46)*(Q12-O46)-(Q46-O46)*(P12-N46)</f>
        <v>0</v>
      </c>
      <c r="S108" s="7">
        <f>IF(N108,IF(AND(O108*P108&lt;=0,Q108*R108&lt;=0,MAX(MIN(N12,P12),MIN(N46,P46))&lt;=MIN(MAX(N12,P12),MAX(N46,P46)),MAX(MIN(O12,Q12),MIN(O46,Q46))&lt;=MIN(MAX(O12,Q12),MAX(O46,Q46))),1,0),0)</f>
        <v>0</v>
      </c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</row>
    <row r="109" spans="1:35">
      <c r="A109" s="6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7" t="b">
        <f>AND($N$5,$N$6,1&lt;=$M$5,16&lt;=$M$6)</f>
        <v>0</v>
      </c>
      <c r="O109" s="7">
        <f>(P12-N12)*(O47-O12)-(Q12-O12)*(N47-N12)</f>
        <v>0</v>
      </c>
      <c r="P109" s="7">
        <f>(P12-N12)*(Q47-O12)-(Q12-O12)*(P47-N12)</f>
        <v>0</v>
      </c>
      <c r="Q109" s="7">
        <f>(P47-N47)*(O12-O47)-(Q47-O47)*(N12-N47)</f>
        <v>0</v>
      </c>
      <c r="R109" s="7">
        <f>(P47-N47)*(Q12-O47)-(Q47-O47)*(P12-N47)</f>
        <v>0</v>
      </c>
      <c r="S109" s="7">
        <f>IF(N109,IF(AND(O109*P109&lt;=0,Q109*R109&lt;=0,MAX(MIN(N12,P12),MIN(N47,P47))&lt;=MIN(MAX(N12,P12),MAX(N47,P47)),MAX(MIN(O12,Q12),MIN(O47,Q47))&lt;=MIN(MAX(O12,Q12),MAX(O47,Q47))),1,0),0)</f>
        <v>0</v>
      </c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</row>
    <row r="110" spans="1:35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7" t="b">
        <f>AND($N$5,$N$6,1&lt;=$M$5,17&lt;=$M$6)</f>
        <v>0</v>
      </c>
      <c r="O110" s="7">
        <f>(P12-N12)*(O48-O12)-(Q12-O12)*(N48-N12)</f>
        <v>0</v>
      </c>
      <c r="P110" s="7">
        <f>(P12-N12)*(Q48-O12)-(Q12-O12)*(P48-N12)</f>
        <v>0</v>
      </c>
      <c r="Q110" s="7">
        <f>(P48-N48)*(O12-O48)-(Q48-O48)*(N12-N48)</f>
        <v>0</v>
      </c>
      <c r="R110" s="7">
        <f>(P48-N48)*(Q12-O48)-(Q48-O48)*(P12-N48)</f>
        <v>0</v>
      </c>
      <c r="S110" s="7">
        <f>IF(N110,IF(AND(O110*P110&lt;=0,Q110*R110&lt;=0,MAX(MIN(N12,P12),MIN(N48,P48))&lt;=MIN(MAX(N12,P12),MAX(N48,P48)),MAX(MIN(O12,Q12),MIN(O48,Q48))&lt;=MIN(MAX(O12,Q12),MAX(O48,Q48))),1,0),0)</f>
        <v>0</v>
      </c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</row>
    <row r="111" spans="1:35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7" t="b">
        <f>AND($N$5,$N$6,1&lt;=$M$5,18&lt;=$M$6)</f>
        <v>0</v>
      </c>
      <c r="O111" s="7">
        <f>(P12-N12)*(O49-O12)-(Q12-O12)*(N49-N12)</f>
        <v>0</v>
      </c>
      <c r="P111" s="7">
        <f>(P12-N12)*(Q49-O12)-(Q12-O12)*(P49-N12)</f>
        <v>0</v>
      </c>
      <c r="Q111" s="7">
        <f>(P49-N49)*(O12-O49)-(Q49-O49)*(N12-N49)</f>
        <v>0</v>
      </c>
      <c r="R111" s="7">
        <f>(P49-N49)*(Q12-O49)-(Q49-O49)*(P12-N49)</f>
        <v>0</v>
      </c>
      <c r="S111" s="7">
        <f>IF(N111,IF(AND(O111*P111&lt;=0,Q111*R111&lt;=0,MAX(MIN(N12,P12),MIN(N49,P49))&lt;=MIN(MAX(N12,P12),MAX(N49,P49)),MAX(MIN(O12,Q12),MIN(O49,Q49))&lt;=MIN(MAX(O12,Q12),MAX(O49,Q49))),1,0),0)</f>
        <v>0</v>
      </c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</row>
    <row r="112" spans="1:35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7" t="b">
        <f>AND($N$5,$N$6,1&lt;=$M$5,19&lt;=$M$6)</f>
        <v>0</v>
      </c>
      <c r="O112" s="7">
        <f>(P12-N12)*(O50-O12)-(Q12-O12)*(N50-N12)</f>
        <v>0</v>
      </c>
      <c r="P112" s="7">
        <f>(P12-N12)*(Q50-O12)-(Q12-O12)*(P50-N12)</f>
        <v>0</v>
      </c>
      <c r="Q112" s="7">
        <f>(P50-N50)*(O12-O50)-(Q50-O50)*(N12-N50)</f>
        <v>0</v>
      </c>
      <c r="R112" s="7">
        <f>(P50-N50)*(Q12-O50)-(Q50-O50)*(P12-N50)</f>
        <v>0</v>
      </c>
      <c r="S112" s="7">
        <f>IF(N112,IF(AND(O112*P112&lt;=0,Q112*R112&lt;=0,MAX(MIN(N12,P12),MIN(N50,P50))&lt;=MIN(MAX(N12,P12),MAX(N50,P50)),MAX(MIN(O12,Q12),MIN(O50,Q50))&lt;=MIN(MAX(O12,Q12),MAX(O50,Q50))),1,0),0)</f>
        <v>0</v>
      </c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</row>
    <row r="113" spans="1:35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7" t="b">
        <f>AND($N$5,$N$6,1&lt;=$M$5,20&lt;=$M$6)</f>
        <v>0</v>
      </c>
      <c r="O113" s="7">
        <f>(P12-N12)*(O51-O12)-(Q12-O12)*(N51-N12)</f>
        <v>0</v>
      </c>
      <c r="P113" s="7">
        <f>(P12-N12)*(Q51-O12)-(Q12-O12)*(P51-N12)</f>
        <v>0</v>
      </c>
      <c r="Q113" s="7">
        <f>(P51-N51)*(O12-O51)-(Q51-O51)*(N12-N51)</f>
        <v>0</v>
      </c>
      <c r="R113" s="7">
        <f>(P51-N51)*(Q12-O51)-(Q51-O51)*(P12-N51)</f>
        <v>0</v>
      </c>
      <c r="S113" s="7">
        <f>IF(N113,IF(AND(O113*P113&lt;=0,Q113*R113&lt;=0,MAX(MIN(N12,P12),MIN(N51,P51))&lt;=MIN(MAX(N12,P12),MAX(N51,P51)),MAX(MIN(O12,Q12),MIN(O51,Q51))&lt;=MIN(MAX(O12,Q12),MAX(O51,Q51))),1,0),0)</f>
        <v>0</v>
      </c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</row>
    <row r="114" spans="1:35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7" t="b">
        <f>AND($N$5,$N$7,1&lt;=$M$5,1&lt;=$M$7)</f>
        <v>0</v>
      </c>
      <c r="O114" s="7">
        <f>(P12-N12)*(O52-O12)-(Q12-O12)*(N52-N12)</f>
        <v>0</v>
      </c>
      <c r="P114" s="7">
        <f>(P12-N12)*(Q52-O12)-(Q12-O12)*(P52-N12)</f>
        <v>0</v>
      </c>
      <c r="Q114" s="7">
        <f>(P52-N52)*(O12-O52)-(Q52-O52)*(N12-N52)</f>
        <v>0</v>
      </c>
      <c r="R114" s="7">
        <f>(P52-N52)*(Q12-O52)-(Q52-O52)*(P12-N52)</f>
        <v>0</v>
      </c>
      <c r="S114" s="7">
        <f>IF(N114,IF(AND(O114*P114&lt;=0,Q114*R114&lt;=0,MAX(MIN(N12,P12),MIN(N52,P52))&lt;=MIN(MAX(N12,P12),MAX(N52,P52)),MAX(MIN(O12,Q12),MIN(O52,Q52))&lt;=MIN(MAX(O12,Q12),MAX(O52,Q52))),1,0),0)</f>
        <v>0</v>
      </c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</row>
    <row r="115" spans="1:35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7" t="b">
        <f>AND($N$5,$N$7,1&lt;=$M$5,2&lt;=$M$7)</f>
        <v>0</v>
      </c>
      <c r="O115" s="7">
        <f>(P12-N12)*(O53-O12)-(Q12-O12)*(N53-N12)</f>
        <v>0</v>
      </c>
      <c r="P115" s="7">
        <f>(P12-N12)*(Q53-O12)-(Q12-O12)*(P53-N12)</f>
        <v>0</v>
      </c>
      <c r="Q115" s="7">
        <f>(P53-N53)*(O12-O53)-(Q53-O53)*(N12-N53)</f>
        <v>0</v>
      </c>
      <c r="R115" s="7">
        <f>(P53-N53)*(Q12-O53)-(Q53-O53)*(P12-N53)</f>
        <v>0</v>
      </c>
      <c r="S115" s="7">
        <f>IF(N115,IF(AND(O115*P115&lt;=0,Q115*R115&lt;=0,MAX(MIN(N12,P12),MIN(N53,P53))&lt;=MIN(MAX(N12,P12),MAX(N53,P53)),MAX(MIN(O12,Q12),MIN(O53,Q53))&lt;=MIN(MAX(O12,Q12),MAX(O53,Q53))),1,0),0)</f>
        <v>0</v>
      </c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35">
      <c r="L116" s="7">
        <v>12</v>
      </c>
      <c r="M116" s="7">
        <v>54</v>
      </c>
      <c r="N116" s="7" t="b">
        <f>AND($N$5,$N$7,1&lt;=$M$5,3&lt;=$M$7)</f>
        <v>0</v>
      </c>
      <c r="O116" s="7">
        <f>(P12-N12)*(O54-O12)-(Q12-O12)*(N54-N12)</f>
        <v>0</v>
      </c>
      <c r="P116" s="7">
        <f>(P12-N12)*(Q54-O12)-(Q12-O12)*(P54-N12)</f>
        <v>0</v>
      </c>
      <c r="Q116" s="7">
        <f>(P54-N54)*(O12-O54)-(Q54-O54)*(N12-N54)</f>
        <v>0</v>
      </c>
      <c r="R116" s="7">
        <f>(P54-N54)*(Q12-O54)-(Q54-O54)*(P12-N54)</f>
        <v>0</v>
      </c>
      <c r="S116" s="7">
        <f>IF(N116,IF(AND(O116*P116&lt;=0,Q116*R116&lt;=0,MAX(MIN(N12,P12),MIN(N54,P54))&lt;=MIN(MAX(N12,P12),MAX(N54,P54)),MAX(MIN(O12,Q12),MIN(O54,Q54))&lt;=MIN(MAX(O12,Q12),MAX(O54,Q54))),1,0),0)</f>
        <v>0</v>
      </c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</row>
    <row r="117" spans="1:35">
      <c r="L117" s="7">
        <v>12</v>
      </c>
      <c r="M117" s="7">
        <v>55</v>
      </c>
      <c r="N117" s="7" t="b">
        <f>AND($N$5,$N$7,1&lt;=$M$5,4&lt;=$M$7)</f>
        <v>0</v>
      </c>
      <c r="O117" s="7">
        <f>(P12-N12)*(O55-O12)-(Q12-O12)*(N55-N12)</f>
        <v>0</v>
      </c>
      <c r="P117" s="7">
        <f>(P12-N12)*(Q55-O12)-(Q12-O12)*(P55-N12)</f>
        <v>0</v>
      </c>
      <c r="Q117" s="7">
        <f>(P55-N55)*(O12-O55)-(Q55-O55)*(N12-N55)</f>
        <v>0</v>
      </c>
      <c r="R117" s="7">
        <f>(P55-N55)*(Q12-O55)-(Q55-O55)*(P12-N55)</f>
        <v>0</v>
      </c>
      <c r="S117" s="7">
        <f>IF(N117,IF(AND(O117*P117&lt;=0,Q117*R117&lt;=0,MAX(MIN(N12,P12),MIN(N55,P55))&lt;=MIN(MAX(N12,P12),MAX(N55,P55)),MAX(MIN(O12,Q12),MIN(O55,Q55))&lt;=MIN(MAX(O12,Q12),MAX(O55,Q55))),1,0),0)</f>
        <v>0</v>
      </c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</row>
    <row r="118" spans="1:35">
      <c r="L118" s="7">
        <v>12</v>
      </c>
      <c r="M118" s="7">
        <v>56</v>
      </c>
      <c r="N118" s="7" t="b">
        <f>AND($N$5,$N$7,1&lt;=$M$5,5&lt;=$M$7)</f>
        <v>0</v>
      </c>
      <c r="O118" s="7">
        <f>(P12-N12)*(O56-O12)-(Q12-O12)*(N56-N12)</f>
        <v>0</v>
      </c>
      <c r="P118" s="7">
        <f>(P12-N12)*(Q56-O12)-(Q12-O12)*(P56-N12)</f>
        <v>0</v>
      </c>
      <c r="Q118" s="7">
        <f>(P56-N56)*(O12-O56)-(Q56-O56)*(N12-N56)</f>
        <v>0</v>
      </c>
      <c r="R118" s="7">
        <f>(P56-N56)*(Q12-O56)-(Q56-O56)*(P12-N56)</f>
        <v>0</v>
      </c>
      <c r="S118" s="7">
        <f>IF(N118,IF(AND(O118*P118&lt;=0,Q118*R118&lt;=0,MAX(MIN(N12,P12),MIN(N56,P56))&lt;=MIN(MAX(N12,P12),MAX(N56,P56)),MAX(MIN(O12,Q12),MIN(O56,Q56))&lt;=MIN(MAX(O12,Q12),MAX(O56,Q56))),1,0),0)</f>
        <v>0</v>
      </c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</row>
    <row r="119" spans="1:35">
      <c r="L119" s="7">
        <v>12</v>
      </c>
      <c r="M119" s="7">
        <v>57</v>
      </c>
      <c r="N119" s="7" t="b">
        <f>AND($N$5,$N$7,1&lt;=$M$5,6&lt;=$M$7)</f>
        <v>0</v>
      </c>
      <c r="O119" s="7">
        <f>(P12-N12)*(O57-O12)-(Q12-O12)*(N57-N12)</f>
        <v>0</v>
      </c>
      <c r="P119" s="7">
        <f>(P12-N12)*(Q57-O12)-(Q12-O12)*(P57-N12)</f>
        <v>0</v>
      </c>
      <c r="Q119" s="7">
        <f>(P57-N57)*(O12-O57)-(Q57-O57)*(N12-N57)</f>
        <v>0</v>
      </c>
      <c r="R119" s="7">
        <f>(P57-N57)*(Q12-O57)-(Q57-O57)*(P12-N57)</f>
        <v>0</v>
      </c>
      <c r="S119" s="7">
        <f>IF(N119,IF(AND(O119*P119&lt;=0,Q119*R119&lt;=0,MAX(MIN(N12,P12),MIN(N57,P57))&lt;=MIN(MAX(N12,P12),MAX(N57,P57)),MAX(MIN(O12,Q12),MIN(O57,Q57))&lt;=MIN(MAX(O12,Q12),MAX(O57,Q57))),1,0),0)</f>
        <v>0</v>
      </c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</row>
    <row r="120" spans="1:35">
      <c r="L120" s="7">
        <v>12</v>
      </c>
      <c r="M120" s="7">
        <v>58</v>
      </c>
      <c r="N120" s="7" t="b">
        <f>AND($N$5,$N$7,1&lt;=$M$5,7&lt;=$M$7)</f>
        <v>0</v>
      </c>
      <c r="O120" s="7">
        <f>(P12-N12)*(O58-O12)-(Q12-O12)*(N58-N12)</f>
        <v>0</v>
      </c>
      <c r="P120" s="7">
        <f>(P12-N12)*(Q58-O12)-(Q12-O12)*(P58-N12)</f>
        <v>0</v>
      </c>
      <c r="Q120" s="7">
        <f>(P58-N58)*(O12-O58)-(Q58-O58)*(N12-N58)</f>
        <v>0</v>
      </c>
      <c r="R120" s="7">
        <f>(P58-N58)*(Q12-O58)-(Q58-O58)*(P12-N58)</f>
        <v>0</v>
      </c>
      <c r="S120" s="7">
        <f>IF(N120,IF(AND(O120*P120&lt;=0,Q120*R120&lt;=0,MAX(MIN(N12,P12),MIN(N58,P58))&lt;=MIN(MAX(N12,P12),MAX(N58,P58)),MAX(MIN(O12,Q12),MIN(O58,Q58))&lt;=MIN(MAX(O12,Q12),MAX(O58,Q58))),1,0),0)</f>
        <v>0</v>
      </c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</row>
    <row r="121" spans="1:35">
      <c r="L121" s="7">
        <v>12</v>
      </c>
      <c r="M121" s="7">
        <v>59</v>
      </c>
      <c r="N121" s="7" t="b">
        <f>AND($N$5,$N$7,1&lt;=$M$5,8&lt;=$M$7)</f>
        <v>0</v>
      </c>
      <c r="O121" s="7">
        <f>(P12-N12)*(O59-O12)-(Q12-O12)*(N59-N12)</f>
        <v>0</v>
      </c>
      <c r="P121" s="7">
        <f>(P12-N12)*(Q59-O12)-(Q12-O12)*(P59-N12)</f>
        <v>0</v>
      </c>
      <c r="Q121" s="7">
        <f>(P59-N59)*(O12-O59)-(Q59-O59)*(N12-N59)</f>
        <v>0</v>
      </c>
      <c r="R121" s="7">
        <f>(P59-N59)*(Q12-O59)-(Q59-O59)*(P12-N59)</f>
        <v>0</v>
      </c>
      <c r="S121" s="7">
        <f>IF(N121,IF(AND(O121*P121&lt;=0,Q121*R121&lt;=0,MAX(MIN(N12,P12),MIN(N59,P59))&lt;=MIN(MAX(N12,P12),MAX(N59,P59)),MAX(MIN(O12,Q12),MIN(O59,Q59))&lt;=MIN(MAX(O12,Q12),MAX(O59,Q59))),1,0),0)</f>
        <v>0</v>
      </c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</row>
    <row r="122" spans="1:35">
      <c r="L122" s="7">
        <v>12</v>
      </c>
      <c r="M122" s="7">
        <v>60</v>
      </c>
      <c r="N122" s="7" t="b">
        <f>AND($N$5,$N$7,1&lt;=$M$5,9&lt;=$M$7)</f>
        <v>0</v>
      </c>
      <c r="O122" s="7">
        <f>(P12-N12)*(O60-O12)-(Q12-O12)*(N60-N12)</f>
        <v>0</v>
      </c>
      <c r="P122" s="7">
        <f>(P12-N12)*(Q60-O12)-(Q12-O12)*(P60-N12)</f>
        <v>0</v>
      </c>
      <c r="Q122" s="7">
        <f>(P60-N60)*(O12-O60)-(Q60-O60)*(N12-N60)</f>
        <v>0</v>
      </c>
      <c r="R122" s="7">
        <f>(P60-N60)*(Q12-O60)-(Q60-O60)*(P12-N60)</f>
        <v>0</v>
      </c>
      <c r="S122" s="7">
        <f>IF(N122,IF(AND(O122*P122&lt;=0,Q122*R122&lt;=0,MAX(MIN(N12,P12),MIN(N60,P60))&lt;=MIN(MAX(N12,P12),MAX(N60,P60)),MAX(MIN(O12,Q12),MIN(O60,Q60))&lt;=MIN(MAX(O12,Q12),MAX(O60,Q60))),1,0),0)</f>
        <v>0</v>
      </c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</row>
    <row r="123" spans="1:35">
      <c r="L123" s="7">
        <v>12</v>
      </c>
      <c r="M123" s="7">
        <v>61</v>
      </c>
      <c r="N123" s="7" t="b">
        <f>AND($N$5,$N$7,1&lt;=$M$5,10&lt;=$M$7)</f>
        <v>0</v>
      </c>
      <c r="O123" s="7">
        <f>(P12-N12)*(O61-O12)-(Q12-O12)*(N61-N12)</f>
        <v>0</v>
      </c>
      <c r="P123" s="7">
        <f>(P12-N12)*(Q61-O12)-(Q12-O12)*(P61-N12)</f>
        <v>0</v>
      </c>
      <c r="Q123" s="7">
        <f>(P61-N61)*(O12-O61)-(Q61-O61)*(N12-N61)</f>
        <v>0</v>
      </c>
      <c r="R123" s="7">
        <f>(P61-N61)*(Q12-O61)-(Q61-O61)*(P12-N61)</f>
        <v>0</v>
      </c>
      <c r="S123" s="7">
        <f>IF(N123,IF(AND(O123*P123&lt;=0,Q123*R123&lt;=0,MAX(MIN(N12,P12),MIN(N61,P61))&lt;=MIN(MAX(N12,P12),MAX(N61,P61)),MAX(MIN(O12,Q12),MIN(O61,Q61))&lt;=MIN(MAX(O12,Q12),MAX(O61,Q61))),1,0),0)</f>
        <v>0</v>
      </c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</row>
    <row r="124" spans="1:35">
      <c r="L124" s="7">
        <v>12</v>
      </c>
      <c r="M124" s="7">
        <v>62</v>
      </c>
      <c r="N124" s="7" t="b">
        <f>AND($N$5,$N$7,1&lt;=$M$5,11&lt;=$M$7)</f>
        <v>0</v>
      </c>
      <c r="O124" s="7">
        <f>(P12-N12)*(O62-O12)-(Q12-O12)*(N62-N12)</f>
        <v>0</v>
      </c>
      <c r="P124" s="7">
        <f>(P12-N12)*(Q62-O12)-(Q12-O12)*(P62-N12)</f>
        <v>0</v>
      </c>
      <c r="Q124" s="7">
        <f>(P62-N62)*(O12-O62)-(Q62-O62)*(N12-N62)</f>
        <v>0</v>
      </c>
      <c r="R124" s="7">
        <f>(P62-N62)*(Q12-O62)-(Q62-O62)*(P12-N62)</f>
        <v>0</v>
      </c>
      <c r="S124" s="7">
        <f>IF(N124,IF(AND(O124*P124&lt;=0,Q124*R124&lt;=0,MAX(MIN(N12,P12),MIN(N62,P62))&lt;=MIN(MAX(N12,P12),MAX(N62,P62)),MAX(MIN(O12,Q12),MIN(O62,Q62))&lt;=MIN(MAX(O12,Q12),MAX(O62,Q62))),1,0),0)</f>
        <v>0</v>
      </c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</row>
    <row r="125" spans="1:35">
      <c r="L125" s="7">
        <v>12</v>
      </c>
      <c r="M125" s="7">
        <v>63</v>
      </c>
      <c r="N125" s="7" t="b">
        <f>AND($N$5,$N$7,1&lt;=$M$5,12&lt;=$M$7)</f>
        <v>0</v>
      </c>
      <c r="O125" s="7">
        <f>(P12-N12)*(O63-O12)-(Q12-O12)*(N63-N12)</f>
        <v>0</v>
      </c>
      <c r="P125" s="7">
        <f>(P12-N12)*(Q63-O12)-(Q12-O12)*(P63-N12)</f>
        <v>0</v>
      </c>
      <c r="Q125" s="7">
        <f>(P63-N63)*(O12-O63)-(Q63-O63)*(N12-N63)</f>
        <v>0</v>
      </c>
      <c r="R125" s="7">
        <f>(P63-N63)*(Q12-O63)-(Q63-O63)*(P12-N63)</f>
        <v>0</v>
      </c>
      <c r="S125" s="7">
        <f>IF(N125,IF(AND(O125*P125&lt;=0,Q125*R125&lt;=0,MAX(MIN(N12,P12),MIN(N63,P63))&lt;=MIN(MAX(N12,P12),MAX(N63,P63)),MAX(MIN(O12,Q12),MIN(O63,Q63))&lt;=MIN(MAX(O12,Q12),MAX(O63,Q63))),1,0),0)</f>
        <v>0</v>
      </c>
      <c r="T125" s="7"/>
      <c r="U125" s="7"/>
      <c r="V125" s="7"/>
      <c r="W125" s="7"/>
      <c r="X125" s="7"/>
      <c r="Y125" s="7"/>
      <c r="Z125" s="7"/>
      <c r="AA125" s="7"/>
      <c r="AB125" s="7"/>
      <c r="AC125" s="7"/>
      <c r="AD125" s="7"/>
      <c r="AE125" s="7"/>
      <c r="AF125" s="7"/>
      <c r="AG125" s="7"/>
      <c r="AH125" s="7"/>
      <c r="AI125" s="7"/>
    </row>
    <row r="126" spans="1:35">
      <c r="L126" s="7">
        <v>12</v>
      </c>
      <c r="M126" s="7">
        <v>64</v>
      </c>
      <c r="N126" s="7" t="b">
        <f>AND($N$5,$N$7,1&lt;=$M$5,13&lt;=$M$7)</f>
        <v>0</v>
      </c>
      <c r="O126" s="7">
        <f>(P12-N12)*(O64-O12)-(Q12-O12)*(N64-N12)</f>
        <v>0</v>
      </c>
      <c r="P126" s="7">
        <f>(P12-N12)*(Q64-O12)-(Q12-O12)*(P64-N12)</f>
        <v>0</v>
      </c>
      <c r="Q126" s="7">
        <f>(P64-N64)*(O12-O64)-(Q64-O64)*(N12-N64)</f>
        <v>0</v>
      </c>
      <c r="R126" s="7">
        <f>(P64-N64)*(Q12-O64)-(Q64-O64)*(P12-N64)</f>
        <v>0</v>
      </c>
      <c r="S126" s="7">
        <f>IF(N126,IF(AND(O126*P126&lt;=0,Q126*R126&lt;=0,MAX(MIN(N12,P12),MIN(N64,P64))&lt;=MIN(MAX(N12,P12),MAX(N64,P64)),MAX(MIN(O12,Q12),MIN(O64,Q64))&lt;=MIN(MAX(O12,Q12),MAX(O64,Q64))),1,0),0)</f>
        <v>0</v>
      </c>
      <c r="T126" s="7"/>
      <c r="U126" s="7"/>
      <c r="V126" s="7"/>
      <c r="W126" s="7"/>
      <c r="X126" s="7"/>
      <c r="Y126" s="7"/>
      <c r="Z126" s="7"/>
      <c r="AA126" s="7"/>
      <c r="AB126" s="7"/>
      <c r="AC126" s="7"/>
      <c r="AD126" s="7"/>
      <c r="AE126" s="7"/>
      <c r="AF126" s="7"/>
      <c r="AG126" s="7"/>
      <c r="AH126" s="7"/>
      <c r="AI126" s="7"/>
    </row>
    <row r="127" spans="1:35">
      <c r="L127" s="7">
        <v>12</v>
      </c>
      <c r="M127" s="7">
        <v>65</v>
      </c>
      <c r="N127" s="7" t="b">
        <f>AND($N$5,$N$7,1&lt;=$M$5,14&lt;=$M$7)</f>
        <v>0</v>
      </c>
      <c r="O127" s="7">
        <f>(P12-N12)*(O65-O12)-(Q12-O12)*(N65-N12)</f>
        <v>0</v>
      </c>
      <c r="P127" s="7">
        <f>(P12-N12)*(Q65-O12)-(Q12-O12)*(P65-N12)</f>
        <v>0</v>
      </c>
      <c r="Q127" s="7">
        <f>(P65-N65)*(O12-O65)-(Q65-O65)*(N12-N65)</f>
        <v>0</v>
      </c>
      <c r="R127" s="7">
        <f>(P65-N65)*(Q12-O65)-(Q65-O65)*(P12-N65)</f>
        <v>0</v>
      </c>
      <c r="S127" s="7">
        <f>IF(N127,IF(AND(O127*P127&lt;=0,Q127*R127&lt;=0,MAX(MIN(N12,P12),MIN(N65,P65))&lt;=MIN(MAX(N12,P12),MAX(N65,P65)),MAX(MIN(O12,Q12),MIN(O65,Q65))&lt;=MIN(MAX(O12,Q12),MAX(O65,Q65))),1,0),0)</f>
        <v>0</v>
      </c>
      <c r="T127" s="7"/>
      <c r="U127" s="7"/>
      <c r="V127" s="7"/>
      <c r="W127" s="7"/>
      <c r="X127" s="7"/>
      <c r="Y127" s="7"/>
      <c r="Z127" s="7"/>
      <c r="AA127" s="7"/>
      <c r="AB127" s="7"/>
      <c r="AC127" s="7"/>
      <c r="AD127" s="7"/>
      <c r="AE127" s="7"/>
      <c r="AF127" s="7"/>
      <c r="AG127" s="7"/>
      <c r="AH127" s="7"/>
      <c r="AI127" s="7"/>
    </row>
    <row r="128" spans="1:35">
      <c r="L128" s="7">
        <v>12</v>
      </c>
      <c r="M128" s="7">
        <v>66</v>
      </c>
      <c r="N128" s="7" t="b">
        <f>AND($N$5,$N$7,1&lt;=$M$5,15&lt;=$M$7)</f>
        <v>0</v>
      </c>
      <c r="O128" s="7">
        <f>(P12-N12)*(O66-O12)-(Q12-O12)*(N66-N12)</f>
        <v>0</v>
      </c>
      <c r="P128" s="7">
        <f>(P12-N12)*(Q66-O12)-(Q12-O12)*(P66-N12)</f>
        <v>0</v>
      </c>
      <c r="Q128" s="7">
        <f>(P66-N66)*(O12-O66)-(Q66-O66)*(N12-N66)</f>
        <v>0</v>
      </c>
      <c r="R128" s="7">
        <f>(P66-N66)*(Q12-O66)-(Q66-O66)*(P12-N66)</f>
        <v>0</v>
      </c>
      <c r="S128" s="7">
        <f>IF(N128,IF(AND(O128*P128&lt;=0,Q128*R128&lt;=0,MAX(MIN(N12,P12),MIN(N66,P66))&lt;=MIN(MAX(N12,P12),MAX(N66,P66)),MAX(MIN(O12,Q12),MIN(O66,Q66))&lt;=MIN(MAX(O12,Q12),MAX(O66,Q66))),1,0),0)</f>
        <v>0</v>
      </c>
      <c r="T128" s="7"/>
      <c r="U128" s="7"/>
      <c r="V128" s="7"/>
      <c r="W128" s="7"/>
      <c r="X128" s="7"/>
      <c r="Y128" s="7"/>
      <c r="Z128" s="7"/>
      <c r="AA128" s="7"/>
      <c r="AB128" s="7"/>
      <c r="AC128" s="7"/>
      <c r="AD128" s="7"/>
      <c r="AE128" s="7"/>
      <c r="AF128" s="7"/>
      <c r="AG128" s="7"/>
      <c r="AH128" s="7"/>
      <c r="AI128" s="7"/>
    </row>
    <row r="129" spans="12:35">
      <c r="L129" s="7">
        <v>12</v>
      </c>
      <c r="M129" s="7">
        <v>67</v>
      </c>
      <c r="N129" s="7" t="b">
        <f>AND($N$5,$N$7,1&lt;=$M$5,16&lt;=$M$7)</f>
        <v>0</v>
      </c>
      <c r="O129" s="7">
        <f>(P12-N12)*(O67-O12)-(Q12-O12)*(N67-N12)</f>
        <v>0</v>
      </c>
      <c r="P129" s="7">
        <f>(P12-N12)*(Q67-O12)-(Q12-O12)*(P67-N12)</f>
        <v>0</v>
      </c>
      <c r="Q129" s="7">
        <f>(P67-N67)*(O12-O67)-(Q67-O67)*(N12-N67)</f>
        <v>0</v>
      </c>
      <c r="R129" s="7">
        <f>(P67-N67)*(Q12-O67)-(Q67-O67)*(P12-N67)</f>
        <v>0</v>
      </c>
      <c r="S129" s="7">
        <f>IF(N129,IF(AND(O129*P129&lt;=0,Q129*R129&lt;=0,MAX(MIN(N12,P12),MIN(N67,P67))&lt;=MIN(MAX(N12,P12),MAX(N67,P67)),MAX(MIN(O12,Q12),MIN(O67,Q67))&lt;=MIN(MAX(O12,Q12),MAX(O67,Q67))),1,0),0)</f>
        <v>0</v>
      </c>
      <c r="T129" s="7"/>
      <c r="U129" s="7"/>
      <c r="V129" s="7"/>
      <c r="W129" s="7"/>
      <c r="X129" s="7"/>
      <c r="Y129" s="7"/>
      <c r="Z129" s="7"/>
      <c r="AA129" s="7"/>
      <c r="AB129" s="7"/>
      <c r="AC129" s="7"/>
      <c r="AD129" s="7"/>
      <c r="AE129" s="7"/>
      <c r="AF129" s="7"/>
      <c r="AG129" s="7"/>
      <c r="AH129" s="7"/>
      <c r="AI129" s="7"/>
    </row>
    <row r="130" spans="12:35">
      <c r="L130" s="7">
        <v>12</v>
      </c>
      <c r="M130" s="7">
        <v>68</v>
      </c>
      <c r="N130" s="7" t="b">
        <f>AND($N$5,$N$7,1&lt;=$M$5,17&lt;=$M$7)</f>
        <v>0</v>
      </c>
      <c r="O130" s="7">
        <f>(P12-N12)*(O68-O12)-(Q12-O12)*(N68-N12)</f>
        <v>0</v>
      </c>
      <c r="P130" s="7">
        <f>(P12-N12)*(Q68-O12)-(Q12-O12)*(P68-N12)</f>
        <v>0</v>
      </c>
      <c r="Q130" s="7">
        <f>(P68-N68)*(O12-O68)-(Q68-O68)*(N12-N68)</f>
        <v>0</v>
      </c>
      <c r="R130" s="7">
        <f>(P68-N68)*(Q12-O68)-(Q68-O68)*(P12-N68)</f>
        <v>0</v>
      </c>
      <c r="S130" s="7">
        <f>IF(N130,IF(AND(O130*P130&lt;=0,Q130*R130&lt;=0,MAX(MIN(N12,P12),MIN(N68,P68))&lt;=MIN(MAX(N12,P12),MAX(N68,P68)),MAX(MIN(O12,Q12),MIN(O68,Q68))&lt;=MIN(MAX(O12,Q12),MAX(O68,Q68))),1,0),0)</f>
        <v>0</v>
      </c>
      <c r="T130" s="7"/>
      <c r="U130" s="7"/>
      <c r="V130" s="7"/>
      <c r="W130" s="7"/>
      <c r="X130" s="7"/>
      <c r="Y130" s="7"/>
      <c r="Z130" s="7"/>
      <c r="AA130" s="7"/>
      <c r="AB130" s="7"/>
      <c r="AC130" s="7"/>
      <c r="AD130" s="7"/>
      <c r="AE130" s="7"/>
      <c r="AF130" s="7"/>
      <c r="AG130" s="7"/>
      <c r="AH130" s="7"/>
      <c r="AI130" s="7"/>
    </row>
    <row r="131" spans="12:35">
      <c r="L131" s="7">
        <v>12</v>
      </c>
      <c r="M131" s="7">
        <v>69</v>
      </c>
      <c r="N131" s="7" t="b">
        <f>AND($N$5,$N$7,1&lt;=$M$5,18&lt;=$M$7)</f>
        <v>0</v>
      </c>
      <c r="O131" s="7">
        <f>(P12-N12)*(O69-O12)-(Q12-O12)*(N69-N12)</f>
        <v>0</v>
      </c>
      <c r="P131" s="7">
        <f>(P12-N12)*(Q69-O12)-(Q12-O12)*(P69-N12)</f>
        <v>0</v>
      </c>
      <c r="Q131" s="7">
        <f>(P69-N69)*(O12-O69)-(Q69-O69)*(N12-N69)</f>
        <v>0</v>
      </c>
      <c r="R131" s="7">
        <f>(P69-N69)*(Q12-O69)-(Q69-O69)*(P12-N69)</f>
        <v>0</v>
      </c>
      <c r="S131" s="7">
        <f>IF(N131,IF(AND(O131*P131&lt;=0,Q131*R131&lt;=0,MAX(MIN(N12,P12),MIN(N69,P69))&lt;=MIN(MAX(N12,P12),MAX(N69,P69)),MAX(MIN(O12,Q12),MIN(O69,Q69))&lt;=MIN(MAX(O12,Q12),MAX(O69,Q69))),1,0),0)</f>
        <v>0</v>
      </c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</row>
    <row r="132" spans="12:35">
      <c r="L132" s="7">
        <v>12</v>
      </c>
      <c r="M132" s="7">
        <v>70</v>
      </c>
      <c r="N132" s="7" t="b">
        <f>AND($N$5,$N$7,1&lt;=$M$5,19&lt;=$M$7)</f>
        <v>0</v>
      </c>
      <c r="O132" s="7">
        <f>(P12-N12)*(O70-O12)-(Q12-O12)*(N70-N12)</f>
        <v>0</v>
      </c>
      <c r="P132" s="7">
        <f>(P12-N12)*(Q70-O12)-(Q12-O12)*(P70-N12)</f>
        <v>0</v>
      </c>
      <c r="Q132" s="7">
        <f>(P70-N70)*(O12-O70)-(Q70-O70)*(N12-N70)</f>
        <v>0</v>
      </c>
      <c r="R132" s="7">
        <f>(P70-N70)*(Q12-O70)-(Q70-O70)*(P12-N70)</f>
        <v>0</v>
      </c>
      <c r="S132" s="7">
        <f>IF(N132,IF(AND(O132*P132&lt;=0,Q132*R132&lt;=0,MAX(MIN(N12,P12),MIN(N70,P70))&lt;=MIN(MAX(N12,P12),MAX(N70,P70)),MAX(MIN(O12,Q12),MIN(O70,Q70))&lt;=MIN(MAX(O12,Q12),MAX(O70,Q70))),1,0),0)</f>
        <v>0</v>
      </c>
      <c r="T132" s="7"/>
      <c r="U132" s="7"/>
      <c r="V132" s="7"/>
      <c r="W132" s="7"/>
      <c r="X132" s="7"/>
      <c r="Y132" s="7"/>
      <c r="Z132" s="7"/>
      <c r="AA132" s="7"/>
      <c r="AB132" s="7"/>
      <c r="AC132" s="7"/>
      <c r="AD132" s="7"/>
      <c r="AE132" s="7"/>
      <c r="AF132" s="7"/>
      <c r="AG132" s="7"/>
      <c r="AH132" s="7"/>
      <c r="AI132" s="7"/>
    </row>
    <row r="133" spans="12:35">
      <c r="L133" s="7">
        <v>12</v>
      </c>
      <c r="M133" s="7">
        <v>71</v>
      </c>
      <c r="N133" s="7" t="b">
        <f>AND($N$5,$N$7,1&lt;=$M$5,20&lt;=$M$7)</f>
        <v>0</v>
      </c>
      <c r="O133" s="7">
        <f>(P12-N12)*(O71-O12)-(Q12-O12)*(N71-N12)</f>
        <v>0</v>
      </c>
      <c r="P133" s="7">
        <f>(P12-N12)*(Q71-O12)-(Q12-O12)*(P71-N12)</f>
        <v>0</v>
      </c>
      <c r="Q133" s="7">
        <f>(P71-N71)*(O12-O71)-(Q71-O71)*(N12-N71)</f>
        <v>0</v>
      </c>
      <c r="R133" s="7">
        <f>(P71-N71)*(Q12-O71)-(Q71-O71)*(P12-N71)</f>
        <v>0</v>
      </c>
      <c r="S133" s="7">
        <f>IF(N133,IF(AND(O133*P133&lt;=0,Q133*R133&lt;=0,MAX(MIN(N12,P12),MIN(N71,P71))&lt;=MIN(MAX(N12,P12),MAX(N71,P71)),MAX(MIN(O12,Q12),MIN(O71,Q71))&lt;=MIN(MAX(O12,Q12),MAX(O71,Q71))),1,0),0)</f>
        <v>0</v>
      </c>
      <c r="T133" s="7"/>
      <c r="U133" s="7"/>
      <c r="V133" s="7"/>
      <c r="W133" s="7"/>
      <c r="X133" s="7"/>
      <c r="Y133" s="7"/>
      <c r="Z133" s="7"/>
      <c r="AA133" s="7"/>
      <c r="AB133" s="7"/>
      <c r="AC133" s="7"/>
      <c r="AD133" s="7"/>
      <c r="AE133" s="7"/>
      <c r="AF133" s="7"/>
      <c r="AG133" s="7"/>
      <c r="AH133" s="7"/>
      <c r="AI133" s="7"/>
    </row>
    <row r="134" spans="12:35">
      <c r="L134" s="7">
        <v>13</v>
      </c>
      <c r="M134" s="7">
        <v>15</v>
      </c>
      <c r="N134" s="7" t="b">
        <f>AND($N$5,$N$5,2&lt;=$M$5,4&lt;=$M$5)</f>
        <v>0</v>
      </c>
      <c r="O134" s="7">
        <f>(P13-N13)*(O15-O13)-(Q13-O13)*(N15-N13)</f>
        <v>0</v>
      </c>
      <c r="P134" s="7">
        <f>(P13-N13)*(Q15-O13)-(Q13-O13)*(P15-N13)</f>
        <v>0</v>
      </c>
      <c r="Q134" s="7">
        <f>(P15-N15)*(O13-O15)-(Q15-O15)*(N13-N15)</f>
        <v>0</v>
      </c>
      <c r="R134" s="7">
        <f>(P15-N15)*(Q13-O15)-(Q15-O15)*(P13-N15)</f>
        <v>0</v>
      </c>
      <c r="S134" s="7">
        <f>IF(N134,IF(AND(O134*P134&lt;=0,Q134*R134&lt;=0,MAX(MIN(N13,P13),MIN(N15,P15))&lt;=MIN(MAX(N13,P13),MAX(N15,P15)),MAX(MIN(O13,Q13),MIN(O15,Q15))&lt;=MIN(MAX(O13,Q13),MAX(O15,Q15))),1,0),0)</f>
        <v>0</v>
      </c>
      <c r="T134" s="7"/>
      <c r="U134" s="7"/>
      <c r="V134" s="7"/>
      <c r="W134" s="7"/>
      <c r="X134" s="7"/>
      <c r="Y134" s="7"/>
      <c r="Z134" s="7"/>
      <c r="AA134" s="7"/>
      <c r="AB134" s="7"/>
      <c r="AC134" s="7"/>
      <c r="AD134" s="7"/>
      <c r="AE134" s="7"/>
      <c r="AF134" s="7"/>
      <c r="AG134" s="7"/>
      <c r="AH134" s="7"/>
      <c r="AI134" s="7"/>
    </row>
    <row r="135" spans="12:35">
      <c r="L135" s="7">
        <v>13</v>
      </c>
      <c r="M135" s="7">
        <v>16</v>
      </c>
      <c r="N135" s="7" t="b">
        <f>AND($N$5,$N$5,2&lt;=$M$5,5&lt;=$M$5)</f>
        <v>0</v>
      </c>
      <c r="O135" s="7">
        <f>(P13-N13)*(O16-O13)-(Q13-O13)*(N16-N13)</f>
        <v>0</v>
      </c>
      <c r="P135" s="7">
        <f>(P13-N13)*(Q16-O13)-(Q13-O13)*(P16-N13)</f>
        <v>0</v>
      </c>
      <c r="Q135" s="7">
        <f>(P16-N16)*(O13-O16)-(Q16-O16)*(N13-N16)</f>
        <v>0</v>
      </c>
      <c r="R135" s="7">
        <f>(P16-N16)*(Q13-O16)-(Q16-O16)*(P13-N16)</f>
        <v>0</v>
      </c>
      <c r="S135" s="7">
        <f>IF(N135,IF(AND(O135*P135&lt;=0,Q135*R135&lt;=0,MAX(MIN(N13,P13),MIN(N16,P16))&lt;=MIN(MAX(N13,P13),MAX(N16,P16)),MAX(MIN(O13,Q13),MIN(O16,Q16))&lt;=MIN(MAX(O13,Q13),MAX(O16,Q16))),1,0),0)</f>
        <v>0</v>
      </c>
      <c r="T135" s="7"/>
      <c r="U135" s="7"/>
      <c r="V135" s="7"/>
      <c r="W135" s="7"/>
      <c r="X135" s="7"/>
      <c r="Y135" s="7"/>
      <c r="Z135" s="7"/>
      <c r="AA135" s="7"/>
      <c r="AB135" s="7"/>
      <c r="AC135" s="7"/>
      <c r="AD135" s="7"/>
      <c r="AE135" s="7"/>
      <c r="AF135" s="7"/>
      <c r="AG135" s="7"/>
      <c r="AH135" s="7"/>
      <c r="AI135" s="7"/>
    </row>
    <row r="136" spans="12:35">
      <c r="L136" s="7">
        <v>13</v>
      </c>
      <c r="M136" s="7">
        <v>17</v>
      </c>
      <c r="N136" s="7" t="b">
        <f>AND($N$5,$N$5,2&lt;=$M$5,6&lt;=$M$5)</f>
        <v>0</v>
      </c>
      <c r="O136" s="7">
        <f>(P13-N13)*(O17-O13)-(Q13-O13)*(N17-N13)</f>
        <v>0</v>
      </c>
      <c r="P136" s="7">
        <f>(P13-N13)*(Q17-O13)-(Q13-O13)*(P17-N13)</f>
        <v>0</v>
      </c>
      <c r="Q136" s="7">
        <f>(P17-N17)*(O13-O17)-(Q17-O17)*(N13-N17)</f>
        <v>0</v>
      </c>
      <c r="R136" s="7">
        <f>(P17-N17)*(Q13-O17)-(Q17-O17)*(P13-N17)</f>
        <v>0</v>
      </c>
      <c r="S136" s="7">
        <f>IF(N136,IF(AND(O136*P136&lt;=0,Q136*R136&lt;=0,MAX(MIN(N13,P13),MIN(N17,P17))&lt;=MIN(MAX(N13,P13),MAX(N17,P17)),MAX(MIN(O13,Q13),MIN(O17,Q17))&lt;=MIN(MAX(O13,Q13),MAX(O17,Q17))),1,0),0)</f>
        <v>0</v>
      </c>
      <c r="T136" s="7"/>
      <c r="U136" s="7"/>
      <c r="V136" s="7"/>
      <c r="W136" s="7"/>
      <c r="X136" s="7"/>
      <c r="Y136" s="7"/>
      <c r="Z136" s="7"/>
      <c r="AA136" s="7"/>
      <c r="AB136" s="7"/>
      <c r="AC136" s="7"/>
      <c r="AD136" s="7"/>
      <c r="AE136" s="7"/>
      <c r="AF136" s="7"/>
      <c r="AG136" s="7"/>
      <c r="AH136" s="7"/>
      <c r="AI136" s="7"/>
    </row>
    <row r="137" spans="12:35">
      <c r="L137" s="7">
        <v>13</v>
      </c>
      <c r="M137" s="7">
        <v>18</v>
      </c>
      <c r="N137" s="7" t="b">
        <f>AND($N$5,$N$5,2&lt;=$M$5,7&lt;=$M$5)</f>
        <v>0</v>
      </c>
      <c r="O137" s="7">
        <f>(P13-N13)*(O18-O13)-(Q13-O13)*(N18-N13)</f>
        <v>0</v>
      </c>
      <c r="P137" s="7">
        <f>(P13-N13)*(Q18-O13)-(Q13-O13)*(P18-N13)</f>
        <v>0</v>
      </c>
      <c r="Q137" s="7">
        <f>(P18-N18)*(O13-O18)-(Q18-O18)*(N13-N18)</f>
        <v>0</v>
      </c>
      <c r="R137" s="7">
        <f>(P18-N18)*(Q13-O18)-(Q18-O18)*(P13-N18)</f>
        <v>0</v>
      </c>
      <c r="S137" s="7">
        <f>IF(N137,IF(AND(O137*P137&lt;=0,Q137*R137&lt;=0,MAX(MIN(N13,P13),MIN(N18,P18))&lt;=MIN(MAX(N13,P13),MAX(N18,P18)),MAX(MIN(O13,Q13),MIN(O18,Q18))&lt;=MIN(MAX(O13,Q13),MAX(O18,Q18))),1,0),0)</f>
        <v>0</v>
      </c>
      <c r="T137" s="7"/>
      <c r="U137" s="7"/>
      <c r="V137" s="7"/>
      <c r="W137" s="7"/>
      <c r="X137" s="7"/>
      <c r="Y137" s="7"/>
      <c r="Z137" s="7"/>
      <c r="AA137" s="7"/>
      <c r="AB137" s="7"/>
      <c r="AC137" s="7"/>
      <c r="AD137" s="7"/>
      <c r="AE137" s="7"/>
      <c r="AF137" s="7"/>
      <c r="AG137" s="7"/>
      <c r="AH137" s="7"/>
      <c r="AI137" s="7"/>
    </row>
    <row r="138" spans="12:35">
      <c r="L138" s="7">
        <v>13</v>
      </c>
      <c r="M138" s="7">
        <v>19</v>
      </c>
      <c r="N138" s="7" t="b">
        <f>AND($N$5,$N$5,2&lt;=$M$5,8&lt;=$M$5)</f>
        <v>0</v>
      </c>
      <c r="O138" s="7">
        <f>(P13-N13)*(O19-O13)-(Q13-O13)*(N19-N13)</f>
        <v>0</v>
      </c>
      <c r="P138" s="7">
        <f>(P13-N13)*(Q19-O13)-(Q13-O13)*(P19-N13)</f>
        <v>0</v>
      </c>
      <c r="Q138" s="7">
        <f>(P19-N19)*(O13-O19)-(Q19-O19)*(N13-N19)</f>
        <v>0</v>
      </c>
      <c r="R138" s="7">
        <f>(P19-N19)*(Q13-O19)-(Q19-O19)*(P13-N19)</f>
        <v>0</v>
      </c>
      <c r="S138" s="7">
        <f>IF(N138,IF(AND(O138*P138&lt;=0,Q138*R138&lt;=0,MAX(MIN(N13,P13),MIN(N19,P19))&lt;=MIN(MAX(N13,P13),MAX(N19,P19)),MAX(MIN(O13,Q13),MIN(O19,Q19))&lt;=MIN(MAX(O13,Q13),MAX(O19,Q19))),1,0),0)</f>
        <v>0</v>
      </c>
      <c r="T138" s="7"/>
      <c r="U138" s="7"/>
      <c r="V138" s="7"/>
      <c r="W138" s="7"/>
      <c r="X138" s="7"/>
      <c r="Y138" s="7"/>
      <c r="Z138" s="7"/>
      <c r="AA138" s="7"/>
      <c r="AB138" s="7"/>
      <c r="AC138" s="7"/>
      <c r="AD138" s="7"/>
      <c r="AE138" s="7"/>
      <c r="AF138" s="7"/>
      <c r="AG138" s="7"/>
      <c r="AH138" s="7"/>
      <c r="AI138" s="7"/>
    </row>
    <row r="139" spans="12:35">
      <c r="L139" s="7">
        <v>13</v>
      </c>
      <c r="M139" s="7">
        <v>20</v>
      </c>
      <c r="N139" s="7" t="b">
        <f>AND($N$5,$N$5,2&lt;=$M$5,9&lt;=$M$5)</f>
        <v>0</v>
      </c>
      <c r="O139" s="7">
        <f>(P13-N13)*(O20-O13)-(Q13-O13)*(N20-N13)</f>
        <v>0</v>
      </c>
      <c r="P139" s="7">
        <f>(P13-N13)*(Q20-O13)-(Q13-O13)*(P20-N13)</f>
        <v>0</v>
      </c>
      <c r="Q139" s="7">
        <f>(P20-N20)*(O13-O20)-(Q20-O20)*(N13-N20)</f>
        <v>0</v>
      </c>
      <c r="R139" s="7">
        <f>(P20-N20)*(Q13-O20)-(Q20-O20)*(P13-N20)</f>
        <v>0</v>
      </c>
      <c r="S139" s="7">
        <f>IF(N139,IF(AND(O139*P139&lt;=0,Q139*R139&lt;=0,MAX(MIN(N13,P13),MIN(N20,P20))&lt;=MIN(MAX(N13,P13),MAX(N20,P20)),MAX(MIN(O13,Q13),MIN(O20,Q20))&lt;=MIN(MAX(O13,Q13),MAX(O20,Q20))),1,0),0)</f>
        <v>0</v>
      </c>
      <c r="T139" s="7"/>
      <c r="U139" s="7"/>
      <c r="V139" s="7"/>
      <c r="W139" s="7"/>
      <c r="X139" s="7"/>
      <c r="Y139" s="7"/>
      <c r="Z139" s="7"/>
      <c r="AA139" s="7"/>
      <c r="AB139" s="7"/>
      <c r="AC139" s="7"/>
      <c r="AD139" s="7"/>
      <c r="AE139" s="7"/>
      <c r="AF139" s="7"/>
      <c r="AG139" s="7"/>
      <c r="AH139" s="7"/>
      <c r="AI139" s="7"/>
    </row>
    <row r="140" spans="12:35">
      <c r="L140" s="7">
        <v>13</v>
      </c>
      <c r="M140" s="7">
        <v>21</v>
      </c>
      <c r="N140" s="7" t="b">
        <f>AND($N$5,$N$5,2&lt;=$M$5,10&lt;=$M$5)</f>
        <v>0</v>
      </c>
      <c r="O140" s="7">
        <f>(P13-N13)*(O21-O13)-(Q13-O13)*(N21-N13)</f>
        <v>0</v>
      </c>
      <c r="P140" s="7">
        <f>(P13-N13)*(Q21-O13)-(Q13-O13)*(P21-N13)</f>
        <v>0</v>
      </c>
      <c r="Q140" s="7">
        <f>(P21-N21)*(O13-O21)-(Q21-O21)*(N13-N21)</f>
        <v>0</v>
      </c>
      <c r="R140" s="7">
        <f>(P21-N21)*(Q13-O21)-(Q21-O21)*(P13-N21)</f>
        <v>0</v>
      </c>
      <c r="S140" s="7">
        <f>IF(N140,IF(AND(O140*P140&lt;=0,Q140*R140&lt;=0,MAX(MIN(N13,P13),MIN(N21,P21))&lt;=MIN(MAX(N13,P13),MAX(N21,P21)),MAX(MIN(O13,Q13),MIN(O21,Q21))&lt;=MIN(MAX(O13,Q13),MAX(O21,Q21))),1,0),0)</f>
        <v>0</v>
      </c>
      <c r="T140" s="7"/>
      <c r="U140" s="7"/>
      <c r="V140" s="7"/>
      <c r="W140" s="7"/>
      <c r="X140" s="7"/>
      <c r="Y140" s="7"/>
      <c r="Z140" s="7"/>
      <c r="AA140" s="7"/>
      <c r="AB140" s="7"/>
      <c r="AC140" s="7"/>
      <c r="AD140" s="7"/>
      <c r="AE140" s="7"/>
      <c r="AF140" s="7"/>
      <c r="AG140" s="7"/>
      <c r="AH140" s="7"/>
      <c r="AI140" s="7"/>
    </row>
    <row r="141" spans="12:35">
      <c r="L141" s="7">
        <v>13</v>
      </c>
      <c r="M141" s="7">
        <v>22</v>
      </c>
      <c r="N141" s="7" t="b">
        <f>AND($N$5,$N$5,2&lt;=$M$5,11&lt;=$M$5)</f>
        <v>0</v>
      </c>
      <c r="O141" s="7">
        <f>(P13-N13)*(O22-O13)-(Q13-O13)*(N22-N13)</f>
        <v>0</v>
      </c>
      <c r="P141" s="7">
        <f>(P13-N13)*(Q22-O13)-(Q13-O13)*(P22-N13)</f>
        <v>0</v>
      </c>
      <c r="Q141" s="7">
        <f>(P22-N22)*(O13-O22)-(Q22-O22)*(N13-N22)</f>
        <v>0</v>
      </c>
      <c r="R141" s="7">
        <f>(P22-N22)*(Q13-O22)-(Q22-O22)*(P13-N22)</f>
        <v>0</v>
      </c>
      <c r="S141" s="7">
        <f>IF(N141,IF(AND(O141*P141&lt;=0,Q141*R141&lt;=0,MAX(MIN(N13,P13),MIN(N22,P22))&lt;=MIN(MAX(N13,P13),MAX(N22,P22)),MAX(MIN(O13,Q13),MIN(O22,Q22))&lt;=MIN(MAX(O13,Q13),MAX(O22,Q22))),1,0),0)</f>
        <v>0</v>
      </c>
      <c r="T141" s="7"/>
      <c r="U141" s="7"/>
      <c r="V141" s="7"/>
      <c r="W141" s="7"/>
      <c r="X141" s="7"/>
      <c r="Y141" s="7"/>
      <c r="Z141" s="7"/>
      <c r="AA141" s="7"/>
      <c r="AB141" s="7"/>
      <c r="AC141" s="7"/>
      <c r="AD141" s="7"/>
      <c r="AE141" s="7"/>
      <c r="AF141" s="7"/>
      <c r="AG141" s="7"/>
      <c r="AH141" s="7"/>
      <c r="AI141" s="7"/>
    </row>
    <row r="142" spans="12:35">
      <c r="L142" s="7">
        <v>13</v>
      </c>
      <c r="M142" s="7">
        <v>23</v>
      </c>
      <c r="N142" s="7" t="b">
        <f>AND($N$5,$N$5,2&lt;=$M$5,12&lt;=$M$5)</f>
        <v>0</v>
      </c>
      <c r="O142" s="7">
        <f>(P13-N13)*(O23-O13)-(Q13-O13)*(N23-N13)</f>
        <v>0</v>
      </c>
      <c r="P142" s="7">
        <f>(P13-N13)*(Q23-O13)-(Q13-O13)*(P23-N13)</f>
        <v>0</v>
      </c>
      <c r="Q142" s="7">
        <f>(P23-N23)*(O13-O23)-(Q23-O23)*(N13-N23)</f>
        <v>0</v>
      </c>
      <c r="R142" s="7">
        <f>(P23-N23)*(Q13-O23)-(Q23-O23)*(P13-N23)</f>
        <v>0</v>
      </c>
      <c r="S142" s="7">
        <f>IF(N142,IF(AND(O142*P142&lt;=0,Q142*R142&lt;=0,MAX(MIN(N13,P13),MIN(N23,P23))&lt;=MIN(MAX(N13,P13),MAX(N23,P23)),MAX(MIN(O13,Q13),MIN(O23,Q23))&lt;=MIN(MAX(O13,Q13),MAX(O23,Q23))),1,0),0)</f>
        <v>0</v>
      </c>
      <c r="T142" s="7"/>
      <c r="U142" s="7"/>
      <c r="V142" s="7"/>
      <c r="W142" s="7"/>
      <c r="X142" s="7"/>
      <c r="Y142" s="7"/>
      <c r="Z142" s="7"/>
      <c r="AA142" s="7"/>
      <c r="AB142" s="7"/>
      <c r="AC142" s="7"/>
      <c r="AD142" s="7"/>
      <c r="AE142" s="7"/>
      <c r="AF142" s="7"/>
      <c r="AG142" s="7"/>
      <c r="AH142" s="7"/>
      <c r="AI142" s="7"/>
    </row>
    <row r="143" spans="12:35">
      <c r="L143" s="7">
        <v>13</v>
      </c>
      <c r="M143" s="7">
        <v>24</v>
      </c>
      <c r="N143" s="7" t="b">
        <f>AND($N$5,$N$5,2&lt;=$M$5,13&lt;=$M$5)</f>
        <v>0</v>
      </c>
      <c r="O143" s="7">
        <f>(P13-N13)*(O24-O13)-(Q13-O13)*(N24-N13)</f>
        <v>0</v>
      </c>
      <c r="P143" s="7">
        <f>(P13-N13)*(Q24-O13)-(Q13-O13)*(P24-N13)</f>
        <v>0</v>
      </c>
      <c r="Q143" s="7">
        <f>(P24-N24)*(O13-O24)-(Q24-O24)*(N13-N24)</f>
        <v>0</v>
      </c>
      <c r="R143" s="7">
        <f>(P24-N24)*(Q13-O24)-(Q24-O24)*(P13-N24)</f>
        <v>0</v>
      </c>
      <c r="S143" s="7">
        <f>IF(N143,IF(AND(O143*P143&lt;=0,Q143*R143&lt;=0,MAX(MIN(N13,P13),MIN(N24,P24))&lt;=MIN(MAX(N13,P13),MAX(N24,P24)),MAX(MIN(O13,Q13),MIN(O24,Q24))&lt;=MIN(MAX(O13,Q13),MAX(O24,Q24))),1,0),0)</f>
        <v>0</v>
      </c>
      <c r="T143" s="7"/>
      <c r="U143" s="7"/>
      <c r="V143" s="7"/>
      <c r="W143" s="7"/>
      <c r="X143" s="7"/>
      <c r="Y143" s="7"/>
      <c r="Z143" s="7"/>
      <c r="AA143" s="7"/>
      <c r="AB143" s="7"/>
      <c r="AC143" s="7"/>
      <c r="AD143" s="7"/>
      <c r="AE143" s="7"/>
      <c r="AF143" s="7"/>
      <c r="AG143" s="7"/>
      <c r="AH143" s="7"/>
      <c r="AI143" s="7"/>
    </row>
    <row r="144" spans="12:35">
      <c r="L144" s="7">
        <v>13</v>
      </c>
      <c r="M144" s="7">
        <v>25</v>
      </c>
      <c r="N144" s="7" t="b">
        <f>AND($N$5,$N$5,2&lt;=$M$5,14&lt;=$M$5)</f>
        <v>0</v>
      </c>
      <c r="O144" s="7">
        <f>(P13-N13)*(O25-O13)-(Q13-O13)*(N25-N13)</f>
        <v>0</v>
      </c>
      <c r="P144" s="7">
        <f>(P13-N13)*(Q25-O13)-(Q13-O13)*(P25-N13)</f>
        <v>0</v>
      </c>
      <c r="Q144" s="7">
        <f>(P25-N25)*(O13-O25)-(Q25-O25)*(N13-N25)</f>
        <v>0</v>
      </c>
      <c r="R144" s="7">
        <f>(P25-N25)*(Q13-O25)-(Q25-O25)*(P13-N25)</f>
        <v>0</v>
      </c>
      <c r="S144" s="7">
        <f>IF(N144,IF(AND(O144*P144&lt;=0,Q144*R144&lt;=0,MAX(MIN(N13,P13),MIN(N25,P25))&lt;=MIN(MAX(N13,P13),MAX(N25,P25)),MAX(MIN(O13,Q13),MIN(O25,Q25))&lt;=MIN(MAX(O13,Q13),MAX(O25,Q25))),1,0),0)</f>
        <v>0</v>
      </c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</row>
    <row r="145" spans="12:35">
      <c r="L145" s="7">
        <v>13</v>
      </c>
      <c r="M145" s="7">
        <v>26</v>
      </c>
      <c r="N145" s="7" t="b">
        <f>AND($N$5,$N$5,2&lt;=$M$5,15&lt;=$M$5)</f>
        <v>0</v>
      </c>
      <c r="O145" s="7">
        <f>(P13-N13)*(O26-O13)-(Q13-O13)*(N26-N13)</f>
        <v>0</v>
      </c>
      <c r="P145" s="7">
        <f>(P13-N13)*(Q26-O13)-(Q13-O13)*(P26-N13)</f>
        <v>0</v>
      </c>
      <c r="Q145" s="7">
        <f>(P26-N26)*(O13-O26)-(Q26-O26)*(N13-N26)</f>
        <v>0</v>
      </c>
      <c r="R145" s="7">
        <f>(P26-N26)*(Q13-O26)-(Q26-O26)*(P13-N26)</f>
        <v>0</v>
      </c>
      <c r="S145" s="7">
        <f>IF(N145,IF(AND(O145*P145&lt;=0,Q145*R145&lt;=0,MAX(MIN(N13,P13),MIN(N26,P26))&lt;=MIN(MAX(N13,P13),MAX(N26,P26)),MAX(MIN(O13,Q13),MIN(O26,Q26))&lt;=MIN(MAX(O13,Q13),MAX(O26,Q26))),1,0),0)</f>
        <v>0</v>
      </c>
      <c r="T145" s="7"/>
      <c r="U145" s="7"/>
      <c r="V145" s="7"/>
      <c r="W145" s="7"/>
      <c r="X145" s="7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</row>
    <row r="146" spans="12:35">
      <c r="L146" s="7">
        <v>13</v>
      </c>
      <c r="M146" s="7">
        <v>27</v>
      </c>
      <c r="N146" s="7" t="b">
        <f>AND($N$5,$N$5,2&lt;=$M$5,16&lt;=$M$5)</f>
        <v>0</v>
      </c>
      <c r="O146" s="7">
        <f>(P13-N13)*(O27-O13)-(Q13-O13)*(N27-N13)</f>
        <v>0</v>
      </c>
      <c r="P146" s="7">
        <f>(P13-N13)*(Q27-O13)-(Q13-O13)*(P27-N13)</f>
        <v>0</v>
      </c>
      <c r="Q146" s="7">
        <f>(P27-N27)*(O13-O27)-(Q27-O27)*(N13-N27)</f>
        <v>0</v>
      </c>
      <c r="R146" s="7">
        <f>(P27-N27)*(Q13-O27)-(Q27-O27)*(P13-N27)</f>
        <v>0</v>
      </c>
      <c r="S146" s="7">
        <f>IF(N146,IF(AND(O146*P146&lt;=0,Q146*R146&lt;=0,MAX(MIN(N13,P13),MIN(N27,P27))&lt;=MIN(MAX(N13,P13),MAX(N27,P27)),MAX(MIN(O13,Q13),MIN(O27,Q27))&lt;=MIN(MAX(O13,Q13),MAX(O27,Q27))),1,0),0)</f>
        <v>0</v>
      </c>
      <c r="T146" s="7"/>
      <c r="U146" s="7"/>
      <c r="V146" s="7"/>
      <c r="W146" s="7"/>
      <c r="X146" s="7"/>
      <c r="Y146" s="7"/>
      <c r="Z146" s="7"/>
      <c r="AA146" s="7"/>
      <c r="AB146" s="7"/>
      <c r="AC146" s="7"/>
      <c r="AD146" s="7"/>
      <c r="AE146" s="7"/>
      <c r="AF146" s="7"/>
      <c r="AG146" s="7"/>
      <c r="AH146" s="7"/>
      <c r="AI146" s="7"/>
    </row>
    <row r="147" spans="12:35">
      <c r="L147" s="7">
        <v>13</v>
      </c>
      <c r="M147" s="7">
        <v>28</v>
      </c>
      <c r="N147" s="7" t="b">
        <f>AND($N$5,$N$5,2&lt;=$M$5,17&lt;=$M$5)</f>
        <v>0</v>
      </c>
      <c r="O147" s="7">
        <f>(P13-N13)*(O28-O13)-(Q13-O13)*(N28-N13)</f>
        <v>0</v>
      </c>
      <c r="P147" s="7">
        <f>(P13-N13)*(Q28-O13)-(Q13-O13)*(P28-N13)</f>
        <v>0</v>
      </c>
      <c r="Q147" s="7">
        <f>(P28-N28)*(O13-O28)-(Q28-O28)*(N13-N28)</f>
        <v>0</v>
      </c>
      <c r="R147" s="7">
        <f>(P28-N28)*(Q13-O28)-(Q28-O28)*(P13-N28)</f>
        <v>0</v>
      </c>
      <c r="S147" s="7">
        <f>IF(N147,IF(AND(O147*P147&lt;=0,Q147*R147&lt;=0,MAX(MIN(N13,P13),MIN(N28,P28))&lt;=MIN(MAX(N13,P13),MAX(N28,P28)),MAX(MIN(O13,Q13),MIN(O28,Q28))&lt;=MIN(MAX(O13,Q13),MAX(O28,Q28))),1,0),0)</f>
        <v>0</v>
      </c>
      <c r="T147" s="7"/>
      <c r="U147" s="7"/>
      <c r="V147" s="7"/>
      <c r="W147" s="7"/>
      <c r="X147" s="7"/>
      <c r="Y147" s="7"/>
      <c r="Z147" s="7"/>
      <c r="AA147" s="7"/>
      <c r="AB147" s="7"/>
      <c r="AC147" s="7"/>
      <c r="AD147" s="7"/>
      <c r="AE147" s="7"/>
      <c r="AF147" s="7"/>
      <c r="AG147" s="7"/>
      <c r="AH147" s="7"/>
      <c r="AI147" s="7"/>
    </row>
    <row r="148" spans="12:35">
      <c r="L148" s="7">
        <v>13</v>
      </c>
      <c r="M148" s="7">
        <v>29</v>
      </c>
      <c r="N148" s="7" t="b">
        <f>AND($N$5,$N$5,2&lt;=$M$5,18&lt;=$M$5)</f>
        <v>0</v>
      </c>
      <c r="O148" s="7">
        <f>(P13-N13)*(O29-O13)-(Q13-O13)*(N29-N13)</f>
        <v>0</v>
      </c>
      <c r="P148" s="7">
        <f>(P13-N13)*(Q29-O13)-(Q13-O13)*(P29-N13)</f>
        <v>0</v>
      </c>
      <c r="Q148" s="7">
        <f>(P29-N29)*(O13-O29)-(Q29-O29)*(N13-N29)</f>
        <v>0</v>
      </c>
      <c r="R148" s="7">
        <f>(P29-N29)*(Q13-O29)-(Q29-O29)*(P13-N29)</f>
        <v>0</v>
      </c>
      <c r="S148" s="7">
        <f>IF(N148,IF(AND(O148*P148&lt;=0,Q148*R148&lt;=0,MAX(MIN(N13,P13),MIN(N29,P29))&lt;=MIN(MAX(N13,P13),MAX(N29,P29)),MAX(MIN(O13,Q13),MIN(O29,Q29))&lt;=MIN(MAX(O13,Q13),MAX(O29,Q29))),1,0),0)</f>
        <v>0</v>
      </c>
      <c r="T148" s="7"/>
      <c r="U148" s="7"/>
      <c r="V148" s="7"/>
      <c r="W148" s="7"/>
      <c r="X148" s="7"/>
      <c r="Y148" s="7"/>
      <c r="Z148" s="7"/>
      <c r="AA148" s="7"/>
      <c r="AB148" s="7"/>
      <c r="AC148" s="7"/>
      <c r="AD148" s="7"/>
      <c r="AE148" s="7"/>
      <c r="AF148" s="7"/>
      <c r="AG148" s="7"/>
      <c r="AH148" s="7"/>
      <c r="AI148" s="7"/>
    </row>
    <row r="149" spans="12:35">
      <c r="L149" s="7">
        <v>13</v>
      </c>
      <c r="M149" s="7">
        <v>30</v>
      </c>
      <c r="N149" s="7" t="b">
        <f>AND($N$5,$N$5,2&lt;=$M$5,19&lt;=$M$5)</f>
        <v>0</v>
      </c>
      <c r="O149" s="7">
        <f>(P13-N13)*(O30-O13)-(Q13-O13)*(N30-N13)</f>
        <v>0</v>
      </c>
      <c r="P149" s="7">
        <f>(P13-N13)*(Q30-O13)-(Q13-O13)*(P30-N13)</f>
        <v>0</v>
      </c>
      <c r="Q149" s="7">
        <f>(P30-N30)*(O13-O30)-(Q30-O30)*(N13-N30)</f>
        <v>0</v>
      </c>
      <c r="R149" s="7">
        <f>(P30-N30)*(Q13-O30)-(Q30-O30)*(P13-N30)</f>
        <v>0</v>
      </c>
      <c r="S149" s="7">
        <f>IF(N149,IF(AND(O149*P149&lt;=0,Q149*R149&lt;=0,MAX(MIN(N13,P13),MIN(N30,P30))&lt;=MIN(MAX(N13,P13),MAX(N30,P30)),MAX(MIN(O13,Q13),MIN(O30,Q30))&lt;=MIN(MAX(O13,Q13),MAX(O30,Q30))),1,0),0)</f>
        <v>0</v>
      </c>
      <c r="T149" s="7"/>
      <c r="U149" s="7"/>
      <c r="V149" s="7"/>
      <c r="W149" s="7"/>
      <c r="X149" s="7"/>
      <c r="Y149" s="7"/>
      <c r="Z149" s="7"/>
      <c r="AA149" s="7"/>
      <c r="AB149" s="7"/>
      <c r="AC149" s="7"/>
      <c r="AD149" s="7"/>
      <c r="AE149" s="7"/>
      <c r="AF149" s="7"/>
      <c r="AG149" s="7"/>
      <c r="AH149" s="7"/>
      <c r="AI149" s="7"/>
    </row>
    <row r="150" spans="12:35">
      <c r="L150" s="7">
        <v>13</v>
      </c>
      <c r="M150" s="7">
        <v>31</v>
      </c>
      <c r="N150" s="7" t="b">
        <f>AND($N$5,$N$5,2&lt;=$M$5,20&lt;=$M$5)</f>
        <v>0</v>
      </c>
      <c r="O150" s="7">
        <f>(P13-N13)*(O31-O13)-(Q13-O13)*(N31-N13)</f>
        <v>0</v>
      </c>
      <c r="P150" s="7">
        <f>(P13-N13)*(Q31-O13)-(Q13-O13)*(P31-N13)</f>
        <v>0</v>
      </c>
      <c r="Q150" s="7">
        <f>(P31-N31)*(O13-O31)-(Q31-O31)*(N13-N31)</f>
        <v>0</v>
      </c>
      <c r="R150" s="7">
        <f>(P31-N31)*(Q13-O31)-(Q31-O31)*(P13-N31)</f>
        <v>0</v>
      </c>
      <c r="S150" s="7">
        <f>IF(N150,IF(AND(O150*P150&lt;=0,Q150*R150&lt;=0,MAX(MIN(N13,P13),MIN(N31,P31))&lt;=MIN(MAX(N13,P13),MAX(N31,P31)),MAX(MIN(O13,Q13),MIN(O31,Q31))&lt;=MIN(MAX(O13,Q13),MAX(O31,Q31))),1,0),0)</f>
        <v>0</v>
      </c>
      <c r="T150" s="7"/>
      <c r="U150" s="7"/>
      <c r="V150" s="7"/>
      <c r="W150" s="7"/>
      <c r="X150" s="7"/>
      <c r="Y150" s="7"/>
      <c r="Z150" s="7"/>
      <c r="AA150" s="7"/>
      <c r="AB150" s="7"/>
      <c r="AC150" s="7"/>
      <c r="AD150" s="7"/>
      <c r="AE150" s="7"/>
      <c r="AF150" s="7"/>
      <c r="AG150" s="7"/>
      <c r="AH150" s="7"/>
      <c r="AI150" s="7"/>
    </row>
    <row r="151" spans="12:35">
      <c r="L151" s="7">
        <v>13</v>
      </c>
      <c r="M151" s="7">
        <v>32</v>
      </c>
      <c r="N151" s="7" t="b">
        <f>AND($N$5,$N$6,2&lt;=$M$5,1&lt;=$M$6)</f>
        <v>0</v>
      </c>
      <c r="O151" s="7">
        <f>(P13-N13)*(O32-O13)-(Q13-O13)*(N32-N13)</f>
        <v>0</v>
      </c>
      <c r="P151" s="7">
        <f>(P13-N13)*(Q32-O13)-(Q13-O13)*(P32-N13)</f>
        <v>0</v>
      </c>
      <c r="Q151" s="7">
        <f>(P32-N32)*(O13-O32)-(Q32-O32)*(N13-N32)</f>
        <v>0</v>
      </c>
      <c r="R151" s="7">
        <f>(P32-N32)*(Q13-O32)-(Q32-O32)*(P13-N32)</f>
        <v>0</v>
      </c>
      <c r="S151" s="7">
        <f>IF(N151,IF(AND(O151*P151&lt;=0,Q151*R151&lt;=0,MAX(MIN(N13,P13),MIN(N32,P32))&lt;=MIN(MAX(N13,P13),MAX(N32,P32)),MAX(MIN(O13,Q13),MIN(O32,Q32))&lt;=MIN(MAX(O13,Q13),MAX(O32,Q32))),1,0),0)</f>
        <v>0</v>
      </c>
      <c r="T151" s="7"/>
      <c r="U151" s="7"/>
      <c r="V151" s="7"/>
      <c r="W151" s="7"/>
      <c r="X151" s="7"/>
      <c r="Y151" s="7"/>
      <c r="Z151" s="7"/>
      <c r="AA151" s="7"/>
      <c r="AB151" s="7"/>
      <c r="AC151" s="7"/>
      <c r="AD151" s="7"/>
      <c r="AE151" s="7"/>
      <c r="AF151" s="7"/>
      <c r="AG151" s="7"/>
      <c r="AH151" s="7"/>
      <c r="AI151" s="7"/>
    </row>
    <row r="152" spans="12:35">
      <c r="L152" s="7">
        <v>13</v>
      </c>
      <c r="M152" s="7">
        <v>33</v>
      </c>
      <c r="N152" s="7" t="b">
        <f>AND($N$5,$N$6,2&lt;=$M$5,2&lt;=$M$6)</f>
        <v>0</v>
      </c>
      <c r="O152" s="7">
        <f>(P13-N13)*(O33-O13)-(Q13-O13)*(N33-N13)</f>
        <v>0</v>
      </c>
      <c r="P152" s="7">
        <f>(P13-N13)*(Q33-O13)-(Q13-O13)*(P33-N13)</f>
        <v>0</v>
      </c>
      <c r="Q152" s="7">
        <f>(P33-N33)*(O13-O33)-(Q33-O33)*(N13-N33)</f>
        <v>0</v>
      </c>
      <c r="R152" s="7">
        <f>(P33-N33)*(Q13-O33)-(Q33-O33)*(P13-N33)</f>
        <v>0</v>
      </c>
      <c r="S152" s="7">
        <f>IF(N152,IF(AND(O152*P152&lt;=0,Q152*R152&lt;=0,MAX(MIN(N13,P13),MIN(N33,P33))&lt;=MIN(MAX(N13,P13),MAX(N33,P33)),MAX(MIN(O13,Q13),MIN(O33,Q33))&lt;=MIN(MAX(O13,Q13),MAX(O33,Q33))),1,0),0)</f>
        <v>0</v>
      </c>
      <c r="T152" s="7"/>
      <c r="U152" s="7"/>
      <c r="V152" s="7"/>
      <c r="W152" s="7"/>
      <c r="X152" s="7"/>
      <c r="Y152" s="7"/>
      <c r="Z152" s="7"/>
      <c r="AA152" s="7"/>
      <c r="AB152" s="7"/>
      <c r="AC152" s="7"/>
      <c r="AD152" s="7"/>
      <c r="AE152" s="7"/>
      <c r="AF152" s="7"/>
      <c r="AG152" s="7"/>
      <c r="AH152" s="7"/>
      <c r="AI152" s="7"/>
    </row>
    <row r="153" spans="12:35">
      <c r="L153" s="7">
        <v>13</v>
      </c>
      <c r="M153" s="7">
        <v>34</v>
      </c>
      <c r="N153" s="7" t="b">
        <f>AND($N$5,$N$6,2&lt;=$M$5,3&lt;=$M$6)</f>
        <v>0</v>
      </c>
      <c r="O153" s="7">
        <f>(P13-N13)*(O34-O13)-(Q13-O13)*(N34-N13)</f>
        <v>0</v>
      </c>
      <c r="P153" s="7">
        <f>(P13-N13)*(Q34-O13)-(Q13-O13)*(P34-N13)</f>
        <v>0</v>
      </c>
      <c r="Q153" s="7">
        <f>(P34-N34)*(O13-O34)-(Q34-O34)*(N13-N34)</f>
        <v>0</v>
      </c>
      <c r="R153" s="7">
        <f>(P34-N34)*(Q13-O34)-(Q34-O34)*(P13-N34)</f>
        <v>0</v>
      </c>
      <c r="S153" s="7">
        <f>IF(N153,IF(AND(O153*P153&lt;=0,Q153*R153&lt;=0,MAX(MIN(N13,P13),MIN(N34,P34))&lt;=MIN(MAX(N13,P13),MAX(N34,P34)),MAX(MIN(O13,Q13),MIN(O34,Q34))&lt;=MIN(MAX(O13,Q13),MAX(O34,Q34))),1,0),0)</f>
        <v>0</v>
      </c>
      <c r="T153" s="7"/>
      <c r="U153" s="7"/>
      <c r="V153" s="7"/>
      <c r="W153" s="7"/>
      <c r="X153" s="7"/>
      <c r="Y153" s="7"/>
      <c r="Z153" s="7"/>
      <c r="AA153" s="7"/>
      <c r="AB153" s="7"/>
      <c r="AC153" s="7"/>
      <c r="AD153" s="7"/>
      <c r="AE153" s="7"/>
      <c r="AF153" s="7"/>
      <c r="AG153" s="7"/>
      <c r="AH153" s="7"/>
      <c r="AI153" s="7"/>
    </row>
    <row r="154" spans="12:35">
      <c r="L154" s="7">
        <v>13</v>
      </c>
      <c r="M154" s="7">
        <v>35</v>
      </c>
      <c r="N154" s="7" t="b">
        <f>AND($N$5,$N$6,2&lt;=$M$5,4&lt;=$M$6)</f>
        <v>0</v>
      </c>
      <c r="O154" s="7">
        <f>(P13-N13)*(O35-O13)-(Q13-O13)*(N35-N13)</f>
        <v>0</v>
      </c>
      <c r="P154" s="7">
        <f>(P13-N13)*(Q35-O13)-(Q13-O13)*(P35-N13)</f>
        <v>0</v>
      </c>
      <c r="Q154" s="7">
        <f>(P35-N35)*(O13-O35)-(Q35-O35)*(N13-N35)</f>
        <v>0</v>
      </c>
      <c r="R154" s="7">
        <f>(P35-N35)*(Q13-O35)-(Q35-O35)*(P13-N35)</f>
        <v>0</v>
      </c>
      <c r="S154" s="7">
        <f>IF(N154,IF(AND(O154*P154&lt;=0,Q154*R154&lt;=0,MAX(MIN(N13,P13),MIN(N35,P35))&lt;=MIN(MAX(N13,P13),MAX(N35,P35)),MAX(MIN(O13,Q13),MIN(O35,Q35))&lt;=MIN(MAX(O13,Q13),MAX(O35,Q35))),1,0),0)</f>
        <v>0</v>
      </c>
      <c r="T154" s="7"/>
      <c r="U154" s="7"/>
      <c r="V154" s="7"/>
      <c r="W154" s="7"/>
      <c r="X154" s="7"/>
      <c r="Y154" s="7"/>
      <c r="Z154" s="7"/>
      <c r="AA154" s="7"/>
      <c r="AB154" s="7"/>
      <c r="AC154" s="7"/>
      <c r="AD154" s="7"/>
      <c r="AE154" s="7"/>
      <c r="AF154" s="7"/>
      <c r="AG154" s="7"/>
      <c r="AH154" s="7"/>
      <c r="AI154" s="7"/>
    </row>
    <row r="155" spans="12:35">
      <c r="L155" s="7">
        <v>13</v>
      </c>
      <c r="M155" s="7">
        <v>36</v>
      </c>
      <c r="N155" s="7" t="b">
        <f>AND($N$5,$N$6,2&lt;=$M$5,5&lt;=$M$6)</f>
        <v>0</v>
      </c>
      <c r="O155" s="7">
        <f>(P13-N13)*(O36-O13)-(Q13-O13)*(N36-N13)</f>
        <v>0</v>
      </c>
      <c r="P155" s="7">
        <f>(P13-N13)*(Q36-O13)-(Q13-O13)*(P36-N13)</f>
        <v>0</v>
      </c>
      <c r="Q155" s="7">
        <f>(P36-N36)*(O13-O36)-(Q36-O36)*(N13-N36)</f>
        <v>0</v>
      </c>
      <c r="R155" s="7">
        <f>(P36-N36)*(Q13-O36)-(Q36-O36)*(P13-N36)</f>
        <v>0</v>
      </c>
      <c r="S155" s="7">
        <f>IF(N155,IF(AND(O155*P155&lt;=0,Q155*R155&lt;=0,MAX(MIN(N13,P13),MIN(N36,P36))&lt;=MIN(MAX(N13,P13),MAX(N36,P36)),MAX(MIN(O13,Q13),MIN(O36,Q36))&lt;=MIN(MAX(O13,Q13),MAX(O36,Q36))),1,0),0)</f>
        <v>0</v>
      </c>
      <c r="T155" s="7"/>
      <c r="U155" s="7"/>
      <c r="V155" s="7"/>
      <c r="W155" s="7"/>
      <c r="X155" s="7"/>
      <c r="Y155" s="7"/>
      <c r="Z155" s="7"/>
      <c r="AA155" s="7"/>
      <c r="AB155" s="7"/>
      <c r="AC155" s="7"/>
      <c r="AD155" s="7"/>
      <c r="AE155" s="7"/>
      <c r="AF155" s="7"/>
      <c r="AG155" s="7"/>
      <c r="AH155" s="7"/>
      <c r="AI155" s="7"/>
    </row>
    <row r="156" spans="12:35">
      <c r="L156" s="7">
        <v>13</v>
      </c>
      <c r="M156" s="7">
        <v>37</v>
      </c>
      <c r="N156" s="7" t="b">
        <f>AND($N$5,$N$6,2&lt;=$M$5,6&lt;=$M$6)</f>
        <v>0</v>
      </c>
      <c r="O156" s="7">
        <f>(P13-N13)*(O37-O13)-(Q13-O13)*(N37-N13)</f>
        <v>0</v>
      </c>
      <c r="P156" s="7">
        <f>(P13-N13)*(Q37-O13)-(Q13-O13)*(P37-N13)</f>
        <v>0</v>
      </c>
      <c r="Q156" s="7">
        <f>(P37-N37)*(O13-O37)-(Q37-O37)*(N13-N37)</f>
        <v>0</v>
      </c>
      <c r="R156" s="7">
        <f>(P37-N37)*(Q13-O37)-(Q37-O37)*(P13-N37)</f>
        <v>0</v>
      </c>
      <c r="S156" s="7">
        <f>IF(N156,IF(AND(O156*P156&lt;=0,Q156*R156&lt;=0,MAX(MIN(N13,P13),MIN(N37,P37))&lt;=MIN(MAX(N13,P13),MAX(N37,P37)),MAX(MIN(O13,Q13),MIN(O37,Q37))&lt;=MIN(MAX(O13,Q13),MAX(O37,Q37))),1,0),0)</f>
        <v>0</v>
      </c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</row>
    <row r="157" spans="12:35">
      <c r="L157" s="7">
        <v>13</v>
      </c>
      <c r="M157" s="7">
        <v>38</v>
      </c>
      <c r="N157" s="7" t="b">
        <f>AND($N$5,$N$6,2&lt;=$M$5,7&lt;=$M$6)</f>
        <v>0</v>
      </c>
      <c r="O157" s="7">
        <f>(P13-N13)*(O38-O13)-(Q13-O13)*(N38-N13)</f>
        <v>0</v>
      </c>
      <c r="P157" s="7">
        <f>(P13-N13)*(Q38-O13)-(Q13-O13)*(P38-N13)</f>
        <v>0</v>
      </c>
      <c r="Q157" s="7">
        <f>(P38-N38)*(O13-O38)-(Q38-O38)*(N13-N38)</f>
        <v>0</v>
      </c>
      <c r="R157" s="7">
        <f>(P38-N38)*(Q13-O38)-(Q38-O38)*(P13-N38)</f>
        <v>0</v>
      </c>
      <c r="S157" s="7">
        <f>IF(N157,IF(AND(O157*P157&lt;=0,Q157*R157&lt;=0,MAX(MIN(N13,P13),MIN(N38,P38))&lt;=MIN(MAX(N13,P13),MAX(N38,P38)),MAX(MIN(O13,Q13),MIN(O38,Q38))&lt;=MIN(MAX(O13,Q13),MAX(O38,Q38))),1,0),0)</f>
        <v>0</v>
      </c>
      <c r="T157" s="7"/>
      <c r="U157" s="7"/>
      <c r="V157" s="7"/>
      <c r="W157" s="7"/>
      <c r="X157" s="7"/>
      <c r="Y157" s="7"/>
      <c r="Z157" s="7"/>
      <c r="AA157" s="7"/>
      <c r="AB157" s="7"/>
      <c r="AC157" s="7"/>
      <c r="AD157" s="7"/>
      <c r="AE157" s="7"/>
      <c r="AF157" s="7"/>
      <c r="AG157" s="7"/>
      <c r="AH157" s="7"/>
      <c r="AI157" s="7"/>
    </row>
    <row r="158" spans="12:35">
      <c r="L158" s="7">
        <v>13</v>
      </c>
      <c r="M158" s="7">
        <v>39</v>
      </c>
      <c r="N158" s="7" t="b">
        <f>AND($N$5,$N$6,2&lt;=$M$5,8&lt;=$M$6)</f>
        <v>0</v>
      </c>
      <c r="O158" s="7">
        <f>(P13-N13)*(O39-O13)-(Q13-O13)*(N39-N13)</f>
        <v>0</v>
      </c>
      <c r="P158" s="7">
        <f>(P13-N13)*(Q39-O13)-(Q13-O13)*(P39-N13)</f>
        <v>0</v>
      </c>
      <c r="Q158" s="7">
        <f>(P39-N39)*(O13-O39)-(Q39-O39)*(N13-N39)</f>
        <v>0</v>
      </c>
      <c r="R158" s="7">
        <f>(P39-N39)*(Q13-O39)-(Q39-O39)*(P13-N39)</f>
        <v>0</v>
      </c>
      <c r="S158" s="7">
        <f>IF(N158,IF(AND(O158*P158&lt;=0,Q158*R158&lt;=0,MAX(MIN(N13,P13),MIN(N39,P39))&lt;=MIN(MAX(N13,P13),MAX(N39,P39)),MAX(MIN(O13,Q13),MIN(O39,Q39))&lt;=MIN(MAX(O13,Q13),MAX(O39,Q39))),1,0),0)</f>
        <v>0</v>
      </c>
      <c r="T158" s="7"/>
      <c r="U158" s="7"/>
      <c r="V158" s="7"/>
      <c r="W158" s="7"/>
      <c r="X158" s="7"/>
      <c r="Y158" s="7"/>
      <c r="Z158" s="7"/>
      <c r="AA158" s="7"/>
      <c r="AB158" s="7"/>
      <c r="AC158" s="7"/>
      <c r="AD158" s="7"/>
      <c r="AE158" s="7"/>
      <c r="AF158" s="7"/>
      <c r="AG158" s="7"/>
      <c r="AH158" s="7"/>
      <c r="AI158" s="7"/>
    </row>
    <row r="159" spans="12:35">
      <c r="L159" s="7">
        <v>13</v>
      </c>
      <c r="M159" s="7">
        <v>40</v>
      </c>
      <c r="N159" s="7" t="b">
        <f>AND($N$5,$N$6,2&lt;=$M$5,9&lt;=$M$6)</f>
        <v>0</v>
      </c>
      <c r="O159" s="7">
        <f>(P13-N13)*(O40-O13)-(Q13-O13)*(N40-N13)</f>
        <v>0</v>
      </c>
      <c r="P159" s="7">
        <f>(P13-N13)*(Q40-O13)-(Q13-O13)*(P40-N13)</f>
        <v>0</v>
      </c>
      <c r="Q159" s="7">
        <f>(P40-N40)*(O13-O40)-(Q40-O40)*(N13-N40)</f>
        <v>0</v>
      </c>
      <c r="R159" s="7">
        <f>(P40-N40)*(Q13-O40)-(Q40-O40)*(P13-N40)</f>
        <v>0</v>
      </c>
      <c r="S159" s="7">
        <f>IF(N159,IF(AND(O159*P159&lt;=0,Q159*R159&lt;=0,MAX(MIN(N13,P13),MIN(N40,P40))&lt;=MIN(MAX(N13,P13),MAX(N40,P40)),MAX(MIN(O13,Q13),MIN(O40,Q40))&lt;=MIN(MAX(O13,Q13),MAX(O40,Q40))),1,0),0)</f>
        <v>0</v>
      </c>
      <c r="T159" s="7"/>
      <c r="U159" s="7"/>
      <c r="V159" s="7"/>
      <c r="W159" s="7"/>
      <c r="X159" s="7"/>
      <c r="Y159" s="7"/>
      <c r="Z159" s="7"/>
      <c r="AA159" s="7"/>
      <c r="AB159" s="7"/>
      <c r="AC159" s="7"/>
      <c r="AD159" s="7"/>
      <c r="AE159" s="7"/>
      <c r="AF159" s="7"/>
      <c r="AG159" s="7"/>
      <c r="AH159" s="7"/>
      <c r="AI159" s="7"/>
    </row>
    <row r="160" spans="12:35">
      <c r="L160" s="7">
        <v>13</v>
      </c>
      <c r="M160" s="7">
        <v>41</v>
      </c>
      <c r="N160" s="7" t="b">
        <f>AND($N$5,$N$6,2&lt;=$M$5,10&lt;=$M$6)</f>
        <v>0</v>
      </c>
      <c r="O160" s="7">
        <f>(P13-N13)*(O41-O13)-(Q13-O13)*(N41-N13)</f>
        <v>0</v>
      </c>
      <c r="P160" s="7">
        <f>(P13-N13)*(Q41-O13)-(Q13-O13)*(P41-N13)</f>
        <v>0</v>
      </c>
      <c r="Q160" s="7">
        <f>(P41-N41)*(O13-O41)-(Q41-O41)*(N13-N41)</f>
        <v>0</v>
      </c>
      <c r="R160" s="7">
        <f>(P41-N41)*(Q13-O41)-(Q41-O41)*(P13-N41)</f>
        <v>0</v>
      </c>
      <c r="S160" s="7">
        <f>IF(N160,IF(AND(O160*P160&lt;=0,Q160*R160&lt;=0,MAX(MIN(N13,P13),MIN(N41,P41))&lt;=MIN(MAX(N13,P13),MAX(N41,P41)),MAX(MIN(O13,Q13),MIN(O41,Q41))&lt;=MIN(MAX(O13,Q13),MAX(O41,Q41))),1,0),0)</f>
        <v>0</v>
      </c>
      <c r="T160" s="7"/>
      <c r="U160" s="7"/>
      <c r="V160" s="7"/>
      <c r="W160" s="7"/>
      <c r="X160" s="7"/>
      <c r="Y160" s="7"/>
      <c r="Z160" s="7"/>
      <c r="AA160" s="7"/>
      <c r="AB160" s="7"/>
      <c r="AC160" s="7"/>
      <c r="AD160" s="7"/>
      <c r="AE160" s="7"/>
      <c r="AF160" s="7"/>
      <c r="AG160" s="7"/>
      <c r="AH160" s="7"/>
      <c r="AI160" s="7"/>
    </row>
    <row r="161" spans="12:35">
      <c r="L161" s="7">
        <v>13</v>
      </c>
      <c r="M161" s="7">
        <v>42</v>
      </c>
      <c r="N161" s="7" t="b">
        <f>AND($N$5,$N$6,2&lt;=$M$5,11&lt;=$M$6)</f>
        <v>0</v>
      </c>
      <c r="O161" s="7">
        <f>(P13-N13)*(O42-O13)-(Q13-O13)*(N42-N13)</f>
        <v>0</v>
      </c>
      <c r="P161" s="7">
        <f>(P13-N13)*(Q42-O13)-(Q13-O13)*(P42-N13)</f>
        <v>0</v>
      </c>
      <c r="Q161" s="7">
        <f>(P42-N42)*(O13-O42)-(Q42-O42)*(N13-N42)</f>
        <v>0</v>
      </c>
      <c r="R161" s="7">
        <f>(P42-N42)*(Q13-O42)-(Q42-O42)*(P13-N42)</f>
        <v>0</v>
      </c>
      <c r="S161" s="7">
        <f>IF(N161,IF(AND(O161*P161&lt;=0,Q161*R161&lt;=0,MAX(MIN(N13,P13),MIN(N42,P42))&lt;=MIN(MAX(N13,P13),MAX(N42,P42)),MAX(MIN(O13,Q13),MIN(O42,Q42))&lt;=MIN(MAX(O13,Q13),MAX(O42,Q42))),1,0),0)</f>
        <v>0</v>
      </c>
      <c r="T161" s="7"/>
      <c r="U161" s="7"/>
      <c r="V161" s="7"/>
      <c r="W161" s="7"/>
      <c r="X161" s="7"/>
      <c r="Y161" s="7"/>
      <c r="Z161" s="7"/>
      <c r="AA161" s="7"/>
      <c r="AB161" s="7"/>
      <c r="AC161" s="7"/>
      <c r="AD161" s="7"/>
      <c r="AE161" s="7"/>
      <c r="AF161" s="7"/>
      <c r="AG161" s="7"/>
      <c r="AH161" s="7"/>
      <c r="AI161" s="7"/>
    </row>
    <row r="162" spans="12:35">
      <c r="L162" s="7">
        <v>13</v>
      </c>
      <c r="M162" s="7">
        <v>43</v>
      </c>
      <c r="N162" s="7" t="b">
        <f>AND($N$5,$N$6,2&lt;=$M$5,12&lt;=$M$6)</f>
        <v>0</v>
      </c>
      <c r="O162" s="7">
        <f>(P13-N13)*(O43-O13)-(Q13-O13)*(N43-N13)</f>
        <v>0</v>
      </c>
      <c r="P162" s="7">
        <f>(P13-N13)*(Q43-O13)-(Q13-O13)*(P43-N13)</f>
        <v>0</v>
      </c>
      <c r="Q162" s="7">
        <f>(P43-N43)*(O13-O43)-(Q43-O43)*(N13-N43)</f>
        <v>0</v>
      </c>
      <c r="R162" s="7">
        <f>(P43-N43)*(Q13-O43)-(Q43-O43)*(P13-N43)</f>
        <v>0</v>
      </c>
      <c r="S162" s="7">
        <f>IF(N162,IF(AND(O162*P162&lt;=0,Q162*R162&lt;=0,MAX(MIN(N13,P13),MIN(N43,P43))&lt;=MIN(MAX(N13,P13),MAX(N43,P43)),MAX(MIN(O13,Q13),MIN(O43,Q43))&lt;=MIN(MAX(O13,Q13),MAX(O43,Q43))),1,0),0)</f>
        <v>0</v>
      </c>
      <c r="T162" s="7"/>
      <c r="U162" s="7"/>
      <c r="V162" s="7"/>
      <c r="W162" s="7"/>
      <c r="X162" s="7"/>
      <c r="Y162" s="7"/>
      <c r="Z162" s="7"/>
      <c r="AA162" s="7"/>
      <c r="AB162" s="7"/>
      <c r="AC162" s="7"/>
      <c r="AD162" s="7"/>
      <c r="AE162" s="7"/>
      <c r="AF162" s="7"/>
      <c r="AG162" s="7"/>
      <c r="AH162" s="7"/>
      <c r="AI162" s="7"/>
    </row>
    <row r="163" spans="12:35">
      <c r="L163" s="7">
        <v>13</v>
      </c>
      <c r="M163" s="7">
        <v>44</v>
      </c>
      <c r="N163" s="7" t="b">
        <f>AND($N$5,$N$6,2&lt;=$M$5,13&lt;=$M$6)</f>
        <v>0</v>
      </c>
      <c r="O163" s="7">
        <f>(P13-N13)*(O44-O13)-(Q13-O13)*(N44-N13)</f>
        <v>0</v>
      </c>
      <c r="P163" s="7">
        <f>(P13-N13)*(Q44-O13)-(Q13-O13)*(P44-N13)</f>
        <v>0</v>
      </c>
      <c r="Q163" s="7">
        <f>(P44-N44)*(O13-O44)-(Q44-O44)*(N13-N44)</f>
        <v>0</v>
      </c>
      <c r="R163" s="7">
        <f>(P44-N44)*(Q13-O44)-(Q44-O44)*(P13-N44)</f>
        <v>0</v>
      </c>
      <c r="S163" s="7">
        <f>IF(N163,IF(AND(O163*P163&lt;=0,Q163*R163&lt;=0,MAX(MIN(N13,P13),MIN(N44,P44))&lt;=MIN(MAX(N13,P13),MAX(N44,P44)),MAX(MIN(O13,Q13),MIN(O44,Q44))&lt;=MIN(MAX(O13,Q13),MAX(O44,Q44))),1,0),0)</f>
        <v>0</v>
      </c>
      <c r="T163" s="7"/>
      <c r="U163" s="7"/>
      <c r="V163" s="7"/>
      <c r="W163" s="7"/>
      <c r="X163" s="7"/>
      <c r="Y163" s="7"/>
      <c r="Z163" s="7"/>
      <c r="AA163" s="7"/>
      <c r="AB163" s="7"/>
      <c r="AC163" s="7"/>
      <c r="AD163" s="7"/>
      <c r="AE163" s="7"/>
      <c r="AF163" s="7"/>
      <c r="AG163" s="7"/>
      <c r="AH163" s="7"/>
      <c r="AI163" s="7"/>
    </row>
    <row r="164" spans="12:35">
      <c r="L164" s="7">
        <v>13</v>
      </c>
      <c r="M164" s="7">
        <v>45</v>
      </c>
      <c r="N164" s="7" t="b">
        <f>AND($N$5,$N$6,2&lt;=$M$5,14&lt;=$M$6)</f>
        <v>0</v>
      </c>
      <c r="O164" s="7">
        <f>(P13-N13)*(O45-O13)-(Q13-O13)*(N45-N13)</f>
        <v>0</v>
      </c>
      <c r="P164" s="7">
        <f>(P13-N13)*(Q45-O13)-(Q13-O13)*(P45-N13)</f>
        <v>0</v>
      </c>
      <c r="Q164" s="7">
        <f>(P45-N45)*(O13-O45)-(Q45-O45)*(N13-N45)</f>
        <v>0</v>
      </c>
      <c r="R164" s="7">
        <f>(P45-N45)*(Q13-O45)-(Q45-O45)*(P13-N45)</f>
        <v>0</v>
      </c>
      <c r="S164" s="7">
        <f>IF(N164,IF(AND(O164*P164&lt;=0,Q164*R164&lt;=0,MAX(MIN(N13,P13),MIN(N45,P45))&lt;=MIN(MAX(N13,P13),MAX(N45,P45)),MAX(MIN(O13,Q13),MIN(O45,Q45))&lt;=MIN(MAX(O13,Q13),MAX(O45,Q45))),1,0),0)</f>
        <v>0</v>
      </c>
      <c r="T164" s="7"/>
      <c r="U164" s="7"/>
      <c r="V164" s="7"/>
      <c r="W164" s="7"/>
      <c r="X164" s="7"/>
      <c r="Y164" s="7"/>
      <c r="Z164" s="7"/>
      <c r="AA164" s="7"/>
      <c r="AB164" s="7"/>
      <c r="AC164" s="7"/>
      <c r="AD164" s="7"/>
      <c r="AE164" s="7"/>
      <c r="AF164" s="7"/>
      <c r="AG164" s="7"/>
      <c r="AH164" s="7"/>
      <c r="AI164" s="7"/>
    </row>
    <row r="165" spans="12:35">
      <c r="L165" s="7">
        <v>13</v>
      </c>
      <c r="M165" s="7">
        <v>46</v>
      </c>
      <c r="N165" s="7" t="b">
        <f>AND($N$5,$N$6,2&lt;=$M$5,15&lt;=$M$6)</f>
        <v>0</v>
      </c>
      <c r="O165" s="7">
        <f>(P13-N13)*(O46-O13)-(Q13-O13)*(N46-N13)</f>
        <v>0</v>
      </c>
      <c r="P165" s="7">
        <f>(P13-N13)*(Q46-O13)-(Q13-O13)*(P46-N13)</f>
        <v>0</v>
      </c>
      <c r="Q165" s="7">
        <f>(P46-N46)*(O13-O46)-(Q46-O46)*(N13-N46)</f>
        <v>0</v>
      </c>
      <c r="R165" s="7">
        <f>(P46-N46)*(Q13-O46)-(Q46-O46)*(P13-N46)</f>
        <v>0</v>
      </c>
      <c r="S165" s="7">
        <f>IF(N165,IF(AND(O165*P165&lt;=0,Q165*R165&lt;=0,MAX(MIN(N13,P13),MIN(N46,P46))&lt;=MIN(MAX(N13,P13),MAX(N46,P46)),MAX(MIN(O13,Q13),MIN(O46,Q46))&lt;=MIN(MAX(O13,Q13),MAX(O46,Q46))),1,0),0)</f>
        <v>0</v>
      </c>
      <c r="T165" s="7"/>
      <c r="U165" s="7"/>
      <c r="V165" s="7"/>
      <c r="W165" s="7"/>
      <c r="X165" s="7"/>
      <c r="Y165" s="7"/>
      <c r="Z165" s="7"/>
      <c r="AA165" s="7"/>
      <c r="AB165" s="7"/>
      <c r="AC165" s="7"/>
      <c r="AD165" s="7"/>
      <c r="AE165" s="7"/>
      <c r="AF165" s="7"/>
      <c r="AG165" s="7"/>
      <c r="AH165" s="7"/>
      <c r="AI165" s="7"/>
    </row>
    <row r="166" spans="12:35">
      <c r="L166" s="7">
        <v>13</v>
      </c>
      <c r="M166" s="7">
        <v>47</v>
      </c>
      <c r="N166" s="7" t="b">
        <f>AND($N$5,$N$6,2&lt;=$M$5,16&lt;=$M$6)</f>
        <v>0</v>
      </c>
      <c r="O166" s="7">
        <f>(P13-N13)*(O47-O13)-(Q13-O13)*(N47-N13)</f>
        <v>0</v>
      </c>
      <c r="P166" s="7">
        <f>(P13-N13)*(Q47-O13)-(Q13-O13)*(P47-N13)</f>
        <v>0</v>
      </c>
      <c r="Q166" s="7">
        <f>(P47-N47)*(O13-O47)-(Q47-O47)*(N13-N47)</f>
        <v>0</v>
      </c>
      <c r="R166" s="7">
        <f>(P47-N47)*(Q13-O47)-(Q47-O47)*(P13-N47)</f>
        <v>0</v>
      </c>
      <c r="S166" s="7">
        <f>IF(N166,IF(AND(O166*P166&lt;=0,Q166*R166&lt;=0,MAX(MIN(N13,P13),MIN(N47,P47))&lt;=MIN(MAX(N13,P13),MAX(N47,P47)),MAX(MIN(O13,Q13),MIN(O47,Q47))&lt;=MIN(MAX(O13,Q13),MAX(O47,Q47))),1,0),0)</f>
        <v>0</v>
      </c>
      <c r="T166" s="7"/>
      <c r="U166" s="7"/>
      <c r="V166" s="7"/>
      <c r="W166" s="7"/>
      <c r="X166" s="7"/>
      <c r="Y166" s="7"/>
      <c r="Z166" s="7"/>
      <c r="AA166" s="7"/>
      <c r="AB166" s="7"/>
      <c r="AC166" s="7"/>
      <c r="AD166" s="7"/>
      <c r="AE166" s="7"/>
      <c r="AF166" s="7"/>
      <c r="AG166" s="7"/>
      <c r="AH166" s="7"/>
      <c r="AI166" s="7"/>
    </row>
    <row r="167" spans="12:35">
      <c r="L167" s="7">
        <v>13</v>
      </c>
      <c r="M167" s="7">
        <v>48</v>
      </c>
      <c r="N167" s="7" t="b">
        <f>AND($N$5,$N$6,2&lt;=$M$5,17&lt;=$M$6)</f>
        <v>0</v>
      </c>
      <c r="O167" s="7">
        <f>(P13-N13)*(O48-O13)-(Q13-O13)*(N48-N13)</f>
        <v>0</v>
      </c>
      <c r="P167" s="7">
        <f>(P13-N13)*(Q48-O13)-(Q13-O13)*(P48-N13)</f>
        <v>0</v>
      </c>
      <c r="Q167" s="7">
        <f>(P48-N48)*(O13-O48)-(Q48-O48)*(N13-N48)</f>
        <v>0</v>
      </c>
      <c r="R167" s="7">
        <f>(P48-N48)*(Q13-O48)-(Q48-O48)*(P13-N48)</f>
        <v>0</v>
      </c>
      <c r="S167" s="7">
        <f>IF(N167,IF(AND(O167*P167&lt;=0,Q167*R167&lt;=0,MAX(MIN(N13,P13),MIN(N48,P48))&lt;=MIN(MAX(N13,P13),MAX(N48,P48)),MAX(MIN(O13,Q13),MIN(O48,Q48))&lt;=MIN(MAX(O13,Q13),MAX(O48,Q48))),1,0),0)</f>
        <v>0</v>
      </c>
      <c r="T167" s="7"/>
      <c r="U167" s="7"/>
      <c r="V167" s="7"/>
      <c r="W167" s="7"/>
      <c r="X167" s="7"/>
      <c r="Y167" s="7"/>
      <c r="Z167" s="7"/>
      <c r="AA167" s="7"/>
      <c r="AB167" s="7"/>
      <c r="AC167" s="7"/>
      <c r="AD167" s="7"/>
      <c r="AE167" s="7"/>
      <c r="AF167" s="7"/>
      <c r="AG167" s="7"/>
      <c r="AH167" s="7"/>
      <c r="AI167" s="7"/>
    </row>
    <row r="168" spans="12:35">
      <c r="L168" s="7">
        <v>13</v>
      </c>
      <c r="M168" s="7">
        <v>49</v>
      </c>
      <c r="N168" s="7" t="b">
        <f>AND($N$5,$N$6,2&lt;=$M$5,18&lt;=$M$6)</f>
        <v>0</v>
      </c>
      <c r="O168" s="7">
        <f>(P13-N13)*(O49-O13)-(Q13-O13)*(N49-N13)</f>
        <v>0</v>
      </c>
      <c r="P168" s="7">
        <f>(P13-N13)*(Q49-O13)-(Q13-O13)*(P49-N13)</f>
        <v>0</v>
      </c>
      <c r="Q168" s="7">
        <f>(P49-N49)*(O13-O49)-(Q49-O49)*(N13-N49)</f>
        <v>0</v>
      </c>
      <c r="R168" s="7">
        <f>(P49-N49)*(Q13-O49)-(Q49-O49)*(P13-N49)</f>
        <v>0</v>
      </c>
      <c r="S168" s="7">
        <f>IF(N168,IF(AND(O168*P168&lt;=0,Q168*R168&lt;=0,MAX(MIN(N13,P13),MIN(N49,P49))&lt;=MIN(MAX(N13,P13),MAX(N49,P49)),MAX(MIN(O13,Q13),MIN(O49,Q49))&lt;=MIN(MAX(O13,Q13),MAX(O49,Q49))),1,0),0)</f>
        <v>0</v>
      </c>
      <c r="T168" s="7"/>
      <c r="U168" s="7"/>
      <c r="V168" s="7"/>
      <c r="W168" s="7"/>
      <c r="X168" s="7"/>
      <c r="Y168" s="7"/>
      <c r="Z168" s="7"/>
      <c r="AA168" s="7"/>
      <c r="AB168" s="7"/>
      <c r="AC168" s="7"/>
      <c r="AD168" s="7"/>
      <c r="AE168" s="7"/>
      <c r="AF168" s="7"/>
      <c r="AG168" s="7"/>
      <c r="AH168" s="7"/>
      <c r="AI168" s="7"/>
    </row>
    <row r="169" spans="12:35">
      <c r="L169" s="7">
        <v>13</v>
      </c>
      <c r="M169" s="7">
        <v>50</v>
      </c>
      <c r="N169" s="7" t="b">
        <f>AND($N$5,$N$6,2&lt;=$M$5,19&lt;=$M$6)</f>
        <v>0</v>
      </c>
      <c r="O169" s="7">
        <f>(P13-N13)*(O50-O13)-(Q13-O13)*(N50-N13)</f>
        <v>0</v>
      </c>
      <c r="P169" s="7">
        <f>(P13-N13)*(Q50-O13)-(Q13-O13)*(P50-N13)</f>
        <v>0</v>
      </c>
      <c r="Q169" s="7">
        <f>(P50-N50)*(O13-O50)-(Q50-O50)*(N13-N50)</f>
        <v>0</v>
      </c>
      <c r="R169" s="7">
        <f>(P50-N50)*(Q13-O50)-(Q50-O50)*(P13-N50)</f>
        <v>0</v>
      </c>
      <c r="S169" s="7">
        <f>IF(N169,IF(AND(O169*P169&lt;=0,Q169*R169&lt;=0,MAX(MIN(N13,P13),MIN(N50,P50))&lt;=MIN(MAX(N13,P13),MAX(N50,P50)),MAX(MIN(O13,Q13),MIN(O50,Q50))&lt;=MIN(MAX(O13,Q13),MAX(O50,Q50))),1,0),0)</f>
        <v>0</v>
      </c>
      <c r="T169" s="7"/>
      <c r="U169" s="7"/>
      <c r="V169" s="7"/>
      <c r="W169" s="7"/>
      <c r="X169" s="7"/>
      <c r="Y169" s="7"/>
      <c r="Z169" s="7"/>
      <c r="AA169" s="7"/>
      <c r="AB169" s="7"/>
      <c r="AC169" s="7"/>
      <c r="AD169" s="7"/>
      <c r="AE169" s="7"/>
      <c r="AF169" s="7"/>
      <c r="AG169" s="7"/>
      <c r="AH169" s="7"/>
      <c r="AI169" s="7"/>
    </row>
    <row r="170" spans="12:35">
      <c r="L170" s="7">
        <v>13</v>
      </c>
      <c r="M170" s="7">
        <v>51</v>
      </c>
      <c r="N170" s="7" t="b">
        <f>AND($N$5,$N$6,2&lt;=$M$5,20&lt;=$M$6)</f>
        <v>0</v>
      </c>
      <c r="O170" s="7">
        <f>(P13-N13)*(O51-O13)-(Q13-O13)*(N51-N13)</f>
        <v>0</v>
      </c>
      <c r="P170" s="7">
        <f>(P13-N13)*(Q51-O13)-(Q13-O13)*(P51-N13)</f>
        <v>0</v>
      </c>
      <c r="Q170" s="7">
        <f>(P51-N51)*(O13-O51)-(Q51-O51)*(N13-N51)</f>
        <v>0</v>
      </c>
      <c r="R170" s="7">
        <f>(P51-N51)*(Q13-O51)-(Q51-O51)*(P13-N51)</f>
        <v>0</v>
      </c>
      <c r="S170" s="7">
        <f>IF(N170,IF(AND(O170*P170&lt;=0,Q170*R170&lt;=0,MAX(MIN(N13,P13),MIN(N51,P51))&lt;=MIN(MAX(N13,P13),MAX(N51,P51)),MAX(MIN(O13,Q13),MIN(O51,Q51))&lt;=MIN(MAX(O13,Q13),MAX(O51,Q51))),1,0),0)</f>
        <v>0</v>
      </c>
      <c r="T170" s="7"/>
      <c r="U170" s="7"/>
      <c r="V170" s="7"/>
      <c r="W170" s="7"/>
      <c r="X170" s="7"/>
      <c r="Y170" s="7"/>
      <c r="Z170" s="7"/>
      <c r="AA170" s="7"/>
      <c r="AB170" s="7"/>
      <c r="AC170" s="7"/>
      <c r="AD170" s="7"/>
      <c r="AE170" s="7"/>
      <c r="AF170" s="7"/>
      <c r="AG170" s="7"/>
      <c r="AH170" s="7"/>
      <c r="AI170" s="7"/>
    </row>
    <row r="171" spans="12:35">
      <c r="L171" s="7">
        <v>13</v>
      </c>
      <c r="M171" s="7">
        <v>52</v>
      </c>
      <c r="N171" s="7" t="b">
        <f>AND($N$5,$N$7,2&lt;=$M$5,1&lt;=$M$7)</f>
        <v>0</v>
      </c>
      <c r="O171" s="7">
        <f>(P13-N13)*(O52-O13)-(Q13-O13)*(N52-N13)</f>
        <v>0</v>
      </c>
      <c r="P171" s="7">
        <f>(P13-N13)*(Q52-O13)-(Q13-O13)*(P52-N13)</f>
        <v>0</v>
      </c>
      <c r="Q171" s="7">
        <f>(P52-N52)*(O13-O52)-(Q52-O52)*(N13-N52)</f>
        <v>0</v>
      </c>
      <c r="R171" s="7">
        <f>(P52-N52)*(Q13-O52)-(Q52-O52)*(P13-N52)</f>
        <v>0</v>
      </c>
      <c r="S171" s="7">
        <f>IF(N171,IF(AND(O171*P171&lt;=0,Q171*R171&lt;=0,MAX(MIN(N13,P13),MIN(N52,P52))&lt;=MIN(MAX(N13,P13),MAX(N52,P52)),MAX(MIN(O13,Q13),MIN(O52,Q52))&lt;=MIN(MAX(O13,Q13),MAX(O52,Q52))),1,0),0)</f>
        <v>0</v>
      </c>
      <c r="T171" s="7"/>
      <c r="U171" s="7"/>
      <c r="V171" s="7"/>
      <c r="W171" s="7"/>
      <c r="X171" s="7"/>
      <c r="Y171" s="7"/>
      <c r="Z171" s="7"/>
      <c r="AA171" s="7"/>
      <c r="AB171" s="7"/>
      <c r="AC171" s="7"/>
      <c r="AD171" s="7"/>
      <c r="AE171" s="7"/>
      <c r="AF171" s="7"/>
      <c r="AG171" s="7"/>
      <c r="AH171" s="7"/>
      <c r="AI171" s="7"/>
    </row>
    <row r="172" spans="12:35">
      <c r="L172" s="7">
        <v>13</v>
      </c>
      <c r="M172" s="7">
        <v>53</v>
      </c>
      <c r="N172" s="7" t="b">
        <f>AND($N$5,$N$7,2&lt;=$M$5,2&lt;=$M$7)</f>
        <v>0</v>
      </c>
      <c r="O172" s="7">
        <f>(P13-N13)*(O53-O13)-(Q13-O13)*(N53-N13)</f>
        <v>0</v>
      </c>
      <c r="P172" s="7">
        <f>(P13-N13)*(Q53-O13)-(Q13-O13)*(P53-N13)</f>
        <v>0</v>
      </c>
      <c r="Q172" s="7">
        <f>(P53-N53)*(O13-O53)-(Q53-O53)*(N13-N53)</f>
        <v>0</v>
      </c>
      <c r="R172" s="7">
        <f>(P53-N53)*(Q13-O53)-(Q53-O53)*(P13-N53)</f>
        <v>0</v>
      </c>
      <c r="S172" s="7">
        <f>IF(N172,IF(AND(O172*P172&lt;=0,Q172*R172&lt;=0,MAX(MIN(N13,P13),MIN(N53,P53))&lt;=MIN(MAX(N13,P13),MAX(N53,P53)),MAX(MIN(O13,Q13),MIN(O53,Q53))&lt;=MIN(MAX(O13,Q13),MAX(O53,Q53))),1,0),0)</f>
        <v>0</v>
      </c>
      <c r="T172" s="7"/>
      <c r="U172" s="7"/>
      <c r="V172" s="7"/>
      <c r="W172" s="7"/>
      <c r="X172" s="7"/>
      <c r="Y172" s="7"/>
      <c r="Z172" s="7"/>
      <c r="AA172" s="7"/>
      <c r="AB172" s="7"/>
      <c r="AC172" s="7"/>
      <c r="AD172" s="7"/>
      <c r="AE172" s="7"/>
      <c r="AF172" s="7"/>
      <c r="AG172" s="7"/>
      <c r="AH172" s="7"/>
      <c r="AI172" s="7"/>
    </row>
    <row r="173" spans="12:35">
      <c r="L173" s="7">
        <v>13</v>
      </c>
      <c r="M173" s="7">
        <v>54</v>
      </c>
      <c r="N173" s="7" t="b">
        <f>AND($N$5,$N$7,2&lt;=$M$5,3&lt;=$M$7)</f>
        <v>0</v>
      </c>
      <c r="O173" s="7">
        <f>(P13-N13)*(O54-O13)-(Q13-O13)*(N54-N13)</f>
        <v>0</v>
      </c>
      <c r="P173" s="7">
        <f>(P13-N13)*(Q54-O13)-(Q13-O13)*(P54-N13)</f>
        <v>0</v>
      </c>
      <c r="Q173" s="7">
        <f>(P54-N54)*(O13-O54)-(Q54-O54)*(N13-N54)</f>
        <v>0</v>
      </c>
      <c r="R173" s="7">
        <f>(P54-N54)*(Q13-O54)-(Q54-O54)*(P13-N54)</f>
        <v>0</v>
      </c>
      <c r="S173" s="7">
        <f>IF(N173,IF(AND(O173*P173&lt;=0,Q173*R173&lt;=0,MAX(MIN(N13,P13),MIN(N54,P54))&lt;=MIN(MAX(N13,P13),MAX(N54,P54)),MAX(MIN(O13,Q13),MIN(O54,Q54))&lt;=MIN(MAX(O13,Q13),MAX(O54,Q54))),1,0),0)</f>
        <v>0</v>
      </c>
      <c r="T173" s="7"/>
      <c r="U173" s="7"/>
      <c r="V173" s="7"/>
      <c r="W173" s="7"/>
      <c r="X173" s="7"/>
      <c r="Y173" s="7"/>
      <c r="Z173" s="7"/>
      <c r="AA173" s="7"/>
      <c r="AB173" s="7"/>
      <c r="AC173" s="7"/>
      <c r="AD173" s="7"/>
      <c r="AE173" s="7"/>
      <c r="AF173" s="7"/>
      <c r="AG173" s="7"/>
      <c r="AH173" s="7"/>
      <c r="AI173" s="7"/>
    </row>
    <row r="174" spans="12:35">
      <c r="L174" s="7">
        <v>13</v>
      </c>
      <c r="M174" s="7">
        <v>55</v>
      </c>
      <c r="N174" s="7" t="b">
        <f>AND($N$5,$N$7,2&lt;=$M$5,4&lt;=$M$7)</f>
        <v>0</v>
      </c>
      <c r="O174" s="7">
        <f>(P13-N13)*(O55-O13)-(Q13-O13)*(N55-N13)</f>
        <v>0</v>
      </c>
      <c r="P174" s="7">
        <f>(P13-N13)*(Q55-O13)-(Q13-O13)*(P55-N13)</f>
        <v>0</v>
      </c>
      <c r="Q174" s="7">
        <f>(P55-N55)*(O13-O55)-(Q55-O55)*(N13-N55)</f>
        <v>0</v>
      </c>
      <c r="R174" s="7">
        <f>(P55-N55)*(Q13-O55)-(Q55-O55)*(P13-N55)</f>
        <v>0</v>
      </c>
      <c r="S174" s="7">
        <f>IF(N174,IF(AND(O174*P174&lt;=0,Q174*R174&lt;=0,MAX(MIN(N13,P13),MIN(N55,P55))&lt;=MIN(MAX(N13,P13),MAX(N55,P55)),MAX(MIN(O13,Q13),MIN(O55,Q55))&lt;=MIN(MAX(O13,Q13),MAX(O55,Q55))),1,0),0)</f>
        <v>0</v>
      </c>
      <c r="T174" s="7"/>
      <c r="U174" s="7"/>
      <c r="V174" s="7"/>
      <c r="W174" s="7"/>
      <c r="X174" s="7"/>
      <c r="Y174" s="7"/>
      <c r="Z174" s="7"/>
      <c r="AA174" s="7"/>
      <c r="AB174" s="7"/>
      <c r="AC174" s="7"/>
      <c r="AD174" s="7"/>
      <c r="AE174" s="7"/>
      <c r="AF174" s="7"/>
      <c r="AG174" s="7"/>
      <c r="AH174" s="7"/>
      <c r="AI174" s="7"/>
    </row>
    <row r="175" spans="12:35">
      <c r="L175" s="7">
        <v>13</v>
      </c>
      <c r="M175" s="7">
        <v>56</v>
      </c>
      <c r="N175" s="7" t="b">
        <f>AND($N$5,$N$7,2&lt;=$M$5,5&lt;=$M$7)</f>
        <v>0</v>
      </c>
      <c r="O175" s="7">
        <f>(P13-N13)*(O56-O13)-(Q13-O13)*(N56-N13)</f>
        <v>0</v>
      </c>
      <c r="P175" s="7">
        <f>(P13-N13)*(Q56-O13)-(Q13-O13)*(P56-N13)</f>
        <v>0</v>
      </c>
      <c r="Q175" s="7">
        <f>(P56-N56)*(O13-O56)-(Q56-O56)*(N13-N56)</f>
        <v>0</v>
      </c>
      <c r="R175" s="7">
        <f>(P56-N56)*(Q13-O56)-(Q56-O56)*(P13-N56)</f>
        <v>0</v>
      </c>
      <c r="S175" s="7">
        <f>IF(N175,IF(AND(O175*P175&lt;=0,Q175*R175&lt;=0,MAX(MIN(N13,P13),MIN(N56,P56))&lt;=MIN(MAX(N13,P13),MAX(N56,P56)),MAX(MIN(O13,Q13),MIN(O56,Q56))&lt;=MIN(MAX(O13,Q13),MAX(O56,Q56))),1,0),0)</f>
        <v>0</v>
      </c>
      <c r="T175" s="7"/>
      <c r="U175" s="7"/>
      <c r="V175" s="7"/>
      <c r="W175" s="7"/>
      <c r="X175" s="7"/>
      <c r="Y175" s="7"/>
      <c r="Z175" s="7"/>
      <c r="AA175" s="7"/>
      <c r="AB175" s="7"/>
      <c r="AC175" s="7"/>
      <c r="AD175" s="7"/>
      <c r="AE175" s="7"/>
      <c r="AF175" s="7"/>
      <c r="AG175" s="7"/>
      <c r="AH175" s="7"/>
      <c r="AI175" s="7"/>
    </row>
    <row r="176" spans="12:35">
      <c r="L176" s="7">
        <v>13</v>
      </c>
      <c r="M176" s="7">
        <v>57</v>
      </c>
      <c r="N176" s="7" t="b">
        <f>AND($N$5,$N$7,2&lt;=$M$5,6&lt;=$M$7)</f>
        <v>0</v>
      </c>
      <c r="O176" s="7">
        <f>(P13-N13)*(O57-O13)-(Q13-O13)*(N57-N13)</f>
        <v>0</v>
      </c>
      <c r="P176" s="7">
        <f>(P13-N13)*(Q57-O13)-(Q13-O13)*(P57-N13)</f>
        <v>0</v>
      </c>
      <c r="Q176" s="7">
        <f>(P57-N57)*(O13-O57)-(Q57-O57)*(N13-N57)</f>
        <v>0</v>
      </c>
      <c r="R176" s="7">
        <f>(P57-N57)*(Q13-O57)-(Q57-O57)*(P13-N57)</f>
        <v>0</v>
      </c>
      <c r="S176" s="7">
        <f>IF(N176,IF(AND(O176*P176&lt;=0,Q176*R176&lt;=0,MAX(MIN(N13,P13),MIN(N57,P57))&lt;=MIN(MAX(N13,P13),MAX(N57,P57)),MAX(MIN(O13,Q13),MIN(O57,Q57))&lt;=MIN(MAX(O13,Q13),MAX(O57,Q57))),1,0),0)</f>
        <v>0</v>
      </c>
      <c r="T176" s="7"/>
      <c r="U176" s="7"/>
      <c r="V176" s="7"/>
      <c r="W176" s="7"/>
      <c r="X176" s="7"/>
      <c r="Y176" s="7"/>
      <c r="Z176" s="7"/>
      <c r="AA176" s="7"/>
      <c r="AB176" s="7"/>
      <c r="AC176" s="7"/>
      <c r="AD176" s="7"/>
      <c r="AE176" s="7"/>
      <c r="AF176" s="7"/>
      <c r="AG176" s="7"/>
      <c r="AH176" s="7"/>
      <c r="AI176" s="7"/>
    </row>
    <row r="177" spans="12:35">
      <c r="L177" s="7">
        <v>13</v>
      </c>
      <c r="M177" s="7">
        <v>58</v>
      </c>
      <c r="N177" s="7" t="b">
        <f>AND($N$5,$N$7,2&lt;=$M$5,7&lt;=$M$7)</f>
        <v>0</v>
      </c>
      <c r="O177" s="7">
        <f>(P13-N13)*(O58-O13)-(Q13-O13)*(N58-N13)</f>
        <v>0</v>
      </c>
      <c r="P177" s="7">
        <f>(P13-N13)*(Q58-O13)-(Q13-O13)*(P58-N13)</f>
        <v>0</v>
      </c>
      <c r="Q177" s="7">
        <f>(P58-N58)*(O13-O58)-(Q58-O58)*(N13-N58)</f>
        <v>0</v>
      </c>
      <c r="R177" s="7">
        <f>(P58-N58)*(Q13-O58)-(Q58-O58)*(P13-N58)</f>
        <v>0</v>
      </c>
      <c r="S177" s="7">
        <f>IF(N177,IF(AND(O177*P177&lt;=0,Q177*R177&lt;=0,MAX(MIN(N13,P13),MIN(N58,P58))&lt;=MIN(MAX(N13,P13),MAX(N58,P58)),MAX(MIN(O13,Q13),MIN(O58,Q58))&lt;=MIN(MAX(O13,Q13),MAX(O58,Q58))),1,0),0)</f>
        <v>0</v>
      </c>
      <c r="T177" s="7"/>
      <c r="U177" s="7"/>
      <c r="V177" s="7"/>
      <c r="W177" s="7"/>
      <c r="X177" s="7"/>
      <c r="Y177" s="7"/>
      <c r="Z177" s="7"/>
      <c r="AA177" s="7"/>
      <c r="AB177" s="7"/>
      <c r="AC177" s="7"/>
      <c r="AD177" s="7"/>
      <c r="AE177" s="7"/>
      <c r="AF177" s="7"/>
      <c r="AG177" s="7"/>
      <c r="AH177" s="7"/>
      <c r="AI177" s="7"/>
    </row>
    <row r="178" spans="12:35">
      <c r="L178" s="7">
        <v>13</v>
      </c>
      <c r="M178" s="7">
        <v>59</v>
      </c>
      <c r="N178" s="7" t="b">
        <f>AND($N$5,$N$7,2&lt;=$M$5,8&lt;=$M$7)</f>
        <v>0</v>
      </c>
      <c r="O178" s="7">
        <f>(P13-N13)*(O59-O13)-(Q13-O13)*(N59-N13)</f>
        <v>0</v>
      </c>
      <c r="P178" s="7">
        <f>(P13-N13)*(Q59-O13)-(Q13-O13)*(P59-N13)</f>
        <v>0</v>
      </c>
      <c r="Q178" s="7">
        <f>(P59-N59)*(O13-O59)-(Q59-O59)*(N13-N59)</f>
        <v>0</v>
      </c>
      <c r="R178" s="7">
        <f>(P59-N59)*(Q13-O59)-(Q59-O59)*(P13-N59)</f>
        <v>0</v>
      </c>
      <c r="S178" s="7">
        <f>IF(N178,IF(AND(O178*P178&lt;=0,Q178*R178&lt;=0,MAX(MIN(N13,P13),MIN(N59,P59))&lt;=MIN(MAX(N13,P13),MAX(N59,P59)),MAX(MIN(O13,Q13),MIN(O59,Q59))&lt;=MIN(MAX(O13,Q13),MAX(O59,Q59))),1,0),0)</f>
        <v>0</v>
      </c>
      <c r="T178" s="7"/>
      <c r="U178" s="7"/>
      <c r="V178" s="7"/>
      <c r="W178" s="7"/>
      <c r="X178" s="7"/>
      <c r="Y178" s="7"/>
      <c r="Z178" s="7"/>
      <c r="AA178" s="7"/>
      <c r="AB178" s="7"/>
      <c r="AC178" s="7"/>
      <c r="AD178" s="7"/>
      <c r="AE178" s="7"/>
      <c r="AF178" s="7"/>
      <c r="AG178" s="7"/>
      <c r="AH178" s="7"/>
      <c r="AI178" s="7"/>
    </row>
    <row r="179" spans="12:35">
      <c r="L179" s="7">
        <v>13</v>
      </c>
      <c r="M179" s="7">
        <v>60</v>
      </c>
      <c r="N179" s="7" t="b">
        <f>AND($N$5,$N$7,2&lt;=$M$5,9&lt;=$M$7)</f>
        <v>0</v>
      </c>
      <c r="O179" s="7">
        <f>(P13-N13)*(O60-O13)-(Q13-O13)*(N60-N13)</f>
        <v>0</v>
      </c>
      <c r="P179" s="7">
        <f>(P13-N13)*(Q60-O13)-(Q13-O13)*(P60-N13)</f>
        <v>0</v>
      </c>
      <c r="Q179" s="7">
        <f>(P60-N60)*(O13-O60)-(Q60-O60)*(N13-N60)</f>
        <v>0</v>
      </c>
      <c r="R179" s="7">
        <f>(P60-N60)*(Q13-O60)-(Q60-O60)*(P13-N60)</f>
        <v>0</v>
      </c>
      <c r="S179" s="7">
        <f>IF(N179,IF(AND(O179*P179&lt;=0,Q179*R179&lt;=0,MAX(MIN(N13,P13),MIN(N60,P60))&lt;=MIN(MAX(N13,P13),MAX(N60,P60)),MAX(MIN(O13,Q13),MIN(O60,Q60))&lt;=MIN(MAX(O13,Q13),MAX(O60,Q60))),1,0),0)</f>
        <v>0</v>
      </c>
      <c r="T179" s="7"/>
      <c r="U179" s="7"/>
      <c r="V179" s="7"/>
      <c r="W179" s="7"/>
      <c r="X179" s="7"/>
      <c r="Y179" s="7"/>
      <c r="Z179" s="7"/>
      <c r="AA179" s="7"/>
      <c r="AB179" s="7"/>
      <c r="AC179" s="7"/>
      <c r="AD179" s="7"/>
      <c r="AE179" s="7"/>
      <c r="AF179" s="7"/>
      <c r="AG179" s="7"/>
      <c r="AH179" s="7"/>
      <c r="AI179" s="7"/>
    </row>
    <row r="180" spans="12:35">
      <c r="L180" s="7">
        <v>13</v>
      </c>
      <c r="M180" s="7">
        <v>61</v>
      </c>
      <c r="N180" s="7" t="b">
        <f>AND($N$5,$N$7,2&lt;=$M$5,10&lt;=$M$7)</f>
        <v>0</v>
      </c>
      <c r="O180" s="7">
        <f>(P13-N13)*(O61-O13)-(Q13-O13)*(N61-N13)</f>
        <v>0</v>
      </c>
      <c r="P180" s="7">
        <f>(P13-N13)*(Q61-O13)-(Q13-O13)*(P61-N13)</f>
        <v>0</v>
      </c>
      <c r="Q180" s="7">
        <f>(P61-N61)*(O13-O61)-(Q61-O61)*(N13-N61)</f>
        <v>0</v>
      </c>
      <c r="R180" s="7">
        <f>(P61-N61)*(Q13-O61)-(Q61-O61)*(P13-N61)</f>
        <v>0</v>
      </c>
      <c r="S180" s="7">
        <f>IF(N180,IF(AND(O180*P180&lt;=0,Q180*R180&lt;=0,MAX(MIN(N13,P13),MIN(N61,P61))&lt;=MIN(MAX(N13,P13),MAX(N61,P61)),MAX(MIN(O13,Q13),MIN(O61,Q61))&lt;=MIN(MAX(O13,Q13),MAX(O61,Q61))),1,0),0)</f>
        <v>0</v>
      </c>
      <c r="T180" s="7"/>
      <c r="U180" s="7"/>
      <c r="V180" s="7"/>
      <c r="W180" s="7"/>
      <c r="X180" s="7"/>
      <c r="Y180" s="7"/>
      <c r="Z180" s="7"/>
      <c r="AA180" s="7"/>
      <c r="AB180" s="7"/>
      <c r="AC180" s="7"/>
      <c r="AD180" s="7"/>
      <c r="AE180" s="7"/>
      <c r="AF180" s="7"/>
      <c r="AG180" s="7"/>
      <c r="AH180" s="7"/>
      <c r="AI180" s="7"/>
    </row>
    <row r="181" spans="12:35">
      <c r="L181" s="7">
        <v>13</v>
      </c>
      <c r="M181" s="7">
        <v>62</v>
      </c>
      <c r="N181" s="7" t="b">
        <f>AND($N$5,$N$7,2&lt;=$M$5,11&lt;=$M$7)</f>
        <v>0</v>
      </c>
      <c r="O181" s="7">
        <f>(P13-N13)*(O62-O13)-(Q13-O13)*(N62-N13)</f>
        <v>0</v>
      </c>
      <c r="P181" s="7">
        <f>(P13-N13)*(Q62-O13)-(Q13-O13)*(P62-N13)</f>
        <v>0</v>
      </c>
      <c r="Q181" s="7">
        <f>(P62-N62)*(O13-O62)-(Q62-O62)*(N13-N62)</f>
        <v>0</v>
      </c>
      <c r="R181" s="7">
        <f>(P62-N62)*(Q13-O62)-(Q62-O62)*(P13-N62)</f>
        <v>0</v>
      </c>
      <c r="S181" s="7">
        <f>IF(N181,IF(AND(O181*P181&lt;=0,Q181*R181&lt;=0,MAX(MIN(N13,P13),MIN(N62,P62))&lt;=MIN(MAX(N13,P13),MAX(N62,P62)),MAX(MIN(O13,Q13),MIN(O62,Q62))&lt;=MIN(MAX(O13,Q13),MAX(O62,Q62))),1,0),0)</f>
        <v>0</v>
      </c>
      <c r="T181" s="7"/>
      <c r="U181" s="7"/>
      <c r="V181" s="7"/>
      <c r="W181" s="7"/>
      <c r="X181" s="7"/>
      <c r="Y181" s="7"/>
      <c r="Z181" s="7"/>
      <c r="AA181" s="7"/>
      <c r="AB181" s="7"/>
      <c r="AC181" s="7"/>
      <c r="AD181" s="7"/>
      <c r="AE181" s="7"/>
      <c r="AF181" s="7"/>
      <c r="AG181" s="7"/>
      <c r="AH181" s="7"/>
      <c r="AI181" s="7"/>
    </row>
    <row r="182" spans="12:35">
      <c r="L182" s="7">
        <v>13</v>
      </c>
      <c r="M182" s="7">
        <v>63</v>
      </c>
      <c r="N182" s="7" t="b">
        <f>AND($N$5,$N$7,2&lt;=$M$5,12&lt;=$M$7)</f>
        <v>0</v>
      </c>
      <c r="O182" s="7">
        <f>(P13-N13)*(O63-O13)-(Q13-O13)*(N63-N13)</f>
        <v>0</v>
      </c>
      <c r="P182" s="7">
        <f>(P13-N13)*(Q63-O13)-(Q13-O13)*(P63-N13)</f>
        <v>0</v>
      </c>
      <c r="Q182" s="7">
        <f>(P63-N63)*(O13-O63)-(Q63-O63)*(N13-N63)</f>
        <v>0</v>
      </c>
      <c r="R182" s="7">
        <f>(P63-N63)*(Q13-O63)-(Q63-O63)*(P13-N63)</f>
        <v>0</v>
      </c>
      <c r="S182" s="7">
        <f>IF(N182,IF(AND(O182*P182&lt;=0,Q182*R182&lt;=0,MAX(MIN(N13,P13),MIN(N63,P63))&lt;=MIN(MAX(N13,P13),MAX(N63,P63)),MAX(MIN(O13,Q13),MIN(O63,Q63))&lt;=MIN(MAX(O13,Q13),MAX(O63,Q63))),1,0),0)</f>
        <v>0</v>
      </c>
      <c r="T182" s="7"/>
      <c r="U182" s="7"/>
      <c r="V182" s="7"/>
      <c r="W182" s="7"/>
      <c r="X182" s="7"/>
      <c r="Y182" s="7"/>
      <c r="Z182" s="7"/>
      <c r="AA182" s="7"/>
      <c r="AB182" s="7"/>
      <c r="AC182" s="7"/>
      <c r="AD182" s="7"/>
      <c r="AE182" s="7"/>
      <c r="AF182" s="7"/>
      <c r="AG182" s="7"/>
      <c r="AH182" s="7"/>
      <c r="AI182" s="7"/>
    </row>
    <row r="183" spans="12:35">
      <c r="L183" s="7">
        <v>13</v>
      </c>
      <c r="M183" s="7">
        <v>64</v>
      </c>
      <c r="N183" s="7" t="b">
        <f>AND($N$5,$N$7,2&lt;=$M$5,13&lt;=$M$7)</f>
        <v>0</v>
      </c>
      <c r="O183" s="7">
        <f>(P13-N13)*(O64-O13)-(Q13-O13)*(N64-N13)</f>
        <v>0</v>
      </c>
      <c r="P183" s="7">
        <f>(P13-N13)*(Q64-O13)-(Q13-O13)*(P64-N13)</f>
        <v>0</v>
      </c>
      <c r="Q183" s="7">
        <f>(P64-N64)*(O13-O64)-(Q64-O64)*(N13-N64)</f>
        <v>0</v>
      </c>
      <c r="R183" s="7">
        <f>(P64-N64)*(Q13-O64)-(Q64-O64)*(P13-N64)</f>
        <v>0</v>
      </c>
      <c r="S183" s="7">
        <f>IF(N183,IF(AND(O183*P183&lt;=0,Q183*R183&lt;=0,MAX(MIN(N13,P13),MIN(N64,P64))&lt;=MIN(MAX(N13,P13),MAX(N64,P64)),MAX(MIN(O13,Q13),MIN(O64,Q64))&lt;=MIN(MAX(O13,Q13),MAX(O64,Q64))),1,0),0)</f>
        <v>0</v>
      </c>
      <c r="T183" s="7"/>
      <c r="U183" s="7"/>
      <c r="V183" s="7"/>
      <c r="W183" s="7"/>
      <c r="X183" s="7"/>
      <c r="Y183" s="7"/>
      <c r="Z183" s="7"/>
      <c r="AA183" s="7"/>
      <c r="AB183" s="7"/>
      <c r="AC183" s="7"/>
      <c r="AD183" s="7"/>
      <c r="AE183" s="7"/>
      <c r="AF183" s="7"/>
      <c r="AG183" s="7"/>
      <c r="AH183" s="7"/>
      <c r="AI183" s="7"/>
    </row>
    <row r="184" spans="12:35">
      <c r="L184" s="7">
        <v>13</v>
      </c>
      <c r="M184" s="7">
        <v>65</v>
      </c>
      <c r="N184" s="7" t="b">
        <f>AND($N$5,$N$7,2&lt;=$M$5,14&lt;=$M$7)</f>
        <v>0</v>
      </c>
      <c r="O184" s="7">
        <f>(P13-N13)*(O65-O13)-(Q13-O13)*(N65-N13)</f>
        <v>0</v>
      </c>
      <c r="P184" s="7">
        <f>(P13-N13)*(Q65-O13)-(Q13-O13)*(P65-N13)</f>
        <v>0</v>
      </c>
      <c r="Q184" s="7">
        <f>(P65-N65)*(O13-O65)-(Q65-O65)*(N13-N65)</f>
        <v>0</v>
      </c>
      <c r="R184" s="7">
        <f>(P65-N65)*(Q13-O65)-(Q65-O65)*(P13-N65)</f>
        <v>0</v>
      </c>
      <c r="S184" s="7">
        <f>IF(N184,IF(AND(O184*P184&lt;=0,Q184*R184&lt;=0,MAX(MIN(N13,P13),MIN(N65,P65))&lt;=MIN(MAX(N13,P13),MAX(N65,P65)),MAX(MIN(O13,Q13),MIN(O65,Q65))&lt;=MIN(MAX(O13,Q13),MAX(O65,Q65))),1,0),0)</f>
        <v>0</v>
      </c>
      <c r="T184" s="7"/>
      <c r="U184" s="7"/>
      <c r="V184" s="7"/>
      <c r="W184" s="7"/>
      <c r="X184" s="7"/>
      <c r="Y184" s="7"/>
      <c r="Z184" s="7"/>
      <c r="AA184" s="7"/>
      <c r="AB184" s="7"/>
      <c r="AC184" s="7"/>
      <c r="AD184" s="7"/>
      <c r="AE184" s="7"/>
      <c r="AF184" s="7"/>
      <c r="AG184" s="7"/>
      <c r="AH184" s="7"/>
      <c r="AI184" s="7"/>
    </row>
    <row r="185" spans="12:35">
      <c r="L185" s="7">
        <v>13</v>
      </c>
      <c r="M185" s="7">
        <v>66</v>
      </c>
      <c r="N185" s="7" t="b">
        <f>AND($N$5,$N$7,2&lt;=$M$5,15&lt;=$M$7)</f>
        <v>0</v>
      </c>
      <c r="O185" s="7">
        <f>(P13-N13)*(O66-O13)-(Q13-O13)*(N66-N13)</f>
        <v>0</v>
      </c>
      <c r="P185" s="7">
        <f>(P13-N13)*(Q66-O13)-(Q13-O13)*(P66-N13)</f>
        <v>0</v>
      </c>
      <c r="Q185" s="7">
        <f>(P66-N66)*(O13-O66)-(Q66-O66)*(N13-N66)</f>
        <v>0</v>
      </c>
      <c r="R185" s="7">
        <f>(P66-N66)*(Q13-O66)-(Q66-O66)*(P13-N66)</f>
        <v>0</v>
      </c>
      <c r="S185" s="7">
        <f>IF(N185,IF(AND(O185*P185&lt;=0,Q185*R185&lt;=0,MAX(MIN(N13,P13),MIN(N66,P66))&lt;=MIN(MAX(N13,P13),MAX(N66,P66)),MAX(MIN(O13,Q13),MIN(O66,Q66))&lt;=MIN(MAX(O13,Q13),MAX(O66,Q66))),1,0),0)</f>
        <v>0</v>
      </c>
      <c r="T185" s="7"/>
      <c r="U185" s="7"/>
      <c r="V185" s="7"/>
      <c r="W185" s="7"/>
      <c r="X185" s="7"/>
      <c r="Y185" s="7"/>
      <c r="Z185" s="7"/>
      <c r="AA185" s="7"/>
      <c r="AB185" s="7"/>
      <c r="AC185" s="7"/>
      <c r="AD185" s="7"/>
      <c r="AE185" s="7"/>
      <c r="AF185" s="7"/>
      <c r="AG185" s="7"/>
      <c r="AH185" s="7"/>
      <c r="AI185" s="7"/>
    </row>
    <row r="186" spans="12:35">
      <c r="L186" s="7">
        <v>13</v>
      </c>
      <c r="M186" s="7">
        <v>67</v>
      </c>
      <c r="N186" s="7" t="b">
        <f>AND($N$5,$N$7,2&lt;=$M$5,16&lt;=$M$7)</f>
        <v>0</v>
      </c>
      <c r="O186" s="7">
        <f>(P13-N13)*(O67-O13)-(Q13-O13)*(N67-N13)</f>
        <v>0</v>
      </c>
      <c r="P186" s="7">
        <f>(P13-N13)*(Q67-O13)-(Q13-O13)*(P67-N13)</f>
        <v>0</v>
      </c>
      <c r="Q186" s="7">
        <f>(P67-N67)*(O13-O67)-(Q67-O67)*(N13-N67)</f>
        <v>0</v>
      </c>
      <c r="R186" s="7">
        <f>(P67-N67)*(Q13-O67)-(Q67-O67)*(P13-N67)</f>
        <v>0</v>
      </c>
      <c r="S186" s="7">
        <f>IF(N186,IF(AND(O186*P186&lt;=0,Q186*R186&lt;=0,MAX(MIN(N13,P13),MIN(N67,P67))&lt;=MIN(MAX(N13,P13),MAX(N67,P67)),MAX(MIN(O13,Q13),MIN(O67,Q67))&lt;=MIN(MAX(O13,Q13),MAX(O67,Q67))),1,0),0)</f>
        <v>0</v>
      </c>
      <c r="T186" s="7"/>
      <c r="U186" s="7"/>
      <c r="V186" s="7"/>
      <c r="W186" s="7"/>
      <c r="X186" s="7"/>
      <c r="Y186" s="7"/>
      <c r="Z186" s="7"/>
      <c r="AA186" s="7"/>
      <c r="AB186" s="7"/>
      <c r="AC186" s="7"/>
      <c r="AD186" s="7"/>
      <c r="AE186" s="7"/>
      <c r="AF186" s="7"/>
      <c r="AG186" s="7"/>
      <c r="AH186" s="7"/>
      <c r="AI186" s="7"/>
    </row>
    <row r="187" spans="12:35">
      <c r="L187" s="7">
        <v>13</v>
      </c>
      <c r="M187" s="7">
        <v>68</v>
      </c>
      <c r="N187" s="7" t="b">
        <f>AND($N$5,$N$7,2&lt;=$M$5,17&lt;=$M$7)</f>
        <v>0</v>
      </c>
      <c r="O187" s="7">
        <f>(P13-N13)*(O68-O13)-(Q13-O13)*(N68-N13)</f>
        <v>0</v>
      </c>
      <c r="P187" s="7">
        <f>(P13-N13)*(Q68-O13)-(Q13-O13)*(P68-N13)</f>
        <v>0</v>
      </c>
      <c r="Q187" s="7">
        <f>(P68-N68)*(O13-O68)-(Q68-O68)*(N13-N68)</f>
        <v>0</v>
      </c>
      <c r="R187" s="7">
        <f>(P68-N68)*(Q13-O68)-(Q68-O68)*(P13-N68)</f>
        <v>0</v>
      </c>
      <c r="S187" s="7">
        <f>IF(N187,IF(AND(O187*P187&lt;=0,Q187*R187&lt;=0,MAX(MIN(N13,P13),MIN(N68,P68))&lt;=MIN(MAX(N13,P13),MAX(N68,P68)),MAX(MIN(O13,Q13),MIN(O68,Q68))&lt;=MIN(MAX(O13,Q13),MAX(O68,Q68))),1,0),0)</f>
        <v>0</v>
      </c>
      <c r="T187" s="7"/>
      <c r="U187" s="7"/>
      <c r="V187" s="7"/>
      <c r="W187" s="7"/>
      <c r="X187" s="7"/>
      <c r="Y187" s="7"/>
      <c r="Z187" s="7"/>
      <c r="AA187" s="7"/>
      <c r="AB187" s="7"/>
      <c r="AC187" s="7"/>
      <c r="AD187" s="7"/>
      <c r="AE187" s="7"/>
      <c r="AF187" s="7"/>
      <c r="AG187" s="7"/>
      <c r="AH187" s="7"/>
      <c r="AI187" s="7"/>
    </row>
    <row r="188" spans="12:35">
      <c r="L188" s="7">
        <v>13</v>
      </c>
      <c r="M188" s="7">
        <v>69</v>
      </c>
      <c r="N188" s="7" t="b">
        <f>AND($N$5,$N$7,2&lt;=$M$5,18&lt;=$M$7)</f>
        <v>0</v>
      </c>
      <c r="O188" s="7">
        <f>(P13-N13)*(O69-O13)-(Q13-O13)*(N69-N13)</f>
        <v>0</v>
      </c>
      <c r="P188" s="7">
        <f>(P13-N13)*(Q69-O13)-(Q13-O13)*(P69-N13)</f>
        <v>0</v>
      </c>
      <c r="Q188" s="7">
        <f>(P69-N69)*(O13-O69)-(Q69-O69)*(N13-N69)</f>
        <v>0</v>
      </c>
      <c r="R188" s="7">
        <f>(P69-N69)*(Q13-O69)-(Q69-O69)*(P13-N69)</f>
        <v>0</v>
      </c>
      <c r="S188" s="7">
        <f>IF(N188,IF(AND(O188*P188&lt;=0,Q188*R188&lt;=0,MAX(MIN(N13,P13),MIN(N69,P69))&lt;=MIN(MAX(N13,P13),MAX(N69,P69)),MAX(MIN(O13,Q13),MIN(O69,Q69))&lt;=MIN(MAX(O13,Q13),MAX(O69,Q69))),1,0),0)</f>
        <v>0</v>
      </c>
      <c r="T188" s="7"/>
      <c r="U188" s="7"/>
      <c r="V188" s="7"/>
      <c r="W188" s="7"/>
      <c r="X188" s="7"/>
      <c r="Y188" s="7"/>
      <c r="Z188" s="7"/>
      <c r="AA188" s="7"/>
      <c r="AB188" s="7"/>
      <c r="AC188" s="7"/>
      <c r="AD188" s="7"/>
      <c r="AE188" s="7"/>
      <c r="AF188" s="7"/>
      <c r="AG188" s="7"/>
      <c r="AH188" s="7"/>
      <c r="AI188" s="7"/>
    </row>
    <row r="189" spans="12:35">
      <c r="L189" s="7">
        <v>13</v>
      </c>
      <c r="M189" s="7">
        <v>70</v>
      </c>
      <c r="N189" s="7" t="b">
        <f>AND($N$5,$N$7,2&lt;=$M$5,19&lt;=$M$7)</f>
        <v>0</v>
      </c>
      <c r="O189" s="7">
        <f>(P13-N13)*(O70-O13)-(Q13-O13)*(N70-N13)</f>
        <v>0</v>
      </c>
      <c r="P189" s="7">
        <f>(P13-N13)*(Q70-O13)-(Q13-O13)*(P70-N13)</f>
        <v>0</v>
      </c>
      <c r="Q189" s="7">
        <f>(P70-N70)*(O13-O70)-(Q70-O70)*(N13-N70)</f>
        <v>0</v>
      </c>
      <c r="R189" s="7">
        <f>(P70-N70)*(Q13-O70)-(Q70-O70)*(P13-N70)</f>
        <v>0</v>
      </c>
      <c r="S189" s="7">
        <f>IF(N189,IF(AND(O189*P189&lt;=0,Q189*R189&lt;=0,MAX(MIN(N13,P13),MIN(N70,P70))&lt;=MIN(MAX(N13,P13),MAX(N70,P70)),MAX(MIN(O13,Q13),MIN(O70,Q70))&lt;=MIN(MAX(O13,Q13),MAX(O70,Q70))),1,0),0)</f>
        <v>0</v>
      </c>
      <c r="T189" s="7"/>
      <c r="U189" s="7"/>
      <c r="V189" s="7"/>
      <c r="W189" s="7"/>
      <c r="X189" s="7"/>
      <c r="Y189" s="7"/>
      <c r="Z189" s="7"/>
      <c r="AA189" s="7"/>
      <c r="AB189" s="7"/>
      <c r="AC189" s="7"/>
      <c r="AD189" s="7"/>
      <c r="AE189" s="7"/>
      <c r="AF189" s="7"/>
      <c r="AG189" s="7"/>
      <c r="AH189" s="7"/>
      <c r="AI189" s="7"/>
    </row>
    <row r="190" spans="12:35">
      <c r="L190" s="7">
        <v>13</v>
      </c>
      <c r="M190" s="7">
        <v>71</v>
      </c>
      <c r="N190" s="7" t="b">
        <f>AND($N$5,$N$7,2&lt;=$M$5,20&lt;=$M$7)</f>
        <v>0</v>
      </c>
      <c r="O190" s="7">
        <f>(P13-N13)*(O71-O13)-(Q13-O13)*(N71-N13)</f>
        <v>0</v>
      </c>
      <c r="P190" s="7">
        <f>(P13-N13)*(Q71-O13)-(Q13-O13)*(P71-N13)</f>
        <v>0</v>
      </c>
      <c r="Q190" s="7">
        <f>(P71-N71)*(O13-O71)-(Q71-O71)*(N13-N71)</f>
        <v>0</v>
      </c>
      <c r="R190" s="7">
        <f>(P71-N71)*(Q13-O71)-(Q71-O71)*(P13-N71)</f>
        <v>0</v>
      </c>
      <c r="S190" s="7">
        <f>IF(N190,IF(AND(O190*P190&lt;=0,Q190*R190&lt;=0,MAX(MIN(N13,P13),MIN(N71,P71))&lt;=MIN(MAX(N13,P13),MAX(N71,P71)),MAX(MIN(O13,Q13),MIN(O71,Q71))&lt;=MIN(MAX(O13,Q13),MAX(O71,Q71))),1,0),0)</f>
        <v>0</v>
      </c>
      <c r="T190" s="7"/>
      <c r="U190" s="7"/>
      <c r="V190" s="7"/>
      <c r="W190" s="7"/>
      <c r="X190" s="7"/>
      <c r="Y190" s="7"/>
      <c r="Z190" s="7"/>
      <c r="AA190" s="7"/>
      <c r="AB190" s="7"/>
      <c r="AC190" s="7"/>
      <c r="AD190" s="7"/>
      <c r="AE190" s="7"/>
      <c r="AF190" s="7"/>
      <c r="AG190" s="7"/>
      <c r="AH190" s="7"/>
      <c r="AI190" s="7"/>
    </row>
    <row r="191" spans="12:35">
      <c r="L191" s="7">
        <v>14</v>
      </c>
      <c r="M191" s="7">
        <v>16</v>
      </c>
      <c r="N191" s="7" t="b">
        <f>AND($N$5,$N$5,3&lt;=$M$5,5&lt;=$M$5)</f>
        <v>0</v>
      </c>
      <c r="O191" s="7">
        <f>(P14-N14)*(O16-O14)-(Q14-O14)*(N16-N14)</f>
        <v>0</v>
      </c>
      <c r="P191" s="7">
        <f>(P14-N14)*(Q16-O14)-(Q14-O14)*(P16-N14)</f>
        <v>0</v>
      </c>
      <c r="Q191" s="7">
        <f>(P16-N16)*(O14-O16)-(Q16-O16)*(N14-N16)</f>
        <v>0</v>
      </c>
      <c r="R191" s="7">
        <f>(P16-N16)*(Q14-O16)-(Q16-O16)*(P14-N16)</f>
        <v>0</v>
      </c>
      <c r="S191" s="7">
        <f>IF(N191,IF(AND(O191*P191&lt;=0,Q191*R191&lt;=0,MAX(MIN(N14,P14),MIN(N16,P16))&lt;=MIN(MAX(N14,P14),MAX(N16,P16)),MAX(MIN(O14,Q14),MIN(O16,Q16))&lt;=MIN(MAX(O14,Q14),MAX(O16,Q16))),1,0),0)</f>
        <v>0</v>
      </c>
      <c r="T191" s="7"/>
      <c r="U191" s="7"/>
      <c r="V191" s="7"/>
      <c r="W191" s="7"/>
      <c r="X191" s="7"/>
      <c r="Y191" s="7"/>
      <c r="Z191" s="7"/>
      <c r="AA191" s="7"/>
      <c r="AB191" s="7"/>
      <c r="AC191" s="7"/>
      <c r="AD191" s="7"/>
      <c r="AE191" s="7"/>
      <c r="AF191" s="7"/>
      <c r="AG191" s="7"/>
      <c r="AH191" s="7"/>
      <c r="AI191" s="7"/>
    </row>
    <row r="192" spans="12:35">
      <c r="L192" s="7">
        <v>14</v>
      </c>
      <c r="M192" s="7">
        <v>17</v>
      </c>
      <c r="N192" s="7" t="b">
        <f>AND($N$5,$N$5,3&lt;=$M$5,6&lt;=$M$5)</f>
        <v>0</v>
      </c>
      <c r="O192" s="7">
        <f>(P14-N14)*(O17-O14)-(Q14-O14)*(N17-N14)</f>
        <v>0</v>
      </c>
      <c r="P192" s="7">
        <f>(P14-N14)*(Q17-O14)-(Q14-O14)*(P17-N14)</f>
        <v>0</v>
      </c>
      <c r="Q192" s="7">
        <f>(P17-N17)*(O14-O17)-(Q17-O17)*(N14-N17)</f>
        <v>0</v>
      </c>
      <c r="R192" s="7">
        <f>(P17-N17)*(Q14-O17)-(Q17-O17)*(P14-N17)</f>
        <v>0</v>
      </c>
      <c r="S192" s="7">
        <f>IF(N192,IF(AND(O192*P192&lt;=0,Q192*R192&lt;=0,MAX(MIN(N14,P14),MIN(N17,P17))&lt;=MIN(MAX(N14,P14),MAX(N17,P17)),MAX(MIN(O14,Q14),MIN(O17,Q17))&lt;=MIN(MAX(O14,Q14),MAX(O17,Q17))),1,0),0)</f>
        <v>0</v>
      </c>
      <c r="T192" s="7"/>
      <c r="U192" s="7"/>
      <c r="V192" s="7"/>
      <c r="W192" s="7"/>
      <c r="X192" s="7"/>
      <c r="Y192" s="7"/>
      <c r="Z192" s="7"/>
      <c r="AA192" s="7"/>
      <c r="AB192" s="7"/>
      <c r="AC192" s="7"/>
      <c r="AD192" s="7"/>
      <c r="AE192" s="7"/>
      <c r="AF192" s="7"/>
      <c r="AG192" s="7"/>
      <c r="AH192" s="7"/>
      <c r="AI192" s="7"/>
    </row>
    <row r="193" spans="12:35">
      <c r="L193" s="7">
        <v>14</v>
      </c>
      <c r="M193" s="7">
        <v>18</v>
      </c>
      <c r="N193" s="7" t="b">
        <f>AND($N$5,$N$5,3&lt;=$M$5,7&lt;=$M$5)</f>
        <v>0</v>
      </c>
      <c r="O193" s="7">
        <f>(P14-N14)*(O18-O14)-(Q14-O14)*(N18-N14)</f>
        <v>0</v>
      </c>
      <c r="P193" s="7">
        <f>(P14-N14)*(Q18-O14)-(Q14-O14)*(P18-N14)</f>
        <v>0</v>
      </c>
      <c r="Q193" s="7">
        <f>(P18-N18)*(O14-O18)-(Q18-O18)*(N14-N18)</f>
        <v>0</v>
      </c>
      <c r="R193" s="7">
        <f>(P18-N18)*(Q14-O18)-(Q18-O18)*(P14-N18)</f>
        <v>0</v>
      </c>
      <c r="S193" s="7">
        <f>IF(N193,IF(AND(O193*P193&lt;=0,Q193*R193&lt;=0,MAX(MIN(N14,P14),MIN(N18,P18))&lt;=MIN(MAX(N14,P14),MAX(N18,P18)),MAX(MIN(O14,Q14),MIN(O18,Q18))&lt;=MIN(MAX(O14,Q14),MAX(O18,Q18))),1,0),0)</f>
        <v>0</v>
      </c>
      <c r="T193" s="7"/>
      <c r="U193" s="7"/>
      <c r="V193" s="7"/>
      <c r="W193" s="7"/>
      <c r="X193" s="7"/>
      <c r="Y193" s="7"/>
      <c r="Z193" s="7"/>
      <c r="AA193" s="7"/>
      <c r="AB193" s="7"/>
      <c r="AC193" s="7"/>
      <c r="AD193" s="7"/>
      <c r="AE193" s="7"/>
      <c r="AF193" s="7"/>
      <c r="AG193" s="7"/>
      <c r="AH193" s="7"/>
      <c r="AI193" s="7"/>
    </row>
    <row r="194" spans="12:35">
      <c r="L194" s="7">
        <v>14</v>
      </c>
      <c r="M194" s="7">
        <v>19</v>
      </c>
      <c r="N194" s="7" t="b">
        <f>AND($N$5,$N$5,3&lt;=$M$5,8&lt;=$M$5)</f>
        <v>0</v>
      </c>
      <c r="O194" s="7">
        <f>(P14-N14)*(O19-O14)-(Q14-O14)*(N19-N14)</f>
        <v>0</v>
      </c>
      <c r="P194" s="7">
        <f>(P14-N14)*(Q19-O14)-(Q14-O14)*(P19-N14)</f>
        <v>0</v>
      </c>
      <c r="Q194" s="7">
        <f>(P19-N19)*(O14-O19)-(Q19-O19)*(N14-N19)</f>
        <v>0</v>
      </c>
      <c r="R194" s="7">
        <f>(P19-N19)*(Q14-O19)-(Q19-O19)*(P14-N19)</f>
        <v>0</v>
      </c>
      <c r="S194" s="7">
        <f>IF(N194,IF(AND(O194*P194&lt;=0,Q194*R194&lt;=0,MAX(MIN(N14,P14),MIN(N19,P19))&lt;=MIN(MAX(N14,P14),MAX(N19,P19)),MAX(MIN(O14,Q14),MIN(O19,Q19))&lt;=MIN(MAX(O14,Q14),MAX(O19,Q19))),1,0),0)</f>
        <v>0</v>
      </c>
      <c r="T194" s="7"/>
      <c r="U194" s="7"/>
      <c r="V194" s="7"/>
      <c r="W194" s="7"/>
      <c r="X194" s="7"/>
      <c r="Y194" s="7"/>
      <c r="Z194" s="7"/>
      <c r="AA194" s="7"/>
      <c r="AB194" s="7"/>
      <c r="AC194" s="7"/>
      <c r="AD194" s="7"/>
      <c r="AE194" s="7"/>
      <c r="AF194" s="7"/>
      <c r="AG194" s="7"/>
      <c r="AH194" s="7"/>
      <c r="AI194" s="7"/>
    </row>
    <row r="195" spans="12:35">
      <c r="L195" s="7">
        <v>14</v>
      </c>
      <c r="M195" s="7">
        <v>20</v>
      </c>
      <c r="N195" s="7" t="b">
        <f>AND($N$5,$N$5,3&lt;=$M$5,9&lt;=$M$5)</f>
        <v>0</v>
      </c>
      <c r="O195" s="7">
        <f>(P14-N14)*(O20-O14)-(Q14-O14)*(N20-N14)</f>
        <v>0</v>
      </c>
      <c r="P195" s="7">
        <f>(P14-N14)*(Q20-O14)-(Q14-O14)*(P20-N14)</f>
        <v>0</v>
      </c>
      <c r="Q195" s="7">
        <f>(P20-N20)*(O14-O20)-(Q20-O20)*(N14-N20)</f>
        <v>0</v>
      </c>
      <c r="R195" s="7">
        <f>(P20-N20)*(Q14-O20)-(Q20-O20)*(P14-N20)</f>
        <v>0</v>
      </c>
      <c r="S195" s="7">
        <f>IF(N195,IF(AND(O195*P195&lt;=0,Q195*R195&lt;=0,MAX(MIN(N14,P14),MIN(N20,P20))&lt;=MIN(MAX(N14,P14),MAX(N20,P20)),MAX(MIN(O14,Q14),MIN(O20,Q20))&lt;=MIN(MAX(O14,Q14),MAX(O20,Q20))),1,0),0)</f>
        <v>0</v>
      </c>
      <c r="T195" s="7"/>
      <c r="U195" s="7"/>
      <c r="V195" s="7"/>
      <c r="W195" s="7"/>
      <c r="X195" s="7"/>
      <c r="Y195" s="7"/>
      <c r="Z195" s="7"/>
      <c r="AA195" s="7"/>
      <c r="AB195" s="7"/>
      <c r="AC195" s="7"/>
      <c r="AD195" s="7"/>
      <c r="AE195" s="7"/>
      <c r="AF195" s="7"/>
      <c r="AG195" s="7"/>
      <c r="AH195" s="7"/>
      <c r="AI195" s="7"/>
    </row>
    <row r="196" spans="12:35">
      <c r="L196" s="7">
        <v>14</v>
      </c>
      <c r="M196" s="7">
        <v>21</v>
      </c>
      <c r="N196" s="7" t="b">
        <f>AND($N$5,$N$5,3&lt;=$M$5,10&lt;=$M$5)</f>
        <v>0</v>
      </c>
      <c r="O196" s="7">
        <f>(P14-N14)*(O21-O14)-(Q14-O14)*(N21-N14)</f>
        <v>0</v>
      </c>
      <c r="P196" s="7">
        <f>(P14-N14)*(Q21-O14)-(Q14-O14)*(P21-N14)</f>
        <v>0</v>
      </c>
      <c r="Q196" s="7">
        <f>(P21-N21)*(O14-O21)-(Q21-O21)*(N14-N21)</f>
        <v>0</v>
      </c>
      <c r="R196" s="7">
        <f>(P21-N21)*(Q14-O21)-(Q21-O21)*(P14-N21)</f>
        <v>0</v>
      </c>
      <c r="S196" s="7">
        <f>IF(N196,IF(AND(O196*P196&lt;=0,Q196*R196&lt;=0,MAX(MIN(N14,P14),MIN(N21,P21))&lt;=MIN(MAX(N14,P14),MAX(N21,P21)),MAX(MIN(O14,Q14),MIN(O21,Q21))&lt;=MIN(MAX(O14,Q14),MAX(O21,Q21))),1,0),0)</f>
        <v>0</v>
      </c>
      <c r="T196" s="7"/>
      <c r="U196" s="7"/>
      <c r="V196" s="7"/>
      <c r="W196" s="7"/>
      <c r="X196" s="7"/>
      <c r="Y196" s="7"/>
      <c r="Z196" s="7"/>
      <c r="AA196" s="7"/>
      <c r="AB196" s="7"/>
      <c r="AC196" s="7"/>
      <c r="AD196" s="7"/>
      <c r="AE196" s="7"/>
      <c r="AF196" s="7"/>
      <c r="AG196" s="7"/>
      <c r="AH196" s="7"/>
      <c r="AI196" s="7"/>
    </row>
    <row r="197" spans="12:35">
      <c r="L197" s="7">
        <v>14</v>
      </c>
      <c r="M197" s="7">
        <v>22</v>
      </c>
      <c r="N197" s="7" t="b">
        <f>AND($N$5,$N$5,3&lt;=$M$5,11&lt;=$M$5)</f>
        <v>0</v>
      </c>
      <c r="O197" s="7">
        <f>(P14-N14)*(O22-O14)-(Q14-O14)*(N22-N14)</f>
        <v>0</v>
      </c>
      <c r="P197" s="7">
        <f>(P14-N14)*(Q22-O14)-(Q14-O14)*(P22-N14)</f>
        <v>0</v>
      </c>
      <c r="Q197" s="7">
        <f>(P22-N22)*(O14-O22)-(Q22-O22)*(N14-N22)</f>
        <v>0</v>
      </c>
      <c r="R197" s="7">
        <f>(P22-N22)*(Q14-O22)-(Q22-O22)*(P14-N22)</f>
        <v>0</v>
      </c>
      <c r="S197" s="7">
        <f>IF(N197,IF(AND(O197*P197&lt;=0,Q197*R197&lt;=0,MAX(MIN(N14,P14),MIN(N22,P22))&lt;=MIN(MAX(N14,P14),MAX(N22,P22)),MAX(MIN(O14,Q14),MIN(O22,Q22))&lt;=MIN(MAX(O14,Q14),MAX(O22,Q22))),1,0),0)</f>
        <v>0</v>
      </c>
      <c r="T197" s="7"/>
      <c r="U197" s="7"/>
      <c r="V197" s="7"/>
      <c r="W197" s="7"/>
      <c r="X197" s="7"/>
      <c r="Y197" s="7"/>
      <c r="Z197" s="7"/>
      <c r="AA197" s="7"/>
      <c r="AB197" s="7"/>
      <c r="AC197" s="7"/>
      <c r="AD197" s="7"/>
      <c r="AE197" s="7"/>
      <c r="AF197" s="7"/>
      <c r="AG197" s="7"/>
      <c r="AH197" s="7"/>
      <c r="AI197" s="7"/>
    </row>
    <row r="198" spans="12:35">
      <c r="L198" s="7">
        <v>14</v>
      </c>
      <c r="M198" s="7">
        <v>23</v>
      </c>
      <c r="N198" s="7" t="b">
        <f>AND($N$5,$N$5,3&lt;=$M$5,12&lt;=$M$5)</f>
        <v>0</v>
      </c>
      <c r="O198" s="7">
        <f>(P14-N14)*(O23-O14)-(Q14-O14)*(N23-N14)</f>
        <v>0</v>
      </c>
      <c r="P198" s="7">
        <f>(P14-N14)*(Q23-O14)-(Q14-O14)*(P23-N14)</f>
        <v>0</v>
      </c>
      <c r="Q198" s="7">
        <f>(P23-N23)*(O14-O23)-(Q23-O23)*(N14-N23)</f>
        <v>0</v>
      </c>
      <c r="R198" s="7">
        <f>(P23-N23)*(Q14-O23)-(Q23-O23)*(P14-N23)</f>
        <v>0</v>
      </c>
      <c r="S198" s="7">
        <f>IF(N198,IF(AND(O198*P198&lt;=0,Q198*R198&lt;=0,MAX(MIN(N14,P14),MIN(N23,P23))&lt;=MIN(MAX(N14,P14),MAX(N23,P23)),MAX(MIN(O14,Q14),MIN(O23,Q23))&lt;=MIN(MAX(O14,Q14),MAX(O23,Q23))),1,0),0)</f>
        <v>0</v>
      </c>
      <c r="T198" s="7"/>
      <c r="U198" s="7"/>
      <c r="V198" s="7"/>
      <c r="W198" s="7"/>
      <c r="X198" s="7"/>
      <c r="Y198" s="7"/>
      <c r="Z198" s="7"/>
      <c r="AA198" s="7"/>
      <c r="AB198" s="7"/>
      <c r="AC198" s="7"/>
      <c r="AD198" s="7"/>
      <c r="AE198" s="7"/>
      <c r="AF198" s="7"/>
      <c r="AG198" s="7"/>
      <c r="AH198" s="7"/>
      <c r="AI198" s="7"/>
    </row>
    <row r="199" spans="12:35">
      <c r="L199" s="7">
        <v>14</v>
      </c>
      <c r="M199" s="7">
        <v>24</v>
      </c>
      <c r="N199" s="7" t="b">
        <f>AND($N$5,$N$5,3&lt;=$M$5,13&lt;=$M$5)</f>
        <v>0</v>
      </c>
      <c r="O199" s="7">
        <f>(P14-N14)*(O24-O14)-(Q14-O14)*(N24-N14)</f>
        <v>0</v>
      </c>
      <c r="P199" s="7">
        <f>(P14-N14)*(Q24-O14)-(Q14-O14)*(P24-N14)</f>
        <v>0</v>
      </c>
      <c r="Q199" s="7">
        <f>(P24-N24)*(O14-O24)-(Q24-O24)*(N14-N24)</f>
        <v>0</v>
      </c>
      <c r="R199" s="7">
        <f>(P24-N24)*(Q14-O24)-(Q24-O24)*(P14-N24)</f>
        <v>0</v>
      </c>
      <c r="S199" s="7">
        <f>IF(N199,IF(AND(O199*P199&lt;=0,Q199*R199&lt;=0,MAX(MIN(N14,P14),MIN(N24,P24))&lt;=MIN(MAX(N14,P14),MAX(N24,P24)),MAX(MIN(O14,Q14),MIN(O24,Q24))&lt;=MIN(MAX(O14,Q14),MAX(O24,Q24))),1,0),0)</f>
        <v>0</v>
      </c>
      <c r="T199" s="7"/>
      <c r="U199" s="7"/>
      <c r="V199" s="7"/>
      <c r="W199" s="7"/>
      <c r="X199" s="7"/>
      <c r="Y199" s="7"/>
      <c r="Z199" s="7"/>
      <c r="AA199" s="7"/>
      <c r="AB199" s="7"/>
      <c r="AC199" s="7"/>
      <c r="AD199" s="7"/>
      <c r="AE199" s="7"/>
      <c r="AF199" s="7"/>
      <c r="AG199" s="7"/>
      <c r="AH199" s="7"/>
      <c r="AI199" s="7"/>
    </row>
    <row r="200" spans="12:35">
      <c r="L200" s="7">
        <v>14</v>
      </c>
      <c r="M200" s="7">
        <v>25</v>
      </c>
      <c r="N200" s="7" t="b">
        <f>AND($N$5,$N$5,3&lt;=$M$5,14&lt;=$M$5)</f>
        <v>0</v>
      </c>
      <c r="O200" s="7">
        <f>(P14-N14)*(O25-O14)-(Q14-O14)*(N25-N14)</f>
        <v>0</v>
      </c>
      <c r="P200" s="7">
        <f>(P14-N14)*(Q25-O14)-(Q14-O14)*(P25-N14)</f>
        <v>0</v>
      </c>
      <c r="Q200" s="7">
        <f>(P25-N25)*(O14-O25)-(Q25-O25)*(N14-N25)</f>
        <v>0</v>
      </c>
      <c r="R200" s="7">
        <f>(P25-N25)*(Q14-O25)-(Q25-O25)*(P14-N25)</f>
        <v>0</v>
      </c>
      <c r="S200" s="7">
        <f>IF(N200,IF(AND(O200*P200&lt;=0,Q200*R200&lt;=0,MAX(MIN(N14,P14),MIN(N25,P25))&lt;=MIN(MAX(N14,P14),MAX(N25,P25)),MAX(MIN(O14,Q14),MIN(O25,Q25))&lt;=MIN(MAX(O14,Q14),MAX(O25,Q25))),1,0),0)</f>
        <v>0</v>
      </c>
      <c r="T200" s="7"/>
      <c r="U200" s="7"/>
      <c r="V200" s="7"/>
      <c r="W200" s="7"/>
      <c r="X200" s="7"/>
      <c r="Y200" s="7"/>
      <c r="Z200" s="7"/>
      <c r="AA200" s="7"/>
      <c r="AB200" s="7"/>
      <c r="AC200" s="7"/>
      <c r="AD200" s="7"/>
      <c r="AE200" s="7"/>
      <c r="AF200" s="7"/>
      <c r="AG200" s="7"/>
      <c r="AH200" s="7"/>
      <c r="AI200" s="7"/>
    </row>
    <row r="201" spans="12:35">
      <c r="L201" s="7">
        <v>14</v>
      </c>
      <c r="M201" s="7">
        <v>26</v>
      </c>
      <c r="N201" s="7" t="b">
        <f>AND($N$5,$N$5,3&lt;=$M$5,15&lt;=$M$5)</f>
        <v>0</v>
      </c>
      <c r="O201" s="7">
        <f>(P14-N14)*(O26-O14)-(Q14-O14)*(N26-N14)</f>
        <v>0</v>
      </c>
      <c r="P201" s="7">
        <f>(P14-N14)*(Q26-O14)-(Q14-O14)*(P26-N14)</f>
        <v>0</v>
      </c>
      <c r="Q201" s="7">
        <f>(P26-N26)*(O14-O26)-(Q26-O26)*(N14-N26)</f>
        <v>0</v>
      </c>
      <c r="R201" s="7">
        <f>(P26-N26)*(Q14-O26)-(Q26-O26)*(P14-N26)</f>
        <v>0</v>
      </c>
      <c r="S201" s="7">
        <f>IF(N201,IF(AND(O201*P201&lt;=0,Q201*R201&lt;=0,MAX(MIN(N14,P14),MIN(N26,P26))&lt;=MIN(MAX(N14,P14),MAX(N26,P26)),MAX(MIN(O14,Q14),MIN(O26,Q26))&lt;=MIN(MAX(O14,Q14),MAX(O26,Q26))),1,0),0)</f>
        <v>0</v>
      </c>
      <c r="T201" s="7"/>
      <c r="U201" s="7"/>
      <c r="V201" s="7"/>
      <c r="W201" s="7"/>
      <c r="X201" s="7"/>
      <c r="Y201" s="7"/>
      <c r="Z201" s="7"/>
      <c r="AA201" s="7"/>
      <c r="AB201" s="7"/>
      <c r="AC201" s="7"/>
      <c r="AD201" s="7"/>
      <c r="AE201" s="7"/>
      <c r="AF201" s="7"/>
      <c r="AG201" s="7"/>
      <c r="AH201" s="7"/>
      <c r="AI201" s="7"/>
    </row>
    <row r="202" spans="12:35">
      <c r="L202" s="7">
        <v>14</v>
      </c>
      <c r="M202" s="7">
        <v>27</v>
      </c>
      <c r="N202" s="7" t="b">
        <f>AND($N$5,$N$5,3&lt;=$M$5,16&lt;=$M$5)</f>
        <v>0</v>
      </c>
      <c r="O202" s="7">
        <f>(P14-N14)*(O27-O14)-(Q14-O14)*(N27-N14)</f>
        <v>0</v>
      </c>
      <c r="P202" s="7">
        <f>(P14-N14)*(Q27-O14)-(Q14-O14)*(P27-N14)</f>
        <v>0</v>
      </c>
      <c r="Q202" s="7">
        <f>(P27-N27)*(O14-O27)-(Q27-O27)*(N14-N27)</f>
        <v>0</v>
      </c>
      <c r="R202" s="7">
        <f>(P27-N27)*(Q14-O27)-(Q27-O27)*(P14-N27)</f>
        <v>0</v>
      </c>
      <c r="S202" s="7">
        <f>IF(N202,IF(AND(O202*P202&lt;=0,Q202*R202&lt;=0,MAX(MIN(N14,P14),MIN(N27,P27))&lt;=MIN(MAX(N14,P14),MAX(N27,P27)),MAX(MIN(O14,Q14),MIN(O27,Q27))&lt;=MIN(MAX(O14,Q14),MAX(O27,Q27))),1,0),0)</f>
        <v>0</v>
      </c>
      <c r="T202" s="7"/>
      <c r="U202" s="7"/>
      <c r="V202" s="7"/>
      <c r="W202" s="7"/>
      <c r="X202" s="7"/>
      <c r="Y202" s="7"/>
      <c r="Z202" s="7"/>
      <c r="AA202" s="7"/>
      <c r="AB202" s="7"/>
      <c r="AC202" s="7"/>
      <c r="AD202" s="7"/>
      <c r="AE202" s="7"/>
      <c r="AF202" s="7"/>
      <c r="AG202" s="7"/>
      <c r="AH202" s="7"/>
      <c r="AI202" s="7"/>
    </row>
    <row r="203" spans="12:35">
      <c r="L203" s="7">
        <v>14</v>
      </c>
      <c r="M203" s="7">
        <v>28</v>
      </c>
      <c r="N203" s="7" t="b">
        <f>AND($N$5,$N$5,3&lt;=$M$5,17&lt;=$M$5)</f>
        <v>0</v>
      </c>
      <c r="O203" s="7">
        <f>(P14-N14)*(O28-O14)-(Q14-O14)*(N28-N14)</f>
        <v>0</v>
      </c>
      <c r="P203" s="7">
        <f>(P14-N14)*(Q28-O14)-(Q14-O14)*(P28-N14)</f>
        <v>0</v>
      </c>
      <c r="Q203" s="7">
        <f>(P28-N28)*(O14-O28)-(Q28-O28)*(N14-N28)</f>
        <v>0</v>
      </c>
      <c r="R203" s="7">
        <f>(P28-N28)*(Q14-O28)-(Q28-O28)*(P14-N28)</f>
        <v>0</v>
      </c>
      <c r="S203" s="7">
        <f>IF(N203,IF(AND(O203*P203&lt;=0,Q203*R203&lt;=0,MAX(MIN(N14,P14),MIN(N28,P28))&lt;=MIN(MAX(N14,P14),MAX(N28,P28)),MAX(MIN(O14,Q14),MIN(O28,Q28))&lt;=MIN(MAX(O14,Q14),MAX(O28,Q28))),1,0),0)</f>
        <v>0</v>
      </c>
      <c r="T203" s="7"/>
      <c r="U203" s="7"/>
      <c r="V203" s="7"/>
      <c r="W203" s="7"/>
      <c r="X203" s="7"/>
      <c r="Y203" s="7"/>
      <c r="Z203" s="7"/>
      <c r="AA203" s="7"/>
      <c r="AB203" s="7"/>
      <c r="AC203" s="7"/>
      <c r="AD203" s="7"/>
      <c r="AE203" s="7"/>
      <c r="AF203" s="7"/>
      <c r="AG203" s="7"/>
      <c r="AH203" s="7"/>
      <c r="AI203" s="7"/>
    </row>
    <row r="204" spans="12:35">
      <c r="L204" s="7">
        <v>14</v>
      </c>
      <c r="M204" s="7">
        <v>29</v>
      </c>
      <c r="N204" s="7" t="b">
        <f>AND($N$5,$N$5,3&lt;=$M$5,18&lt;=$M$5)</f>
        <v>0</v>
      </c>
      <c r="O204" s="7">
        <f>(P14-N14)*(O29-O14)-(Q14-O14)*(N29-N14)</f>
        <v>0</v>
      </c>
      <c r="P204" s="7">
        <f>(P14-N14)*(Q29-O14)-(Q14-O14)*(P29-N14)</f>
        <v>0</v>
      </c>
      <c r="Q204" s="7">
        <f>(P29-N29)*(O14-O29)-(Q29-O29)*(N14-N29)</f>
        <v>0</v>
      </c>
      <c r="R204" s="7">
        <f>(P29-N29)*(Q14-O29)-(Q29-O29)*(P14-N29)</f>
        <v>0</v>
      </c>
      <c r="S204" s="7">
        <f>IF(N204,IF(AND(O204*P204&lt;=0,Q204*R204&lt;=0,MAX(MIN(N14,P14),MIN(N29,P29))&lt;=MIN(MAX(N14,P14),MAX(N29,P29)),MAX(MIN(O14,Q14),MIN(O29,Q29))&lt;=MIN(MAX(O14,Q14),MAX(O29,Q29))),1,0),0)</f>
        <v>0</v>
      </c>
      <c r="T204" s="7"/>
      <c r="U204" s="7"/>
      <c r="V204" s="7"/>
      <c r="W204" s="7"/>
      <c r="X204" s="7"/>
      <c r="Y204" s="7"/>
      <c r="Z204" s="7"/>
      <c r="AA204" s="7"/>
      <c r="AB204" s="7"/>
      <c r="AC204" s="7"/>
      <c r="AD204" s="7"/>
      <c r="AE204" s="7"/>
      <c r="AF204" s="7"/>
      <c r="AG204" s="7"/>
      <c r="AH204" s="7"/>
      <c r="AI204" s="7"/>
    </row>
    <row r="205" spans="12:35">
      <c r="L205" s="7">
        <v>14</v>
      </c>
      <c r="M205" s="7">
        <v>30</v>
      </c>
      <c r="N205" s="7" t="b">
        <f>AND($N$5,$N$5,3&lt;=$M$5,19&lt;=$M$5)</f>
        <v>0</v>
      </c>
      <c r="O205" s="7">
        <f>(P14-N14)*(O30-O14)-(Q14-O14)*(N30-N14)</f>
        <v>0</v>
      </c>
      <c r="P205" s="7">
        <f>(P14-N14)*(Q30-O14)-(Q14-O14)*(P30-N14)</f>
        <v>0</v>
      </c>
      <c r="Q205" s="7">
        <f>(P30-N30)*(O14-O30)-(Q30-O30)*(N14-N30)</f>
        <v>0</v>
      </c>
      <c r="R205" s="7">
        <f>(P30-N30)*(Q14-O30)-(Q30-O30)*(P14-N30)</f>
        <v>0</v>
      </c>
      <c r="S205" s="7">
        <f>IF(N205,IF(AND(O205*P205&lt;=0,Q205*R205&lt;=0,MAX(MIN(N14,P14),MIN(N30,P30))&lt;=MIN(MAX(N14,P14),MAX(N30,P30)),MAX(MIN(O14,Q14),MIN(O30,Q30))&lt;=MIN(MAX(O14,Q14),MAX(O30,Q30))),1,0),0)</f>
        <v>0</v>
      </c>
      <c r="T205" s="7"/>
      <c r="U205" s="7"/>
      <c r="V205" s="7"/>
      <c r="W205" s="7"/>
      <c r="X205" s="7"/>
      <c r="Y205" s="7"/>
      <c r="Z205" s="7"/>
      <c r="AA205" s="7"/>
      <c r="AB205" s="7"/>
      <c r="AC205" s="7"/>
      <c r="AD205" s="7"/>
      <c r="AE205" s="7"/>
      <c r="AF205" s="7"/>
      <c r="AG205" s="7"/>
      <c r="AH205" s="7"/>
      <c r="AI205" s="7"/>
    </row>
    <row r="206" spans="12:35">
      <c r="L206" s="7">
        <v>14</v>
      </c>
      <c r="M206" s="7">
        <v>31</v>
      </c>
      <c r="N206" s="7" t="b">
        <f>AND($N$5,$N$5,3&lt;=$M$5,20&lt;=$M$5)</f>
        <v>0</v>
      </c>
      <c r="O206" s="7">
        <f>(P14-N14)*(O31-O14)-(Q14-O14)*(N31-N14)</f>
        <v>0</v>
      </c>
      <c r="P206" s="7">
        <f>(P14-N14)*(Q31-O14)-(Q14-O14)*(P31-N14)</f>
        <v>0</v>
      </c>
      <c r="Q206" s="7">
        <f>(P31-N31)*(O14-O31)-(Q31-O31)*(N14-N31)</f>
        <v>0</v>
      </c>
      <c r="R206" s="7">
        <f>(P31-N31)*(Q14-O31)-(Q31-O31)*(P14-N31)</f>
        <v>0</v>
      </c>
      <c r="S206" s="7">
        <f>IF(N206,IF(AND(O206*P206&lt;=0,Q206*R206&lt;=0,MAX(MIN(N14,P14),MIN(N31,P31))&lt;=MIN(MAX(N14,P14),MAX(N31,P31)),MAX(MIN(O14,Q14),MIN(O31,Q31))&lt;=MIN(MAX(O14,Q14),MAX(O31,Q31))),1,0),0)</f>
        <v>0</v>
      </c>
      <c r="T206" s="7"/>
      <c r="U206" s="7"/>
      <c r="V206" s="7"/>
      <c r="W206" s="7"/>
      <c r="X206" s="7"/>
      <c r="Y206" s="7"/>
      <c r="Z206" s="7"/>
      <c r="AA206" s="7"/>
      <c r="AB206" s="7"/>
      <c r="AC206" s="7"/>
      <c r="AD206" s="7"/>
      <c r="AE206" s="7"/>
      <c r="AF206" s="7"/>
      <c r="AG206" s="7"/>
      <c r="AH206" s="7"/>
      <c r="AI206" s="7"/>
    </row>
    <row r="207" spans="12:35">
      <c r="L207" s="7">
        <v>14</v>
      </c>
      <c r="M207" s="7">
        <v>32</v>
      </c>
      <c r="N207" s="7" t="b">
        <f>AND($N$5,$N$6,3&lt;=$M$5,1&lt;=$M$6)</f>
        <v>0</v>
      </c>
      <c r="O207" s="7">
        <f>(P14-N14)*(O32-O14)-(Q14-O14)*(N32-N14)</f>
        <v>0</v>
      </c>
      <c r="P207" s="7">
        <f>(P14-N14)*(Q32-O14)-(Q14-O14)*(P32-N14)</f>
        <v>0</v>
      </c>
      <c r="Q207" s="7">
        <f>(P32-N32)*(O14-O32)-(Q32-O32)*(N14-N32)</f>
        <v>0</v>
      </c>
      <c r="R207" s="7">
        <f>(P32-N32)*(Q14-O32)-(Q32-O32)*(P14-N32)</f>
        <v>0</v>
      </c>
      <c r="S207" s="7">
        <f>IF(N207,IF(AND(O207*P207&lt;=0,Q207*R207&lt;=0,MAX(MIN(N14,P14),MIN(N32,P32))&lt;=MIN(MAX(N14,P14),MAX(N32,P32)),MAX(MIN(O14,Q14),MIN(O32,Q32))&lt;=MIN(MAX(O14,Q14),MAX(O32,Q32))),1,0),0)</f>
        <v>0</v>
      </c>
      <c r="T207" s="7"/>
      <c r="U207" s="7"/>
      <c r="V207" s="7"/>
      <c r="W207" s="7"/>
      <c r="X207" s="7"/>
      <c r="Y207" s="7"/>
      <c r="Z207" s="7"/>
      <c r="AA207" s="7"/>
      <c r="AB207" s="7"/>
      <c r="AC207" s="7"/>
      <c r="AD207" s="7"/>
      <c r="AE207" s="7"/>
      <c r="AF207" s="7"/>
      <c r="AG207" s="7"/>
      <c r="AH207" s="7"/>
      <c r="AI207" s="7"/>
    </row>
    <row r="208" spans="12:35">
      <c r="L208" s="7">
        <v>14</v>
      </c>
      <c r="M208" s="7">
        <v>33</v>
      </c>
      <c r="N208" s="7" t="b">
        <f>AND($N$5,$N$6,3&lt;=$M$5,2&lt;=$M$6)</f>
        <v>0</v>
      </c>
      <c r="O208" s="7">
        <f>(P14-N14)*(O33-O14)-(Q14-O14)*(N33-N14)</f>
        <v>0</v>
      </c>
      <c r="P208" s="7">
        <f>(P14-N14)*(Q33-O14)-(Q14-O14)*(P33-N14)</f>
        <v>0</v>
      </c>
      <c r="Q208" s="7">
        <f>(P33-N33)*(O14-O33)-(Q33-O33)*(N14-N33)</f>
        <v>0</v>
      </c>
      <c r="R208" s="7">
        <f>(P33-N33)*(Q14-O33)-(Q33-O33)*(P14-N33)</f>
        <v>0</v>
      </c>
      <c r="S208" s="7">
        <f>IF(N208,IF(AND(O208*P208&lt;=0,Q208*R208&lt;=0,MAX(MIN(N14,P14),MIN(N33,P33))&lt;=MIN(MAX(N14,P14),MAX(N33,P33)),MAX(MIN(O14,Q14),MIN(O33,Q33))&lt;=MIN(MAX(O14,Q14),MAX(O33,Q33))),1,0),0)</f>
        <v>0</v>
      </c>
      <c r="T208" s="7"/>
      <c r="U208" s="7"/>
      <c r="V208" s="7"/>
      <c r="W208" s="7"/>
      <c r="X208" s="7"/>
      <c r="Y208" s="7"/>
      <c r="Z208" s="7"/>
      <c r="AA208" s="7"/>
      <c r="AB208" s="7"/>
      <c r="AC208" s="7"/>
      <c r="AD208" s="7"/>
      <c r="AE208" s="7"/>
      <c r="AF208" s="7"/>
      <c r="AG208" s="7"/>
      <c r="AH208" s="7"/>
      <c r="AI208" s="7"/>
    </row>
    <row r="209" spans="12:35">
      <c r="L209" s="7">
        <v>14</v>
      </c>
      <c r="M209" s="7">
        <v>34</v>
      </c>
      <c r="N209" s="7" t="b">
        <f>AND($N$5,$N$6,3&lt;=$M$5,3&lt;=$M$6)</f>
        <v>0</v>
      </c>
      <c r="O209" s="7">
        <f>(P14-N14)*(O34-O14)-(Q14-O14)*(N34-N14)</f>
        <v>0</v>
      </c>
      <c r="P209" s="7">
        <f>(P14-N14)*(Q34-O14)-(Q14-O14)*(P34-N14)</f>
        <v>0</v>
      </c>
      <c r="Q209" s="7">
        <f>(P34-N34)*(O14-O34)-(Q34-O34)*(N14-N34)</f>
        <v>0</v>
      </c>
      <c r="R209" s="7">
        <f>(P34-N34)*(Q14-O34)-(Q34-O34)*(P14-N34)</f>
        <v>0</v>
      </c>
      <c r="S209" s="7">
        <f>IF(N209,IF(AND(O209*P209&lt;=0,Q209*R209&lt;=0,MAX(MIN(N14,P14),MIN(N34,P34))&lt;=MIN(MAX(N14,P14),MAX(N34,P34)),MAX(MIN(O14,Q14),MIN(O34,Q34))&lt;=MIN(MAX(O14,Q14),MAX(O34,Q34))),1,0),0)</f>
        <v>0</v>
      </c>
      <c r="T209" s="7"/>
      <c r="U209" s="7"/>
      <c r="V209" s="7"/>
      <c r="W209" s="7"/>
      <c r="X209" s="7"/>
      <c r="Y209" s="7"/>
      <c r="Z209" s="7"/>
      <c r="AA209" s="7"/>
      <c r="AB209" s="7"/>
      <c r="AC209" s="7"/>
      <c r="AD209" s="7"/>
      <c r="AE209" s="7"/>
      <c r="AF209" s="7"/>
      <c r="AG209" s="7"/>
      <c r="AH209" s="7"/>
      <c r="AI209" s="7"/>
    </row>
    <row r="210" spans="12:35">
      <c r="L210" s="7">
        <v>14</v>
      </c>
      <c r="M210" s="7">
        <v>35</v>
      </c>
      <c r="N210" s="7" t="b">
        <f>AND($N$5,$N$6,3&lt;=$M$5,4&lt;=$M$6)</f>
        <v>0</v>
      </c>
      <c r="O210" s="7">
        <f>(P14-N14)*(O35-O14)-(Q14-O14)*(N35-N14)</f>
        <v>0</v>
      </c>
      <c r="P210" s="7">
        <f>(P14-N14)*(Q35-O14)-(Q14-O14)*(P35-N14)</f>
        <v>0</v>
      </c>
      <c r="Q210" s="7">
        <f>(P35-N35)*(O14-O35)-(Q35-O35)*(N14-N35)</f>
        <v>0</v>
      </c>
      <c r="R210" s="7">
        <f>(P35-N35)*(Q14-O35)-(Q35-O35)*(P14-N35)</f>
        <v>0</v>
      </c>
      <c r="S210" s="7">
        <f>IF(N210,IF(AND(O210*P210&lt;=0,Q210*R210&lt;=0,MAX(MIN(N14,P14),MIN(N35,P35))&lt;=MIN(MAX(N14,P14),MAX(N35,P35)),MAX(MIN(O14,Q14),MIN(O35,Q35))&lt;=MIN(MAX(O14,Q14),MAX(O35,Q35))),1,0),0)</f>
        <v>0</v>
      </c>
      <c r="T210" s="7"/>
      <c r="U210" s="7"/>
      <c r="V210" s="7"/>
      <c r="W210" s="7"/>
      <c r="X210" s="7"/>
      <c r="Y210" s="7"/>
      <c r="Z210" s="7"/>
      <c r="AA210" s="7"/>
      <c r="AB210" s="7"/>
      <c r="AC210" s="7"/>
      <c r="AD210" s="7"/>
      <c r="AE210" s="7"/>
      <c r="AF210" s="7"/>
      <c r="AG210" s="7"/>
      <c r="AH210" s="7"/>
      <c r="AI210" s="7"/>
    </row>
    <row r="211" spans="12:35">
      <c r="L211" s="7">
        <v>14</v>
      </c>
      <c r="M211" s="7">
        <v>36</v>
      </c>
      <c r="N211" s="7" t="b">
        <f>AND($N$5,$N$6,3&lt;=$M$5,5&lt;=$M$6)</f>
        <v>0</v>
      </c>
      <c r="O211" s="7">
        <f>(P14-N14)*(O36-O14)-(Q14-O14)*(N36-N14)</f>
        <v>0</v>
      </c>
      <c r="P211" s="7">
        <f>(P14-N14)*(Q36-O14)-(Q14-O14)*(P36-N14)</f>
        <v>0</v>
      </c>
      <c r="Q211" s="7">
        <f>(P36-N36)*(O14-O36)-(Q36-O36)*(N14-N36)</f>
        <v>0</v>
      </c>
      <c r="R211" s="7">
        <f>(P36-N36)*(Q14-O36)-(Q36-O36)*(P14-N36)</f>
        <v>0</v>
      </c>
      <c r="S211" s="7">
        <f>IF(N211,IF(AND(O211*P211&lt;=0,Q211*R211&lt;=0,MAX(MIN(N14,P14),MIN(N36,P36))&lt;=MIN(MAX(N14,P14),MAX(N36,P36)),MAX(MIN(O14,Q14),MIN(O36,Q36))&lt;=MIN(MAX(O14,Q14),MAX(O36,Q36))),1,0),0)</f>
        <v>0</v>
      </c>
      <c r="T211" s="7"/>
      <c r="U211" s="7"/>
      <c r="V211" s="7"/>
      <c r="W211" s="7"/>
      <c r="X211" s="7"/>
      <c r="Y211" s="7"/>
      <c r="Z211" s="7"/>
      <c r="AA211" s="7"/>
      <c r="AB211" s="7"/>
      <c r="AC211" s="7"/>
      <c r="AD211" s="7"/>
      <c r="AE211" s="7"/>
      <c r="AF211" s="7"/>
      <c r="AG211" s="7"/>
      <c r="AH211" s="7"/>
      <c r="AI211" s="7"/>
    </row>
    <row r="212" spans="12:35">
      <c r="L212" s="7">
        <v>14</v>
      </c>
      <c r="M212" s="7">
        <v>37</v>
      </c>
      <c r="N212" s="7" t="b">
        <f>AND($N$5,$N$6,3&lt;=$M$5,6&lt;=$M$6)</f>
        <v>0</v>
      </c>
      <c r="O212" s="7">
        <f>(P14-N14)*(O37-O14)-(Q14-O14)*(N37-N14)</f>
        <v>0</v>
      </c>
      <c r="P212" s="7">
        <f>(P14-N14)*(Q37-O14)-(Q14-O14)*(P37-N14)</f>
        <v>0</v>
      </c>
      <c r="Q212" s="7">
        <f>(P37-N37)*(O14-O37)-(Q37-O37)*(N14-N37)</f>
        <v>0</v>
      </c>
      <c r="R212" s="7">
        <f>(P37-N37)*(Q14-O37)-(Q37-O37)*(P14-N37)</f>
        <v>0</v>
      </c>
      <c r="S212" s="7">
        <f>IF(N212,IF(AND(O212*P212&lt;=0,Q212*R212&lt;=0,MAX(MIN(N14,P14),MIN(N37,P37))&lt;=MIN(MAX(N14,P14),MAX(N37,P37)),MAX(MIN(O14,Q14),MIN(O37,Q37))&lt;=MIN(MAX(O14,Q14),MAX(O37,Q37))),1,0),0)</f>
        <v>0</v>
      </c>
      <c r="T212" s="7"/>
      <c r="U212" s="7"/>
      <c r="V212" s="7"/>
      <c r="W212" s="7"/>
      <c r="X212" s="7"/>
      <c r="Y212" s="7"/>
      <c r="Z212" s="7"/>
      <c r="AA212" s="7"/>
      <c r="AB212" s="7"/>
      <c r="AC212" s="7"/>
      <c r="AD212" s="7"/>
      <c r="AE212" s="7"/>
      <c r="AF212" s="7"/>
      <c r="AG212" s="7"/>
      <c r="AH212" s="7"/>
      <c r="AI212" s="7"/>
    </row>
    <row r="213" spans="12:35">
      <c r="L213" s="7">
        <v>14</v>
      </c>
      <c r="M213" s="7">
        <v>38</v>
      </c>
      <c r="N213" s="7" t="b">
        <f>AND($N$5,$N$6,3&lt;=$M$5,7&lt;=$M$6)</f>
        <v>0</v>
      </c>
      <c r="O213" s="7">
        <f>(P14-N14)*(O38-O14)-(Q14-O14)*(N38-N14)</f>
        <v>0</v>
      </c>
      <c r="P213" s="7">
        <f>(P14-N14)*(Q38-O14)-(Q14-O14)*(P38-N14)</f>
        <v>0</v>
      </c>
      <c r="Q213" s="7">
        <f>(P38-N38)*(O14-O38)-(Q38-O38)*(N14-N38)</f>
        <v>0</v>
      </c>
      <c r="R213" s="7">
        <f>(P38-N38)*(Q14-O38)-(Q38-O38)*(P14-N38)</f>
        <v>0</v>
      </c>
      <c r="S213" s="7">
        <f>IF(N213,IF(AND(O213*P213&lt;=0,Q213*R213&lt;=0,MAX(MIN(N14,P14),MIN(N38,P38))&lt;=MIN(MAX(N14,P14),MAX(N38,P38)),MAX(MIN(O14,Q14),MIN(O38,Q38))&lt;=MIN(MAX(O14,Q14),MAX(O38,Q38))),1,0),0)</f>
        <v>0</v>
      </c>
      <c r="T213" s="7"/>
      <c r="U213" s="7"/>
      <c r="V213" s="7"/>
      <c r="W213" s="7"/>
      <c r="X213" s="7"/>
      <c r="Y213" s="7"/>
      <c r="Z213" s="7"/>
      <c r="AA213" s="7"/>
      <c r="AB213" s="7"/>
      <c r="AC213" s="7"/>
      <c r="AD213" s="7"/>
      <c r="AE213" s="7"/>
      <c r="AF213" s="7"/>
      <c r="AG213" s="7"/>
      <c r="AH213" s="7"/>
      <c r="AI213" s="7"/>
    </row>
    <row r="214" spans="12:35">
      <c r="L214" s="7">
        <v>14</v>
      </c>
      <c r="M214" s="7">
        <v>39</v>
      </c>
      <c r="N214" s="7" t="b">
        <f>AND($N$5,$N$6,3&lt;=$M$5,8&lt;=$M$6)</f>
        <v>0</v>
      </c>
      <c r="O214" s="7">
        <f>(P14-N14)*(O39-O14)-(Q14-O14)*(N39-N14)</f>
        <v>0</v>
      </c>
      <c r="P214" s="7">
        <f>(P14-N14)*(Q39-O14)-(Q14-O14)*(P39-N14)</f>
        <v>0</v>
      </c>
      <c r="Q214" s="7">
        <f>(P39-N39)*(O14-O39)-(Q39-O39)*(N14-N39)</f>
        <v>0</v>
      </c>
      <c r="R214" s="7">
        <f>(P39-N39)*(Q14-O39)-(Q39-O39)*(P14-N39)</f>
        <v>0</v>
      </c>
      <c r="S214" s="7">
        <f>IF(N214,IF(AND(O214*P214&lt;=0,Q214*R214&lt;=0,MAX(MIN(N14,P14),MIN(N39,P39))&lt;=MIN(MAX(N14,P14),MAX(N39,P39)),MAX(MIN(O14,Q14),MIN(O39,Q39))&lt;=MIN(MAX(O14,Q14),MAX(O39,Q39))),1,0),0)</f>
        <v>0</v>
      </c>
      <c r="T214" s="7"/>
      <c r="U214" s="7"/>
      <c r="V214" s="7"/>
      <c r="W214" s="7"/>
      <c r="X214" s="7"/>
      <c r="Y214" s="7"/>
      <c r="Z214" s="7"/>
      <c r="AA214" s="7"/>
      <c r="AB214" s="7"/>
      <c r="AC214" s="7"/>
      <c r="AD214" s="7"/>
      <c r="AE214" s="7"/>
      <c r="AF214" s="7"/>
      <c r="AG214" s="7"/>
      <c r="AH214" s="7"/>
      <c r="AI214" s="7"/>
    </row>
    <row r="215" spans="12:35">
      <c r="L215" s="7">
        <v>14</v>
      </c>
      <c r="M215" s="7">
        <v>40</v>
      </c>
      <c r="N215" s="7" t="b">
        <f>AND($N$5,$N$6,3&lt;=$M$5,9&lt;=$M$6)</f>
        <v>0</v>
      </c>
      <c r="O215" s="7">
        <f>(P14-N14)*(O40-O14)-(Q14-O14)*(N40-N14)</f>
        <v>0</v>
      </c>
      <c r="P215" s="7">
        <f>(P14-N14)*(Q40-O14)-(Q14-O14)*(P40-N14)</f>
        <v>0</v>
      </c>
      <c r="Q215" s="7">
        <f>(P40-N40)*(O14-O40)-(Q40-O40)*(N14-N40)</f>
        <v>0</v>
      </c>
      <c r="R215" s="7">
        <f>(P40-N40)*(Q14-O40)-(Q40-O40)*(P14-N40)</f>
        <v>0</v>
      </c>
      <c r="S215" s="7">
        <f>IF(N215,IF(AND(O215*P215&lt;=0,Q215*R215&lt;=0,MAX(MIN(N14,P14),MIN(N40,P40))&lt;=MIN(MAX(N14,P14),MAX(N40,P40)),MAX(MIN(O14,Q14),MIN(O40,Q40))&lt;=MIN(MAX(O14,Q14),MAX(O40,Q40))),1,0),0)</f>
        <v>0</v>
      </c>
      <c r="T215" s="7"/>
      <c r="U215" s="7"/>
      <c r="V215" s="7"/>
      <c r="W215" s="7"/>
      <c r="X215" s="7"/>
      <c r="Y215" s="7"/>
      <c r="Z215" s="7"/>
      <c r="AA215" s="7"/>
      <c r="AB215" s="7"/>
      <c r="AC215" s="7"/>
      <c r="AD215" s="7"/>
      <c r="AE215" s="7"/>
      <c r="AF215" s="7"/>
      <c r="AG215" s="7"/>
      <c r="AH215" s="7"/>
      <c r="AI215" s="7"/>
    </row>
    <row r="216" spans="12:35">
      <c r="L216" s="7">
        <v>14</v>
      </c>
      <c r="M216" s="7">
        <v>41</v>
      </c>
      <c r="N216" s="7" t="b">
        <f>AND($N$5,$N$6,3&lt;=$M$5,10&lt;=$M$6)</f>
        <v>0</v>
      </c>
      <c r="O216" s="7">
        <f>(P14-N14)*(O41-O14)-(Q14-O14)*(N41-N14)</f>
        <v>0</v>
      </c>
      <c r="P216" s="7">
        <f>(P14-N14)*(Q41-O14)-(Q14-O14)*(P41-N14)</f>
        <v>0</v>
      </c>
      <c r="Q216" s="7">
        <f>(P41-N41)*(O14-O41)-(Q41-O41)*(N14-N41)</f>
        <v>0</v>
      </c>
      <c r="R216" s="7">
        <f>(P41-N41)*(Q14-O41)-(Q41-O41)*(P14-N41)</f>
        <v>0</v>
      </c>
      <c r="S216" s="7">
        <f>IF(N216,IF(AND(O216*P216&lt;=0,Q216*R216&lt;=0,MAX(MIN(N14,P14),MIN(N41,P41))&lt;=MIN(MAX(N14,P14),MAX(N41,P41)),MAX(MIN(O14,Q14),MIN(O41,Q41))&lt;=MIN(MAX(O14,Q14),MAX(O41,Q41))),1,0),0)</f>
        <v>0</v>
      </c>
      <c r="T216" s="7"/>
      <c r="U216" s="7"/>
      <c r="V216" s="7"/>
      <c r="W216" s="7"/>
      <c r="X216" s="7"/>
      <c r="Y216" s="7"/>
      <c r="Z216" s="7"/>
      <c r="AA216" s="7"/>
      <c r="AB216" s="7"/>
      <c r="AC216" s="7"/>
      <c r="AD216" s="7"/>
      <c r="AE216" s="7"/>
      <c r="AF216" s="7"/>
      <c r="AG216" s="7"/>
      <c r="AH216" s="7"/>
      <c r="AI216" s="7"/>
    </row>
    <row r="217" spans="12:35">
      <c r="L217" s="7">
        <v>14</v>
      </c>
      <c r="M217" s="7">
        <v>42</v>
      </c>
      <c r="N217" s="7" t="b">
        <f>AND($N$5,$N$6,3&lt;=$M$5,11&lt;=$M$6)</f>
        <v>0</v>
      </c>
      <c r="O217" s="7">
        <f>(P14-N14)*(O42-O14)-(Q14-O14)*(N42-N14)</f>
        <v>0</v>
      </c>
      <c r="P217" s="7">
        <f>(P14-N14)*(Q42-O14)-(Q14-O14)*(P42-N14)</f>
        <v>0</v>
      </c>
      <c r="Q217" s="7">
        <f>(P42-N42)*(O14-O42)-(Q42-O42)*(N14-N42)</f>
        <v>0</v>
      </c>
      <c r="R217" s="7">
        <f>(P42-N42)*(Q14-O42)-(Q42-O42)*(P14-N42)</f>
        <v>0</v>
      </c>
      <c r="S217" s="7">
        <f>IF(N217,IF(AND(O217*P217&lt;=0,Q217*R217&lt;=0,MAX(MIN(N14,P14),MIN(N42,P42))&lt;=MIN(MAX(N14,P14),MAX(N42,P42)),MAX(MIN(O14,Q14),MIN(O42,Q42))&lt;=MIN(MAX(O14,Q14),MAX(O42,Q42))),1,0),0)</f>
        <v>0</v>
      </c>
      <c r="T217" s="7"/>
      <c r="U217" s="7"/>
      <c r="V217" s="7"/>
      <c r="W217" s="7"/>
      <c r="X217" s="7"/>
      <c r="Y217" s="7"/>
      <c r="Z217" s="7"/>
      <c r="AA217" s="7"/>
      <c r="AB217" s="7"/>
      <c r="AC217" s="7"/>
      <c r="AD217" s="7"/>
      <c r="AE217" s="7"/>
      <c r="AF217" s="7"/>
      <c r="AG217" s="7"/>
      <c r="AH217" s="7"/>
      <c r="AI217" s="7"/>
    </row>
    <row r="218" spans="12:35">
      <c r="L218" s="7">
        <v>14</v>
      </c>
      <c r="M218" s="7">
        <v>43</v>
      </c>
      <c r="N218" s="7" t="b">
        <f>AND($N$5,$N$6,3&lt;=$M$5,12&lt;=$M$6)</f>
        <v>0</v>
      </c>
      <c r="O218" s="7">
        <f>(P14-N14)*(O43-O14)-(Q14-O14)*(N43-N14)</f>
        <v>0</v>
      </c>
      <c r="P218" s="7">
        <f>(P14-N14)*(Q43-O14)-(Q14-O14)*(P43-N14)</f>
        <v>0</v>
      </c>
      <c r="Q218" s="7">
        <f>(P43-N43)*(O14-O43)-(Q43-O43)*(N14-N43)</f>
        <v>0</v>
      </c>
      <c r="R218" s="7">
        <f>(P43-N43)*(Q14-O43)-(Q43-O43)*(P14-N43)</f>
        <v>0</v>
      </c>
      <c r="S218" s="7">
        <f>IF(N218,IF(AND(O218*P218&lt;=0,Q218*R218&lt;=0,MAX(MIN(N14,P14),MIN(N43,P43))&lt;=MIN(MAX(N14,P14),MAX(N43,P43)),MAX(MIN(O14,Q14),MIN(O43,Q43))&lt;=MIN(MAX(O14,Q14),MAX(O43,Q43))),1,0),0)</f>
        <v>0</v>
      </c>
      <c r="T218" s="7"/>
      <c r="U218" s="7"/>
      <c r="V218" s="7"/>
      <c r="W218" s="7"/>
      <c r="X218" s="7"/>
      <c r="Y218" s="7"/>
      <c r="Z218" s="7"/>
      <c r="AA218" s="7"/>
      <c r="AB218" s="7"/>
      <c r="AC218" s="7"/>
      <c r="AD218" s="7"/>
      <c r="AE218" s="7"/>
      <c r="AF218" s="7"/>
      <c r="AG218" s="7"/>
      <c r="AH218" s="7"/>
      <c r="AI218" s="7"/>
    </row>
    <row r="219" spans="12:35">
      <c r="L219" s="7">
        <v>14</v>
      </c>
      <c r="M219" s="7">
        <v>44</v>
      </c>
      <c r="N219" s="7" t="b">
        <f>AND($N$5,$N$6,3&lt;=$M$5,13&lt;=$M$6)</f>
        <v>0</v>
      </c>
      <c r="O219" s="7">
        <f>(P14-N14)*(O44-O14)-(Q14-O14)*(N44-N14)</f>
        <v>0</v>
      </c>
      <c r="P219" s="7">
        <f>(P14-N14)*(Q44-O14)-(Q14-O14)*(P44-N14)</f>
        <v>0</v>
      </c>
      <c r="Q219" s="7">
        <f>(P44-N44)*(O14-O44)-(Q44-O44)*(N14-N44)</f>
        <v>0</v>
      </c>
      <c r="R219" s="7">
        <f>(P44-N44)*(Q14-O44)-(Q44-O44)*(P14-N44)</f>
        <v>0</v>
      </c>
      <c r="S219" s="7">
        <f>IF(N219,IF(AND(O219*P219&lt;=0,Q219*R219&lt;=0,MAX(MIN(N14,P14),MIN(N44,P44))&lt;=MIN(MAX(N14,P14),MAX(N44,P44)),MAX(MIN(O14,Q14),MIN(O44,Q44))&lt;=MIN(MAX(O14,Q14),MAX(O44,Q44))),1,0),0)</f>
        <v>0</v>
      </c>
      <c r="T219" s="7"/>
      <c r="U219" s="7"/>
      <c r="V219" s="7"/>
      <c r="W219" s="7"/>
      <c r="X219" s="7"/>
      <c r="Y219" s="7"/>
      <c r="Z219" s="7"/>
      <c r="AA219" s="7"/>
      <c r="AB219" s="7"/>
      <c r="AC219" s="7"/>
      <c r="AD219" s="7"/>
      <c r="AE219" s="7"/>
      <c r="AF219" s="7"/>
      <c r="AG219" s="7"/>
      <c r="AH219" s="7"/>
      <c r="AI219" s="7"/>
    </row>
    <row r="220" spans="12:35">
      <c r="L220" s="7">
        <v>14</v>
      </c>
      <c r="M220" s="7">
        <v>45</v>
      </c>
      <c r="N220" s="7" t="b">
        <f>AND($N$5,$N$6,3&lt;=$M$5,14&lt;=$M$6)</f>
        <v>0</v>
      </c>
      <c r="O220" s="7">
        <f>(P14-N14)*(O45-O14)-(Q14-O14)*(N45-N14)</f>
        <v>0</v>
      </c>
      <c r="P220" s="7">
        <f>(P14-N14)*(Q45-O14)-(Q14-O14)*(P45-N14)</f>
        <v>0</v>
      </c>
      <c r="Q220" s="7">
        <f>(P45-N45)*(O14-O45)-(Q45-O45)*(N14-N45)</f>
        <v>0</v>
      </c>
      <c r="R220" s="7">
        <f>(P45-N45)*(Q14-O45)-(Q45-O45)*(P14-N45)</f>
        <v>0</v>
      </c>
      <c r="S220" s="7">
        <f>IF(N220,IF(AND(O220*P220&lt;=0,Q220*R220&lt;=0,MAX(MIN(N14,P14),MIN(N45,P45))&lt;=MIN(MAX(N14,P14),MAX(N45,P45)),MAX(MIN(O14,Q14),MIN(O45,Q45))&lt;=MIN(MAX(O14,Q14),MAX(O45,Q45))),1,0),0)</f>
        <v>0</v>
      </c>
      <c r="T220" s="7"/>
      <c r="U220" s="7"/>
      <c r="V220" s="7"/>
      <c r="W220" s="7"/>
      <c r="X220" s="7"/>
      <c r="Y220" s="7"/>
      <c r="Z220" s="7"/>
      <c r="AA220" s="7"/>
      <c r="AB220" s="7"/>
      <c r="AC220" s="7"/>
      <c r="AD220" s="7"/>
      <c r="AE220" s="7"/>
      <c r="AF220" s="7"/>
      <c r="AG220" s="7"/>
      <c r="AH220" s="7"/>
      <c r="AI220" s="7"/>
    </row>
    <row r="221" spans="12:35">
      <c r="L221" s="7">
        <v>14</v>
      </c>
      <c r="M221" s="7">
        <v>46</v>
      </c>
      <c r="N221" s="7" t="b">
        <f>AND($N$5,$N$6,3&lt;=$M$5,15&lt;=$M$6)</f>
        <v>0</v>
      </c>
      <c r="O221" s="7">
        <f>(P14-N14)*(O46-O14)-(Q14-O14)*(N46-N14)</f>
        <v>0</v>
      </c>
      <c r="P221" s="7">
        <f>(P14-N14)*(Q46-O14)-(Q14-O14)*(P46-N14)</f>
        <v>0</v>
      </c>
      <c r="Q221" s="7">
        <f>(P46-N46)*(O14-O46)-(Q46-O46)*(N14-N46)</f>
        <v>0</v>
      </c>
      <c r="R221" s="7">
        <f>(P46-N46)*(Q14-O46)-(Q46-O46)*(P14-N46)</f>
        <v>0</v>
      </c>
      <c r="S221" s="7">
        <f>IF(N221,IF(AND(O221*P221&lt;=0,Q221*R221&lt;=0,MAX(MIN(N14,P14),MIN(N46,P46))&lt;=MIN(MAX(N14,P14),MAX(N46,P46)),MAX(MIN(O14,Q14),MIN(O46,Q46))&lt;=MIN(MAX(O14,Q14),MAX(O46,Q46))),1,0),0)</f>
        <v>0</v>
      </c>
      <c r="T221" s="7"/>
      <c r="U221" s="7"/>
      <c r="V221" s="7"/>
      <c r="W221" s="7"/>
      <c r="X221" s="7"/>
      <c r="Y221" s="7"/>
      <c r="Z221" s="7"/>
      <c r="AA221" s="7"/>
      <c r="AB221" s="7"/>
      <c r="AC221" s="7"/>
      <c r="AD221" s="7"/>
      <c r="AE221" s="7"/>
      <c r="AF221" s="7"/>
      <c r="AG221" s="7"/>
      <c r="AH221" s="7"/>
      <c r="AI221" s="7"/>
    </row>
    <row r="222" spans="12:35">
      <c r="L222" s="7">
        <v>14</v>
      </c>
      <c r="M222" s="7">
        <v>47</v>
      </c>
      <c r="N222" s="7" t="b">
        <f>AND($N$5,$N$6,3&lt;=$M$5,16&lt;=$M$6)</f>
        <v>0</v>
      </c>
      <c r="O222" s="7">
        <f>(P14-N14)*(O47-O14)-(Q14-O14)*(N47-N14)</f>
        <v>0</v>
      </c>
      <c r="P222" s="7">
        <f>(P14-N14)*(Q47-O14)-(Q14-O14)*(P47-N14)</f>
        <v>0</v>
      </c>
      <c r="Q222" s="7">
        <f>(P47-N47)*(O14-O47)-(Q47-O47)*(N14-N47)</f>
        <v>0</v>
      </c>
      <c r="R222" s="7">
        <f>(P47-N47)*(Q14-O47)-(Q47-O47)*(P14-N47)</f>
        <v>0</v>
      </c>
      <c r="S222" s="7">
        <f>IF(N222,IF(AND(O222*P222&lt;=0,Q222*R222&lt;=0,MAX(MIN(N14,P14),MIN(N47,P47))&lt;=MIN(MAX(N14,P14),MAX(N47,P47)),MAX(MIN(O14,Q14),MIN(O47,Q47))&lt;=MIN(MAX(O14,Q14),MAX(O47,Q47))),1,0),0)</f>
        <v>0</v>
      </c>
      <c r="T222" s="7"/>
      <c r="U222" s="7"/>
      <c r="V222" s="7"/>
      <c r="W222" s="7"/>
      <c r="X222" s="7"/>
      <c r="Y222" s="7"/>
      <c r="Z222" s="7"/>
      <c r="AA222" s="7"/>
      <c r="AB222" s="7"/>
      <c r="AC222" s="7"/>
      <c r="AD222" s="7"/>
      <c r="AE222" s="7"/>
      <c r="AF222" s="7"/>
      <c r="AG222" s="7"/>
      <c r="AH222" s="7"/>
      <c r="AI222" s="7"/>
    </row>
    <row r="223" spans="12:35">
      <c r="L223" s="7">
        <v>14</v>
      </c>
      <c r="M223" s="7">
        <v>48</v>
      </c>
      <c r="N223" s="7" t="b">
        <f>AND($N$5,$N$6,3&lt;=$M$5,17&lt;=$M$6)</f>
        <v>0</v>
      </c>
      <c r="O223" s="7">
        <f>(P14-N14)*(O48-O14)-(Q14-O14)*(N48-N14)</f>
        <v>0</v>
      </c>
      <c r="P223" s="7">
        <f>(P14-N14)*(Q48-O14)-(Q14-O14)*(P48-N14)</f>
        <v>0</v>
      </c>
      <c r="Q223" s="7">
        <f>(P48-N48)*(O14-O48)-(Q48-O48)*(N14-N48)</f>
        <v>0</v>
      </c>
      <c r="R223" s="7">
        <f>(P48-N48)*(Q14-O48)-(Q48-O48)*(P14-N48)</f>
        <v>0</v>
      </c>
      <c r="S223" s="7">
        <f>IF(N223,IF(AND(O223*P223&lt;=0,Q223*R223&lt;=0,MAX(MIN(N14,P14),MIN(N48,P48))&lt;=MIN(MAX(N14,P14),MAX(N48,P48)),MAX(MIN(O14,Q14),MIN(O48,Q48))&lt;=MIN(MAX(O14,Q14),MAX(O48,Q48))),1,0),0)</f>
        <v>0</v>
      </c>
      <c r="T223" s="7"/>
      <c r="U223" s="7"/>
      <c r="V223" s="7"/>
      <c r="W223" s="7"/>
      <c r="X223" s="7"/>
      <c r="Y223" s="7"/>
      <c r="Z223" s="7"/>
      <c r="AA223" s="7"/>
      <c r="AB223" s="7"/>
      <c r="AC223" s="7"/>
      <c r="AD223" s="7"/>
      <c r="AE223" s="7"/>
      <c r="AF223" s="7"/>
      <c r="AG223" s="7"/>
      <c r="AH223" s="7"/>
      <c r="AI223" s="7"/>
    </row>
    <row r="224" spans="12:35">
      <c r="L224" s="7">
        <v>14</v>
      </c>
      <c r="M224" s="7">
        <v>49</v>
      </c>
      <c r="N224" s="7" t="b">
        <f>AND($N$5,$N$6,3&lt;=$M$5,18&lt;=$M$6)</f>
        <v>0</v>
      </c>
      <c r="O224" s="7">
        <f>(P14-N14)*(O49-O14)-(Q14-O14)*(N49-N14)</f>
        <v>0</v>
      </c>
      <c r="P224" s="7">
        <f>(P14-N14)*(Q49-O14)-(Q14-O14)*(P49-N14)</f>
        <v>0</v>
      </c>
      <c r="Q224" s="7">
        <f>(P49-N49)*(O14-O49)-(Q49-O49)*(N14-N49)</f>
        <v>0</v>
      </c>
      <c r="R224" s="7">
        <f>(P49-N49)*(Q14-O49)-(Q49-O49)*(P14-N49)</f>
        <v>0</v>
      </c>
      <c r="S224" s="7">
        <f>IF(N224,IF(AND(O224*P224&lt;=0,Q224*R224&lt;=0,MAX(MIN(N14,P14),MIN(N49,P49))&lt;=MIN(MAX(N14,P14),MAX(N49,P49)),MAX(MIN(O14,Q14),MIN(O49,Q49))&lt;=MIN(MAX(O14,Q14),MAX(O49,Q49))),1,0),0)</f>
        <v>0</v>
      </c>
      <c r="T224" s="7"/>
      <c r="U224" s="7"/>
      <c r="V224" s="7"/>
      <c r="W224" s="7"/>
      <c r="X224" s="7"/>
      <c r="Y224" s="7"/>
      <c r="Z224" s="7"/>
      <c r="AA224" s="7"/>
      <c r="AB224" s="7"/>
      <c r="AC224" s="7"/>
      <c r="AD224" s="7"/>
      <c r="AE224" s="7"/>
      <c r="AF224" s="7"/>
      <c r="AG224" s="7"/>
      <c r="AH224" s="7"/>
      <c r="AI224" s="7"/>
    </row>
    <row r="225" spans="12:35">
      <c r="L225" s="7">
        <v>14</v>
      </c>
      <c r="M225" s="7">
        <v>50</v>
      </c>
      <c r="N225" s="7" t="b">
        <f>AND($N$5,$N$6,3&lt;=$M$5,19&lt;=$M$6)</f>
        <v>0</v>
      </c>
      <c r="O225" s="7">
        <f>(P14-N14)*(O50-O14)-(Q14-O14)*(N50-N14)</f>
        <v>0</v>
      </c>
      <c r="P225" s="7">
        <f>(P14-N14)*(Q50-O14)-(Q14-O14)*(P50-N14)</f>
        <v>0</v>
      </c>
      <c r="Q225" s="7">
        <f>(P50-N50)*(O14-O50)-(Q50-O50)*(N14-N50)</f>
        <v>0</v>
      </c>
      <c r="R225" s="7">
        <f>(P50-N50)*(Q14-O50)-(Q50-O50)*(P14-N50)</f>
        <v>0</v>
      </c>
      <c r="S225" s="7">
        <f>IF(N225,IF(AND(O225*P225&lt;=0,Q225*R225&lt;=0,MAX(MIN(N14,P14),MIN(N50,P50))&lt;=MIN(MAX(N14,P14),MAX(N50,P50)),MAX(MIN(O14,Q14),MIN(O50,Q50))&lt;=MIN(MAX(O14,Q14),MAX(O50,Q50))),1,0),0)</f>
        <v>0</v>
      </c>
      <c r="T225" s="7"/>
      <c r="U225" s="7"/>
      <c r="V225" s="7"/>
      <c r="W225" s="7"/>
      <c r="X225" s="7"/>
      <c r="Y225" s="7"/>
      <c r="Z225" s="7"/>
      <c r="AA225" s="7"/>
      <c r="AB225" s="7"/>
      <c r="AC225" s="7"/>
      <c r="AD225" s="7"/>
      <c r="AE225" s="7"/>
      <c r="AF225" s="7"/>
      <c r="AG225" s="7"/>
      <c r="AH225" s="7"/>
      <c r="AI225" s="7"/>
    </row>
    <row r="226" spans="12:35">
      <c r="L226" s="7">
        <v>14</v>
      </c>
      <c r="M226" s="7">
        <v>51</v>
      </c>
      <c r="N226" s="7" t="b">
        <f>AND($N$5,$N$6,3&lt;=$M$5,20&lt;=$M$6)</f>
        <v>0</v>
      </c>
      <c r="O226" s="7">
        <f>(P14-N14)*(O51-O14)-(Q14-O14)*(N51-N14)</f>
        <v>0</v>
      </c>
      <c r="P226" s="7">
        <f>(P14-N14)*(Q51-O14)-(Q14-O14)*(P51-N14)</f>
        <v>0</v>
      </c>
      <c r="Q226" s="7">
        <f>(P51-N51)*(O14-O51)-(Q51-O51)*(N14-N51)</f>
        <v>0</v>
      </c>
      <c r="R226" s="7">
        <f>(P51-N51)*(Q14-O51)-(Q51-O51)*(P14-N51)</f>
        <v>0</v>
      </c>
      <c r="S226" s="7">
        <f>IF(N226,IF(AND(O226*P226&lt;=0,Q226*R226&lt;=0,MAX(MIN(N14,P14),MIN(N51,P51))&lt;=MIN(MAX(N14,P14),MAX(N51,P51)),MAX(MIN(O14,Q14),MIN(O51,Q51))&lt;=MIN(MAX(O14,Q14),MAX(O51,Q51))),1,0),0)</f>
        <v>0</v>
      </c>
      <c r="T226" s="7"/>
      <c r="U226" s="7"/>
      <c r="V226" s="7"/>
      <c r="W226" s="7"/>
      <c r="X226" s="7"/>
      <c r="Y226" s="7"/>
      <c r="Z226" s="7"/>
      <c r="AA226" s="7"/>
      <c r="AB226" s="7"/>
      <c r="AC226" s="7"/>
      <c r="AD226" s="7"/>
      <c r="AE226" s="7"/>
      <c r="AF226" s="7"/>
      <c r="AG226" s="7"/>
      <c r="AH226" s="7"/>
      <c r="AI226" s="7"/>
    </row>
    <row r="227" spans="12:35">
      <c r="L227" s="7">
        <v>14</v>
      </c>
      <c r="M227" s="7">
        <v>52</v>
      </c>
      <c r="N227" s="7" t="b">
        <f>AND($N$5,$N$7,3&lt;=$M$5,1&lt;=$M$7)</f>
        <v>0</v>
      </c>
      <c r="O227" s="7">
        <f>(P14-N14)*(O52-O14)-(Q14-O14)*(N52-N14)</f>
        <v>0</v>
      </c>
      <c r="P227" s="7">
        <f>(P14-N14)*(Q52-O14)-(Q14-O14)*(P52-N14)</f>
        <v>0</v>
      </c>
      <c r="Q227" s="7">
        <f>(P52-N52)*(O14-O52)-(Q52-O52)*(N14-N52)</f>
        <v>0</v>
      </c>
      <c r="R227" s="7">
        <f>(P52-N52)*(Q14-O52)-(Q52-O52)*(P14-N52)</f>
        <v>0</v>
      </c>
      <c r="S227" s="7">
        <f>IF(N227,IF(AND(O227*P227&lt;=0,Q227*R227&lt;=0,MAX(MIN(N14,P14),MIN(N52,P52))&lt;=MIN(MAX(N14,P14),MAX(N52,P52)),MAX(MIN(O14,Q14),MIN(O52,Q52))&lt;=MIN(MAX(O14,Q14),MAX(O52,Q52))),1,0),0)</f>
        <v>0</v>
      </c>
      <c r="T227" s="7"/>
      <c r="U227" s="7"/>
      <c r="V227" s="7"/>
      <c r="W227" s="7"/>
      <c r="X227" s="7"/>
      <c r="Y227" s="7"/>
      <c r="Z227" s="7"/>
      <c r="AA227" s="7"/>
      <c r="AB227" s="7"/>
      <c r="AC227" s="7"/>
      <c r="AD227" s="7"/>
      <c r="AE227" s="7"/>
      <c r="AF227" s="7"/>
      <c r="AG227" s="7"/>
      <c r="AH227" s="7"/>
      <c r="AI227" s="7"/>
    </row>
    <row r="228" spans="12:35">
      <c r="L228" s="7">
        <v>14</v>
      </c>
      <c r="M228" s="7">
        <v>53</v>
      </c>
      <c r="N228" s="7" t="b">
        <f>AND($N$5,$N$7,3&lt;=$M$5,2&lt;=$M$7)</f>
        <v>0</v>
      </c>
      <c r="O228" s="7">
        <f>(P14-N14)*(O53-O14)-(Q14-O14)*(N53-N14)</f>
        <v>0</v>
      </c>
      <c r="P228" s="7">
        <f>(P14-N14)*(Q53-O14)-(Q14-O14)*(P53-N14)</f>
        <v>0</v>
      </c>
      <c r="Q228" s="7">
        <f>(P53-N53)*(O14-O53)-(Q53-O53)*(N14-N53)</f>
        <v>0</v>
      </c>
      <c r="R228" s="7">
        <f>(P53-N53)*(Q14-O53)-(Q53-O53)*(P14-N53)</f>
        <v>0</v>
      </c>
      <c r="S228" s="7">
        <f>IF(N228,IF(AND(O228*P228&lt;=0,Q228*R228&lt;=0,MAX(MIN(N14,P14),MIN(N53,P53))&lt;=MIN(MAX(N14,P14),MAX(N53,P53)),MAX(MIN(O14,Q14),MIN(O53,Q53))&lt;=MIN(MAX(O14,Q14),MAX(O53,Q53))),1,0),0)</f>
        <v>0</v>
      </c>
      <c r="T228" s="7"/>
      <c r="U228" s="7"/>
      <c r="V228" s="7"/>
      <c r="W228" s="7"/>
      <c r="X228" s="7"/>
      <c r="Y228" s="7"/>
      <c r="Z228" s="7"/>
      <c r="AA228" s="7"/>
      <c r="AB228" s="7"/>
      <c r="AC228" s="7"/>
      <c r="AD228" s="7"/>
      <c r="AE228" s="7"/>
      <c r="AF228" s="7"/>
      <c r="AG228" s="7"/>
      <c r="AH228" s="7"/>
      <c r="AI228" s="7"/>
    </row>
    <row r="229" spans="12:35">
      <c r="L229" s="7">
        <v>14</v>
      </c>
      <c r="M229" s="7">
        <v>54</v>
      </c>
      <c r="N229" s="7" t="b">
        <f>AND($N$5,$N$7,3&lt;=$M$5,3&lt;=$M$7)</f>
        <v>0</v>
      </c>
      <c r="O229" s="7">
        <f>(P14-N14)*(O54-O14)-(Q14-O14)*(N54-N14)</f>
        <v>0</v>
      </c>
      <c r="P229" s="7">
        <f>(P14-N14)*(Q54-O14)-(Q14-O14)*(P54-N14)</f>
        <v>0</v>
      </c>
      <c r="Q229" s="7">
        <f>(P54-N54)*(O14-O54)-(Q54-O54)*(N14-N54)</f>
        <v>0</v>
      </c>
      <c r="R229" s="7">
        <f>(P54-N54)*(Q14-O54)-(Q54-O54)*(P14-N54)</f>
        <v>0</v>
      </c>
      <c r="S229" s="7">
        <f>IF(N229,IF(AND(O229*P229&lt;=0,Q229*R229&lt;=0,MAX(MIN(N14,P14),MIN(N54,P54))&lt;=MIN(MAX(N14,P14),MAX(N54,P54)),MAX(MIN(O14,Q14),MIN(O54,Q54))&lt;=MIN(MAX(O14,Q14),MAX(O54,Q54))),1,0),0)</f>
        <v>0</v>
      </c>
      <c r="T229" s="7"/>
      <c r="U229" s="7"/>
      <c r="V229" s="7"/>
      <c r="W229" s="7"/>
      <c r="X229" s="7"/>
      <c r="Y229" s="7"/>
      <c r="Z229" s="7"/>
      <c r="AA229" s="7"/>
      <c r="AB229" s="7"/>
      <c r="AC229" s="7"/>
      <c r="AD229" s="7"/>
      <c r="AE229" s="7"/>
      <c r="AF229" s="7"/>
      <c r="AG229" s="7"/>
      <c r="AH229" s="7"/>
      <c r="AI229" s="7"/>
    </row>
    <row r="230" spans="12:35">
      <c r="L230" s="7">
        <v>14</v>
      </c>
      <c r="M230" s="7">
        <v>55</v>
      </c>
      <c r="N230" s="7" t="b">
        <f>AND($N$5,$N$7,3&lt;=$M$5,4&lt;=$M$7)</f>
        <v>0</v>
      </c>
      <c r="O230" s="7">
        <f>(P14-N14)*(O55-O14)-(Q14-O14)*(N55-N14)</f>
        <v>0</v>
      </c>
      <c r="P230" s="7">
        <f>(P14-N14)*(Q55-O14)-(Q14-O14)*(P55-N14)</f>
        <v>0</v>
      </c>
      <c r="Q230" s="7">
        <f>(P55-N55)*(O14-O55)-(Q55-O55)*(N14-N55)</f>
        <v>0</v>
      </c>
      <c r="R230" s="7">
        <f>(P55-N55)*(Q14-O55)-(Q55-O55)*(P14-N55)</f>
        <v>0</v>
      </c>
      <c r="S230" s="7">
        <f>IF(N230,IF(AND(O230*P230&lt;=0,Q230*R230&lt;=0,MAX(MIN(N14,P14),MIN(N55,P55))&lt;=MIN(MAX(N14,P14),MAX(N55,P55)),MAX(MIN(O14,Q14),MIN(O55,Q55))&lt;=MIN(MAX(O14,Q14),MAX(O55,Q55))),1,0),0)</f>
        <v>0</v>
      </c>
      <c r="T230" s="7"/>
      <c r="U230" s="7"/>
      <c r="V230" s="7"/>
      <c r="W230" s="7"/>
      <c r="X230" s="7"/>
      <c r="Y230" s="7"/>
      <c r="Z230" s="7"/>
      <c r="AA230" s="7"/>
      <c r="AB230" s="7"/>
      <c r="AC230" s="7"/>
      <c r="AD230" s="7"/>
      <c r="AE230" s="7"/>
      <c r="AF230" s="7"/>
      <c r="AG230" s="7"/>
      <c r="AH230" s="7"/>
      <c r="AI230" s="7"/>
    </row>
    <row r="231" spans="12:35">
      <c r="L231" s="7">
        <v>14</v>
      </c>
      <c r="M231" s="7">
        <v>56</v>
      </c>
      <c r="N231" s="7" t="b">
        <f>AND($N$5,$N$7,3&lt;=$M$5,5&lt;=$M$7)</f>
        <v>0</v>
      </c>
      <c r="O231" s="7">
        <f>(P14-N14)*(O56-O14)-(Q14-O14)*(N56-N14)</f>
        <v>0</v>
      </c>
      <c r="P231" s="7">
        <f>(P14-N14)*(Q56-O14)-(Q14-O14)*(P56-N14)</f>
        <v>0</v>
      </c>
      <c r="Q231" s="7">
        <f>(P56-N56)*(O14-O56)-(Q56-O56)*(N14-N56)</f>
        <v>0</v>
      </c>
      <c r="R231" s="7">
        <f>(P56-N56)*(Q14-O56)-(Q56-O56)*(P14-N56)</f>
        <v>0</v>
      </c>
      <c r="S231" s="7">
        <f>IF(N231,IF(AND(O231*P231&lt;=0,Q231*R231&lt;=0,MAX(MIN(N14,P14),MIN(N56,P56))&lt;=MIN(MAX(N14,P14),MAX(N56,P56)),MAX(MIN(O14,Q14),MIN(O56,Q56))&lt;=MIN(MAX(O14,Q14),MAX(O56,Q56))),1,0),0)</f>
        <v>0</v>
      </c>
      <c r="T231" s="7"/>
      <c r="U231" s="7"/>
      <c r="V231" s="7"/>
      <c r="W231" s="7"/>
      <c r="X231" s="7"/>
      <c r="Y231" s="7"/>
      <c r="Z231" s="7"/>
      <c r="AA231" s="7"/>
      <c r="AB231" s="7"/>
      <c r="AC231" s="7"/>
      <c r="AD231" s="7"/>
      <c r="AE231" s="7"/>
      <c r="AF231" s="7"/>
      <c r="AG231" s="7"/>
      <c r="AH231" s="7"/>
      <c r="AI231" s="7"/>
    </row>
    <row r="232" spans="12:35">
      <c r="L232" s="7">
        <v>14</v>
      </c>
      <c r="M232" s="7">
        <v>57</v>
      </c>
      <c r="N232" s="7" t="b">
        <f>AND($N$5,$N$7,3&lt;=$M$5,6&lt;=$M$7)</f>
        <v>0</v>
      </c>
      <c r="O232" s="7">
        <f>(P14-N14)*(O57-O14)-(Q14-O14)*(N57-N14)</f>
        <v>0</v>
      </c>
      <c r="P232" s="7">
        <f>(P14-N14)*(Q57-O14)-(Q14-O14)*(P57-N14)</f>
        <v>0</v>
      </c>
      <c r="Q232" s="7">
        <f>(P57-N57)*(O14-O57)-(Q57-O57)*(N14-N57)</f>
        <v>0</v>
      </c>
      <c r="R232" s="7">
        <f>(P57-N57)*(Q14-O57)-(Q57-O57)*(P14-N57)</f>
        <v>0</v>
      </c>
      <c r="S232" s="7">
        <f>IF(N232,IF(AND(O232*P232&lt;=0,Q232*R232&lt;=0,MAX(MIN(N14,P14),MIN(N57,P57))&lt;=MIN(MAX(N14,P14),MAX(N57,P57)),MAX(MIN(O14,Q14),MIN(O57,Q57))&lt;=MIN(MAX(O14,Q14),MAX(O57,Q57))),1,0),0)</f>
        <v>0</v>
      </c>
      <c r="T232" s="7"/>
      <c r="U232" s="7"/>
      <c r="V232" s="7"/>
      <c r="W232" s="7"/>
      <c r="X232" s="7"/>
      <c r="Y232" s="7"/>
      <c r="Z232" s="7"/>
      <c r="AA232" s="7"/>
      <c r="AB232" s="7"/>
      <c r="AC232" s="7"/>
      <c r="AD232" s="7"/>
      <c r="AE232" s="7"/>
      <c r="AF232" s="7"/>
      <c r="AG232" s="7"/>
      <c r="AH232" s="7"/>
      <c r="AI232" s="7"/>
    </row>
    <row r="233" spans="12:35">
      <c r="L233" s="7">
        <v>14</v>
      </c>
      <c r="M233" s="7">
        <v>58</v>
      </c>
      <c r="N233" s="7" t="b">
        <f>AND($N$5,$N$7,3&lt;=$M$5,7&lt;=$M$7)</f>
        <v>0</v>
      </c>
      <c r="O233" s="7">
        <f>(P14-N14)*(O58-O14)-(Q14-O14)*(N58-N14)</f>
        <v>0</v>
      </c>
      <c r="P233" s="7">
        <f>(P14-N14)*(Q58-O14)-(Q14-O14)*(P58-N14)</f>
        <v>0</v>
      </c>
      <c r="Q233" s="7">
        <f>(P58-N58)*(O14-O58)-(Q58-O58)*(N14-N58)</f>
        <v>0</v>
      </c>
      <c r="R233" s="7">
        <f>(P58-N58)*(Q14-O58)-(Q58-O58)*(P14-N58)</f>
        <v>0</v>
      </c>
      <c r="S233" s="7">
        <f>IF(N233,IF(AND(O233*P233&lt;=0,Q233*R233&lt;=0,MAX(MIN(N14,P14),MIN(N58,P58))&lt;=MIN(MAX(N14,P14),MAX(N58,P58)),MAX(MIN(O14,Q14),MIN(O58,Q58))&lt;=MIN(MAX(O14,Q14),MAX(O58,Q58))),1,0),0)</f>
        <v>0</v>
      </c>
      <c r="T233" s="7"/>
      <c r="U233" s="7"/>
      <c r="V233" s="7"/>
      <c r="W233" s="7"/>
      <c r="X233" s="7"/>
      <c r="Y233" s="7"/>
      <c r="Z233" s="7"/>
      <c r="AA233" s="7"/>
      <c r="AB233" s="7"/>
      <c r="AC233" s="7"/>
      <c r="AD233" s="7"/>
      <c r="AE233" s="7"/>
      <c r="AF233" s="7"/>
      <c r="AG233" s="7"/>
      <c r="AH233" s="7"/>
      <c r="AI233" s="7"/>
    </row>
    <row r="234" spans="12:35">
      <c r="L234" s="7">
        <v>14</v>
      </c>
      <c r="M234" s="7">
        <v>59</v>
      </c>
      <c r="N234" s="7" t="b">
        <f>AND($N$5,$N$7,3&lt;=$M$5,8&lt;=$M$7)</f>
        <v>0</v>
      </c>
      <c r="O234" s="7">
        <f>(P14-N14)*(O59-O14)-(Q14-O14)*(N59-N14)</f>
        <v>0</v>
      </c>
      <c r="P234" s="7">
        <f>(P14-N14)*(Q59-O14)-(Q14-O14)*(P59-N14)</f>
        <v>0</v>
      </c>
      <c r="Q234" s="7">
        <f>(P59-N59)*(O14-O59)-(Q59-O59)*(N14-N59)</f>
        <v>0</v>
      </c>
      <c r="R234" s="7">
        <f>(P59-N59)*(Q14-O59)-(Q59-O59)*(P14-N59)</f>
        <v>0</v>
      </c>
      <c r="S234" s="7">
        <f>IF(N234,IF(AND(O234*P234&lt;=0,Q234*R234&lt;=0,MAX(MIN(N14,P14),MIN(N59,P59))&lt;=MIN(MAX(N14,P14),MAX(N59,P59)),MAX(MIN(O14,Q14),MIN(O59,Q59))&lt;=MIN(MAX(O14,Q14),MAX(O59,Q59))),1,0),0)</f>
        <v>0</v>
      </c>
      <c r="T234" s="7"/>
      <c r="U234" s="7"/>
      <c r="V234" s="7"/>
      <c r="W234" s="7"/>
      <c r="X234" s="7"/>
      <c r="Y234" s="7"/>
      <c r="Z234" s="7"/>
      <c r="AA234" s="7"/>
      <c r="AB234" s="7"/>
      <c r="AC234" s="7"/>
      <c r="AD234" s="7"/>
      <c r="AE234" s="7"/>
      <c r="AF234" s="7"/>
      <c r="AG234" s="7"/>
      <c r="AH234" s="7"/>
      <c r="AI234" s="7"/>
    </row>
    <row r="235" spans="12:35">
      <c r="L235" s="7">
        <v>14</v>
      </c>
      <c r="M235" s="7">
        <v>60</v>
      </c>
      <c r="N235" s="7" t="b">
        <f>AND($N$5,$N$7,3&lt;=$M$5,9&lt;=$M$7)</f>
        <v>0</v>
      </c>
      <c r="O235" s="7">
        <f>(P14-N14)*(O60-O14)-(Q14-O14)*(N60-N14)</f>
        <v>0</v>
      </c>
      <c r="P235" s="7">
        <f>(P14-N14)*(Q60-O14)-(Q14-O14)*(P60-N14)</f>
        <v>0</v>
      </c>
      <c r="Q235" s="7">
        <f>(P60-N60)*(O14-O60)-(Q60-O60)*(N14-N60)</f>
        <v>0</v>
      </c>
      <c r="R235" s="7">
        <f>(P60-N60)*(Q14-O60)-(Q60-O60)*(P14-N60)</f>
        <v>0</v>
      </c>
      <c r="S235" s="7">
        <f>IF(N235,IF(AND(O235*P235&lt;=0,Q235*R235&lt;=0,MAX(MIN(N14,P14),MIN(N60,P60))&lt;=MIN(MAX(N14,P14),MAX(N60,P60)),MAX(MIN(O14,Q14),MIN(O60,Q60))&lt;=MIN(MAX(O14,Q14),MAX(O60,Q60))),1,0),0)</f>
        <v>0</v>
      </c>
      <c r="T235" s="7"/>
      <c r="U235" s="7"/>
      <c r="V235" s="7"/>
      <c r="W235" s="7"/>
      <c r="X235" s="7"/>
      <c r="Y235" s="7"/>
      <c r="Z235" s="7"/>
      <c r="AA235" s="7"/>
      <c r="AB235" s="7"/>
      <c r="AC235" s="7"/>
      <c r="AD235" s="7"/>
      <c r="AE235" s="7"/>
      <c r="AF235" s="7"/>
      <c r="AG235" s="7"/>
      <c r="AH235" s="7"/>
      <c r="AI235" s="7"/>
    </row>
    <row r="236" spans="12:35">
      <c r="L236" s="7">
        <v>14</v>
      </c>
      <c r="M236" s="7">
        <v>61</v>
      </c>
      <c r="N236" s="7" t="b">
        <f>AND($N$5,$N$7,3&lt;=$M$5,10&lt;=$M$7)</f>
        <v>0</v>
      </c>
      <c r="O236" s="7">
        <f>(P14-N14)*(O61-O14)-(Q14-O14)*(N61-N14)</f>
        <v>0</v>
      </c>
      <c r="P236" s="7">
        <f>(P14-N14)*(Q61-O14)-(Q14-O14)*(P61-N14)</f>
        <v>0</v>
      </c>
      <c r="Q236" s="7">
        <f>(P61-N61)*(O14-O61)-(Q61-O61)*(N14-N61)</f>
        <v>0</v>
      </c>
      <c r="R236" s="7">
        <f>(P61-N61)*(Q14-O61)-(Q61-O61)*(P14-N61)</f>
        <v>0</v>
      </c>
      <c r="S236" s="7">
        <f>IF(N236,IF(AND(O236*P236&lt;=0,Q236*R236&lt;=0,MAX(MIN(N14,P14),MIN(N61,P61))&lt;=MIN(MAX(N14,P14),MAX(N61,P61)),MAX(MIN(O14,Q14),MIN(O61,Q61))&lt;=MIN(MAX(O14,Q14),MAX(O61,Q61))),1,0),0)</f>
        <v>0</v>
      </c>
      <c r="T236" s="7"/>
      <c r="U236" s="7"/>
      <c r="V236" s="7"/>
      <c r="W236" s="7"/>
      <c r="X236" s="7"/>
      <c r="Y236" s="7"/>
      <c r="Z236" s="7"/>
      <c r="AA236" s="7"/>
      <c r="AB236" s="7"/>
      <c r="AC236" s="7"/>
      <c r="AD236" s="7"/>
      <c r="AE236" s="7"/>
      <c r="AF236" s="7"/>
      <c r="AG236" s="7"/>
      <c r="AH236" s="7"/>
      <c r="AI236" s="7"/>
    </row>
    <row r="237" spans="12:35">
      <c r="L237" s="7">
        <v>14</v>
      </c>
      <c r="M237" s="7">
        <v>62</v>
      </c>
      <c r="N237" s="7" t="b">
        <f>AND($N$5,$N$7,3&lt;=$M$5,11&lt;=$M$7)</f>
        <v>0</v>
      </c>
      <c r="O237" s="7">
        <f>(P14-N14)*(O62-O14)-(Q14-O14)*(N62-N14)</f>
        <v>0</v>
      </c>
      <c r="P237" s="7">
        <f>(P14-N14)*(Q62-O14)-(Q14-O14)*(P62-N14)</f>
        <v>0</v>
      </c>
      <c r="Q237" s="7">
        <f>(P62-N62)*(O14-O62)-(Q62-O62)*(N14-N62)</f>
        <v>0</v>
      </c>
      <c r="R237" s="7">
        <f>(P62-N62)*(Q14-O62)-(Q62-O62)*(P14-N62)</f>
        <v>0</v>
      </c>
      <c r="S237" s="7">
        <f>IF(N237,IF(AND(O237*P237&lt;=0,Q237*R237&lt;=0,MAX(MIN(N14,P14),MIN(N62,P62))&lt;=MIN(MAX(N14,P14),MAX(N62,P62)),MAX(MIN(O14,Q14),MIN(O62,Q62))&lt;=MIN(MAX(O14,Q14),MAX(O62,Q62))),1,0),0)</f>
        <v>0</v>
      </c>
      <c r="T237" s="7"/>
      <c r="U237" s="7"/>
      <c r="V237" s="7"/>
      <c r="W237" s="7"/>
      <c r="X237" s="7"/>
      <c r="Y237" s="7"/>
      <c r="Z237" s="7"/>
      <c r="AA237" s="7"/>
      <c r="AB237" s="7"/>
      <c r="AC237" s="7"/>
      <c r="AD237" s="7"/>
      <c r="AE237" s="7"/>
      <c r="AF237" s="7"/>
      <c r="AG237" s="7"/>
      <c r="AH237" s="7"/>
      <c r="AI237" s="7"/>
    </row>
    <row r="238" spans="12:35">
      <c r="L238" s="7">
        <v>14</v>
      </c>
      <c r="M238" s="7">
        <v>63</v>
      </c>
      <c r="N238" s="7" t="b">
        <f>AND($N$5,$N$7,3&lt;=$M$5,12&lt;=$M$7)</f>
        <v>0</v>
      </c>
      <c r="O238" s="7">
        <f>(P14-N14)*(O63-O14)-(Q14-O14)*(N63-N14)</f>
        <v>0</v>
      </c>
      <c r="P238" s="7">
        <f>(P14-N14)*(Q63-O14)-(Q14-O14)*(P63-N14)</f>
        <v>0</v>
      </c>
      <c r="Q238" s="7">
        <f>(P63-N63)*(O14-O63)-(Q63-O63)*(N14-N63)</f>
        <v>0</v>
      </c>
      <c r="R238" s="7">
        <f>(P63-N63)*(Q14-O63)-(Q63-O63)*(P14-N63)</f>
        <v>0</v>
      </c>
      <c r="S238" s="7">
        <f>IF(N238,IF(AND(O238*P238&lt;=0,Q238*R238&lt;=0,MAX(MIN(N14,P14),MIN(N63,P63))&lt;=MIN(MAX(N14,P14),MAX(N63,P63)),MAX(MIN(O14,Q14),MIN(O63,Q63))&lt;=MIN(MAX(O14,Q14),MAX(O63,Q63))),1,0),0)</f>
        <v>0</v>
      </c>
      <c r="T238" s="7"/>
      <c r="U238" s="7"/>
      <c r="V238" s="7"/>
      <c r="W238" s="7"/>
      <c r="X238" s="7"/>
      <c r="Y238" s="7"/>
      <c r="Z238" s="7"/>
      <c r="AA238" s="7"/>
      <c r="AB238" s="7"/>
      <c r="AC238" s="7"/>
      <c r="AD238" s="7"/>
      <c r="AE238" s="7"/>
      <c r="AF238" s="7"/>
      <c r="AG238" s="7"/>
      <c r="AH238" s="7"/>
      <c r="AI238" s="7"/>
    </row>
    <row r="239" spans="12:35">
      <c r="L239" s="7">
        <v>14</v>
      </c>
      <c r="M239" s="7">
        <v>64</v>
      </c>
      <c r="N239" s="7" t="b">
        <f>AND($N$5,$N$7,3&lt;=$M$5,13&lt;=$M$7)</f>
        <v>0</v>
      </c>
      <c r="O239" s="7">
        <f>(P14-N14)*(O64-O14)-(Q14-O14)*(N64-N14)</f>
        <v>0</v>
      </c>
      <c r="P239" s="7">
        <f>(P14-N14)*(Q64-O14)-(Q14-O14)*(P64-N14)</f>
        <v>0</v>
      </c>
      <c r="Q239" s="7">
        <f>(P64-N64)*(O14-O64)-(Q64-O64)*(N14-N64)</f>
        <v>0</v>
      </c>
      <c r="R239" s="7">
        <f>(P64-N64)*(Q14-O64)-(Q64-O64)*(P14-N64)</f>
        <v>0</v>
      </c>
      <c r="S239" s="7">
        <f>IF(N239,IF(AND(O239*P239&lt;=0,Q239*R239&lt;=0,MAX(MIN(N14,P14),MIN(N64,P64))&lt;=MIN(MAX(N14,P14),MAX(N64,P64)),MAX(MIN(O14,Q14),MIN(O64,Q64))&lt;=MIN(MAX(O14,Q14),MAX(O64,Q64))),1,0),0)</f>
        <v>0</v>
      </c>
      <c r="T239" s="7"/>
      <c r="U239" s="7"/>
      <c r="V239" s="7"/>
      <c r="W239" s="7"/>
      <c r="X239" s="7"/>
      <c r="Y239" s="7"/>
      <c r="Z239" s="7"/>
      <c r="AA239" s="7"/>
      <c r="AB239" s="7"/>
      <c r="AC239" s="7"/>
      <c r="AD239" s="7"/>
      <c r="AE239" s="7"/>
      <c r="AF239" s="7"/>
      <c r="AG239" s="7"/>
      <c r="AH239" s="7"/>
      <c r="AI239" s="7"/>
    </row>
    <row r="240" spans="12:35">
      <c r="L240" s="7">
        <v>14</v>
      </c>
      <c r="M240" s="7">
        <v>65</v>
      </c>
      <c r="N240" s="7" t="b">
        <f>AND($N$5,$N$7,3&lt;=$M$5,14&lt;=$M$7)</f>
        <v>0</v>
      </c>
      <c r="O240" s="7">
        <f>(P14-N14)*(O65-O14)-(Q14-O14)*(N65-N14)</f>
        <v>0</v>
      </c>
      <c r="P240" s="7">
        <f>(P14-N14)*(Q65-O14)-(Q14-O14)*(P65-N14)</f>
        <v>0</v>
      </c>
      <c r="Q240" s="7">
        <f>(P65-N65)*(O14-O65)-(Q65-O65)*(N14-N65)</f>
        <v>0</v>
      </c>
      <c r="R240" s="7">
        <f>(P65-N65)*(Q14-O65)-(Q65-O65)*(P14-N65)</f>
        <v>0</v>
      </c>
      <c r="S240" s="7">
        <f>IF(N240,IF(AND(O240*P240&lt;=0,Q240*R240&lt;=0,MAX(MIN(N14,P14),MIN(N65,P65))&lt;=MIN(MAX(N14,P14),MAX(N65,P65)),MAX(MIN(O14,Q14),MIN(O65,Q65))&lt;=MIN(MAX(O14,Q14),MAX(O65,Q65))),1,0),0)</f>
        <v>0</v>
      </c>
      <c r="T240" s="7"/>
      <c r="U240" s="7"/>
      <c r="V240" s="7"/>
      <c r="W240" s="7"/>
      <c r="X240" s="7"/>
      <c r="Y240" s="7"/>
      <c r="Z240" s="7"/>
      <c r="AA240" s="7"/>
      <c r="AB240" s="7"/>
      <c r="AC240" s="7"/>
      <c r="AD240" s="7"/>
      <c r="AE240" s="7"/>
      <c r="AF240" s="7"/>
      <c r="AG240" s="7"/>
      <c r="AH240" s="7"/>
      <c r="AI240" s="7"/>
    </row>
    <row r="241" spans="12:35">
      <c r="L241" s="7">
        <v>14</v>
      </c>
      <c r="M241" s="7">
        <v>66</v>
      </c>
      <c r="N241" s="7" t="b">
        <f>AND($N$5,$N$7,3&lt;=$M$5,15&lt;=$M$7)</f>
        <v>0</v>
      </c>
      <c r="O241" s="7">
        <f>(P14-N14)*(O66-O14)-(Q14-O14)*(N66-N14)</f>
        <v>0</v>
      </c>
      <c r="P241" s="7">
        <f>(P14-N14)*(Q66-O14)-(Q14-O14)*(P66-N14)</f>
        <v>0</v>
      </c>
      <c r="Q241" s="7">
        <f>(P66-N66)*(O14-O66)-(Q66-O66)*(N14-N66)</f>
        <v>0</v>
      </c>
      <c r="R241" s="7">
        <f>(P66-N66)*(Q14-O66)-(Q66-O66)*(P14-N66)</f>
        <v>0</v>
      </c>
      <c r="S241" s="7">
        <f>IF(N241,IF(AND(O241*P241&lt;=0,Q241*R241&lt;=0,MAX(MIN(N14,P14),MIN(N66,P66))&lt;=MIN(MAX(N14,P14),MAX(N66,P66)),MAX(MIN(O14,Q14),MIN(O66,Q66))&lt;=MIN(MAX(O14,Q14),MAX(O66,Q66))),1,0),0)</f>
        <v>0</v>
      </c>
      <c r="T241" s="7"/>
      <c r="U241" s="7"/>
      <c r="V241" s="7"/>
      <c r="W241" s="7"/>
      <c r="X241" s="7"/>
      <c r="Y241" s="7"/>
      <c r="Z241" s="7"/>
      <c r="AA241" s="7"/>
      <c r="AB241" s="7"/>
      <c r="AC241" s="7"/>
      <c r="AD241" s="7"/>
      <c r="AE241" s="7"/>
      <c r="AF241" s="7"/>
      <c r="AG241" s="7"/>
      <c r="AH241" s="7"/>
      <c r="AI241" s="7"/>
    </row>
    <row r="242" spans="12:35">
      <c r="L242" s="7">
        <v>14</v>
      </c>
      <c r="M242" s="7">
        <v>67</v>
      </c>
      <c r="N242" s="7" t="b">
        <f>AND($N$5,$N$7,3&lt;=$M$5,16&lt;=$M$7)</f>
        <v>0</v>
      </c>
      <c r="O242" s="7">
        <f>(P14-N14)*(O67-O14)-(Q14-O14)*(N67-N14)</f>
        <v>0</v>
      </c>
      <c r="P242" s="7">
        <f>(P14-N14)*(Q67-O14)-(Q14-O14)*(P67-N14)</f>
        <v>0</v>
      </c>
      <c r="Q242" s="7">
        <f>(P67-N67)*(O14-O67)-(Q67-O67)*(N14-N67)</f>
        <v>0</v>
      </c>
      <c r="R242" s="7">
        <f>(P67-N67)*(Q14-O67)-(Q67-O67)*(P14-N67)</f>
        <v>0</v>
      </c>
      <c r="S242" s="7">
        <f>IF(N242,IF(AND(O242*P242&lt;=0,Q242*R242&lt;=0,MAX(MIN(N14,P14),MIN(N67,P67))&lt;=MIN(MAX(N14,P14),MAX(N67,P67)),MAX(MIN(O14,Q14),MIN(O67,Q67))&lt;=MIN(MAX(O14,Q14),MAX(O67,Q67))),1,0),0)</f>
        <v>0</v>
      </c>
      <c r="T242" s="7"/>
      <c r="U242" s="7"/>
      <c r="V242" s="7"/>
      <c r="W242" s="7"/>
      <c r="X242" s="7"/>
      <c r="Y242" s="7"/>
      <c r="Z242" s="7"/>
      <c r="AA242" s="7"/>
      <c r="AB242" s="7"/>
      <c r="AC242" s="7"/>
      <c r="AD242" s="7"/>
      <c r="AE242" s="7"/>
      <c r="AF242" s="7"/>
      <c r="AG242" s="7"/>
      <c r="AH242" s="7"/>
      <c r="AI242" s="7"/>
    </row>
    <row r="243" spans="12:35">
      <c r="L243" s="7">
        <v>14</v>
      </c>
      <c r="M243" s="7">
        <v>68</v>
      </c>
      <c r="N243" s="7" t="b">
        <f>AND($N$5,$N$7,3&lt;=$M$5,17&lt;=$M$7)</f>
        <v>0</v>
      </c>
      <c r="O243" s="7">
        <f>(P14-N14)*(O68-O14)-(Q14-O14)*(N68-N14)</f>
        <v>0</v>
      </c>
      <c r="P243" s="7">
        <f>(P14-N14)*(Q68-O14)-(Q14-O14)*(P68-N14)</f>
        <v>0</v>
      </c>
      <c r="Q243" s="7">
        <f>(P68-N68)*(O14-O68)-(Q68-O68)*(N14-N68)</f>
        <v>0</v>
      </c>
      <c r="R243" s="7">
        <f>(P68-N68)*(Q14-O68)-(Q68-O68)*(P14-N68)</f>
        <v>0</v>
      </c>
      <c r="S243" s="7">
        <f>IF(N243,IF(AND(O243*P243&lt;=0,Q243*R243&lt;=0,MAX(MIN(N14,P14),MIN(N68,P68))&lt;=MIN(MAX(N14,P14),MAX(N68,P68)),MAX(MIN(O14,Q14),MIN(O68,Q68))&lt;=MIN(MAX(O14,Q14),MAX(O68,Q68))),1,0),0)</f>
        <v>0</v>
      </c>
      <c r="T243" s="7"/>
      <c r="U243" s="7"/>
      <c r="V243" s="7"/>
      <c r="W243" s="7"/>
      <c r="X243" s="7"/>
      <c r="Y243" s="7"/>
      <c r="Z243" s="7"/>
      <c r="AA243" s="7"/>
      <c r="AB243" s="7"/>
      <c r="AC243" s="7"/>
      <c r="AD243" s="7"/>
      <c r="AE243" s="7"/>
      <c r="AF243" s="7"/>
      <c r="AG243" s="7"/>
      <c r="AH243" s="7"/>
      <c r="AI243" s="7"/>
    </row>
    <row r="244" spans="12:35">
      <c r="L244" s="7">
        <v>14</v>
      </c>
      <c r="M244" s="7">
        <v>69</v>
      </c>
      <c r="N244" s="7" t="b">
        <f>AND($N$5,$N$7,3&lt;=$M$5,18&lt;=$M$7)</f>
        <v>0</v>
      </c>
      <c r="O244" s="7">
        <f>(P14-N14)*(O69-O14)-(Q14-O14)*(N69-N14)</f>
        <v>0</v>
      </c>
      <c r="P244" s="7">
        <f>(P14-N14)*(Q69-O14)-(Q14-O14)*(P69-N14)</f>
        <v>0</v>
      </c>
      <c r="Q244" s="7">
        <f>(P69-N69)*(O14-O69)-(Q69-O69)*(N14-N69)</f>
        <v>0</v>
      </c>
      <c r="R244" s="7">
        <f>(P69-N69)*(Q14-O69)-(Q69-O69)*(P14-N69)</f>
        <v>0</v>
      </c>
      <c r="S244" s="7">
        <f>IF(N244,IF(AND(O244*P244&lt;=0,Q244*R244&lt;=0,MAX(MIN(N14,P14),MIN(N69,P69))&lt;=MIN(MAX(N14,P14),MAX(N69,P69)),MAX(MIN(O14,Q14),MIN(O69,Q69))&lt;=MIN(MAX(O14,Q14),MAX(O69,Q69))),1,0),0)</f>
        <v>0</v>
      </c>
      <c r="T244" s="7"/>
      <c r="U244" s="7"/>
      <c r="V244" s="7"/>
      <c r="W244" s="7"/>
      <c r="X244" s="7"/>
      <c r="Y244" s="7"/>
      <c r="Z244" s="7"/>
      <c r="AA244" s="7"/>
      <c r="AB244" s="7"/>
      <c r="AC244" s="7"/>
      <c r="AD244" s="7"/>
      <c r="AE244" s="7"/>
      <c r="AF244" s="7"/>
      <c r="AG244" s="7"/>
      <c r="AH244" s="7"/>
      <c r="AI244" s="7"/>
    </row>
    <row r="245" spans="12:35">
      <c r="L245" s="7">
        <v>14</v>
      </c>
      <c r="M245" s="7">
        <v>70</v>
      </c>
      <c r="N245" s="7" t="b">
        <f>AND($N$5,$N$7,3&lt;=$M$5,19&lt;=$M$7)</f>
        <v>0</v>
      </c>
      <c r="O245" s="7">
        <f>(P14-N14)*(O70-O14)-(Q14-O14)*(N70-N14)</f>
        <v>0</v>
      </c>
      <c r="P245" s="7">
        <f>(P14-N14)*(Q70-O14)-(Q14-O14)*(P70-N14)</f>
        <v>0</v>
      </c>
      <c r="Q245" s="7">
        <f>(P70-N70)*(O14-O70)-(Q70-O70)*(N14-N70)</f>
        <v>0</v>
      </c>
      <c r="R245" s="7">
        <f>(P70-N70)*(Q14-O70)-(Q70-O70)*(P14-N70)</f>
        <v>0</v>
      </c>
      <c r="S245" s="7">
        <f>IF(N245,IF(AND(O245*P245&lt;=0,Q245*R245&lt;=0,MAX(MIN(N14,P14),MIN(N70,P70))&lt;=MIN(MAX(N14,P14),MAX(N70,P70)),MAX(MIN(O14,Q14),MIN(O70,Q70))&lt;=MIN(MAX(O14,Q14),MAX(O70,Q70))),1,0),0)</f>
        <v>0</v>
      </c>
      <c r="T245" s="7"/>
      <c r="U245" s="7"/>
      <c r="V245" s="7"/>
      <c r="W245" s="7"/>
      <c r="X245" s="7"/>
      <c r="Y245" s="7"/>
      <c r="Z245" s="7"/>
      <c r="AA245" s="7"/>
      <c r="AB245" s="7"/>
      <c r="AC245" s="7"/>
      <c r="AD245" s="7"/>
      <c r="AE245" s="7"/>
      <c r="AF245" s="7"/>
      <c r="AG245" s="7"/>
      <c r="AH245" s="7"/>
      <c r="AI245" s="7"/>
    </row>
    <row r="246" spans="12:35">
      <c r="L246" s="7">
        <v>14</v>
      </c>
      <c r="M246" s="7">
        <v>71</v>
      </c>
      <c r="N246" s="7" t="b">
        <f>AND($N$5,$N$7,3&lt;=$M$5,20&lt;=$M$7)</f>
        <v>0</v>
      </c>
      <c r="O246" s="7">
        <f>(P14-N14)*(O71-O14)-(Q14-O14)*(N71-N14)</f>
        <v>0</v>
      </c>
      <c r="P246" s="7">
        <f>(P14-N14)*(Q71-O14)-(Q14-O14)*(P71-N14)</f>
        <v>0</v>
      </c>
      <c r="Q246" s="7">
        <f>(P71-N71)*(O14-O71)-(Q71-O71)*(N14-N71)</f>
        <v>0</v>
      </c>
      <c r="R246" s="7">
        <f>(P71-N71)*(Q14-O71)-(Q71-O71)*(P14-N71)</f>
        <v>0</v>
      </c>
      <c r="S246" s="7">
        <f>IF(N246,IF(AND(O246*P246&lt;=0,Q246*R246&lt;=0,MAX(MIN(N14,P14),MIN(N71,P71))&lt;=MIN(MAX(N14,P14),MAX(N71,P71)),MAX(MIN(O14,Q14),MIN(O71,Q71))&lt;=MIN(MAX(O14,Q14),MAX(O71,Q71))),1,0),0)</f>
        <v>0</v>
      </c>
      <c r="T246" s="7"/>
      <c r="U246" s="7"/>
      <c r="V246" s="7"/>
      <c r="W246" s="7"/>
      <c r="X246" s="7"/>
      <c r="Y246" s="7"/>
      <c r="Z246" s="7"/>
      <c r="AA246" s="7"/>
      <c r="AB246" s="7"/>
      <c r="AC246" s="7"/>
      <c r="AD246" s="7"/>
      <c r="AE246" s="7"/>
      <c r="AF246" s="7"/>
      <c r="AG246" s="7"/>
      <c r="AH246" s="7"/>
      <c r="AI246" s="7"/>
    </row>
    <row r="247" spans="12:35">
      <c r="L247" s="7">
        <v>15</v>
      </c>
      <c r="M247" s="7">
        <v>17</v>
      </c>
      <c r="N247" s="7" t="b">
        <f>AND($N$5,$N$5,4&lt;=$M$5,6&lt;=$M$5)</f>
        <v>0</v>
      </c>
      <c r="O247" s="7">
        <f>(P15-N15)*(O17-O15)-(Q15-O15)*(N17-N15)</f>
        <v>0</v>
      </c>
      <c r="P247" s="7">
        <f>(P15-N15)*(Q17-O15)-(Q15-O15)*(P17-N15)</f>
        <v>0</v>
      </c>
      <c r="Q247" s="7">
        <f>(P17-N17)*(O15-O17)-(Q17-O17)*(N15-N17)</f>
        <v>0</v>
      </c>
      <c r="R247" s="7">
        <f>(P17-N17)*(Q15-O17)-(Q17-O17)*(P15-N17)</f>
        <v>0</v>
      </c>
      <c r="S247" s="7">
        <f>IF(N247,IF(AND(O247*P247&lt;=0,Q247*R247&lt;=0,MAX(MIN(N15,P15),MIN(N17,P17))&lt;=MIN(MAX(N15,P15),MAX(N17,P17)),MAX(MIN(O15,Q15),MIN(O17,Q17))&lt;=MIN(MAX(O15,Q15),MAX(O17,Q17))),1,0),0)</f>
        <v>0</v>
      </c>
      <c r="T247" s="7"/>
      <c r="U247" s="7"/>
      <c r="V247" s="7"/>
      <c r="W247" s="7"/>
      <c r="X247" s="7"/>
      <c r="Y247" s="7"/>
      <c r="Z247" s="7"/>
      <c r="AA247" s="7"/>
      <c r="AB247" s="7"/>
      <c r="AC247" s="7"/>
      <c r="AD247" s="7"/>
      <c r="AE247" s="7"/>
      <c r="AF247" s="7"/>
      <c r="AG247" s="7"/>
      <c r="AH247" s="7"/>
      <c r="AI247" s="7"/>
    </row>
    <row r="248" spans="12:35">
      <c r="L248" s="7">
        <v>15</v>
      </c>
      <c r="M248" s="7">
        <v>18</v>
      </c>
      <c r="N248" s="7" t="b">
        <f>AND($N$5,$N$5,4&lt;=$M$5,7&lt;=$M$5)</f>
        <v>0</v>
      </c>
      <c r="O248" s="7">
        <f>(P15-N15)*(O18-O15)-(Q15-O15)*(N18-N15)</f>
        <v>0</v>
      </c>
      <c r="P248" s="7">
        <f>(P15-N15)*(Q18-O15)-(Q15-O15)*(P18-N15)</f>
        <v>0</v>
      </c>
      <c r="Q248" s="7">
        <f>(P18-N18)*(O15-O18)-(Q18-O18)*(N15-N18)</f>
        <v>0</v>
      </c>
      <c r="R248" s="7">
        <f>(P18-N18)*(Q15-O18)-(Q18-O18)*(P15-N18)</f>
        <v>0</v>
      </c>
      <c r="S248" s="7">
        <f>IF(N248,IF(AND(O248*P248&lt;=0,Q248*R248&lt;=0,MAX(MIN(N15,P15),MIN(N18,P18))&lt;=MIN(MAX(N15,P15),MAX(N18,P18)),MAX(MIN(O15,Q15),MIN(O18,Q18))&lt;=MIN(MAX(O15,Q15),MAX(O18,Q18))),1,0),0)</f>
        <v>0</v>
      </c>
      <c r="T248" s="7"/>
      <c r="U248" s="7"/>
      <c r="V248" s="7"/>
      <c r="W248" s="7"/>
      <c r="X248" s="7"/>
      <c r="Y248" s="7"/>
      <c r="Z248" s="7"/>
      <c r="AA248" s="7"/>
      <c r="AB248" s="7"/>
      <c r="AC248" s="7"/>
      <c r="AD248" s="7"/>
      <c r="AE248" s="7"/>
      <c r="AF248" s="7"/>
      <c r="AG248" s="7"/>
      <c r="AH248" s="7"/>
      <c r="AI248" s="7"/>
    </row>
    <row r="249" spans="12:35">
      <c r="L249" s="7">
        <v>15</v>
      </c>
      <c r="M249" s="7">
        <v>19</v>
      </c>
      <c r="N249" s="7" t="b">
        <f>AND($N$5,$N$5,4&lt;=$M$5,8&lt;=$M$5)</f>
        <v>0</v>
      </c>
      <c r="O249" s="7">
        <f>(P15-N15)*(O19-O15)-(Q15-O15)*(N19-N15)</f>
        <v>0</v>
      </c>
      <c r="P249" s="7">
        <f>(P15-N15)*(Q19-O15)-(Q15-O15)*(P19-N15)</f>
        <v>0</v>
      </c>
      <c r="Q249" s="7">
        <f>(P19-N19)*(O15-O19)-(Q19-O19)*(N15-N19)</f>
        <v>0</v>
      </c>
      <c r="R249" s="7">
        <f>(P19-N19)*(Q15-O19)-(Q19-O19)*(P15-N19)</f>
        <v>0</v>
      </c>
      <c r="S249" s="7">
        <f>IF(N249,IF(AND(O249*P249&lt;=0,Q249*R249&lt;=0,MAX(MIN(N15,P15),MIN(N19,P19))&lt;=MIN(MAX(N15,P15),MAX(N19,P19)),MAX(MIN(O15,Q15),MIN(O19,Q19))&lt;=MIN(MAX(O15,Q15),MAX(O19,Q19))),1,0),0)</f>
        <v>0</v>
      </c>
      <c r="T249" s="7"/>
      <c r="U249" s="7"/>
      <c r="V249" s="7"/>
      <c r="W249" s="7"/>
      <c r="X249" s="7"/>
      <c r="Y249" s="7"/>
      <c r="Z249" s="7"/>
      <c r="AA249" s="7"/>
      <c r="AB249" s="7"/>
      <c r="AC249" s="7"/>
      <c r="AD249" s="7"/>
      <c r="AE249" s="7"/>
      <c r="AF249" s="7"/>
      <c r="AG249" s="7"/>
      <c r="AH249" s="7"/>
      <c r="AI249" s="7"/>
    </row>
    <row r="250" spans="12:35">
      <c r="L250" s="7">
        <v>15</v>
      </c>
      <c r="M250" s="7">
        <v>20</v>
      </c>
      <c r="N250" s="7" t="b">
        <f>AND($N$5,$N$5,4&lt;=$M$5,9&lt;=$M$5)</f>
        <v>0</v>
      </c>
      <c r="O250" s="7">
        <f>(P15-N15)*(O20-O15)-(Q15-O15)*(N20-N15)</f>
        <v>0</v>
      </c>
      <c r="P250" s="7">
        <f>(P15-N15)*(Q20-O15)-(Q15-O15)*(P20-N15)</f>
        <v>0</v>
      </c>
      <c r="Q250" s="7">
        <f>(P20-N20)*(O15-O20)-(Q20-O20)*(N15-N20)</f>
        <v>0</v>
      </c>
      <c r="R250" s="7">
        <f>(P20-N20)*(Q15-O20)-(Q20-O20)*(P15-N20)</f>
        <v>0</v>
      </c>
      <c r="S250" s="7">
        <f>IF(N250,IF(AND(O250*P250&lt;=0,Q250*R250&lt;=0,MAX(MIN(N15,P15),MIN(N20,P20))&lt;=MIN(MAX(N15,P15),MAX(N20,P20)),MAX(MIN(O15,Q15),MIN(O20,Q20))&lt;=MIN(MAX(O15,Q15),MAX(O20,Q20))),1,0),0)</f>
        <v>0</v>
      </c>
      <c r="T250" s="7"/>
      <c r="U250" s="7"/>
      <c r="V250" s="7"/>
      <c r="W250" s="7"/>
      <c r="X250" s="7"/>
      <c r="Y250" s="7"/>
      <c r="Z250" s="7"/>
      <c r="AA250" s="7"/>
      <c r="AB250" s="7"/>
      <c r="AC250" s="7"/>
      <c r="AD250" s="7"/>
      <c r="AE250" s="7"/>
      <c r="AF250" s="7"/>
      <c r="AG250" s="7"/>
      <c r="AH250" s="7"/>
      <c r="AI250" s="7"/>
    </row>
    <row r="251" spans="12:35">
      <c r="L251" s="7">
        <v>15</v>
      </c>
      <c r="M251" s="7">
        <v>21</v>
      </c>
      <c r="N251" s="7" t="b">
        <f>AND($N$5,$N$5,4&lt;=$M$5,10&lt;=$M$5)</f>
        <v>0</v>
      </c>
      <c r="O251" s="7">
        <f>(P15-N15)*(O21-O15)-(Q15-O15)*(N21-N15)</f>
        <v>0</v>
      </c>
      <c r="P251" s="7">
        <f>(P15-N15)*(Q21-O15)-(Q15-O15)*(P21-N15)</f>
        <v>0</v>
      </c>
      <c r="Q251" s="7">
        <f>(P21-N21)*(O15-O21)-(Q21-O21)*(N15-N21)</f>
        <v>0</v>
      </c>
      <c r="R251" s="7">
        <f>(P21-N21)*(Q15-O21)-(Q21-O21)*(P15-N21)</f>
        <v>0</v>
      </c>
      <c r="S251" s="7">
        <f>IF(N251,IF(AND(O251*P251&lt;=0,Q251*R251&lt;=0,MAX(MIN(N15,P15),MIN(N21,P21))&lt;=MIN(MAX(N15,P15),MAX(N21,P21)),MAX(MIN(O15,Q15),MIN(O21,Q21))&lt;=MIN(MAX(O15,Q15),MAX(O21,Q21))),1,0),0)</f>
        <v>0</v>
      </c>
      <c r="T251" s="7"/>
      <c r="U251" s="7"/>
      <c r="V251" s="7"/>
      <c r="W251" s="7"/>
      <c r="X251" s="7"/>
      <c r="Y251" s="7"/>
      <c r="Z251" s="7"/>
      <c r="AA251" s="7"/>
      <c r="AB251" s="7"/>
      <c r="AC251" s="7"/>
      <c r="AD251" s="7"/>
      <c r="AE251" s="7"/>
      <c r="AF251" s="7"/>
      <c r="AG251" s="7"/>
      <c r="AH251" s="7"/>
      <c r="AI251" s="7"/>
    </row>
    <row r="252" spans="12:35">
      <c r="L252" s="7">
        <v>15</v>
      </c>
      <c r="M252" s="7">
        <v>22</v>
      </c>
      <c r="N252" s="7" t="b">
        <f>AND($N$5,$N$5,4&lt;=$M$5,11&lt;=$M$5)</f>
        <v>0</v>
      </c>
      <c r="O252" s="7">
        <f>(P15-N15)*(O22-O15)-(Q15-O15)*(N22-N15)</f>
        <v>0</v>
      </c>
      <c r="P252" s="7">
        <f>(P15-N15)*(Q22-O15)-(Q15-O15)*(P22-N15)</f>
        <v>0</v>
      </c>
      <c r="Q252" s="7">
        <f>(P22-N22)*(O15-O22)-(Q22-O22)*(N15-N22)</f>
        <v>0</v>
      </c>
      <c r="R252" s="7">
        <f>(P22-N22)*(Q15-O22)-(Q22-O22)*(P15-N22)</f>
        <v>0</v>
      </c>
      <c r="S252" s="7">
        <f>IF(N252,IF(AND(O252*P252&lt;=0,Q252*R252&lt;=0,MAX(MIN(N15,P15),MIN(N22,P22))&lt;=MIN(MAX(N15,P15),MAX(N22,P22)),MAX(MIN(O15,Q15),MIN(O22,Q22))&lt;=MIN(MAX(O15,Q15),MAX(O22,Q22))),1,0),0)</f>
        <v>0</v>
      </c>
      <c r="T252" s="7"/>
      <c r="U252" s="7"/>
      <c r="V252" s="7"/>
      <c r="W252" s="7"/>
      <c r="X252" s="7"/>
      <c r="Y252" s="7"/>
      <c r="Z252" s="7"/>
      <c r="AA252" s="7"/>
      <c r="AB252" s="7"/>
      <c r="AC252" s="7"/>
      <c r="AD252" s="7"/>
      <c r="AE252" s="7"/>
      <c r="AF252" s="7"/>
      <c r="AG252" s="7"/>
      <c r="AH252" s="7"/>
      <c r="AI252" s="7"/>
    </row>
    <row r="253" spans="12:35">
      <c r="L253" s="7">
        <v>15</v>
      </c>
      <c r="M253" s="7">
        <v>23</v>
      </c>
      <c r="N253" s="7" t="b">
        <f>AND($N$5,$N$5,4&lt;=$M$5,12&lt;=$M$5)</f>
        <v>0</v>
      </c>
      <c r="O253" s="7">
        <f>(P15-N15)*(O23-O15)-(Q15-O15)*(N23-N15)</f>
        <v>0</v>
      </c>
      <c r="P253" s="7">
        <f>(P15-N15)*(Q23-O15)-(Q15-O15)*(P23-N15)</f>
        <v>0</v>
      </c>
      <c r="Q253" s="7">
        <f>(P23-N23)*(O15-O23)-(Q23-O23)*(N15-N23)</f>
        <v>0</v>
      </c>
      <c r="R253" s="7">
        <f>(P23-N23)*(Q15-O23)-(Q23-O23)*(P15-N23)</f>
        <v>0</v>
      </c>
      <c r="S253" s="7">
        <f>IF(N253,IF(AND(O253*P253&lt;=0,Q253*R253&lt;=0,MAX(MIN(N15,P15),MIN(N23,P23))&lt;=MIN(MAX(N15,P15),MAX(N23,P23)),MAX(MIN(O15,Q15),MIN(O23,Q23))&lt;=MIN(MAX(O15,Q15),MAX(O23,Q23))),1,0),0)</f>
        <v>0</v>
      </c>
      <c r="T253" s="7"/>
      <c r="U253" s="7"/>
      <c r="V253" s="7"/>
      <c r="W253" s="7"/>
      <c r="X253" s="7"/>
      <c r="Y253" s="7"/>
      <c r="Z253" s="7"/>
      <c r="AA253" s="7"/>
      <c r="AB253" s="7"/>
      <c r="AC253" s="7"/>
      <c r="AD253" s="7"/>
      <c r="AE253" s="7"/>
      <c r="AF253" s="7"/>
      <c r="AG253" s="7"/>
      <c r="AH253" s="7"/>
      <c r="AI253" s="7"/>
    </row>
    <row r="254" spans="12:35">
      <c r="L254" s="7">
        <v>15</v>
      </c>
      <c r="M254" s="7">
        <v>24</v>
      </c>
      <c r="N254" s="7" t="b">
        <f>AND($N$5,$N$5,4&lt;=$M$5,13&lt;=$M$5)</f>
        <v>0</v>
      </c>
      <c r="O254" s="7">
        <f>(P15-N15)*(O24-O15)-(Q15-O15)*(N24-N15)</f>
        <v>0</v>
      </c>
      <c r="P254" s="7">
        <f>(P15-N15)*(Q24-O15)-(Q15-O15)*(P24-N15)</f>
        <v>0</v>
      </c>
      <c r="Q254" s="7">
        <f>(P24-N24)*(O15-O24)-(Q24-O24)*(N15-N24)</f>
        <v>0</v>
      </c>
      <c r="R254" s="7">
        <f>(P24-N24)*(Q15-O24)-(Q24-O24)*(P15-N24)</f>
        <v>0</v>
      </c>
      <c r="S254" s="7">
        <f>IF(N254,IF(AND(O254*P254&lt;=0,Q254*R254&lt;=0,MAX(MIN(N15,P15),MIN(N24,P24))&lt;=MIN(MAX(N15,P15),MAX(N24,P24)),MAX(MIN(O15,Q15),MIN(O24,Q24))&lt;=MIN(MAX(O15,Q15),MAX(O24,Q24))),1,0),0)</f>
        <v>0</v>
      </c>
      <c r="T254" s="7"/>
      <c r="U254" s="7"/>
      <c r="V254" s="7"/>
      <c r="W254" s="7"/>
      <c r="X254" s="7"/>
      <c r="Y254" s="7"/>
      <c r="Z254" s="7"/>
      <c r="AA254" s="7"/>
      <c r="AB254" s="7"/>
      <c r="AC254" s="7"/>
      <c r="AD254" s="7"/>
      <c r="AE254" s="7"/>
      <c r="AF254" s="7"/>
      <c r="AG254" s="7"/>
      <c r="AH254" s="7"/>
      <c r="AI254" s="7"/>
    </row>
    <row r="255" spans="12:35">
      <c r="L255" s="7">
        <v>15</v>
      </c>
      <c r="M255" s="7">
        <v>25</v>
      </c>
      <c r="N255" s="7" t="b">
        <f>AND($N$5,$N$5,4&lt;=$M$5,14&lt;=$M$5)</f>
        <v>0</v>
      </c>
      <c r="O255" s="7">
        <f>(P15-N15)*(O25-O15)-(Q15-O15)*(N25-N15)</f>
        <v>0</v>
      </c>
      <c r="P255" s="7">
        <f>(P15-N15)*(Q25-O15)-(Q15-O15)*(P25-N15)</f>
        <v>0</v>
      </c>
      <c r="Q255" s="7">
        <f>(P25-N25)*(O15-O25)-(Q25-O25)*(N15-N25)</f>
        <v>0</v>
      </c>
      <c r="R255" s="7">
        <f>(P25-N25)*(Q15-O25)-(Q25-O25)*(P15-N25)</f>
        <v>0</v>
      </c>
      <c r="S255" s="7">
        <f>IF(N255,IF(AND(O255*P255&lt;=0,Q255*R255&lt;=0,MAX(MIN(N15,P15),MIN(N25,P25))&lt;=MIN(MAX(N15,P15),MAX(N25,P25)),MAX(MIN(O15,Q15),MIN(O25,Q25))&lt;=MIN(MAX(O15,Q15),MAX(O25,Q25))),1,0),0)</f>
        <v>0</v>
      </c>
      <c r="T255" s="7"/>
      <c r="U255" s="7"/>
      <c r="V255" s="7"/>
      <c r="W255" s="7"/>
      <c r="X255" s="7"/>
      <c r="Y255" s="7"/>
      <c r="Z255" s="7"/>
      <c r="AA255" s="7"/>
      <c r="AB255" s="7"/>
      <c r="AC255" s="7"/>
      <c r="AD255" s="7"/>
      <c r="AE255" s="7"/>
      <c r="AF255" s="7"/>
      <c r="AG255" s="7"/>
      <c r="AH255" s="7"/>
      <c r="AI255" s="7"/>
    </row>
    <row r="256" spans="12:35">
      <c r="L256" s="7">
        <v>15</v>
      </c>
      <c r="M256" s="7">
        <v>26</v>
      </c>
      <c r="N256" s="7" t="b">
        <f>AND($N$5,$N$5,4&lt;=$M$5,15&lt;=$M$5)</f>
        <v>0</v>
      </c>
      <c r="O256" s="7">
        <f>(P15-N15)*(O26-O15)-(Q15-O15)*(N26-N15)</f>
        <v>0</v>
      </c>
      <c r="P256" s="7">
        <f>(P15-N15)*(Q26-O15)-(Q15-O15)*(P26-N15)</f>
        <v>0</v>
      </c>
      <c r="Q256" s="7">
        <f>(P26-N26)*(O15-O26)-(Q26-O26)*(N15-N26)</f>
        <v>0</v>
      </c>
      <c r="R256" s="7">
        <f>(P26-N26)*(Q15-O26)-(Q26-O26)*(P15-N26)</f>
        <v>0</v>
      </c>
      <c r="S256" s="7">
        <f>IF(N256,IF(AND(O256*P256&lt;=0,Q256*R256&lt;=0,MAX(MIN(N15,P15),MIN(N26,P26))&lt;=MIN(MAX(N15,P15),MAX(N26,P26)),MAX(MIN(O15,Q15),MIN(O26,Q26))&lt;=MIN(MAX(O15,Q15),MAX(O26,Q26))),1,0),0)</f>
        <v>0</v>
      </c>
      <c r="T256" s="7"/>
      <c r="U256" s="7"/>
      <c r="V256" s="7"/>
      <c r="W256" s="7"/>
      <c r="X256" s="7"/>
      <c r="Y256" s="7"/>
      <c r="Z256" s="7"/>
      <c r="AA256" s="7"/>
      <c r="AB256" s="7"/>
      <c r="AC256" s="7"/>
      <c r="AD256" s="7"/>
      <c r="AE256" s="7"/>
      <c r="AF256" s="7"/>
      <c r="AG256" s="7"/>
      <c r="AH256" s="7"/>
      <c r="AI256" s="7"/>
    </row>
    <row r="257" spans="12:35">
      <c r="L257" s="7">
        <v>15</v>
      </c>
      <c r="M257" s="7">
        <v>27</v>
      </c>
      <c r="N257" s="7" t="b">
        <f>AND($N$5,$N$5,4&lt;=$M$5,16&lt;=$M$5)</f>
        <v>0</v>
      </c>
      <c r="O257" s="7">
        <f>(P15-N15)*(O27-O15)-(Q15-O15)*(N27-N15)</f>
        <v>0</v>
      </c>
      <c r="P257" s="7">
        <f>(P15-N15)*(Q27-O15)-(Q15-O15)*(P27-N15)</f>
        <v>0</v>
      </c>
      <c r="Q257" s="7">
        <f>(P27-N27)*(O15-O27)-(Q27-O27)*(N15-N27)</f>
        <v>0</v>
      </c>
      <c r="R257" s="7">
        <f>(P27-N27)*(Q15-O27)-(Q27-O27)*(P15-N27)</f>
        <v>0</v>
      </c>
      <c r="S257" s="7">
        <f>IF(N257,IF(AND(O257*P257&lt;=0,Q257*R257&lt;=0,MAX(MIN(N15,P15),MIN(N27,P27))&lt;=MIN(MAX(N15,P15),MAX(N27,P27)),MAX(MIN(O15,Q15),MIN(O27,Q27))&lt;=MIN(MAX(O15,Q15),MAX(O27,Q27))),1,0),0)</f>
        <v>0</v>
      </c>
      <c r="T257" s="7"/>
      <c r="U257" s="7"/>
      <c r="V257" s="7"/>
      <c r="W257" s="7"/>
      <c r="X257" s="7"/>
      <c r="Y257" s="7"/>
      <c r="Z257" s="7"/>
      <c r="AA257" s="7"/>
      <c r="AB257" s="7"/>
      <c r="AC257" s="7"/>
      <c r="AD257" s="7"/>
      <c r="AE257" s="7"/>
      <c r="AF257" s="7"/>
      <c r="AG257" s="7"/>
      <c r="AH257" s="7"/>
      <c r="AI257" s="7"/>
    </row>
    <row r="258" spans="12:35">
      <c r="L258" s="7">
        <v>15</v>
      </c>
      <c r="M258" s="7">
        <v>28</v>
      </c>
      <c r="N258" s="7" t="b">
        <f>AND($N$5,$N$5,4&lt;=$M$5,17&lt;=$M$5)</f>
        <v>0</v>
      </c>
      <c r="O258" s="7">
        <f>(P15-N15)*(O28-O15)-(Q15-O15)*(N28-N15)</f>
        <v>0</v>
      </c>
      <c r="P258" s="7">
        <f>(P15-N15)*(Q28-O15)-(Q15-O15)*(P28-N15)</f>
        <v>0</v>
      </c>
      <c r="Q258" s="7">
        <f>(P28-N28)*(O15-O28)-(Q28-O28)*(N15-N28)</f>
        <v>0</v>
      </c>
      <c r="R258" s="7">
        <f>(P28-N28)*(Q15-O28)-(Q28-O28)*(P15-N28)</f>
        <v>0</v>
      </c>
      <c r="S258" s="7">
        <f>IF(N258,IF(AND(O258*P258&lt;=0,Q258*R258&lt;=0,MAX(MIN(N15,P15),MIN(N28,P28))&lt;=MIN(MAX(N15,P15),MAX(N28,P28)),MAX(MIN(O15,Q15),MIN(O28,Q28))&lt;=MIN(MAX(O15,Q15),MAX(O28,Q28))),1,0),0)</f>
        <v>0</v>
      </c>
      <c r="T258" s="7"/>
      <c r="U258" s="7"/>
      <c r="V258" s="7"/>
      <c r="W258" s="7"/>
      <c r="X258" s="7"/>
      <c r="Y258" s="7"/>
      <c r="Z258" s="7"/>
      <c r="AA258" s="7"/>
      <c r="AB258" s="7"/>
      <c r="AC258" s="7"/>
      <c r="AD258" s="7"/>
      <c r="AE258" s="7"/>
      <c r="AF258" s="7"/>
      <c r="AG258" s="7"/>
      <c r="AH258" s="7"/>
      <c r="AI258" s="7"/>
    </row>
    <row r="259" spans="12:35">
      <c r="L259" s="7">
        <v>15</v>
      </c>
      <c r="M259" s="7">
        <v>29</v>
      </c>
      <c r="N259" s="7" t="b">
        <f>AND($N$5,$N$5,4&lt;=$M$5,18&lt;=$M$5)</f>
        <v>0</v>
      </c>
      <c r="O259" s="7">
        <f>(P15-N15)*(O29-O15)-(Q15-O15)*(N29-N15)</f>
        <v>0</v>
      </c>
      <c r="P259" s="7">
        <f>(P15-N15)*(Q29-O15)-(Q15-O15)*(P29-N15)</f>
        <v>0</v>
      </c>
      <c r="Q259" s="7">
        <f>(P29-N29)*(O15-O29)-(Q29-O29)*(N15-N29)</f>
        <v>0</v>
      </c>
      <c r="R259" s="7">
        <f>(P29-N29)*(Q15-O29)-(Q29-O29)*(P15-N29)</f>
        <v>0</v>
      </c>
      <c r="S259" s="7">
        <f>IF(N259,IF(AND(O259*P259&lt;=0,Q259*R259&lt;=0,MAX(MIN(N15,P15),MIN(N29,P29))&lt;=MIN(MAX(N15,P15),MAX(N29,P29)),MAX(MIN(O15,Q15),MIN(O29,Q29))&lt;=MIN(MAX(O15,Q15),MAX(O29,Q29))),1,0),0)</f>
        <v>0</v>
      </c>
      <c r="T259" s="7"/>
      <c r="U259" s="7"/>
      <c r="V259" s="7"/>
      <c r="W259" s="7"/>
      <c r="X259" s="7"/>
      <c r="Y259" s="7"/>
      <c r="Z259" s="7"/>
      <c r="AA259" s="7"/>
      <c r="AB259" s="7"/>
      <c r="AC259" s="7"/>
      <c r="AD259" s="7"/>
      <c r="AE259" s="7"/>
      <c r="AF259" s="7"/>
      <c r="AG259" s="7"/>
      <c r="AH259" s="7"/>
      <c r="AI259" s="7"/>
    </row>
    <row r="260" spans="12:35">
      <c r="L260" s="7">
        <v>15</v>
      </c>
      <c r="M260" s="7">
        <v>30</v>
      </c>
      <c r="N260" s="7" t="b">
        <f>AND($N$5,$N$5,4&lt;=$M$5,19&lt;=$M$5)</f>
        <v>0</v>
      </c>
      <c r="O260" s="7">
        <f>(P15-N15)*(O30-O15)-(Q15-O15)*(N30-N15)</f>
        <v>0</v>
      </c>
      <c r="P260" s="7">
        <f>(P15-N15)*(Q30-O15)-(Q15-O15)*(P30-N15)</f>
        <v>0</v>
      </c>
      <c r="Q260" s="7">
        <f>(P30-N30)*(O15-O30)-(Q30-O30)*(N15-N30)</f>
        <v>0</v>
      </c>
      <c r="R260" s="7">
        <f>(P30-N30)*(Q15-O30)-(Q30-O30)*(P15-N30)</f>
        <v>0</v>
      </c>
      <c r="S260" s="7">
        <f>IF(N260,IF(AND(O260*P260&lt;=0,Q260*R260&lt;=0,MAX(MIN(N15,P15),MIN(N30,P30))&lt;=MIN(MAX(N15,P15),MAX(N30,P30)),MAX(MIN(O15,Q15),MIN(O30,Q30))&lt;=MIN(MAX(O15,Q15),MAX(O30,Q30))),1,0),0)</f>
        <v>0</v>
      </c>
      <c r="T260" s="7"/>
      <c r="U260" s="7"/>
      <c r="V260" s="7"/>
      <c r="W260" s="7"/>
      <c r="X260" s="7"/>
      <c r="Y260" s="7"/>
      <c r="Z260" s="7"/>
      <c r="AA260" s="7"/>
      <c r="AB260" s="7"/>
      <c r="AC260" s="7"/>
      <c r="AD260" s="7"/>
      <c r="AE260" s="7"/>
      <c r="AF260" s="7"/>
      <c r="AG260" s="7"/>
      <c r="AH260" s="7"/>
      <c r="AI260" s="7"/>
    </row>
    <row r="261" spans="12:35">
      <c r="L261" s="7">
        <v>15</v>
      </c>
      <c r="M261" s="7">
        <v>31</v>
      </c>
      <c r="N261" s="7" t="b">
        <f>AND($N$5,$N$5,4&lt;=$M$5,20&lt;=$M$5)</f>
        <v>0</v>
      </c>
      <c r="O261" s="7">
        <f>(P15-N15)*(O31-O15)-(Q15-O15)*(N31-N15)</f>
        <v>0</v>
      </c>
      <c r="P261" s="7">
        <f>(P15-N15)*(Q31-O15)-(Q15-O15)*(P31-N15)</f>
        <v>0</v>
      </c>
      <c r="Q261" s="7">
        <f>(P31-N31)*(O15-O31)-(Q31-O31)*(N15-N31)</f>
        <v>0</v>
      </c>
      <c r="R261" s="7">
        <f>(P31-N31)*(Q15-O31)-(Q31-O31)*(P15-N31)</f>
        <v>0</v>
      </c>
      <c r="S261" s="7">
        <f>IF(N261,IF(AND(O261*P261&lt;=0,Q261*R261&lt;=0,MAX(MIN(N15,P15),MIN(N31,P31))&lt;=MIN(MAX(N15,P15),MAX(N31,P31)),MAX(MIN(O15,Q15),MIN(O31,Q31))&lt;=MIN(MAX(O15,Q15),MAX(O31,Q31))),1,0),0)</f>
        <v>0</v>
      </c>
      <c r="T261" s="7"/>
      <c r="U261" s="7"/>
      <c r="V261" s="7"/>
      <c r="W261" s="7"/>
      <c r="X261" s="7"/>
      <c r="Y261" s="7"/>
      <c r="Z261" s="7"/>
      <c r="AA261" s="7"/>
      <c r="AB261" s="7"/>
      <c r="AC261" s="7"/>
      <c r="AD261" s="7"/>
      <c r="AE261" s="7"/>
      <c r="AF261" s="7"/>
      <c r="AG261" s="7"/>
      <c r="AH261" s="7"/>
      <c r="AI261" s="7"/>
    </row>
    <row r="262" spans="12:35">
      <c r="L262" s="7">
        <v>15</v>
      </c>
      <c r="M262" s="7">
        <v>32</v>
      </c>
      <c r="N262" s="7" t="b">
        <f>AND($N$5,$N$6,4&lt;=$M$5,1&lt;=$M$6)</f>
        <v>0</v>
      </c>
      <c r="O262" s="7">
        <f>(P15-N15)*(O32-O15)-(Q15-O15)*(N32-N15)</f>
        <v>0</v>
      </c>
      <c r="P262" s="7">
        <f>(P15-N15)*(Q32-O15)-(Q15-O15)*(P32-N15)</f>
        <v>0</v>
      </c>
      <c r="Q262" s="7">
        <f>(P32-N32)*(O15-O32)-(Q32-O32)*(N15-N32)</f>
        <v>0</v>
      </c>
      <c r="R262" s="7">
        <f>(P32-N32)*(Q15-O32)-(Q32-O32)*(P15-N32)</f>
        <v>0</v>
      </c>
      <c r="S262" s="7">
        <f>IF(N262,IF(AND(O262*P262&lt;=0,Q262*R262&lt;=0,MAX(MIN(N15,P15),MIN(N32,P32))&lt;=MIN(MAX(N15,P15),MAX(N32,P32)),MAX(MIN(O15,Q15),MIN(O32,Q32))&lt;=MIN(MAX(O15,Q15),MAX(O32,Q32))),1,0),0)</f>
        <v>0</v>
      </c>
      <c r="T262" s="7"/>
      <c r="U262" s="7"/>
      <c r="V262" s="7"/>
      <c r="W262" s="7"/>
      <c r="X262" s="7"/>
      <c r="Y262" s="7"/>
      <c r="Z262" s="7"/>
      <c r="AA262" s="7"/>
      <c r="AB262" s="7"/>
      <c r="AC262" s="7"/>
      <c r="AD262" s="7"/>
      <c r="AE262" s="7"/>
      <c r="AF262" s="7"/>
      <c r="AG262" s="7"/>
      <c r="AH262" s="7"/>
      <c r="AI262" s="7"/>
    </row>
    <row r="263" spans="12:35">
      <c r="L263" s="7">
        <v>15</v>
      </c>
      <c r="M263" s="7">
        <v>33</v>
      </c>
      <c r="N263" s="7" t="b">
        <f>AND($N$5,$N$6,4&lt;=$M$5,2&lt;=$M$6)</f>
        <v>0</v>
      </c>
      <c r="O263" s="7">
        <f>(P15-N15)*(O33-O15)-(Q15-O15)*(N33-N15)</f>
        <v>0</v>
      </c>
      <c r="P263" s="7">
        <f>(P15-N15)*(Q33-O15)-(Q15-O15)*(P33-N15)</f>
        <v>0</v>
      </c>
      <c r="Q263" s="7">
        <f>(P33-N33)*(O15-O33)-(Q33-O33)*(N15-N33)</f>
        <v>0</v>
      </c>
      <c r="R263" s="7">
        <f>(P33-N33)*(Q15-O33)-(Q33-O33)*(P15-N33)</f>
        <v>0</v>
      </c>
      <c r="S263" s="7">
        <f>IF(N263,IF(AND(O263*P263&lt;=0,Q263*R263&lt;=0,MAX(MIN(N15,P15),MIN(N33,P33))&lt;=MIN(MAX(N15,P15),MAX(N33,P33)),MAX(MIN(O15,Q15),MIN(O33,Q33))&lt;=MIN(MAX(O15,Q15),MAX(O33,Q33))),1,0),0)</f>
        <v>0</v>
      </c>
      <c r="T263" s="7"/>
      <c r="U263" s="7"/>
      <c r="V263" s="7"/>
      <c r="W263" s="7"/>
      <c r="X263" s="7"/>
      <c r="Y263" s="7"/>
      <c r="Z263" s="7"/>
      <c r="AA263" s="7"/>
      <c r="AB263" s="7"/>
      <c r="AC263" s="7"/>
      <c r="AD263" s="7"/>
      <c r="AE263" s="7"/>
      <c r="AF263" s="7"/>
      <c r="AG263" s="7"/>
      <c r="AH263" s="7"/>
      <c r="AI263" s="7"/>
    </row>
    <row r="264" spans="12:35">
      <c r="L264" s="7">
        <v>15</v>
      </c>
      <c r="M264" s="7">
        <v>34</v>
      </c>
      <c r="N264" s="7" t="b">
        <f>AND($N$5,$N$6,4&lt;=$M$5,3&lt;=$M$6)</f>
        <v>0</v>
      </c>
      <c r="O264" s="7">
        <f>(P15-N15)*(O34-O15)-(Q15-O15)*(N34-N15)</f>
        <v>0</v>
      </c>
      <c r="P264" s="7">
        <f>(P15-N15)*(Q34-O15)-(Q15-O15)*(P34-N15)</f>
        <v>0</v>
      </c>
      <c r="Q264" s="7">
        <f>(P34-N34)*(O15-O34)-(Q34-O34)*(N15-N34)</f>
        <v>0</v>
      </c>
      <c r="R264" s="7">
        <f>(P34-N34)*(Q15-O34)-(Q34-O34)*(P15-N34)</f>
        <v>0</v>
      </c>
      <c r="S264" s="7">
        <f>IF(N264,IF(AND(O264*P264&lt;=0,Q264*R264&lt;=0,MAX(MIN(N15,P15),MIN(N34,P34))&lt;=MIN(MAX(N15,P15),MAX(N34,P34)),MAX(MIN(O15,Q15),MIN(O34,Q34))&lt;=MIN(MAX(O15,Q15),MAX(O34,Q34))),1,0),0)</f>
        <v>0</v>
      </c>
      <c r="T264" s="7"/>
      <c r="U264" s="7"/>
      <c r="V264" s="7"/>
      <c r="W264" s="7"/>
      <c r="X264" s="7"/>
      <c r="Y264" s="7"/>
      <c r="Z264" s="7"/>
      <c r="AA264" s="7"/>
      <c r="AB264" s="7"/>
      <c r="AC264" s="7"/>
      <c r="AD264" s="7"/>
      <c r="AE264" s="7"/>
      <c r="AF264" s="7"/>
      <c r="AG264" s="7"/>
      <c r="AH264" s="7"/>
      <c r="AI264" s="7"/>
    </row>
    <row r="265" spans="12:35">
      <c r="L265" s="7">
        <v>15</v>
      </c>
      <c r="M265" s="7">
        <v>35</v>
      </c>
      <c r="N265" s="7" t="b">
        <f>AND($N$5,$N$6,4&lt;=$M$5,4&lt;=$M$6)</f>
        <v>0</v>
      </c>
      <c r="O265" s="7">
        <f>(P15-N15)*(O35-O15)-(Q15-O15)*(N35-N15)</f>
        <v>0</v>
      </c>
      <c r="P265" s="7">
        <f>(P15-N15)*(Q35-O15)-(Q15-O15)*(P35-N15)</f>
        <v>0</v>
      </c>
      <c r="Q265" s="7">
        <f>(P35-N35)*(O15-O35)-(Q35-O35)*(N15-N35)</f>
        <v>0</v>
      </c>
      <c r="R265" s="7">
        <f>(P35-N35)*(Q15-O35)-(Q35-O35)*(P15-N35)</f>
        <v>0</v>
      </c>
      <c r="S265" s="7">
        <f>IF(N265,IF(AND(O265*P265&lt;=0,Q265*R265&lt;=0,MAX(MIN(N15,P15),MIN(N35,P35))&lt;=MIN(MAX(N15,P15),MAX(N35,P35)),MAX(MIN(O15,Q15),MIN(O35,Q35))&lt;=MIN(MAX(O15,Q15),MAX(O35,Q35))),1,0),0)</f>
        <v>0</v>
      </c>
      <c r="T265" s="7"/>
      <c r="U265" s="7"/>
      <c r="V265" s="7"/>
      <c r="W265" s="7"/>
      <c r="X265" s="7"/>
      <c r="Y265" s="7"/>
      <c r="Z265" s="7"/>
      <c r="AA265" s="7"/>
      <c r="AB265" s="7"/>
      <c r="AC265" s="7"/>
      <c r="AD265" s="7"/>
      <c r="AE265" s="7"/>
      <c r="AF265" s="7"/>
      <c r="AG265" s="7"/>
      <c r="AH265" s="7"/>
      <c r="AI265" s="7"/>
    </row>
    <row r="266" spans="12:35">
      <c r="L266" s="7">
        <v>15</v>
      </c>
      <c r="M266" s="7">
        <v>36</v>
      </c>
      <c r="N266" s="7" t="b">
        <f>AND($N$5,$N$6,4&lt;=$M$5,5&lt;=$M$6)</f>
        <v>0</v>
      </c>
      <c r="O266" s="7">
        <f>(P15-N15)*(O36-O15)-(Q15-O15)*(N36-N15)</f>
        <v>0</v>
      </c>
      <c r="P266" s="7">
        <f>(P15-N15)*(Q36-O15)-(Q15-O15)*(P36-N15)</f>
        <v>0</v>
      </c>
      <c r="Q266" s="7">
        <f>(P36-N36)*(O15-O36)-(Q36-O36)*(N15-N36)</f>
        <v>0</v>
      </c>
      <c r="R266" s="7">
        <f>(P36-N36)*(Q15-O36)-(Q36-O36)*(P15-N36)</f>
        <v>0</v>
      </c>
      <c r="S266" s="7">
        <f>IF(N266,IF(AND(O266*P266&lt;=0,Q266*R266&lt;=0,MAX(MIN(N15,P15),MIN(N36,P36))&lt;=MIN(MAX(N15,P15),MAX(N36,P36)),MAX(MIN(O15,Q15),MIN(O36,Q36))&lt;=MIN(MAX(O15,Q15),MAX(O36,Q36))),1,0),0)</f>
        <v>0</v>
      </c>
      <c r="T266" s="7"/>
      <c r="U266" s="7"/>
      <c r="V266" s="7"/>
      <c r="W266" s="7"/>
      <c r="X266" s="7"/>
      <c r="Y266" s="7"/>
      <c r="Z266" s="7"/>
      <c r="AA266" s="7"/>
      <c r="AB266" s="7"/>
      <c r="AC266" s="7"/>
      <c r="AD266" s="7"/>
      <c r="AE266" s="7"/>
      <c r="AF266" s="7"/>
      <c r="AG266" s="7"/>
      <c r="AH266" s="7"/>
      <c r="AI266" s="7"/>
    </row>
    <row r="267" spans="12:35">
      <c r="L267" s="7">
        <v>15</v>
      </c>
      <c r="M267" s="7">
        <v>37</v>
      </c>
      <c r="N267" s="7" t="b">
        <f>AND($N$5,$N$6,4&lt;=$M$5,6&lt;=$M$6)</f>
        <v>0</v>
      </c>
      <c r="O267" s="7">
        <f>(P15-N15)*(O37-O15)-(Q15-O15)*(N37-N15)</f>
        <v>0</v>
      </c>
      <c r="P267" s="7">
        <f>(P15-N15)*(Q37-O15)-(Q15-O15)*(P37-N15)</f>
        <v>0</v>
      </c>
      <c r="Q267" s="7">
        <f>(P37-N37)*(O15-O37)-(Q37-O37)*(N15-N37)</f>
        <v>0</v>
      </c>
      <c r="R267" s="7">
        <f>(P37-N37)*(Q15-O37)-(Q37-O37)*(P15-N37)</f>
        <v>0</v>
      </c>
      <c r="S267" s="7">
        <f>IF(N267,IF(AND(O267*P267&lt;=0,Q267*R267&lt;=0,MAX(MIN(N15,P15),MIN(N37,P37))&lt;=MIN(MAX(N15,P15),MAX(N37,P37)),MAX(MIN(O15,Q15),MIN(O37,Q37))&lt;=MIN(MAX(O15,Q15),MAX(O37,Q37))),1,0),0)</f>
        <v>0</v>
      </c>
      <c r="T267" s="7"/>
      <c r="U267" s="7"/>
      <c r="V267" s="7"/>
      <c r="W267" s="7"/>
      <c r="X267" s="7"/>
      <c r="Y267" s="7"/>
      <c r="Z267" s="7"/>
      <c r="AA267" s="7"/>
      <c r="AB267" s="7"/>
      <c r="AC267" s="7"/>
      <c r="AD267" s="7"/>
      <c r="AE267" s="7"/>
      <c r="AF267" s="7"/>
      <c r="AG267" s="7"/>
      <c r="AH267" s="7"/>
      <c r="AI267" s="7"/>
    </row>
    <row r="268" spans="12:35">
      <c r="L268" s="7">
        <v>15</v>
      </c>
      <c r="M268" s="7">
        <v>38</v>
      </c>
      <c r="N268" s="7" t="b">
        <f>AND($N$5,$N$6,4&lt;=$M$5,7&lt;=$M$6)</f>
        <v>0</v>
      </c>
      <c r="O268" s="7">
        <f>(P15-N15)*(O38-O15)-(Q15-O15)*(N38-N15)</f>
        <v>0</v>
      </c>
      <c r="P268" s="7">
        <f>(P15-N15)*(Q38-O15)-(Q15-O15)*(P38-N15)</f>
        <v>0</v>
      </c>
      <c r="Q268" s="7">
        <f>(P38-N38)*(O15-O38)-(Q38-O38)*(N15-N38)</f>
        <v>0</v>
      </c>
      <c r="R268" s="7">
        <f>(P38-N38)*(Q15-O38)-(Q38-O38)*(P15-N38)</f>
        <v>0</v>
      </c>
      <c r="S268" s="7">
        <f>IF(N268,IF(AND(O268*P268&lt;=0,Q268*R268&lt;=0,MAX(MIN(N15,P15),MIN(N38,P38))&lt;=MIN(MAX(N15,P15),MAX(N38,P38)),MAX(MIN(O15,Q15),MIN(O38,Q38))&lt;=MIN(MAX(O15,Q15),MAX(O38,Q38))),1,0),0)</f>
        <v>0</v>
      </c>
      <c r="T268" s="7"/>
      <c r="U268" s="7"/>
      <c r="V268" s="7"/>
      <c r="W268" s="7"/>
      <c r="X268" s="7"/>
      <c r="Y268" s="7"/>
      <c r="Z268" s="7"/>
      <c r="AA268" s="7"/>
      <c r="AB268" s="7"/>
      <c r="AC268" s="7"/>
      <c r="AD268" s="7"/>
      <c r="AE268" s="7"/>
      <c r="AF268" s="7"/>
      <c r="AG268" s="7"/>
      <c r="AH268" s="7"/>
      <c r="AI268" s="7"/>
    </row>
    <row r="269" spans="12:35">
      <c r="L269" s="7">
        <v>15</v>
      </c>
      <c r="M269" s="7">
        <v>39</v>
      </c>
      <c r="N269" s="7" t="b">
        <f>AND($N$5,$N$6,4&lt;=$M$5,8&lt;=$M$6)</f>
        <v>0</v>
      </c>
      <c r="O269" s="7">
        <f>(P15-N15)*(O39-O15)-(Q15-O15)*(N39-N15)</f>
        <v>0</v>
      </c>
      <c r="P269" s="7">
        <f>(P15-N15)*(Q39-O15)-(Q15-O15)*(P39-N15)</f>
        <v>0</v>
      </c>
      <c r="Q269" s="7">
        <f>(P39-N39)*(O15-O39)-(Q39-O39)*(N15-N39)</f>
        <v>0</v>
      </c>
      <c r="R269" s="7">
        <f>(P39-N39)*(Q15-O39)-(Q39-O39)*(P15-N39)</f>
        <v>0</v>
      </c>
      <c r="S269" s="7">
        <f>IF(N269,IF(AND(O269*P269&lt;=0,Q269*R269&lt;=0,MAX(MIN(N15,P15),MIN(N39,P39))&lt;=MIN(MAX(N15,P15),MAX(N39,P39)),MAX(MIN(O15,Q15),MIN(O39,Q39))&lt;=MIN(MAX(O15,Q15),MAX(O39,Q39))),1,0),0)</f>
        <v>0</v>
      </c>
      <c r="T269" s="7"/>
      <c r="U269" s="7"/>
      <c r="V269" s="7"/>
      <c r="W269" s="7"/>
      <c r="X269" s="7"/>
      <c r="Y269" s="7"/>
      <c r="Z269" s="7"/>
      <c r="AA269" s="7"/>
      <c r="AB269" s="7"/>
      <c r="AC269" s="7"/>
      <c r="AD269" s="7"/>
      <c r="AE269" s="7"/>
      <c r="AF269" s="7"/>
      <c r="AG269" s="7"/>
      <c r="AH269" s="7"/>
      <c r="AI269" s="7"/>
    </row>
    <row r="270" spans="12:35">
      <c r="L270" s="7">
        <v>15</v>
      </c>
      <c r="M270" s="7">
        <v>40</v>
      </c>
      <c r="N270" s="7" t="b">
        <f>AND($N$5,$N$6,4&lt;=$M$5,9&lt;=$M$6)</f>
        <v>0</v>
      </c>
      <c r="O270" s="7">
        <f>(P15-N15)*(O40-O15)-(Q15-O15)*(N40-N15)</f>
        <v>0</v>
      </c>
      <c r="P270" s="7">
        <f>(P15-N15)*(Q40-O15)-(Q15-O15)*(P40-N15)</f>
        <v>0</v>
      </c>
      <c r="Q270" s="7">
        <f>(P40-N40)*(O15-O40)-(Q40-O40)*(N15-N40)</f>
        <v>0</v>
      </c>
      <c r="R270" s="7">
        <f>(P40-N40)*(Q15-O40)-(Q40-O40)*(P15-N40)</f>
        <v>0</v>
      </c>
      <c r="S270" s="7">
        <f>IF(N270,IF(AND(O270*P270&lt;=0,Q270*R270&lt;=0,MAX(MIN(N15,P15),MIN(N40,P40))&lt;=MIN(MAX(N15,P15),MAX(N40,P40)),MAX(MIN(O15,Q15),MIN(O40,Q40))&lt;=MIN(MAX(O15,Q15),MAX(O40,Q40))),1,0),0)</f>
        <v>0</v>
      </c>
      <c r="T270" s="7"/>
      <c r="U270" s="7"/>
      <c r="V270" s="7"/>
      <c r="W270" s="7"/>
      <c r="X270" s="7"/>
      <c r="Y270" s="7"/>
      <c r="Z270" s="7"/>
      <c r="AA270" s="7"/>
      <c r="AB270" s="7"/>
      <c r="AC270" s="7"/>
      <c r="AD270" s="7"/>
      <c r="AE270" s="7"/>
      <c r="AF270" s="7"/>
      <c r="AG270" s="7"/>
      <c r="AH270" s="7"/>
      <c r="AI270" s="7"/>
    </row>
    <row r="271" spans="12:35">
      <c r="L271" s="7">
        <v>15</v>
      </c>
      <c r="M271" s="7">
        <v>41</v>
      </c>
      <c r="N271" s="7" t="b">
        <f>AND($N$5,$N$6,4&lt;=$M$5,10&lt;=$M$6)</f>
        <v>0</v>
      </c>
      <c r="O271" s="7">
        <f>(P15-N15)*(O41-O15)-(Q15-O15)*(N41-N15)</f>
        <v>0</v>
      </c>
      <c r="P271" s="7">
        <f>(P15-N15)*(Q41-O15)-(Q15-O15)*(P41-N15)</f>
        <v>0</v>
      </c>
      <c r="Q271" s="7">
        <f>(P41-N41)*(O15-O41)-(Q41-O41)*(N15-N41)</f>
        <v>0</v>
      </c>
      <c r="R271" s="7">
        <f>(P41-N41)*(Q15-O41)-(Q41-O41)*(P15-N41)</f>
        <v>0</v>
      </c>
      <c r="S271" s="7">
        <f>IF(N271,IF(AND(O271*P271&lt;=0,Q271*R271&lt;=0,MAX(MIN(N15,P15),MIN(N41,P41))&lt;=MIN(MAX(N15,P15),MAX(N41,P41)),MAX(MIN(O15,Q15),MIN(O41,Q41))&lt;=MIN(MAX(O15,Q15),MAX(O41,Q41))),1,0),0)</f>
        <v>0</v>
      </c>
      <c r="T271" s="7"/>
      <c r="U271" s="7"/>
      <c r="V271" s="7"/>
      <c r="W271" s="7"/>
      <c r="X271" s="7"/>
      <c r="Y271" s="7"/>
      <c r="Z271" s="7"/>
      <c r="AA271" s="7"/>
      <c r="AB271" s="7"/>
      <c r="AC271" s="7"/>
      <c r="AD271" s="7"/>
      <c r="AE271" s="7"/>
      <c r="AF271" s="7"/>
      <c r="AG271" s="7"/>
      <c r="AH271" s="7"/>
      <c r="AI271" s="7"/>
    </row>
    <row r="272" spans="12:35">
      <c r="L272" s="7">
        <v>15</v>
      </c>
      <c r="M272" s="7">
        <v>42</v>
      </c>
      <c r="N272" s="7" t="b">
        <f>AND($N$5,$N$6,4&lt;=$M$5,11&lt;=$M$6)</f>
        <v>0</v>
      </c>
      <c r="O272" s="7">
        <f>(P15-N15)*(O42-O15)-(Q15-O15)*(N42-N15)</f>
        <v>0</v>
      </c>
      <c r="P272" s="7">
        <f>(P15-N15)*(Q42-O15)-(Q15-O15)*(P42-N15)</f>
        <v>0</v>
      </c>
      <c r="Q272" s="7">
        <f>(P42-N42)*(O15-O42)-(Q42-O42)*(N15-N42)</f>
        <v>0</v>
      </c>
      <c r="R272" s="7">
        <f>(P42-N42)*(Q15-O42)-(Q42-O42)*(P15-N42)</f>
        <v>0</v>
      </c>
      <c r="S272" s="7">
        <f>IF(N272,IF(AND(O272*P272&lt;=0,Q272*R272&lt;=0,MAX(MIN(N15,P15),MIN(N42,P42))&lt;=MIN(MAX(N15,P15),MAX(N42,P42)),MAX(MIN(O15,Q15),MIN(O42,Q42))&lt;=MIN(MAX(O15,Q15),MAX(O42,Q42))),1,0),0)</f>
        <v>0</v>
      </c>
      <c r="T272" s="7"/>
      <c r="U272" s="7"/>
      <c r="V272" s="7"/>
      <c r="W272" s="7"/>
      <c r="X272" s="7"/>
      <c r="Y272" s="7"/>
      <c r="Z272" s="7"/>
      <c r="AA272" s="7"/>
      <c r="AB272" s="7"/>
      <c r="AC272" s="7"/>
      <c r="AD272" s="7"/>
      <c r="AE272" s="7"/>
      <c r="AF272" s="7"/>
      <c r="AG272" s="7"/>
      <c r="AH272" s="7"/>
      <c r="AI272" s="7"/>
    </row>
    <row r="273" spans="12:35">
      <c r="L273" s="7">
        <v>15</v>
      </c>
      <c r="M273" s="7">
        <v>43</v>
      </c>
      <c r="N273" s="7" t="b">
        <f>AND($N$5,$N$6,4&lt;=$M$5,12&lt;=$M$6)</f>
        <v>0</v>
      </c>
      <c r="O273" s="7">
        <f>(P15-N15)*(O43-O15)-(Q15-O15)*(N43-N15)</f>
        <v>0</v>
      </c>
      <c r="P273" s="7">
        <f>(P15-N15)*(Q43-O15)-(Q15-O15)*(P43-N15)</f>
        <v>0</v>
      </c>
      <c r="Q273" s="7">
        <f>(P43-N43)*(O15-O43)-(Q43-O43)*(N15-N43)</f>
        <v>0</v>
      </c>
      <c r="R273" s="7">
        <f>(P43-N43)*(Q15-O43)-(Q43-O43)*(P15-N43)</f>
        <v>0</v>
      </c>
      <c r="S273" s="7">
        <f>IF(N273,IF(AND(O273*P273&lt;=0,Q273*R273&lt;=0,MAX(MIN(N15,P15),MIN(N43,P43))&lt;=MIN(MAX(N15,P15),MAX(N43,P43)),MAX(MIN(O15,Q15),MIN(O43,Q43))&lt;=MIN(MAX(O15,Q15),MAX(O43,Q43))),1,0),0)</f>
        <v>0</v>
      </c>
      <c r="T273" s="7"/>
      <c r="U273" s="7"/>
      <c r="V273" s="7"/>
      <c r="W273" s="7"/>
      <c r="X273" s="7"/>
      <c r="Y273" s="7"/>
      <c r="Z273" s="7"/>
      <c r="AA273" s="7"/>
      <c r="AB273" s="7"/>
      <c r="AC273" s="7"/>
      <c r="AD273" s="7"/>
      <c r="AE273" s="7"/>
      <c r="AF273" s="7"/>
      <c r="AG273" s="7"/>
      <c r="AH273" s="7"/>
      <c r="AI273" s="7"/>
    </row>
    <row r="274" spans="12:35">
      <c r="L274" s="7">
        <v>15</v>
      </c>
      <c r="M274" s="7">
        <v>44</v>
      </c>
      <c r="N274" s="7" t="b">
        <f>AND($N$5,$N$6,4&lt;=$M$5,13&lt;=$M$6)</f>
        <v>0</v>
      </c>
      <c r="O274" s="7">
        <f>(P15-N15)*(O44-O15)-(Q15-O15)*(N44-N15)</f>
        <v>0</v>
      </c>
      <c r="P274" s="7">
        <f>(P15-N15)*(Q44-O15)-(Q15-O15)*(P44-N15)</f>
        <v>0</v>
      </c>
      <c r="Q274" s="7">
        <f>(P44-N44)*(O15-O44)-(Q44-O44)*(N15-N44)</f>
        <v>0</v>
      </c>
      <c r="R274" s="7">
        <f>(P44-N44)*(Q15-O44)-(Q44-O44)*(P15-N44)</f>
        <v>0</v>
      </c>
      <c r="S274" s="7">
        <f>IF(N274,IF(AND(O274*P274&lt;=0,Q274*R274&lt;=0,MAX(MIN(N15,P15),MIN(N44,P44))&lt;=MIN(MAX(N15,P15),MAX(N44,P44)),MAX(MIN(O15,Q15),MIN(O44,Q44))&lt;=MIN(MAX(O15,Q15),MAX(O44,Q44))),1,0),0)</f>
        <v>0</v>
      </c>
      <c r="T274" s="7"/>
      <c r="U274" s="7"/>
      <c r="V274" s="7"/>
      <c r="W274" s="7"/>
      <c r="X274" s="7"/>
      <c r="Y274" s="7"/>
      <c r="Z274" s="7"/>
      <c r="AA274" s="7"/>
      <c r="AB274" s="7"/>
      <c r="AC274" s="7"/>
      <c r="AD274" s="7"/>
      <c r="AE274" s="7"/>
      <c r="AF274" s="7"/>
      <c r="AG274" s="7"/>
      <c r="AH274" s="7"/>
      <c r="AI274" s="7"/>
    </row>
    <row r="275" spans="12:35">
      <c r="L275" s="7">
        <v>15</v>
      </c>
      <c r="M275" s="7">
        <v>45</v>
      </c>
      <c r="N275" s="7" t="b">
        <f>AND($N$5,$N$6,4&lt;=$M$5,14&lt;=$M$6)</f>
        <v>0</v>
      </c>
      <c r="O275" s="7">
        <f>(P15-N15)*(O45-O15)-(Q15-O15)*(N45-N15)</f>
        <v>0</v>
      </c>
      <c r="P275" s="7">
        <f>(P15-N15)*(Q45-O15)-(Q15-O15)*(P45-N15)</f>
        <v>0</v>
      </c>
      <c r="Q275" s="7">
        <f>(P45-N45)*(O15-O45)-(Q45-O45)*(N15-N45)</f>
        <v>0</v>
      </c>
      <c r="R275" s="7">
        <f>(P45-N45)*(Q15-O45)-(Q45-O45)*(P15-N45)</f>
        <v>0</v>
      </c>
      <c r="S275" s="7">
        <f>IF(N275,IF(AND(O275*P275&lt;=0,Q275*R275&lt;=0,MAX(MIN(N15,P15),MIN(N45,P45))&lt;=MIN(MAX(N15,P15),MAX(N45,P45)),MAX(MIN(O15,Q15),MIN(O45,Q45))&lt;=MIN(MAX(O15,Q15),MAX(O45,Q45))),1,0),0)</f>
        <v>0</v>
      </c>
      <c r="T275" s="7"/>
      <c r="U275" s="7"/>
      <c r="V275" s="7"/>
      <c r="W275" s="7"/>
      <c r="X275" s="7"/>
      <c r="Y275" s="7"/>
      <c r="Z275" s="7"/>
      <c r="AA275" s="7"/>
      <c r="AB275" s="7"/>
      <c r="AC275" s="7"/>
      <c r="AD275" s="7"/>
      <c r="AE275" s="7"/>
      <c r="AF275" s="7"/>
      <c r="AG275" s="7"/>
      <c r="AH275" s="7"/>
      <c r="AI275" s="7"/>
    </row>
    <row r="276" spans="12:35">
      <c r="L276" s="7">
        <v>15</v>
      </c>
      <c r="M276" s="7">
        <v>46</v>
      </c>
      <c r="N276" s="7" t="b">
        <f>AND($N$5,$N$6,4&lt;=$M$5,15&lt;=$M$6)</f>
        <v>0</v>
      </c>
      <c r="O276" s="7">
        <f>(P15-N15)*(O46-O15)-(Q15-O15)*(N46-N15)</f>
        <v>0</v>
      </c>
      <c r="P276" s="7">
        <f>(P15-N15)*(Q46-O15)-(Q15-O15)*(P46-N15)</f>
        <v>0</v>
      </c>
      <c r="Q276" s="7">
        <f>(P46-N46)*(O15-O46)-(Q46-O46)*(N15-N46)</f>
        <v>0</v>
      </c>
      <c r="R276" s="7">
        <f>(P46-N46)*(Q15-O46)-(Q46-O46)*(P15-N46)</f>
        <v>0</v>
      </c>
      <c r="S276" s="7">
        <f>IF(N276,IF(AND(O276*P276&lt;=0,Q276*R276&lt;=0,MAX(MIN(N15,P15),MIN(N46,P46))&lt;=MIN(MAX(N15,P15),MAX(N46,P46)),MAX(MIN(O15,Q15),MIN(O46,Q46))&lt;=MIN(MAX(O15,Q15),MAX(O46,Q46))),1,0),0)</f>
        <v>0</v>
      </c>
      <c r="T276" s="7"/>
      <c r="U276" s="7"/>
      <c r="V276" s="7"/>
      <c r="W276" s="7"/>
      <c r="X276" s="7"/>
      <c r="Y276" s="7"/>
      <c r="Z276" s="7"/>
      <c r="AA276" s="7"/>
      <c r="AB276" s="7"/>
      <c r="AC276" s="7"/>
      <c r="AD276" s="7"/>
      <c r="AE276" s="7"/>
      <c r="AF276" s="7"/>
      <c r="AG276" s="7"/>
      <c r="AH276" s="7"/>
      <c r="AI276" s="7"/>
    </row>
    <row r="277" spans="12:35">
      <c r="L277" s="7">
        <v>15</v>
      </c>
      <c r="M277" s="7">
        <v>47</v>
      </c>
      <c r="N277" s="7" t="b">
        <f>AND($N$5,$N$6,4&lt;=$M$5,16&lt;=$M$6)</f>
        <v>0</v>
      </c>
      <c r="O277" s="7">
        <f>(P15-N15)*(O47-O15)-(Q15-O15)*(N47-N15)</f>
        <v>0</v>
      </c>
      <c r="P277" s="7">
        <f>(P15-N15)*(Q47-O15)-(Q15-O15)*(P47-N15)</f>
        <v>0</v>
      </c>
      <c r="Q277" s="7">
        <f>(P47-N47)*(O15-O47)-(Q47-O47)*(N15-N47)</f>
        <v>0</v>
      </c>
      <c r="R277" s="7">
        <f>(P47-N47)*(Q15-O47)-(Q47-O47)*(P15-N47)</f>
        <v>0</v>
      </c>
      <c r="S277" s="7">
        <f>IF(N277,IF(AND(O277*P277&lt;=0,Q277*R277&lt;=0,MAX(MIN(N15,P15),MIN(N47,P47))&lt;=MIN(MAX(N15,P15),MAX(N47,P47)),MAX(MIN(O15,Q15),MIN(O47,Q47))&lt;=MIN(MAX(O15,Q15),MAX(O47,Q47))),1,0),0)</f>
        <v>0</v>
      </c>
      <c r="T277" s="7"/>
      <c r="U277" s="7"/>
      <c r="V277" s="7"/>
      <c r="W277" s="7"/>
      <c r="X277" s="7"/>
      <c r="Y277" s="7"/>
      <c r="Z277" s="7"/>
      <c r="AA277" s="7"/>
      <c r="AB277" s="7"/>
      <c r="AC277" s="7"/>
      <c r="AD277" s="7"/>
      <c r="AE277" s="7"/>
      <c r="AF277" s="7"/>
      <c r="AG277" s="7"/>
      <c r="AH277" s="7"/>
      <c r="AI277" s="7"/>
    </row>
    <row r="278" spans="12:35">
      <c r="L278" s="7">
        <v>15</v>
      </c>
      <c r="M278" s="7">
        <v>48</v>
      </c>
      <c r="N278" s="7" t="b">
        <f>AND($N$5,$N$6,4&lt;=$M$5,17&lt;=$M$6)</f>
        <v>0</v>
      </c>
      <c r="O278" s="7">
        <f>(P15-N15)*(O48-O15)-(Q15-O15)*(N48-N15)</f>
        <v>0</v>
      </c>
      <c r="P278" s="7">
        <f>(P15-N15)*(Q48-O15)-(Q15-O15)*(P48-N15)</f>
        <v>0</v>
      </c>
      <c r="Q278" s="7">
        <f>(P48-N48)*(O15-O48)-(Q48-O48)*(N15-N48)</f>
        <v>0</v>
      </c>
      <c r="R278" s="7">
        <f>(P48-N48)*(Q15-O48)-(Q48-O48)*(P15-N48)</f>
        <v>0</v>
      </c>
      <c r="S278" s="7">
        <f>IF(N278,IF(AND(O278*P278&lt;=0,Q278*R278&lt;=0,MAX(MIN(N15,P15),MIN(N48,P48))&lt;=MIN(MAX(N15,P15),MAX(N48,P48)),MAX(MIN(O15,Q15),MIN(O48,Q48))&lt;=MIN(MAX(O15,Q15),MAX(O48,Q48))),1,0),0)</f>
        <v>0</v>
      </c>
      <c r="T278" s="7"/>
      <c r="U278" s="7"/>
      <c r="V278" s="7"/>
      <c r="W278" s="7"/>
      <c r="X278" s="7"/>
      <c r="Y278" s="7"/>
      <c r="Z278" s="7"/>
      <c r="AA278" s="7"/>
      <c r="AB278" s="7"/>
      <c r="AC278" s="7"/>
      <c r="AD278" s="7"/>
      <c r="AE278" s="7"/>
      <c r="AF278" s="7"/>
      <c r="AG278" s="7"/>
      <c r="AH278" s="7"/>
      <c r="AI278" s="7"/>
    </row>
    <row r="279" spans="12:35">
      <c r="L279" s="7">
        <v>15</v>
      </c>
      <c r="M279" s="7">
        <v>49</v>
      </c>
      <c r="N279" s="7" t="b">
        <f>AND($N$5,$N$6,4&lt;=$M$5,18&lt;=$M$6)</f>
        <v>0</v>
      </c>
      <c r="O279" s="7">
        <f>(P15-N15)*(O49-O15)-(Q15-O15)*(N49-N15)</f>
        <v>0</v>
      </c>
      <c r="P279" s="7">
        <f>(P15-N15)*(Q49-O15)-(Q15-O15)*(P49-N15)</f>
        <v>0</v>
      </c>
      <c r="Q279" s="7">
        <f>(P49-N49)*(O15-O49)-(Q49-O49)*(N15-N49)</f>
        <v>0</v>
      </c>
      <c r="R279" s="7">
        <f>(P49-N49)*(Q15-O49)-(Q49-O49)*(P15-N49)</f>
        <v>0</v>
      </c>
      <c r="S279" s="7">
        <f>IF(N279,IF(AND(O279*P279&lt;=0,Q279*R279&lt;=0,MAX(MIN(N15,P15),MIN(N49,P49))&lt;=MIN(MAX(N15,P15),MAX(N49,P49)),MAX(MIN(O15,Q15),MIN(O49,Q49))&lt;=MIN(MAX(O15,Q15),MAX(O49,Q49))),1,0),0)</f>
        <v>0</v>
      </c>
      <c r="T279" s="7"/>
      <c r="U279" s="7"/>
      <c r="V279" s="7"/>
      <c r="W279" s="7"/>
      <c r="X279" s="7"/>
      <c r="Y279" s="7"/>
      <c r="Z279" s="7"/>
      <c r="AA279" s="7"/>
      <c r="AB279" s="7"/>
      <c r="AC279" s="7"/>
      <c r="AD279" s="7"/>
      <c r="AE279" s="7"/>
      <c r="AF279" s="7"/>
      <c r="AG279" s="7"/>
      <c r="AH279" s="7"/>
      <c r="AI279" s="7"/>
    </row>
    <row r="280" spans="12:35">
      <c r="L280" s="7">
        <v>15</v>
      </c>
      <c r="M280" s="7">
        <v>50</v>
      </c>
      <c r="N280" s="7" t="b">
        <f>AND($N$5,$N$6,4&lt;=$M$5,19&lt;=$M$6)</f>
        <v>0</v>
      </c>
      <c r="O280" s="7">
        <f>(P15-N15)*(O50-O15)-(Q15-O15)*(N50-N15)</f>
        <v>0</v>
      </c>
      <c r="P280" s="7">
        <f>(P15-N15)*(Q50-O15)-(Q15-O15)*(P50-N15)</f>
        <v>0</v>
      </c>
      <c r="Q280" s="7">
        <f>(P50-N50)*(O15-O50)-(Q50-O50)*(N15-N50)</f>
        <v>0</v>
      </c>
      <c r="R280" s="7">
        <f>(P50-N50)*(Q15-O50)-(Q50-O50)*(P15-N50)</f>
        <v>0</v>
      </c>
      <c r="S280" s="7">
        <f>IF(N280,IF(AND(O280*P280&lt;=0,Q280*R280&lt;=0,MAX(MIN(N15,P15),MIN(N50,P50))&lt;=MIN(MAX(N15,P15),MAX(N50,P50)),MAX(MIN(O15,Q15),MIN(O50,Q50))&lt;=MIN(MAX(O15,Q15),MAX(O50,Q50))),1,0),0)</f>
        <v>0</v>
      </c>
      <c r="T280" s="7"/>
      <c r="U280" s="7"/>
      <c r="V280" s="7"/>
      <c r="W280" s="7"/>
      <c r="X280" s="7"/>
      <c r="Y280" s="7"/>
      <c r="Z280" s="7"/>
      <c r="AA280" s="7"/>
      <c r="AB280" s="7"/>
      <c r="AC280" s="7"/>
      <c r="AD280" s="7"/>
      <c r="AE280" s="7"/>
      <c r="AF280" s="7"/>
      <c r="AG280" s="7"/>
      <c r="AH280" s="7"/>
      <c r="AI280" s="7"/>
    </row>
    <row r="281" spans="12:35">
      <c r="L281" s="7">
        <v>15</v>
      </c>
      <c r="M281" s="7">
        <v>51</v>
      </c>
      <c r="N281" s="7" t="b">
        <f>AND($N$5,$N$6,4&lt;=$M$5,20&lt;=$M$6)</f>
        <v>0</v>
      </c>
      <c r="O281" s="7">
        <f>(P15-N15)*(O51-O15)-(Q15-O15)*(N51-N15)</f>
        <v>0</v>
      </c>
      <c r="P281" s="7">
        <f>(P15-N15)*(Q51-O15)-(Q15-O15)*(P51-N15)</f>
        <v>0</v>
      </c>
      <c r="Q281" s="7">
        <f>(P51-N51)*(O15-O51)-(Q51-O51)*(N15-N51)</f>
        <v>0</v>
      </c>
      <c r="R281" s="7">
        <f>(P51-N51)*(Q15-O51)-(Q51-O51)*(P15-N51)</f>
        <v>0</v>
      </c>
      <c r="S281" s="7">
        <f>IF(N281,IF(AND(O281*P281&lt;=0,Q281*R281&lt;=0,MAX(MIN(N15,P15),MIN(N51,P51))&lt;=MIN(MAX(N15,P15),MAX(N51,P51)),MAX(MIN(O15,Q15),MIN(O51,Q51))&lt;=MIN(MAX(O15,Q15),MAX(O51,Q51))),1,0),0)</f>
        <v>0</v>
      </c>
      <c r="T281" s="7"/>
      <c r="U281" s="7"/>
      <c r="V281" s="7"/>
      <c r="W281" s="7"/>
      <c r="X281" s="7"/>
      <c r="Y281" s="7"/>
      <c r="Z281" s="7"/>
      <c r="AA281" s="7"/>
      <c r="AB281" s="7"/>
      <c r="AC281" s="7"/>
      <c r="AD281" s="7"/>
      <c r="AE281" s="7"/>
      <c r="AF281" s="7"/>
      <c r="AG281" s="7"/>
      <c r="AH281" s="7"/>
      <c r="AI281" s="7"/>
    </row>
    <row r="282" spans="12:35">
      <c r="L282" s="7">
        <v>15</v>
      </c>
      <c r="M282" s="7">
        <v>52</v>
      </c>
      <c r="N282" s="7" t="b">
        <f>AND($N$5,$N$7,4&lt;=$M$5,1&lt;=$M$7)</f>
        <v>0</v>
      </c>
      <c r="O282" s="7">
        <f>(P15-N15)*(O52-O15)-(Q15-O15)*(N52-N15)</f>
        <v>0</v>
      </c>
      <c r="P282" s="7">
        <f>(P15-N15)*(Q52-O15)-(Q15-O15)*(P52-N15)</f>
        <v>0</v>
      </c>
      <c r="Q282" s="7">
        <f>(P52-N52)*(O15-O52)-(Q52-O52)*(N15-N52)</f>
        <v>0</v>
      </c>
      <c r="R282" s="7">
        <f>(P52-N52)*(Q15-O52)-(Q52-O52)*(P15-N52)</f>
        <v>0</v>
      </c>
      <c r="S282" s="7">
        <f>IF(N282,IF(AND(O282*P282&lt;=0,Q282*R282&lt;=0,MAX(MIN(N15,P15),MIN(N52,P52))&lt;=MIN(MAX(N15,P15),MAX(N52,P52)),MAX(MIN(O15,Q15),MIN(O52,Q52))&lt;=MIN(MAX(O15,Q15),MAX(O52,Q52))),1,0),0)</f>
        <v>0</v>
      </c>
      <c r="T282" s="7"/>
      <c r="U282" s="7"/>
      <c r="V282" s="7"/>
      <c r="W282" s="7"/>
      <c r="X282" s="7"/>
      <c r="Y282" s="7"/>
      <c r="Z282" s="7"/>
      <c r="AA282" s="7"/>
      <c r="AB282" s="7"/>
      <c r="AC282" s="7"/>
      <c r="AD282" s="7"/>
      <c r="AE282" s="7"/>
      <c r="AF282" s="7"/>
      <c r="AG282" s="7"/>
      <c r="AH282" s="7"/>
      <c r="AI282" s="7"/>
    </row>
    <row r="283" spans="12:35">
      <c r="L283" s="7">
        <v>15</v>
      </c>
      <c r="M283" s="7">
        <v>53</v>
      </c>
      <c r="N283" s="7" t="b">
        <f>AND($N$5,$N$7,4&lt;=$M$5,2&lt;=$M$7)</f>
        <v>0</v>
      </c>
      <c r="O283" s="7">
        <f>(P15-N15)*(O53-O15)-(Q15-O15)*(N53-N15)</f>
        <v>0</v>
      </c>
      <c r="P283" s="7">
        <f>(P15-N15)*(Q53-O15)-(Q15-O15)*(P53-N15)</f>
        <v>0</v>
      </c>
      <c r="Q283" s="7">
        <f>(P53-N53)*(O15-O53)-(Q53-O53)*(N15-N53)</f>
        <v>0</v>
      </c>
      <c r="R283" s="7">
        <f>(P53-N53)*(Q15-O53)-(Q53-O53)*(P15-N53)</f>
        <v>0</v>
      </c>
      <c r="S283" s="7">
        <f>IF(N283,IF(AND(O283*P283&lt;=0,Q283*R283&lt;=0,MAX(MIN(N15,P15),MIN(N53,P53))&lt;=MIN(MAX(N15,P15),MAX(N53,P53)),MAX(MIN(O15,Q15),MIN(O53,Q53))&lt;=MIN(MAX(O15,Q15),MAX(O53,Q53))),1,0),0)</f>
        <v>0</v>
      </c>
      <c r="T283" s="7"/>
      <c r="U283" s="7"/>
      <c r="V283" s="7"/>
      <c r="W283" s="7"/>
      <c r="X283" s="7"/>
      <c r="Y283" s="7"/>
      <c r="Z283" s="7"/>
      <c r="AA283" s="7"/>
      <c r="AB283" s="7"/>
      <c r="AC283" s="7"/>
      <c r="AD283" s="7"/>
      <c r="AE283" s="7"/>
      <c r="AF283" s="7"/>
      <c r="AG283" s="7"/>
      <c r="AH283" s="7"/>
      <c r="AI283" s="7"/>
    </row>
    <row r="284" spans="12:35">
      <c r="L284" s="7">
        <v>15</v>
      </c>
      <c r="M284" s="7">
        <v>54</v>
      </c>
      <c r="N284" s="7" t="b">
        <f>AND($N$5,$N$7,4&lt;=$M$5,3&lt;=$M$7)</f>
        <v>0</v>
      </c>
      <c r="O284" s="7">
        <f>(P15-N15)*(O54-O15)-(Q15-O15)*(N54-N15)</f>
        <v>0</v>
      </c>
      <c r="P284" s="7">
        <f>(P15-N15)*(Q54-O15)-(Q15-O15)*(P54-N15)</f>
        <v>0</v>
      </c>
      <c r="Q284" s="7">
        <f>(P54-N54)*(O15-O54)-(Q54-O54)*(N15-N54)</f>
        <v>0</v>
      </c>
      <c r="R284" s="7">
        <f>(P54-N54)*(Q15-O54)-(Q54-O54)*(P15-N54)</f>
        <v>0</v>
      </c>
      <c r="S284" s="7">
        <f>IF(N284,IF(AND(O284*P284&lt;=0,Q284*R284&lt;=0,MAX(MIN(N15,P15),MIN(N54,P54))&lt;=MIN(MAX(N15,P15),MAX(N54,P54)),MAX(MIN(O15,Q15),MIN(O54,Q54))&lt;=MIN(MAX(O15,Q15),MAX(O54,Q54))),1,0),0)</f>
        <v>0</v>
      </c>
      <c r="T284" s="7"/>
      <c r="U284" s="7"/>
      <c r="V284" s="7"/>
      <c r="W284" s="7"/>
      <c r="X284" s="7"/>
      <c r="Y284" s="7"/>
      <c r="Z284" s="7"/>
      <c r="AA284" s="7"/>
      <c r="AB284" s="7"/>
      <c r="AC284" s="7"/>
      <c r="AD284" s="7"/>
      <c r="AE284" s="7"/>
      <c r="AF284" s="7"/>
      <c r="AG284" s="7"/>
      <c r="AH284" s="7"/>
      <c r="AI284" s="7"/>
    </row>
    <row r="285" spans="12:35">
      <c r="L285" s="7">
        <v>15</v>
      </c>
      <c r="M285" s="7">
        <v>55</v>
      </c>
      <c r="N285" s="7" t="b">
        <f>AND($N$5,$N$7,4&lt;=$M$5,4&lt;=$M$7)</f>
        <v>0</v>
      </c>
      <c r="O285" s="7">
        <f>(P15-N15)*(O55-O15)-(Q15-O15)*(N55-N15)</f>
        <v>0</v>
      </c>
      <c r="P285" s="7">
        <f>(P15-N15)*(Q55-O15)-(Q15-O15)*(P55-N15)</f>
        <v>0</v>
      </c>
      <c r="Q285" s="7">
        <f>(P55-N55)*(O15-O55)-(Q55-O55)*(N15-N55)</f>
        <v>0</v>
      </c>
      <c r="R285" s="7">
        <f>(P55-N55)*(Q15-O55)-(Q55-O55)*(P15-N55)</f>
        <v>0</v>
      </c>
      <c r="S285" s="7">
        <f>IF(N285,IF(AND(O285*P285&lt;=0,Q285*R285&lt;=0,MAX(MIN(N15,P15),MIN(N55,P55))&lt;=MIN(MAX(N15,P15),MAX(N55,P55)),MAX(MIN(O15,Q15),MIN(O55,Q55))&lt;=MIN(MAX(O15,Q15),MAX(O55,Q55))),1,0),0)</f>
        <v>0</v>
      </c>
      <c r="T285" s="7"/>
      <c r="U285" s="7"/>
      <c r="V285" s="7"/>
      <c r="W285" s="7"/>
      <c r="X285" s="7"/>
      <c r="Y285" s="7"/>
      <c r="Z285" s="7"/>
      <c r="AA285" s="7"/>
      <c r="AB285" s="7"/>
      <c r="AC285" s="7"/>
      <c r="AD285" s="7"/>
      <c r="AE285" s="7"/>
      <c r="AF285" s="7"/>
      <c r="AG285" s="7"/>
      <c r="AH285" s="7"/>
      <c r="AI285" s="7"/>
    </row>
    <row r="286" spans="12:35">
      <c r="L286" s="7">
        <v>15</v>
      </c>
      <c r="M286" s="7">
        <v>56</v>
      </c>
      <c r="N286" s="7" t="b">
        <f>AND($N$5,$N$7,4&lt;=$M$5,5&lt;=$M$7)</f>
        <v>0</v>
      </c>
      <c r="O286" s="7">
        <f>(P15-N15)*(O56-O15)-(Q15-O15)*(N56-N15)</f>
        <v>0</v>
      </c>
      <c r="P286" s="7">
        <f>(P15-N15)*(Q56-O15)-(Q15-O15)*(P56-N15)</f>
        <v>0</v>
      </c>
      <c r="Q286" s="7">
        <f>(P56-N56)*(O15-O56)-(Q56-O56)*(N15-N56)</f>
        <v>0</v>
      </c>
      <c r="R286" s="7">
        <f>(P56-N56)*(Q15-O56)-(Q56-O56)*(P15-N56)</f>
        <v>0</v>
      </c>
      <c r="S286" s="7">
        <f>IF(N286,IF(AND(O286*P286&lt;=0,Q286*R286&lt;=0,MAX(MIN(N15,P15),MIN(N56,P56))&lt;=MIN(MAX(N15,P15),MAX(N56,P56)),MAX(MIN(O15,Q15),MIN(O56,Q56))&lt;=MIN(MAX(O15,Q15),MAX(O56,Q56))),1,0),0)</f>
        <v>0</v>
      </c>
      <c r="T286" s="7"/>
      <c r="U286" s="7"/>
      <c r="V286" s="7"/>
      <c r="W286" s="7"/>
      <c r="X286" s="7"/>
      <c r="Y286" s="7"/>
      <c r="Z286" s="7"/>
      <c r="AA286" s="7"/>
      <c r="AB286" s="7"/>
      <c r="AC286" s="7"/>
      <c r="AD286" s="7"/>
      <c r="AE286" s="7"/>
      <c r="AF286" s="7"/>
      <c r="AG286" s="7"/>
      <c r="AH286" s="7"/>
      <c r="AI286" s="7"/>
    </row>
    <row r="287" spans="12:35">
      <c r="L287" s="7">
        <v>15</v>
      </c>
      <c r="M287" s="7">
        <v>57</v>
      </c>
      <c r="N287" s="7" t="b">
        <f>AND($N$5,$N$7,4&lt;=$M$5,6&lt;=$M$7)</f>
        <v>0</v>
      </c>
      <c r="O287" s="7">
        <f>(P15-N15)*(O57-O15)-(Q15-O15)*(N57-N15)</f>
        <v>0</v>
      </c>
      <c r="P287" s="7">
        <f>(P15-N15)*(Q57-O15)-(Q15-O15)*(P57-N15)</f>
        <v>0</v>
      </c>
      <c r="Q287" s="7">
        <f>(P57-N57)*(O15-O57)-(Q57-O57)*(N15-N57)</f>
        <v>0</v>
      </c>
      <c r="R287" s="7">
        <f>(P57-N57)*(Q15-O57)-(Q57-O57)*(P15-N57)</f>
        <v>0</v>
      </c>
      <c r="S287" s="7">
        <f>IF(N287,IF(AND(O287*P287&lt;=0,Q287*R287&lt;=0,MAX(MIN(N15,P15),MIN(N57,P57))&lt;=MIN(MAX(N15,P15),MAX(N57,P57)),MAX(MIN(O15,Q15),MIN(O57,Q57))&lt;=MIN(MAX(O15,Q15),MAX(O57,Q57))),1,0),0)</f>
        <v>0</v>
      </c>
      <c r="T287" s="7"/>
      <c r="U287" s="7"/>
      <c r="V287" s="7"/>
      <c r="W287" s="7"/>
      <c r="X287" s="7"/>
      <c r="Y287" s="7"/>
      <c r="Z287" s="7"/>
      <c r="AA287" s="7"/>
      <c r="AB287" s="7"/>
      <c r="AC287" s="7"/>
      <c r="AD287" s="7"/>
      <c r="AE287" s="7"/>
      <c r="AF287" s="7"/>
      <c r="AG287" s="7"/>
      <c r="AH287" s="7"/>
      <c r="AI287" s="7"/>
    </row>
    <row r="288" spans="12:35">
      <c r="L288" s="7">
        <v>15</v>
      </c>
      <c r="M288" s="7">
        <v>58</v>
      </c>
      <c r="N288" s="7" t="b">
        <f>AND($N$5,$N$7,4&lt;=$M$5,7&lt;=$M$7)</f>
        <v>0</v>
      </c>
      <c r="O288" s="7">
        <f>(P15-N15)*(O58-O15)-(Q15-O15)*(N58-N15)</f>
        <v>0</v>
      </c>
      <c r="P288" s="7">
        <f>(P15-N15)*(Q58-O15)-(Q15-O15)*(P58-N15)</f>
        <v>0</v>
      </c>
      <c r="Q288" s="7">
        <f>(P58-N58)*(O15-O58)-(Q58-O58)*(N15-N58)</f>
        <v>0</v>
      </c>
      <c r="R288" s="7">
        <f>(P58-N58)*(Q15-O58)-(Q58-O58)*(P15-N58)</f>
        <v>0</v>
      </c>
      <c r="S288" s="7">
        <f>IF(N288,IF(AND(O288*P288&lt;=0,Q288*R288&lt;=0,MAX(MIN(N15,P15),MIN(N58,P58))&lt;=MIN(MAX(N15,P15),MAX(N58,P58)),MAX(MIN(O15,Q15),MIN(O58,Q58))&lt;=MIN(MAX(O15,Q15),MAX(O58,Q58))),1,0),0)</f>
        <v>0</v>
      </c>
      <c r="T288" s="7"/>
      <c r="U288" s="7"/>
      <c r="V288" s="7"/>
      <c r="W288" s="7"/>
      <c r="X288" s="7"/>
      <c r="Y288" s="7"/>
      <c r="Z288" s="7"/>
      <c r="AA288" s="7"/>
      <c r="AB288" s="7"/>
      <c r="AC288" s="7"/>
      <c r="AD288" s="7"/>
      <c r="AE288" s="7"/>
      <c r="AF288" s="7"/>
      <c r="AG288" s="7"/>
      <c r="AH288" s="7"/>
      <c r="AI288" s="7"/>
    </row>
    <row r="289" spans="12:35">
      <c r="L289" s="7">
        <v>15</v>
      </c>
      <c r="M289" s="7">
        <v>59</v>
      </c>
      <c r="N289" s="7" t="b">
        <f>AND($N$5,$N$7,4&lt;=$M$5,8&lt;=$M$7)</f>
        <v>0</v>
      </c>
      <c r="O289" s="7">
        <f>(P15-N15)*(O59-O15)-(Q15-O15)*(N59-N15)</f>
        <v>0</v>
      </c>
      <c r="P289" s="7">
        <f>(P15-N15)*(Q59-O15)-(Q15-O15)*(P59-N15)</f>
        <v>0</v>
      </c>
      <c r="Q289" s="7">
        <f>(P59-N59)*(O15-O59)-(Q59-O59)*(N15-N59)</f>
        <v>0</v>
      </c>
      <c r="R289" s="7">
        <f>(P59-N59)*(Q15-O59)-(Q59-O59)*(P15-N59)</f>
        <v>0</v>
      </c>
      <c r="S289" s="7">
        <f>IF(N289,IF(AND(O289*P289&lt;=0,Q289*R289&lt;=0,MAX(MIN(N15,P15),MIN(N59,P59))&lt;=MIN(MAX(N15,P15),MAX(N59,P59)),MAX(MIN(O15,Q15),MIN(O59,Q59))&lt;=MIN(MAX(O15,Q15),MAX(O59,Q59))),1,0),0)</f>
        <v>0</v>
      </c>
      <c r="T289" s="7"/>
      <c r="U289" s="7"/>
      <c r="V289" s="7"/>
      <c r="W289" s="7"/>
      <c r="X289" s="7"/>
      <c r="Y289" s="7"/>
      <c r="Z289" s="7"/>
      <c r="AA289" s="7"/>
      <c r="AB289" s="7"/>
      <c r="AC289" s="7"/>
      <c r="AD289" s="7"/>
      <c r="AE289" s="7"/>
      <c r="AF289" s="7"/>
      <c r="AG289" s="7"/>
      <c r="AH289" s="7"/>
      <c r="AI289" s="7"/>
    </row>
    <row r="290" spans="12:35">
      <c r="L290" s="7">
        <v>15</v>
      </c>
      <c r="M290" s="7">
        <v>60</v>
      </c>
      <c r="N290" s="7" t="b">
        <f>AND($N$5,$N$7,4&lt;=$M$5,9&lt;=$M$7)</f>
        <v>0</v>
      </c>
      <c r="O290" s="7">
        <f>(P15-N15)*(O60-O15)-(Q15-O15)*(N60-N15)</f>
        <v>0</v>
      </c>
      <c r="P290" s="7">
        <f>(P15-N15)*(Q60-O15)-(Q15-O15)*(P60-N15)</f>
        <v>0</v>
      </c>
      <c r="Q290" s="7">
        <f>(P60-N60)*(O15-O60)-(Q60-O60)*(N15-N60)</f>
        <v>0</v>
      </c>
      <c r="R290" s="7">
        <f>(P60-N60)*(Q15-O60)-(Q60-O60)*(P15-N60)</f>
        <v>0</v>
      </c>
      <c r="S290" s="7">
        <f>IF(N290,IF(AND(O290*P290&lt;=0,Q290*R290&lt;=0,MAX(MIN(N15,P15),MIN(N60,P60))&lt;=MIN(MAX(N15,P15),MAX(N60,P60)),MAX(MIN(O15,Q15),MIN(O60,Q60))&lt;=MIN(MAX(O15,Q15),MAX(O60,Q60))),1,0),0)</f>
        <v>0</v>
      </c>
      <c r="T290" s="7"/>
      <c r="U290" s="7"/>
      <c r="V290" s="7"/>
      <c r="W290" s="7"/>
      <c r="X290" s="7"/>
      <c r="Y290" s="7"/>
      <c r="Z290" s="7"/>
      <c r="AA290" s="7"/>
      <c r="AB290" s="7"/>
      <c r="AC290" s="7"/>
      <c r="AD290" s="7"/>
      <c r="AE290" s="7"/>
      <c r="AF290" s="7"/>
      <c r="AG290" s="7"/>
      <c r="AH290" s="7"/>
      <c r="AI290" s="7"/>
    </row>
    <row r="291" spans="12:35">
      <c r="L291" s="7">
        <v>15</v>
      </c>
      <c r="M291" s="7">
        <v>61</v>
      </c>
      <c r="N291" s="7" t="b">
        <f>AND($N$5,$N$7,4&lt;=$M$5,10&lt;=$M$7)</f>
        <v>0</v>
      </c>
      <c r="O291" s="7">
        <f>(P15-N15)*(O61-O15)-(Q15-O15)*(N61-N15)</f>
        <v>0</v>
      </c>
      <c r="P291" s="7">
        <f>(P15-N15)*(Q61-O15)-(Q15-O15)*(P61-N15)</f>
        <v>0</v>
      </c>
      <c r="Q291" s="7">
        <f>(P61-N61)*(O15-O61)-(Q61-O61)*(N15-N61)</f>
        <v>0</v>
      </c>
      <c r="R291" s="7">
        <f>(P61-N61)*(Q15-O61)-(Q61-O61)*(P15-N61)</f>
        <v>0</v>
      </c>
      <c r="S291" s="7">
        <f>IF(N291,IF(AND(O291*P291&lt;=0,Q291*R291&lt;=0,MAX(MIN(N15,P15),MIN(N61,P61))&lt;=MIN(MAX(N15,P15),MAX(N61,P61)),MAX(MIN(O15,Q15),MIN(O61,Q61))&lt;=MIN(MAX(O15,Q15),MAX(O61,Q61))),1,0),0)</f>
        <v>0</v>
      </c>
      <c r="T291" s="7"/>
      <c r="U291" s="7"/>
      <c r="V291" s="7"/>
      <c r="W291" s="7"/>
      <c r="X291" s="7"/>
      <c r="Y291" s="7"/>
      <c r="Z291" s="7"/>
      <c r="AA291" s="7"/>
      <c r="AB291" s="7"/>
      <c r="AC291" s="7"/>
      <c r="AD291" s="7"/>
      <c r="AE291" s="7"/>
      <c r="AF291" s="7"/>
      <c r="AG291" s="7"/>
      <c r="AH291" s="7"/>
      <c r="AI291" s="7"/>
    </row>
    <row r="292" spans="12:35">
      <c r="L292" s="7">
        <v>15</v>
      </c>
      <c r="M292" s="7">
        <v>62</v>
      </c>
      <c r="N292" s="7" t="b">
        <f>AND($N$5,$N$7,4&lt;=$M$5,11&lt;=$M$7)</f>
        <v>0</v>
      </c>
      <c r="O292" s="7">
        <f>(P15-N15)*(O62-O15)-(Q15-O15)*(N62-N15)</f>
        <v>0</v>
      </c>
      <c r="P292" s="7">
        <f>(P15-N15)*(Q62-O15)-(Q15-O15)*(P62-N15)</f>
        <v>0</v>
      </c>
      <c r="Q292" s="7">
        <f>(P62-N62)*(O15-O62)-(Q62-O62)*(N15-N62)</f>
        <v>0</v>
      </c>
      <c r="R292" s="7">
        <f>(P62-N62)*(Q15-O62)-(Q62-O62)*(P15-N62)</f>
        <v>0</v>
      </c>
      <c r="S292" s="7">
        <f>IF(N292,IF(AND(O292*P292&lt;=0,Q292*R292&lt;=0,MAX(MIN(N15,P15),MIN(N62,P62))&lt;=MIN(MAX(N15,P15),MAX(N62,P62)),MAX(MIN(O15,Q15),MIN(O62,Q62))&lt;=MIN(MAX(O15,Q15),MAX(O62,Q62))),1,0),0)</f>
        <v>0</v>
      </c>
      <c r="T292" s="7"/>
      <c r="U292" s="7"/>
      <c r="V292" s="7"/>
      <c r="W292" s="7"/>
      <c r="X292" s="7"/>
      <c r="Y292" s="7"/>
      <c r="Z292" s="7"/>
      <c r="AA292" s="7"/>
      <c r="AB292" s="7"/>
      <c r="AC292" s="7"/>
      <c r="AD292" s="7"/>
      <c r="AE292" s="7"/>
      <c r="AF292" s="7"/>
      <c r="AG292" s="7"/>
      <c r="AH292" s="7"/>
      <c r="AI292" s="7"/>
    </row>
    <row r="293" spans="12:35">
      <c r="L293" s="7">
        <v>15</v>
      </c>
      <c r="M293" s="7">
        <v>63</v>
      </c>
      <c r="N293" s="7" t="b">
        <f>AND($N$5,$N$7,4&lt;=$M$5,12&lt;=$M$7)</f>
        <v>0</v>
      </c>
      <c r="O293" s="7">
        <f>(P15-N15)*(O63-O15)-(Q15-O15)*(N63-N15)</f>
        <v>0</v>
      </c>
      <c r="P293" s="7">
        <f>(P15-N15)*(Q63-O15)-(Q15-O15)*(P63-N15)</f>
        <v>0</v>
      </c>
      <c r="Q293" s="7">
        <f>(P63-N63)*(O15-O63)-(Q63-O63)*(N15-N63)</f>
        <v>0</v>
      </c>
      <c r="R293" s="7">
        <f>(P63-N63)*(Q15-O63)-(Q63-O63)*(P15-N63)</f>
        <v>0</v>
      </c>
      <c r="S293" s="7">
        <f>IF(N293,IF(AND(O293*P293&lt;=0,Q293*R293&lt;=0,MAX(MIN(N15,P15),MIN(N63,P63))&lt;=MIN(MAX(N15,P15),MAX(N63,P63)),MAX(MIN(O15,Q15),MIN(O63,Q63))&lt;=MIN(MAX(O15,Q15),MAX(O63,Q63))),1,0),0)</f>
        <v>0</v>
      </c>
      <c r="T293" s="7"/>
      <c r="U293" s="7"/>
      <c r="V293" s="7"/>
      <c r="W293" s="7"/>
      <c r="X293" s="7"/>
      <c r="Y293" s="7"/>
      <c r="Z293" s="7"/>
      <c r="AA293" s="7"/>
      <c r="AB293" s="7"/>
      <c r="AC293" s="7"/>
      <c r="AD293" s="7"/>
      <c r="AE293" s="7"/>
      <c r="AF293" s="7"/>
      <c r="AG293" s="7"/>
      <c r="AH293" s="7"/>
      <c r="AI293" s="7"/>
    </row>
    <row r="294" spans="12:35">
      <c r="L294" s="7">
        <v>15</v>
      </c>
      <c r="M294" s="7">
        <v>64</v>
      </c>
      <c r="N294" s="7" t="b">
        <f>AND($N$5,$N$7,4&lt;=$M$5,13&lt;=$M$7)</f>
        <v>0</v>
      </c>
      <c r="O294" s="7">
        <f>(P15-N15)*(O64-O15)-(Q15-O15)*(N64-N15)</f>
        <v>0</v>
      </c>
      <c r="P294" s="7">
        <f>(P15-N15)*(Q64-O15)-(Q15-O15)*(P64-N15)</f>
        <v>0</v>
      </c>
      <c r="Q294" s="7">
        <f>(P64-N64)*(O15-O64)-(Q64-O64)*(N15-N64)</f>
        <v>0</v>
      </c>
      <c r="R294" s="7">
        <f>(P64-N64)*(Q15-O64)-(Q64-O64)*(P15-N64)</f>
        <v>0</v>
      </c>
      <c r="S294" s="7">
        <f>IF(N294,IF(AND(O294*P294&lt;=0,Q294*R294&lt;=0,MAX(MIN(N15,P15),MIN(N64,P64))&lt;=MIN(MAX(N15,P15),MAX(N64,P64)),MAX(MIN(O15,Q15),MIN(O64,Q64))&lt;=MIN(MAX(O15,Q15),MAX(O64,Q64))),1,0),0)</f>
        <v>0</v>
      </c>
      <c r="T294" s="7"/>
      <c r="U294" s="7"/>
      <c r="V294" s="7"/>
      <c r="W294" s="7"/>
      <c r="X294" s="7"/>
      <c r="Y294" s="7"/>
      <c r="Z294" s="7"/>
      <c r="AA294" s="7"/>
      <c r="AB294" s="7"/>
      <c r="AC294" s="7"/>
      <c r="AD294" s="7"/>
      <c r="AE294" s="7"/>
      <c r="AF294" s="7"/>
      <c r="AG294" s="7"/>
      <c r="AH294" s="7"/>
      <c r="AI294" s="7"/>
    </row>
    <row r="295" spans="12:35">
      <c r="L295" s="7">
        <v>15</v>
      </c>
      <c r="M295" s="7">
        <v>65</v>
      </c>
      <c r="N295" s="7" t="b">
        <f>AND($N$5,$N$7,4&lt;=$M$5,14&lt;=$M$7)</f>
        <v>0</v>
      </c>
      <c r="O295" s="7">
        <f>(P15-N15)*(O65-O15)-(Q15-O15)*(N65-N15)</f>
        <v>0</v>
      </c>
      <c r="P295" s="7">
        <f>(P15-N15)*(Q65-O15)-(Q15-O15)*(P65-N15)</f>
        <v>0</v>
      </c>
      <c r="Q295" s="7">
        <f>(P65-N65)*(O15-O65)-(Q65-O65)*(N15-N65)</f>
        <v>0</v>
      </c>
      <c r="R295" s="7">
        <f>(P65-N65)*(Q15-O65)-(Q65-O65)*(P15-N65)</f>
        <v>0</v>
      </c>
      <c r="S295" s="7">
        <f>IF(N295,IF(AND(O295*P295&lt;=0,Q295*R295&lt;=0,MAX(MIN(N15,P15),MIN(N65,P65))&lt;=MIN(MAX(N15,P15),MAX(N65,P65)),MAX(MIN(O15,Q15),MIN(O65,Q65))&lt;=MIN(MAX(O15,Q15),MAX(O65,Q65))),1,0),0)</f>
        <v>0</v>
      </c>
      <c r="T295" s="7"/>
      <c r="U295" s="7"/>
      <c r="V295" s="7"/>
      <c r="W295" s="7"/>
      <c r="X295" s="7"/>
      <c r="Y295" s="7"/>
      <c r="Z295" s="7"/>
      <c r="AA295" s="7"/>
      <c r="AB295" s="7"/>
      <c r="AC295" s="7"/>
      <c r="AD295" s="7"/>
      <c r="AE295" s="7"/>
      <c r="AF295" s="7"/>
      <c r="AG295" s="7"/>
      <c r="AH295" s="7"/>
      <c r="AI295" s="7"/>
    </row>
    <row r="296" spans="12:35">
      <c r="L296" s="7">
        <v>15</v>
      </c>
      <c r="M296" s="7">
        <v>66</v>
      </c>
      <c r="N296" s="7" t="b">
        <f>AND($N$5,$N$7,4&lt;=$M$5,15&lt;=$M$7)</f>
        <v>0</v>
      </c>
      <c r="O296" s="7">
        <f>(P15-N15)*(O66-O15)-(Q15-O15)*(N66-N15)</f>
        <v>0</v>
      </c>
      <c r="P296" s="7">
        <f>(P15-N15)*(Q66-O15)-(Q15-O15)*(P66-N15)</f>
        <v>0</v>
      </c>
      <c r="Q296" s="7">
        <f>(P66-N66)*(O15-O66)-(Q66-O66)*(N15-N66)</f>
        <v>0</v>
      </c>
      <c r="R296" s="7">
        <f>(P66-N66)*(Q15-O66)-(Q66-O66)*(P15-N66)</f>
        <v>0</v>
      </c>
      <c r="S296" s="7">
        <f>IF(N296,IF(AND(O296*P296&lt;=0,Q296*R296&lt;=0,MAX(MIN(N15,P15),MIN(N66,P66))&lt;=MIN(MAX(N15,P15),MAX(N66,P66)),MAX(MIN(O15,Q15),MIN(O66,Q66))&lt;=MIN(MAX(O15,Q15),MAX(O66,Q66))),1,0),0)</f>
        <v>0</v>
      </c>
      <c r="T296" s="7"/>
      <c r="U296" s="7"/>
      <c r="V296" s="7"/>
      <c r="W296" s="7"/>
      <c r="X296" s="7"/>
      <c r="Y296" s="7"/>
      <c r="Z296" s="7"/>
      <c r="AA296" s="7"/>
      <c r="AB296" s="7"/>
      <c r="AC296" s="7"/>
      <c r="AD296" s="7"/>
      <c r="AE296" s="7"/>
      <c r="AF296" s="7"/>
      <c r="AG296" s="7"/>
      <c r="AH296" s="7"/>
      <c r="AI296" s="7"/>
    </row>
    <row r="297" spans="12:35">
      <c r="L297" s="7">
        <v>15</v>
      </c>
      <c r="M297" s="7">
        <v>67</v>
      </c>
      <c r="N297" s="7" t="b">
        <f>AND($N$5,$N$7,4&lt;=$M$5,16&lt;=$M$7)</f>
        <v>0</v>
      </c>
      <c r="O297" s="7">
        <f>(P15-N15)*(O67-O15)-(Q15-O15)*(N67-N15)</f>
        <v>0</v>
      </c>
      <c r="P297" s="7">
        <f>(P15-N15)*(Q67-O15)-(Q15-O15)*(P67-N15)</f>
        <v>0</v>
      </c>
      <c r="Q297" s="7">
        <f>(P67-N67)*(O15-O67)-(Q67-O67)*(N15-N67)</f>
        <v>0</v>
      </c>
      <c r="R297" s="7">
        <f>(P67-N67)*(Q15-O67)-(Q67-O67)*(P15-N67)</f>
        <v>0</v>
      </c>
      <c r="S297" s="7">
        <f>IF(N297,IF(AND(O297*P297&lt;=0,Q297*R297&lt;=0,MAX(MIN(N15,P15),MIN(N67,P67))&lt;=MIN(MAX(N15,P15),MAX(N67,P67)),MAX(MIN(O15,Q15),MIN(O67,Q67))&lt;=MIN(MAX(O15,Q15),MAX(O67,Q67))),1,0),0)</f>
        <v>0</v>
      </c>
      <c r="T297" s="7"/>
      <c r="U297" s="7"/>
      <c r="V297" s="7"/>
      <c r="W297" s="7"/>
      <c r="X297" s="7"/>
      <c r="Y297" s="7"/>
      <c r="Z297" s="7"/>
      <c r="AA297" s="7"/>
      <c r="AB297" s="7"/>
      <c r="AC297" s="7"/>
      <c r="AD297" s="7"/>
      <c r="AE297" s="7"/>
      <c r="AF297" s="7"/>
      <c r="AG297" s="7"/>
      <c r="AH297" s="7"/>
      <c r="AI297" s="7"/>
    </row>
    <row r="298" spans="12:35">
      <c r="L298" s="7">
        <v>15</v>
      </c>
      <c r="M298" s="7">
        <v>68</v>
      </c>
      <c r="N298" s="7" t="b">
        <f>AND($N$5,$N$7,4&lt;=$M$5,17&lt;=$M$7)</f>
        <v>0</v>
      </c>
      <c r="O298" s="7">
        <f>(P15-N15)*(O68-O15)-(Q15-O15)*(N68-N15)</f>
        <v>0</v>
      </c>
      <c r="P298" s="7">
        <f>(P15-N15)*(Q68-O15)-(Q15-O15)*(P68-N15)</f>
        <v>0</v>
      </c>
      <c r="Q298" s="7">
        <f>(P68-N68)*(O15-O68)-(Q68-O68)*(N15-N68)</f>
        <v>0</v>
      </c>
      <c r="R298" s="7">
        <f>(P68-N68)*(Q15-O68)-(Q68-O68)*(P15-N68)</f>
        <v>0</v>
      </c>
      <c r="S298" s="7">
        <f>IF(N298,IF(AND(O298*P298&lt;=0,Q298*R298&lt;=0,MAX(MIN(N15,P15),MIN(N68,P68))&lt;=MIN(MAX(N15,P15),MAX(N68,P68)),MAX(MIN(O15,Q15),MIN(O68,Q68))&lt;=MIN(MAX(O15,Q15),MAX(O68,Q68))),1,0),0)</f>
        <v>0</v>
      </c>
      <c r="T298" s="7"/>
      <c r="U298" s="7"/>
      <c r="V298" s="7"/>
      <c r="W298" s="7"/>
      <c r="X298" s="7"/>
      <c r="Y298" s="7"/>
      <c r="Z298" s="7"/>
      <c r="AA298" s="7"/>
      <c r="AB298" s="7"/>
      <c r="AC298" s="7"/>
      <c r="AD298" s="7"/>
      <c r="AE298" s="7"/>
      <c r="AF298" s="7"/>
      <c r="AG298" s="7"/>
      <c r="AH298" s="7"/>
      <c r="AI298" s="7"/>
    </row>
    <row r="299" spans="12:35">
      <c r="L299" s="7">
        <v>15</v>
      </c>
      <c r="M299" s="7">
        <v>69</v>
      </c>
      <c r="N299" s="7" t="b">
        <f>AND($N$5,$N$7,4&lt;=$M$5,18&lt;=$M$7)</f>
        <v>0</v>
      </c>
      <c r="O299" s="7">
        <f>(P15-N15)*(O69-O15)-(Q15-O15)*(N69-N15)</f>
        <v>0</v>
      </c>
      <c r="P299" s="7">
        <f>(P15-N15)*(Q69-O15)-(Q15-O15)*(P69-N15)</f>
        <v>0</v>
      </c>
      <c r="Q299" s="7">
        <f>(P69-N69)*(O15-O69)-(Q69-O69)*(N15-N69)</f>
        <v>0</v>
      </c>
      <c r="R299" s="7">
        <f>(P69-N69)*(Q15-O69)-(Q69-O69)*(P15-N69)</f>
        <v>0</v>
      </c>
      <c r="S299" s="7">
        <f>IF(N299,IF(AND(O299*P299&lt;=0,Q299*R299&lt;=0,MAX(MIN(N15,P15),MIN(N69,P69))&lt;=MIN(MAX(N15,P15),MAX(N69,P69)),MAX(MIN(O15,Q15),MIN(O69,Q69))&lt;=MIN(MAX(O15,Q15),MAX(O69,Q69))),1,0),0)</f>
        <v>0</v>
      </c>
      <c r="T299" s="7"/>
      <c r="U299" s="7"/>
      <c r="V299" s="7"/>
      <c r="W299" s="7"/>
      <c r="X299" s="7"/>
      <c r="Y299" s="7"/>
      <c r="Z299" s="7"/>
      <c r="AA299" s="7"/>
      <c r="AB299" s="7"/>
      <c r="AC299" s="7"/>
      <c r="AD299" s="7"/>
      <c r="AE299" s="7"/>
      <c r="AF299" s="7"/>
      <c r="AG299" s="7"/>
      <c r="AH299" s="7"/>
      <c r="AI299" s="7"/>
    </row>
    <row r="300" spans="12:35">
      <c r="L300" s="7">
        <v>15</v>
      </c>
      <c r="M300" s="7">
        <v>70</v>
      </c>
      <c r="N300" s="7" t="b">
        <f>AND($N$5,$N$7,4&lt;=$M$5,19&lt;=$M$7)</f>
        <v>0</v>
      </c>
      <c r="O300" s="7">
        <f>(P15-N15)*(O70-O15)-(Q15-O15)*(N70-N15)</f>
        <v>0</v>
      </c>
      <c r="P300" s="7">
        <f>(P15-N15)*(Q70-O15)-(Q15-O15)*(P70-N15)</f>
        <v>0</v>
      </c>
      <c r="Q300" s="7">
        <f>(P70-N70)*(O15-O70)-(Q70-O70)*(N15-N70)</f>
        <v>0</v>
      </c>
      <c r="R300" s="7">
        <f>(P70-N70)*(Q15-O70)-(Q70-O70)*(P15-N70)</f>
        <v>0</v>
      </c>
      <c r="S300" s="7">
        <f>IF(N300,IF(AND(O300*P300&lt;=0,Q300*R300&lt;=0,MAX(MIN(N15,P15),MIN(N70,P70))&lt;=MIN(MAX(N15,P15),MAX(N70,P70)),MAX(MIN(O15,Q15),MIN(O70,Q70))&lt;=MIN(MAX(O15,Q15),MAX(O70,Q70))),1,0),0)</f>
        <v>0</v>
      </c>
      <c r="T300" s="7"/>
      <c r="U300" s="7"/>
      <c r="V300" s="7"/>
      <c r="W300" s="7"/>
      <c r="X300" s="7"/>
      <c r="Y300" s="7"/>
      <c r="Z300" s="7"/>
      <c r="AA300" s="7"/>
      <c r="AB300" s="7"/>
      <c r="AC300" s="7"/>
      <c r="AD300" s="7"/>
      <c r="AE300" s="7"/>
      <c r="AF300" s="7"/>
      <c r="AG300" s="7"/>
      <c r="AH300" s="7"/>
      <c r="AI300" s="7"/>
    </row>
    <row r="301" spans="12:35">
      <c r="L301" s="7">
        <v>15</v>
      </c>
      <c r="M301" s="7">
        <v>71</v>
      </c>
      <c r="N301" s="7" t="b">
        <f>AND($N$5,$N$7,4&lt;=$M$5,20&lt;=$M$7)</f>
        <v>0</v>
      </c>
      <c r="O301" s="7">
        <f>(P15-N15)*(O71-O15)-(Q15-O15)*(N71-N15)</f>
        <v>0</v>
      </c>
      <c r="P301" s="7">
        <f>(P15-N15)*(Q71-O15)-(Q15-O15)*(P71-N15)</f>
        <v>0</v>
      </c>
      <c r="Q301" s="7">
        <f>(P71-N71)*(O15-O71)-(Q71-O71)*(N15-N71)</f>
        <v>0</v>
      </c>
      <c r="R301" s="7">
        <f>(P71-N71)*(Q15-O71)-(Q71-O71)*(P15-N71)</f>
        <v>0</v>
      </c>
      <c r="S301" s="7">
        <f>IF(N301,IF(AND(O301*P301&lt;=0,Q301*R301&lt;=0,MAX(MIN(N15,P15),MIN(N71,P71))&lt;=MIN(MAX(N15,P15),MAX(N71,P71)),MAX(MIN(O15,Q15),MIN(O71,Q71))&lt;=MIN(MAX(O15,Q15),MAX(O71,Q71))),1,0),0)</f>
        <v>0</v>
      </c>
      <c r="T301" s="7"/>
      <c r="U301" s="7"/>
      <c r="V301" s="7"/>
      <c r="W301" s="7"/>
      <c r="X301" s="7"/>
      <c r="Y301" s="7"/>
      <c r="Z301" s="7"/>
      <c r="AA301" s="7"/>
      <c r="AB301" s="7"/>
      <c r="AC301" s="7"/>
      <c r="AD301" s="7"/>
      <c r="AE301" s="7"/>
      <c r="AF301" s="7"/>
      <c r="AG301" s="7"/>
      <c r="AH301" s="7"/>
      <c r="AI301" s="7"/>
    </row>
    <row r="302" spans="12:35">
      <c r="L302" s="7">
        <v>16</v>
      </c>
      <c r="M302" s="7">
        <v>18</v>
      </c>
      <c r="N302" s="7" t="b">
        <f>AND($N$5,$N$5,5&lt;=$M$5,7&lt;=$M$5)</f>
        <v>0</v>
      </c>
      <c r="O302" s="7">
        <f>(P16-N16)*(O18-O16)-(Q16-O16)*(N18-N16)</f>
        <v>0</v>
      </c>
      <c r="P302" s="7">
        <f>(P16-N16)*(Q18-O16)-(Q16-O16)*(P18-N16)</f>
        <v>0</v>
      </c>
      <c r="Q302" s="7">
        <f>(P18-N18)*(O16-O18)-(Q18-O18)*(N16-N18)</f>
        <v>0</v>
      </c>
      <c r="R302" s="7">
        <f>(P18-N18)*(Q16-O18)-(Q18-O18)*(P16-N18)</f>
        <v>0</v>
      </c>
      <c r="S302" s="7">
        <f>IF(N302,IF(AND(O302*P302&lt;=0,Q302*R302&lt;=0,MAX(MIN(N16,P16),MIN(N18,P18))&lt;=MIN(MAX(N16,P16),MAX(N18,P18)),MAX(MIN(O16,Q16),MIN(O18,Q18))&lt;=MIN(MAX(O16,Q16),MAX(O18,Q18))),1,0),0)</f>
        <v>0</v>
      </c>
      <c r="T302" s="7"/>
      <c r="U302" s="7"/>
      <c r="V302" s="7"/>
      <c r="W302" s="7"/>
      <c r="X302" s="7"/>
      <c r="Y302" s="7"/>
      <c r="Z302" s="7"/>
      <c r="AA302" s="7"/>
      <c r="AB302" s="7"/>
      <c r="AC302" s="7"/>
      <c r="AD302" s="7"/>
      <c r="AE302" s="7"/>
      <c r="AF302" s="7"/>
      <c r="AG302" s="7"/>
      <c r="AH302" s="7"/>
      <c r="AI302" s="7"/>
    </row>
    <row r="303" spans="12:35">
      <c r="L303" s="7">
        <v>16</v>
      </c>
      <c r="M303" s="7">
        <v>19</v>
      </c>
      <c r="N303" s="7" t="b">
        <f>AND($N$5,$N$5,5&lt;=$M$5,8&lt;=$M$5)</f>
        <v>0</v>
      </c>
      <c r="O303" s="7">
        <f>(P16-N16)*(O19-O16)-(Q16-O16)*(N19-N16)</f>
        <v>0</v>
      </c>
      <c r="P303" s="7">
        <f>(P16-N16)*(Q19-O16)-(Q16-O16)*(P19-N16)</f>
        <v>0</v>
      </c>
      <c r="Q303" s="7">
        <f>(P19-N19)*(O16-O19)-(Q19-O19)*(N16-N19)</f>
        <v>0</v>
      </c>
      <c r="R303" s="7">
        <f>(P19-N19)*(Q16-O19)-(Q19-O19)*(P16-N19)</f>
        <v>0</v>
      </c>
      <c r="S303" s="7">
        <f>IF(N303,IF(AND(O303*P303&lt;=0,Q303*R303&lt;=0,MAX(MIN(N16,P16),MIN(N19,P19))&lt;=MIN(MAX(N16,P16),MAX(N19,P19)),MAX(MIN(O16,Q16),MIN(O19,Q19))&lt;=MIN(MAX(O16,Q16),MAX(O19,Q19))),1,0),0)</f>
        <v>0</v>
      </c>
      <c r="T303" s="7"/>
      <c r="U303" s="7"/>
      <c r="V303" s="7"/>
      <c r="W303" s="7"/>
      <c r="X303" s="7"/>
      <c r="Y303" s="7"/>
      <c r="Z303" s="7"/>
      <c r="AA303" s="7"/>
      <c r="AB303" s="7"/>
      <c r="AC303" s="7"/>
      <c r="AD303" s="7"/>
      <c r="AE303" s="7"/>
      <c r="AF303" s="7"/>
      <c r="AG303" s="7"/>
      <c r="AH303" s="7"/>
      <c r="AI303" s="7"/>
    </row>
    <row r="304" spans="12:35">
      <c r="L304" s="7">
        <v>16</v>
      </c>
      <c r="M304" s="7">
        <v>20</v>
      </c>
      <c r="N304" s="7" t="b">
        <f>AND($N$5,$N$5,5&lt;=$M$5,9&lt;=$M$5)</f>
        <v>0</v>
      </c>
      <c r="O304" s="7">
        <f>(P16-N16)*(O20-O16)-(Q16-O16)*(N20-N16)</f>
        <v>0</v>
      </c>
      <c r="P304" s="7">
        <f>(P16-N16)*(Q20-O16)-(Q16-O16)*(P20-N16)</f>
        <v>0</v>
      </c>
      <c r="Q304" s="7">
        <f>(P20-N20)*(O16-O20)-(Q20-O20)*(N16-N20)</f>
        <v>0</v>
      </c>
      <c r="R304" s="7">
        <f>(P20-N20)*(Q16-O20)-(Q20-O20)*(P16-N20)</f>
        <v>0</v>
      </c>
      <c r="S304" s="7">
        <f>IF(N304,IF(AND(O304*P304&lt;=0,Q304*R304&lt;=0,MAX(MIN(N16,P16),MIN(N20,P20))&lt;=MIN(MAX(N16,P16),MAX(N20,P20)),MAX(MIN(O16,Q16),MIN(O20,Q20))&lt;=MIN(MAX(O16,Q16),MAX(O20,Q20))),1,0),0)</f>
        <v>0</v>
      </c>
      <c r="T304" s="7"/>
      <c r="U304" s="7"/>
      <c r="V304" s="7"/>
      <c r="W304" s="7"/>
      <c r="X304" s="7"/>
      <c r="Y304" s="7"/>
      <c r="Z304" s="7"/>
      <c r="AA304" s="7"/>
      <c r="AB304" s="7"/>
      <c r="AC304" s="7"/>
      <c r="AD304" s="7"/>
      <c r="AE304" s="7"/>
      <c r="AF304" s="7"/>
      <c r="AG304" s="7"/>
      <c r="AH304" s="7"/>
      <c r="AI304" s="7"/>
    </row>
    <row r="305" spans="12:35">
      <c r="L305" s="7">
        <v>16</v>
      </c>
      <c r="M305" s="7">
        <v>21</v>
      </c>
      <c r="N305" s="7" t="b">
        <f>AND($N$5,$N$5,5&lt;=$M$5,10&lt;=$M$5)</f>
        <v>0</v>
      </c>
      <c r="O305" s="7">
        <f>(P16-N16)*(O21-O16)-(Q16-O16)*(N21-N16)</f>
        <v>0</v>
      </c>
      <c r="P305" s="7">
        <f>(P16-N16)*(Q21-O16)-(Q16-O16)*(P21-N16)</f>
        <v>0</v>
      </c>
      <c r="Q305" s="7">
        <f>(P21-N21)*(O16-O21)-(Q21-O21)*(N16-N21)</f>
        <v>0</v>
      </c>
      <c r="R305" s="7">
        <f>(P21-N21)*(Q16-O21)-(Q21-O21)*(P16-N21)</f>
        <v>0</v>
      </c>
      <c r="S305" s="7">
        <f>IF(N305,IF(AND(O305*P305&lt;=0,Q305*R305&lt;=0,MAX(MIN(N16,P16),MIN(N21,P21))&lt;=MIN(MAX(N16,P16),MAX(N21,P21)),MAX(MIN(O16,Q16),MIN(O21,Q21))&lt;=MIN(MAX(O16,Q16),MAX(O21,Q21))),1,0),0)</f>
        <v>0</v>
      </c>
      <c r="T305" s="7"/>
      <c r="U305" s="7"/>
      <c r="V305" s="7"/>
      <c r="W305" s="7"/>
      <c r="X305" s="7"/>
      <c r="Y305" s="7"/>
      <c r="Z305" s="7"/>
      <c r="AA305" s="7"/>
      <c r="AB305" s="7"/>
      <c r="AC305" s="7"/>
      <c r="AD305" s="7"/>
      <c r="AE305" s="7"/>
      <c r="AF305" s="7"/>
      <c r="AG305" s="7"/>
      <c r="AH305" s="7"/>
      <c r="AI305" s="7"/>
    </row>
    <row r="306" spans="12:35">
      <c r="L306" s="7">
        <v>16</v>
      </c>
      <c r="M306" s="7">
        <v>22</v>
      </c>
      <c r="N306" s="7" t="b">
        <f>AND($N$5,$N$5,5&lt;=$M$5,11&lt;=$M$5)</f>
        <v>0</v>
      </c>
      <c r="O306" s="7">
        <f>(P16-N16)*(O22-O16)-(Q16-O16)*(N22-N16)</f>
        <v>0</v>
      </c>
      <c r="P306" s="7">
        <f>(P16-N16)*(Q22-O16)-(Q16-O16)*(P22-N16)</f>
        <v>0</v>
      </c>
      <c r="Q306" s="7">
        <f>(P22-N22)*(O16-O22)-(Q22-O22)*(N16-N22)</f>
        <v>0</v>
      </c>
      <c r="R306" s="7">
        <f>(P22-N22)*(Q16-O22)-(Q22-O22)*(P16-N22)</f>
        <v>0</v>
      </c>
      <c r="S306" s="7">
        <f>IF(N306,IF(AND(O306*P306&lt;=0,Q306*R306&lt;=0,MAX(MIN(N16,P16),MIN(N22,P22))&lt;=MIN(MAX(N16,P16),MAX(N22,P22)),MAX(MIN(O16,Q16),MIN(O22,Q22))&lt;=MIN(MAX(O16,Q16),MAX(O22,Q22))),1,0),0)</f>
        <v>0</v>
      </c>
      <c r="T306" s="7"/>
      <c r="U306" s="7"/>
      <c r="V306" s="7"/>
      <c r="W306" s="7"/>
      <c r="X306" s="7"/>
      <c r="Y306" s="7"/>
      <c r="Z306" s="7"/>
      <c r="AA306" s="7"/>
      <c r="AB306" s="7"/>
      <c r="AC306" s="7"/>
      <c r="AD306" s="7"/>
      <c r="AE306" s="7"/>
      <c r="AF306" s="7"/>
      <c r="AG306" s="7"/>
      <c r="AH306" s="7"/>
      <c r="AI306" s="7"/>
    </row>
    <row r="307" spans="12:35">
      <c r="L307" s="7">
        <v>16</v>
      </c>
      <c r="M307" s="7">
        <v>23</v>
      </c>
      <c r="N307" s="7" t="b">
        <f>AND($N$5,$N$5,5&lt;=$M$5,12&lt;=$M$5)</f>
        <v>0</v>
      </c>
      <c r="O307" s="7">
        <f>(P16-N16)*(O23-O16)-(Q16-O16)*(N23-N16)</f>
        <v>0</v>
      </c>
      <c r="P307" s="7">
        <f>(P16-N16)*(Q23-O16)-(Q16-O16)*(P23-N16)</f>
        <v>0</v>
      </c>
      <c r="Q307" s="7">
        <f>(P23-N23)*(O16-O23)-(Q23-O23)*(N16-N23)</f>
        <v>0</v>
      </c>
      <c r="R307" s="7">
        <f>(P23-N23)*(Q16-O23)-(Q23-O23)*(P16-N23)</f>
        <v>0</v>
      </c>
      <c r="S307" s="7">
        <f>IF(N307,IF(AND(O307*P307&lt;=0,Q307*R307&lt;=0,MAX(MIN(N16,P16),MIN(N23,P23))&lt;=MIN(MAX(N16,P16),MAX(N23,P23)),MAX(MIN(O16,Q16),MIN(O23,Q23))&lt;=MIN(MAX(O16,Q16),MAX(O23,Q23))),1,0),0)</f>
        <v>0</v>
      </c>
      <c r="T307" s="7"/>
      <c r="U307" s="7"/>
      <c r="V307" s="7"/>
      <c r="W307" s="7"/>
      <c r="X307" s="7"/>
      <c r="Y307" s="7"/>
      <c r="Z307" s="7"/>
      <c r="AA307" s="7"/>
      <c r="AB307" s="7"/>
      <c r="AC307" s="7"/>
      <c r="AD307" s="7"/>
      <c r="AE307" s="7"/>
      <c r="AF307" s="7"/>
      <c r="AG307" s="7"/>
      <c r="AH307" s="7"/>
      <c r="AI307" s="7"/>
    </row>
    <row r="308" spans="12:35">
      <c r="L308" s="7">
        <v>16</v>
      </c>
      <c r="M308" s="7">
        <v>24</v>
      </c>
      <c r="N308" s="7" t="b">
        <f>AND($N$5,$N$5,5&lt;=$M$5,13&lt;=$M$5)</f>
        <v>0</v>
      </c>
      <c r="O308" s="7">
        <f>(P16-N16)*(O24-O16)-(Q16-O16)*(N24-N16)</f>
        <v>0</v>
      </c>
      <c r="P308" s="7">
        <f>(P16-N16)*(Q24-O16)-(Q16-O16)*(P24-N16)</f>
        <v>0</v>
      </c>
      <c r="Q308" s="7">
        <f>(P24-N24)*(O16-O24)-(Q24-O24)*(N16-N24)</f>
        <v>0</v>
      </c>
      <c r="R308" s="7">
        <f>(P24-N24)*(Q16-O24)-(Q24-O24)*(P16-N24)</f>
        <v>0</v>
      </c>
      <c r="S308" s="7">
        <f>IF(N308,IF(AND(O308*P308&lt;=0,Q308*R308&lt;=0,MAX(MIN(N16,P16),MIN(N24,P24))&lt;=MIN(MAX(N16,P16),MAX(N24,P24)),MAX(MIN(O16,Q16),MIN(O24,Q24))&lt;=MIN(MAX(O16,Q16),MAX(O24,Q24))),1,0),0)</f>
        <v>0</v>
      </c>
      <c r="T308" s="7"/>
      <c r="U308" s="7"/>
      <c r="V308" s="7"/>
      <c r="W308" s="7"/>
      <c r="X308" s="7"/>
      <c r="Y308" s="7"/>
      <c r="Z308" s="7"/>
      <c r="AA308" s="7"/>
      <c r="AB308" s="7"/>
      <c r="AC308" s="7"/>
      <c r="AD308" s="7"/>
      <c r="AE308" s="7"/>
      <c r="AF308" s="7"/>
      <c r="AG308" s="7"/>
      <c r="AH308" s="7"/>
      <c r="AI308" s="7"/>
    </row>
    <row r="309" spans="12:35">
      <c r="L309" s="7">
        <v>16</v>
      </c>
      <c r="M309" s="7">
        <v>25</v>
      </c>
      <c r="N309" s="7" t="b">
        <f>AND($N$5,$N$5,5&lt;=$M$5,14&lt;=$M$5)</f>
        <v>0</v>
      </c>
      <c r="O309" s="7">
        <f>(P16-N16)*(O25-O16)-(Q16-O16)*(N25-N16)</f>
        <v>0</v>
      </c>
      <c r="P309" s="7">
        <f>(P16-N16)*(Q25-O16)-(Q16-O16)*(P25-N16)</f>
        <v>0</v>
      </c>
      <c r="Q309" s="7">
        <f>(P25-N25)*(O16-O25)-(Q25-O25)*(N16-N25)</f>
        <v>0</v>
      </c>
      <c r="R309" s="7">
        <f>(P25-N25)*(Q16-O25)-(Q25-O25)*(P16-N25)</f>
        <v>0</v>
      </c>
      <c r="S309" s="7">
        <f>IF(N309,IF(AND(O309*P309&lt;=0,Q309*R309&lt;=0,MAX(MIN(N16,P16),MIN(N25,P25))&lt;=MIN(MAX(N16,P16),MAX(N25,P25)),MAX(MIN(O16,Q16),MIN(O25,Q25))&lt;=MIN(MAX(O16,Q16),MAX(O25,Q25))),1,0),0)</f>
        <v>0</v>
      </c>
      <c r="T309" s="7"/>
      <c r="U309" s="7"/>
      <c r="V309" s="7"/>
      <c r="W309" s="7"/>
      <c r="X309" s="7"/>
      <c r="Y309" s="7"/>
      <c r="Z309" s="7"/>
      <c r="AA309" s="7"/>
      <c r="AB309" s="7"/>
      <c r="AC309" s="7"/>
      <c r="AD309" s="7"/>
      <c r="AE309" s="7"/>
      <c r="AF309" s="7"/>
      <c r="AG309" s="7"/>
      <c r="AH309" s="7"/>
      <c r="AI309" s="7"/>
    </row>
    <row r="310" spans="12:35">
      <c r="L310" s="7">
        <v>16</v>
      </c>
      <c r="M310" s="7">
        <v>26</v>
      </c>
      <c r="N310" s="7" t="b">
        <f>AND($N$5,$N$5,5&lt;=$M$5,15&lt;=$M$5)</f>
        <v>0</v>
      </c>
      <c r="O310" s="7">
        <f>(P16-N16)*(O26-O16)-(Q16-O16)*(N26-N16)</f>
        <v>0</v>
      </c>
      <c r="P310" s="7">
        <f>(P16-N16)*(Q26-O16)-(Q16-O16)*(P26-N16)</f>
        <v>0</v>
      </c>
      <c r="Q310" s="7">
        <f>(P26-N26)*(O16-O26)-(Q26-O26)*(N16-N26)</f>
        <v>0</v>
      </c>
      <c r="R310" s="7">
        <f>(P26-N26)*(Q16-O26)-(Q26-O26)*(P16-N26)</f>
        <v>0</v>
      </c>
      <c r="S310" s="7">
        <f>IF(N310,IF(AND(O310*P310&lt;=0,Q310*R310&lt;=0,MAX(MIN(N16,P16),MIN(N26,P26))&lt;=MIN(MAX(N16,P16),MAX(N26,P26)),MAX(MIN(O16,Q16),MIN(O26,Q26))&lt;=MIN(MAX(O16,Q16),MAX(O26,Q26))),1,0),0)</f>
        <v>0</v>
      </c>
      <c r="T310" s="7"/>
      <c r="U310" s="7"/>
      <c r="V310" s="7"/>
      <c r="W310" s="7"/>
      <c r="X310" s="7"/>
      <c r="Y310" s="7"/>
      <c r="Z310" s="7"/>
      <c r="AA310" s="7"/>
      <c r="AB310" s="7"/>
      <c r="AC310" s="7"/>
      <c r="AD310" s="7"/>
      <c r="AE310" s="7"/>
      <c r="AF310" s="7"/>
      <c r="AG310" s="7"/>
      <c r="AH310" s="7"/>
      <c r="AI310" s="7"/>
    </row>
    <row r="311" spans="12:35">
      <c r="L311" s="7">
        <v>16</v>
      </c>
      <c r="M311" s="7">
        <v>27</v>
      </c>
      <c r="N311" s="7" t="b">
        <f>AND($N$5,$N$5,5&lt;=$M$5,16&lt;=$M$5)</f>
        <v>0</v>
      </c>
      <c r="O311" s="7">
        <f>(P16-N16)*(O27-O16)-(Q16-O16)*(N27-N16)</f>
        <v>0</v>
      </c>
      <c r="P311" s="7">
        <f>(P16-N16)*(Q27-O16)-(Q16-O16)*(P27-N16)</f>
        <v>0</v>
      </c>
      <c r="Q311" s="7">
        <f>(P27-N27)*(O16-O27)-(Q27-O27)*(N16-N27)</f>
        <v>0</v>
      </c>
      <c r="R311" s="7">
        <f>(P27-N27)*(Q16-O27)-(Q27-O27)*(P16-N27)</f>
        <v>0</v>
      </c>
      <c r="S311" s="7">
        <f>IF(N311,IF(AND(O311*P311&lt;=0,Q311*R311&lt;=0,MAX(MIN(N16,P16),MIN(N27,P27))&lt;=MIN(MAX(N16,P16),MAX(N27,P27)),MAX(MIN(O16,Q16),MIN(O27,Q27))&lt;=MIN(MAX(O16,Q16),MAX(O27,Q27))),1,0),0)</f>
        <v>0</v>
      </c>
      <c r="T311" s="7"/>
      <c r="U311" s="7"/>
      <c r="V311" s="7"/>
      <c r="W311" s="7"/>
      <c r="X311" s="7"/>
      <c r="Y311" s="7"/>
      <c r="Z311" s="7"/>
      <c r="AA311" s="7"/>
      <c r="AB311" s="7"/>
      <c r="AC311" s="7"/>
      <c r="AD311" s="7"/>
      <c r="AE311" s="7"/>
      <c r="AF311" s="7"/>
      <c r="AG311" s="7"/>
      <c r="AH311" s="7"/>
      <c r="AI311" s="7"/>
    </row>
    <row r="312" spans="12:35">
      <c r="L312" s="7">
        <v>16</v>
      </c>
      <c r="M312" s="7">
        <v>28</v>
      </c>
      <c r="N312" s="7" t="b">
        <f>AND($N$5,$N$5,5&lt;=$M$5,17&lt;=$M$5)</f>
        <v>0</v>
      </c>
      <c r="O312" s="7">
        <f>(P16-N16)*(O28-O16)-(Q16-O16)*(N28-N16)</f>
        <v>0</v>
      </c>
      <c r="P312" s="7">
        <f>(P16-N16)*(Q28-O16)-(Q16-O16)*(P28-N16)</f>
        <v>0</v>
      </c>
      <c r="Q312" s="7">
        <f>(P28-N28)*(O16-O28)-(Q28-O28)*(N16-N28)</f>
        <v>0</v>
      </c>
      <c r="R312" s="7">
        <f>(P28-N28)*(Q16-O28)-(Q28-O28)*(P16-N28)</f>
        <v>0</v>
      </c>
      <c r="S312" s="7">
        <f>IF(N312,IF(AND(O312*P312&lt;=0,Q312*R312&lt;=0,MAX(MIN(N16,P16),MIN(N28,P28))&lt;=MIN(MAX(N16,P16),MAX(N28,P28)),MAX(MIN(O16,Q16),MIN(O28,Q28))&lt;=MIN(MAX(O16,Q16),MAX(O28,Q28))),1,0),0)</f>
        <v>0</v>
      </c>
      <c r="T312" s="7"/>
      <c r="U312" s="7"/>
      <c r="V312" s="7"/>
      <c r="W312" s="7"/>
      <c r="X312" s="7"/>
      <c r="Y312" s="7"/>
      <c r="Z312" s="7"/>
      <c r="AA312" s="7"/>
      <c r="AB312" s="7"/>
      <c r="AC312" s="7"/>
      <c r="AD312" s="7"/>
      <c r="AE312" s="7"/>
      <c r="AF312" s="7"/>
      <c r="AG312" s="7"/>
      <c r="AH312" s="7"/>
      <c r="AI312" s="7"/>
    </row>
    <row r="313" spans="12:35">
      <c r="L313" s="7">
        <v>16</v>
      </c>
      <c r="M313" s="7">
        <v>29</v>
      </c>
      <c r="N313" s="7" t="b">
        <f>AND($N$5,$N$5,5&lt;=$M$5,18&lt;=$M$5)</f>
        <v>0</v>
      </c>
      <c r="O313" s="7">
        <f>(P16-N16)*(O29-O16)-(Q16-O16)*(N29-N16)</f>
        <v>0</v>
      </c>
      <c r="P313" s="7">
        <f>(P16-N16)*(Q29-O16)-(Q16-O16)*(P29-N16)</f>
        <v>0</v>
      </c>
      <c r="Q313" s="7">
        <f>(P29-N29)*(O16-O29)-(Q29-O29)*(N16-N29)</f>
        <v>0</v>
      </c>
      <c r="R313" s="7">
        <f>(P29-N29)*(Q16-O29)-(Q29-O29)*(P16-N29)</f>
        <v>0</v>
      </c>
      <c r="S313" s="7">
        <f>IF(N313,IF(AND(O313*P313&lt;=0,Q313*R313&lt;=0,MAX(MIN(N16,P16),MIN(N29,P29))&lt;=MIN(MAX(N16,P16),MAX(N29,P29)),MAX(MIN(O16,Q16),MIN(O29,Q29))&lt;=MIN(MAX(O16,Q16),MAX(O29,Q29))),1,0),0)</f>
        <v>0</v>
      </c>
      <c r="T313" s="7"/>
      <c r="U313" s="7"/>
      <c r="V313" s="7"/>
      <c r="W313" s="7"/>
      <c r="X313" s="7"/>
      <c r="Y313" s="7"/>
      <c r="Z313" s="7"/>
      <c r="AA313" s="7"/>
      <c r="AB313" s="7"/>
      <c r="AC313" s="7"/>
      <c r="AD313" s="7"/>
      <c r="AE313" s="7"/>
      <c r="AF313" s="7"/>
      <c r="AG313" s="7"/>
      <c r="AH313" s="7"/>
      <c r="AI313" s="7"/>
    </row>
    <row r="314" spans="12:35">
      <c r="L314" s="7">
        <v>16</v>
      </c>
      <c r="M314" s="7">
        <v>30</v>
      </c>
      <c r="N314" s="7" t="b">
        <f>AND($N$5,$N$5,5&lt;=$M$5,19&lt;=$M$5)</f>
        <v>0</v>
      </c>
      <c r="O314" s="7">
        <f>(P16-N16)*(O30-O16)-(Q16-O16)*(N30-N16)</f>
        <v>0</v>
      </c>
      <c r="P314" s="7">
        <f>(P16-N16)*(Q30-O16)-(Q16-O16)*(P30-N16)</f>
        <v>0</v>
      </c>
      <c r="Q314" s="7">
        <f>(P30-N30)*(O16-O30)-(Q30-O30)*(N16-N30)</f>
        <v>0</v>
      </c>
      <c r="R314" s="7">
        <f>(P30-N30)*(Q16-O30)-(Q30-O30)*(P16-N30)</f>
        <v>0</v>
      </c>
      <c r="S314" s="7">
        <f>IF(N314,IF(AND(O314*P314&lt;=0,Q314*R314&lt;=0,MAX(MIN(N16,P16),MIN(N30,P30))&lt;=MIN(MAX(N16,P16),MAX(N30,P30)),MAX(MIN(O16,Q16),MIN(O30,Q30))&lt;=MIN(MAX(O16,Q16),MAX(O30,Q30))),1,0),0)</f>
        <v>0</v>
      </c>
      <c r="T314" s="7"/>
      <c r="U314" s="7"/>
      <c r="V314" s="7"/>
      <c r="W314" s="7"/>
      <c r="X314" s="7"/>
      <c r="Y314" s="7"/>
      <c r="Z314" s="7"/>
      <c r="AA314" s="7"/>
      <c r="AB314" s="7"/>
      <c r="AC314" s="7"/>
      <c r="AD314" s="7"/>
      <c r="AE314" s="7"/>
      <c r="AF314" s="7"/>
      <c r="AG314" s="7"/>
      <c r="AH314" s="7"/>
      <c r="AI314" s="7"/>
    </row>
    <row r="315" spans="12:35">
      <c r="L315" s="7">
        <v>16</v>
      </c>
      <c r="M315" s="7">
        <v>31</v>
      </c>
      <c r="N315" s="7" t="b">
        <f>AND($N$5,$N$5,5&lt;=$M$5,20&lt;=$M$5)</f>
        <v>0</v>
      </c>
      <c r="O315" s="7">
        <f>(P16-N16)*(O31-O16)-(Q16-O16)*(N31-N16)</f>
        <v>0</v>
      </c>
      <c r="P315" s="7">
        <f>(P16-N16)*(Q31-O16)-(Q16-O16)*(P31-N16)</f>
        <v>0</v>
      </c>
      <c r="Q315" s="7">
        <f>(P31-N31)*(O16-O31)-(Q31-O31)*(N16-N31)</f>
        <v>0</v>
      </c>
      <c r="R315" s="7">
        <f>(P31-N31)*(Q16-O31)-(Q31-O31)*(P16-N31)</f>
        <v>0</v>
      </c>
      <c r="S315" s="7">
        <f>IF(N315,IF(AND(O315*P315&lt;=0,Q315*R315&lt;=0,MAX(MIN(N16,P16),MIN(N31,P31))&lt;=MIN(MAX(N16,P16),MAX(N31,P31)),MAX(MIN(O16,Q16),MIN(O31,Q31))&lt;=MIN(MAX(O16,Q16),MAX(O31,Q31))),1,0),0)</f>
        <v>0</v>
      </c>
      <c r="T315" s="7"/>
      <c r="U315" s="7"/>
      <c r="V315" s="7"/>
      <c r="W315" s="7"/>
      <c r="X315" s="7"/>
      <c r="Y315" s="7"/>
      <c r="Z315" s="7"/>
      <c r="AA315" s="7"/>
      <c r="AB315" s="7"/>
      <c r="AC315" s="7"/>
      <c r="AD315" s="7"/>
      <c r="AE315" s="7"/>
      <c r="AF315" s="7"/>
      <c r="AG315" s="7"/>
      <c r="AH315" s="7"/>
      <c r="AI315" s="7"/>
    </row>
    <row r="316" spans="12:35">
      <c r="L316" s="7">
        <v>16</v>
      </c>
      <c r="M316" s="7">
        <v>32</v>
      </c>
      <c r="N316" s="7" t="b">
        <f>AND($N$5,$N$6,5&lt;=$M$5,1&lt;=$M$6)</f>
        <v>0</v>
      </c>
      <c r="O316" s="7">
        <f>(P16-N16)*(O32-O16)-(Q16-O16)*(N32-N16)</f>
        <v>0</v>
      </c>
      <c r="P316" s="7">
        <f>(P16-N16)*(Q32-O16)-(Q16-O16)*(P32-N16)</f>
        <v>0</v>
      </c>
      <c r="Q316" s="7">
        <f>(P32-N32)*(O16-O32)-(Q32-O32)*(N16-N32)</f>
        <v>0</v>
      </c>
      <c r="R316" s="7">
        <f>(P32-N32)*(Q16-O32)-(Q32-O32)*(P16-N32)</f>
        <v>0</v>
      </c>
      <c r="S316" s="7">
        <f>IF(N316,IF(AND(O316*P316&lt;=0,Q316*R316&lt;=0,MAX(MIN(N16,P16),MIN(N32,P32))&lt;=MIN(MAX(N16,P16),MAX(N32,P32)),MAX(MIN(O16,Q16),MIN(O32,Q32))&lt;=MIN(MAX(O16,Q16),MAX(O32,Q32))),1,0),0)</f>
        <v>0</v>
      </c>
      <c r="T316" s="7"/>
      <c r="U316" s="7"/>
      <c r="V316" s="7"/>
      <c r="W316" s="7"/>
      <c r="X316" s="7"/>
      <c r="Y316" s="7"/>
      <c r="Z316" s="7"/>
      <c r="AA316" s="7"/>
      <c r="AB316" s="7"/>
      <c r="AC316" s="7"/>
      <c r="AD316" s="7"/>
      <c r="AE316" s="7"/>
      <c r="AF316" s="7"/>
      <c r="AG316" s="7"/>
      <c r="AH316" s="7"/>
      <c r="AI316" s="7"/>
    </row>
    <row r="317" spans="12:35">
      <c r="L317" s="7">
        <v>16</v>
      </c>
      <c r="M317" s="7">
        <v>33</v>
      </c>
      <c r="N317" s="7" t="b">
        <f>AND($N$5,$N$6,5&lt;=$M$5,2&lt;=$M$6)</f>
        <v>0</v>
      </c>
      <c r="O317" s="7">
        <f>(P16-N16)*(O33-O16)-(Q16-O16)*(N33-N16)</f>
        <v>0</v>
      </c>
      <c r="P317" s="7">
        <f>(P16-N16)*(Q33-O16)-(Q16-O16)*(P33-N16)</f>
        <v>0</v>
      </c>
      <c r="Q317" s="7">
        <f>(P33-N33)*(O16-O33)-(Q33-O33)*(N16-N33)</f>
        <v>0</v>
      </c>
      <c r="R317" s="7">
        <f>(P33-N33)*(Q16-O33)-(Q33-O33)*(P16-N33)</f>
        <v>0</v>
      </c>
      <c r="S317" s="7">
        <f>IF(N317,IF(AND(O317*P317&lt;=0,Q317*R317&lt;=0,MAX(MIN(N16,P16),MIN(N33,P33))&lt;=MIN(MAX(N16,P16),MAX(N33,P33)),MAX(MIN(O16,Q16),MIN(O33,Q33))&lt;=MIN(MAX(O16,Q16),MAX(O33,Q33))),1,0),0)</f>
        <v>0</v>
      </c>
      <c r="T317" s="7"/>
      <c r="U317" s="7"/>
      <c r="V317" s="7"/>
      <c r="W317" s="7"/>
      <c r="X317" s="7"/>
      <c r="Y317" s="7"/>
      <c r="Z317" s="7"/>
      <c r="AA317" s="7"/>
      <c r="AB317" s="7"/>
      <c r="AC317" s="7"/>
      <c r="AD317" s="7"/>
      <c r="AE317" s="7"/>
      <c r="AF317" s="7"/>
      <c r="AG317" s="7"/>
      <c r="AH317" s="7"/>
      <c r="AI317" s="7"/>
    </row>
    <row r="318" spans="12:35">
      <c r="L318" s="7">
        <v>16</v>
      </c>
      <c r="M318" s="7">
        <v>34</v>
      </c>
      <c r="N318" s="7" t="b">
        <f>AND($N$5,$N$6,5&lt;=$M$5,3&lt;=$M$6)</f>
        <v>0</v>
      </c>
      <c r="O318" s="7">
        <f>(P16-N16)*(O34-O16)-(Q16-O16)*(N34-N16)</f>
        <v>0</v>
      </c>
      <c r="P318" s="7">
        <f>(P16-N16)*(Q34-O16)-(Q16-O16)*(P34-N16)</f>
        <v>0</v>
      </c>
      <c r="Q318" s="7">
        <f>(P34-N34)*(O16-O34)-(Q34-O34)*(N16-N34)</f>
        <v>0</v>
      </c>
      <c r="R318" s="7">
        <f>(P34-N34)*(Q16-O34)-(Q34-O34)*(P16-N34)</f>
        <v>0</v>
      </c>
      <c r="S318" s="7">
        <f>IF(N318,IF(AND(O318*P318&lt;=0,Q318*R318&lt;=0,MAX(MIN(N16,P16),MIN(N34,P34))&lt;=MIN(MAX(N16,P16),MAX(N34,P34)),MAX(MIN(O16,Q16),MIN(O34,Q34))&lt;=MIN(MAX(O16,Q16),MAX(O34,Q34))),1,0),0)</f>
        <v>0</v>
      </c>
      <c r="T318" s="7"/>
      <c r="U318" s="7"/>
      <c r="V318" s="7"/>
      <c r="W318" s="7"/>
      <c r="X318" s="7"/>
      <c r="Y318" s="7"/>
      <c r="Z318" s="7"/>
      <c r="AA318" s="7"/>
      <c r="AB318" s="7"/>
      <c r="AC318" s="7"/>
      <c r="AD318" s="7"/>
      <c r="AE318" s="7"/>
      <c r="AF318" s="7"/>
      <c r="AG318" s="7"/>
      <c r="AH318" s="7"/>
      <c r="AI318" s="7"/>
    </row>
    <row r="319" spans="12:35">
      <c r="L319" s="7">
        <v>16</v>
      </c>
      <c r="M319" s="7">
        <v>35</v>
      </c>
      <c r="N319" s="7" t="b">
        <f>AND($N$5,$N$6,5&lt;=$M$5,4&lt;=$M$6)</f>
        <v>0</v>
      </c>
      <c r="O319" s="7">
        <f>(P16-N16)*(O35-O16)-(Q16-O16)*(N35-N16)</f>
        <v>0</v>
      </c>
      <c r="P319" s="7">
        <f>(P16-N16)*(Q35-O16)-(Q16-O16)*(P35-N16)</f>
        <v>0</v>
      </c>
      <c r="Q319" s="7">
        <f>(P35-N35)*(O16-O35)-(Q35-O35)*(N16-N35)</f>
        <v>0</v>
      </c>
      <c r="R319" s="7">
        <f>(P35-N35)*(Q16-O35)-(Q35-O35)*(P16-N35)</f>
        <v>0</v>
      </c>
      <c r="S319" s="7">
        <f>IF(N319,IF(AND(O319*P319&lt;=0,Q319*R319&lt;=0,MAX(MIN(N16,P16),MIN(N35,P35))&lt;=MIN(MAX(N16,P16),MAX(N35,P35)),MAX(MIN(O16,Q16),MIN(O35,Q35))&lt;=MIN(MAX(O16,Q16),MAX(O35,Q35))),1,0),0)</f>
        <v>0</v>
      </c>
      <c r="T319" s="7"/>
      <c r="U319" s="7"/>
      <c r="V319" s="7"/>
      <c r="W319" s="7"/>
      <c r="X319" s="7"/>
      <c r="Y319" s="7"/>
      <c r="Z319" s="7"/>
      <c r="AA319" s="7"/>
      <c r="AB319" s="7"/>
      <c r="AC319" s="7"/>
      <c r="AD319" s="7"/>
      <c r="AE319" s="7"/>
      <c r="AF319" s="7"/>
      <c r="AG319" s="7"/>
      <c r="AH319" s="7"/>
      <c r="AI319" s="7"/>
    </row>
    <row r="320" spans="12:35">
      <c r="L320" s="7">
        <v>16</v>
      </c>
      <c r="M320" s="7">
        <v>36</v>
      </c>
      <c r="N320" s="7" t="b">
        <f>AND($N$5,$N$6,5&lt;=$M$5,5&lt;=$M$6)</f>
        <v>0</v>
      </c>
      <c r="O320" s="7">
        <f>(P16-N16)*(O36-O16)-(Q16-O16)*(N36-N16)</f>
        <v>0</v>
      </c>
      <c r="P320" s="7">
        <f>(P16-N16)*(Q36-O16)-(Q16-O16)*(P36-N16)</f>
        <v>0</v>
      </c>
      <c r="Q320" s="7">
        <f>(P36-N36)*(O16-O36)-(Q36-O36)*(N16-N36)</f>
        <v>0</v>
      </c>
      <c r="R320" s="7">
        <f>(P36-N36)*(Q16-O36)-(Q36-O36)*(P16-N36)</f>
        <v>0</v>
      </c>
      <c r="S320" s="7">
        <f>IF(N320,IF(AND(O320*P320&lt;=0,Q320*R320&lt;=0,MAX(MIN(N16,P16),MIN(N36,P36))&lt;=MIN(MAX(N16,P16),MAX(N36,P36)),MAX(MIN(O16,Q16),MIN(O36,Q36))&lt;=MIN(MAX(O16,Q16),MAX(O36,Q36))),1,0),0)</f>
        <v>0</v>
      </c>
      <c r="T320" s="7"/>
      <c r="U320" s="7"/>
      <c r="V320" s="7"/>
      <c r="W320" s="7"/>
      <c r="X320" s="7"/>
      <c r="Y320" s="7"/>
      <c r="Z320" s="7"/>
      <c r="AA320" s="7"/>
      <c r="AB320" s="7"/>
      <c r="AC320" s="7"/>
      <c r="AD320" s="7"/>
      <c r="AE320" s="7"/>
      <c r="AF320" s="7"/>
      <c r="AG320" s="7"/>
      <c r="AH320" s="7"/>
      <c r="AI320" s="7"/>
    </row>
    <row r="321" spans="12:35">
      <c r="L321" s="7">
        <v>16</v>
      </c>
      <c r="M321" s="7">
        <v>37</v>
      </c>
      <c r="N321" s="7" t="b">
        <f>AND($N$5,$N$6,5&lt;=$M$5,6&lt;=$M$6)</f>
        <v>0</v>
      </c>
      <c r="O321" s="7">
        <f>(P16-N16)*(O37-O16)-(Q16-O16)*(N37-N16)</f>
        <v>0</v>
      </c>
      <c r="P321" s="7">
        <f>(P16-N16)*(Q37-O16)-(Q16-O16)*(P37-N16)</f>
        <v>0</v>
      </c>
      <c r="Q321" s="7">
        <f>(P37-N37)*(O16-O37)-(Q37-O37)*(N16-N37)</f>
        <v>0</v>
      </c>
      <c r="R321" s="7">
        <f>(P37-N37)*(Q16-O37)-(Q37-O37)*(P16-N37)</f>
        <v>0</v>
      </c>
      <c r="S321" s="7">
        <f>IF(N321,IF(AND(O321*P321&lt;=0,Q321*R321&lt;=0,MAX(MIN(N16,P16),MIN(N37,P37))&lt;=MIN(MAX(N16,P16),MAX(N37,P37)),MAX(MIN(O16,Q16),MIN(O37,Q37))&lt;=MIN(MAX(O16,Q16),MAX(O37,Q37))),1,0),0)</f>
        <v>0</v>
      </c>
      <c r="T321" s="7"/>
      <c r="U321" s="7"/>
      <c r="V321" s="7"/>
      <c r="W321" s="7"/>
      <c r="X321" s="7"/>
      <c r="Y321" s="7"/>
      <c r="Z321" s="7"/>
      <c r="AA321" s="7"/>
      <c r="AB321" s="7"/>
      <c r="AC321" s="7"/>
      <c r="AD321" s="7"/>
      <c r="AE321" s="7"/>
      <c r="AF321" s="7"/>
      <c r="AG321" s="7"/>
      <c r="AH321" s="7"/>
      <c r="AI321" s="7"/>
    </row>
    <row r="322" spans="12:35">
      <c r="L322" s="7">
        <v>16</v>
      </c>
      <c r="M322" s="7">
        <v>38</v>
      </c>
      <c r="N322" s="7" t="b">
        <f>AND($N$5,$N$6,5&lt;=$M$5,7&lt;=$M$6)</f>
        <v>0</v>
      </c>
      <c r="O322" s="7">
        <f>(P16-N16)*(O38-O16)-(Q16-O16)*(N38-N16)</f>
        <v>0</v>
      </c>
      <c r="P322" s="7">
        <f>(P16-N16)*(Q38-O16)-(Q16-O16)*(P38-N16)</f>
        <v>0</v>
      </c>
      <c r="Q322" s="7">
        <f>(P38-N38)*(O16-O38)-(Q38-O38)*(N16-N38)</f>
        <v>0</v>
      </c>
      <c r="R322" s="7">
        <f>(P38-N38)*(Q16-O38)-(Q38-O38)*(P16-N38)</f>
        <v>0</v>
      </c>
      <c r="S322" s="7">
        <f>IF(N322,IF(AND(O322*P322&lt;=0,Q322*R322&lt;=0,MAX(MIN(N16,P16),MIN(N38,P38))&lt;=MIN(MAX(N16,P16),MAX(N38,P38)),MAX(MIN(O16,Q16),MIN(O38,Q38))&lt;=MIN(MAX(O16,Q16),MAX(O38,Q38))),1,0),0)</f>
        <v>0</v>
      </c>
      <c r="T322" s="7"/>
      <c r="U322" s="7"/>
      <c r="V322" s="7"/>
      <c r="W322" s="7"/>
      <c r="X322" s="7"/>
      <c r="Y322" s="7"/>
      <c r="Z322" s="7"/>
      <c r="AA322" s="7"/>
      <c r="AB322" s="7"/>
      <c r="AC322" s="7"/>
      <c r="AD322" s="7"/>
      <c r="AE322" s="7"/>
      <c r="AF322" s="7"/>
      <c r="AG322" s="7"/>
      <c r="AH322" s="7"/>
      <c r="AI322" s="7"/>
    </row>
    <row r="323" spans="12:35">
      <c r="L323" s="7">
        <v>16</v>
      </c>
      <c r="M323" s="7">
        <v>39</v>
      </c>
      <c r="N323" s="7" t="b">
        <f>AND($N$5,$N$6,5&lt;=$M$5,8&lt;=$M$6)</f>
        <v>0</v>
      </c>
      <c r="O323" s="7">
        <f>(P16-N16)*(O39-O16)-(Q16-O16)*(N39-N16)</f>
        <v>0</v>
      </c>
      <c r="P323" s="7">
        <f>(P16-N16)*(Q39-O16)-(Q16-O16)*(P39-N16)</f>
        <v>0</v>
      </c>
      <c r="Q323" s="7">
        <f>(P39-N39)*(O16-O39)-(Q39-O39)*(N16-N39)</f>
        <v>0</v>
      </c>
      <c r="R323" s="7">
        <f>(P39-N39)*(Q16-O39)-(Q39-O39)*(P16-N39)</f>
        <v>0</v>
      </c>
      <c r="S323" s="7">
        <f>IF(N323,IF(AND(O323*P323&lt;=0,Q323*R323&lt;=0,MAX(MIN(N16,P16),MIN(N39,P39))&lt;=MIN(MAX(N16,P16),MAX(N39,P39)),MAX(MIN(O16,Q16),MIN(O39,Q39))&lt;=MIN(MAX(O16,Q16),MAX(O39,Q39))),1,0),0)</f>
        <v>0</v>
      </c>
      <c r="T323" s="7"/>
      <c r="U323" s="7"/>
      <c r="V323" s="7"/>
      <c r="W323" s="7"/>
      <c r="X323" s="7"/>
      <c r="Y323" s="7"/>
      <c r="Z323" s="7"/>
      <c r="AA323" s="7"/>
      <c r="AB323" s="7"/>
      <c r="AC323" s="7"/>
      <c r="AD323" s="7"/>
      <c r="AE323" s="7"/>
      <c r="AF323" s="7"/>
      <c r="AG323" s="7"/>
      <c r="AH323" s="7"/>
      <c r="AI323" s="7"/>
    </row>
    <row r="324" spans="12:35">
      <c r="L324" s="7">
        <v>16</v>
      </c>
      <c r="M324" s="7">
        <v>40</v>
      </c>
      <c r="N324" s="7" t="b">
        <f>AND($N$5,$N$6,5&lt;=$M$5,9&lt;=$M$6)</f>
        <v>0</v>
      </c>
      <c r="O324" s="7">
        <f>(P16-N16)*(O40-O16)-(Q16-O16)*(N40-N16)</f>
        <v>0</v>
      </c>
      <c r="P324" s="7">
        <f>(P16-N16)*(Q40-O16)-(Q16-O16)*(P40-N16)</f>
        <v>0</v>
      </c>
      <c r="Q324" s="7">
        <f>(P40-N40)*(O16-O40)-(Q40-O40)*(N16-N40)</f>
        <v>0</v>
      </c>
      <c r="R324" s="7">
        <f>(P40-N40)*(Q16-O40)-(Q40-O40)*(P16-N40)</f>
        <v>0</v>
      </c>
      <c r="S324" s="7">
        <f>IF(N324,IF(AND(O324*P324&lt;=0,Q324*R324&lt;=0,MAX(MIN(N16,P16),MIN(N40,P40))&lt;=MIN(MAX(N16,P16),MAX(N40,P40)),MAX(MIN(O16,Q16),MIN(O40,Q40))&lt;=MIN(MAX(O16,Q16),MAX(O40,Q40))),1,0),0)</f>
        <v>0</v>
      </c>
      <c r="T324" s="7"/>
      <c r="U324" s="7"/>
      <c r="V324" s="7"/>
      <c r="W324" s="7"/>
      <c r="X324" s="7"/>
      <c r="Y324" s="7"/>
      <c r="Z324" s="7"/>
      <c r="AA324" s="7"/>
      <c r="AB324" s="7"/>
      <c r="AC324" s="7"/>
      <c r="AD324" s="7"/>
      <c r="AE324" s="7"/>
      <c r="AF324" s="7"/>
      <c r="AG324" s="7"/>
      <c r="AH324" s="7"/>
      <c r="AI324" s="7"/>
    </row>
    <row r="325" spans="12:35">
      <c r="L325" s="7">
        <v>16</v>
      </c>
      <c r="M325" s="7">
        <v>41</v>
      </c>
      <c r="N325" s="7" t="b">
        <f>AND($N$5,$N$6,5&lt;=$M$5,10&lt;=$M$6)</f>
        <v>0</v>
      </c>
      <c r="O325" s="7">
        <f>(P16-N16)*(O41-O16)-(Q16-O16)*(N41-N16)</f>
        <v>0</v>
      </c>
      <c r="P325" s="7">
        <f>(P16-N16)*(Q41-O16)-(Q16-O16)*(P41-N16)</f>
        <v>0</v>
      </c>
      <c r="Q325" s="7">
        <f>(P41-N41)*(O16-O41)-(Q41-O41)*(N16-N41)</f>
        <v>0</v>
      </c>
      <c r="R325" s="7">
        <f>(P41-N41)*(Q16-O41)-(Q41-O41)*(P16-N41)</f>
        <v>0</v>
      </c>
      <c r="S325" s="7">
        <f>IF(N325,IF(AND(O325*P325&lt;=0,Q325*R325&lt;=0,MAX(MIN(N16,P16),MIN(N41,P41))&lt;=MIN(MAX(N16,P16),MAX(N41,P41)),MAX(MIN(O16,Q16),MIN(O41,Q41))&lt;=MIN(MAX(O16,Q16),MAX(O41,Q41))),1,0),0)</f>
        <v>0</v>
      </c>
      <c r="T325" s="7"/>
      <c r="U325" s="7"/>
      <c r="V325" s="7"/>
      <c r="W325" s="7"/>
      <c r="X325" s="7"/>
      <c r="Y325" s="7"/>
      <c r="Z325" s="7"/>
      <c r="AA325" s="7"/>
      <c r="AB325" s="7"/>
      <c r="AC325" s="7"/>
      <c r="AD325" s="7"/>
      <c r="AE325" s="7"/>
      <c r="AF325" s="7"/>
      <c r="AG325" s="7"/>
      <c r="AH325" s="7"/>
      <c r="AI325" s="7"/>
    </row>
    <row r="326" spans="12:35">
      <c r="L326" s="7">
        <v>16</v>
      </c>
      <c r="M326" s="7">
        <v>42</v>
      </c>
      <c r="N326" s="7" t="b">
        <f>AND($N$5,$N$6,5&lt;=$M$5,11&lt;=$M$6)</f>
        <v>0</v>
      </c>
      <c r="O326" s="7">
        <f>(P16-N16)*(O42-O16)-(Q16-O16)*(N42-N16)</f>
        <v>0</v>
      </c>
      <c r="P326" s="7">
        <f>(P16-N16)*(Q42-O16)-(Q16-O16)*(P42-N16)</f>
        <v>0</v>
      </c>
      <c r="Q326" s="7">
        <f>(P42-N42)*(O16-O42)-(Q42-O42)*(N16-N42)</f>
        <v>0</v>
      </c>
      <c r="R326" s="7">
        <f>(P42-N42)*(Q16-O42)-(Q42-O42)*(P16-N42)</f>
        <v>0</v>
      </c>
      <c r="S326" s="7">
        <f>IF(N326,IF(AND(O326*P326&lt;=0,Q326*R326&lt;=0,MAX(MIN(N16,P16),MIN(N42,P42))&lt;=MIN(MAX(N16,P16),MAX(N42,P42)),MAX(MIN(O16,Q16),MIN(O42,Q42))&lt;=MIN(MAX(O16,Q16),MAX(O42,Q42))),1,0),0)</f>
        <v>0</v>
      </c>
      <c r="T326" s="7"/>
      <c r="U326" s="7"/>
      <c r="V326" s="7"/>
      <c r="W326" s="7"/>
      <c r="X326" s="7"/>
      <c r="Y326" s="7"/>
      <c r="Z326" s="7"/>
      <c r="AA326" s="7"/>
      <c r="AB326" s="7"/>
      <c r="AC326" s="7"/>
      <c r="AD326" s="7"/>
      <c r="AE326" s="7"/>
      <c r="AF326" s="7"/>
      <c r="AG326" s="7"/>
      <c r="AH326" s="7"/>
      <c r="AI326" s="7"/>
    </row>
    <row r="327" spans="12:35">
      <c r="L327" s="7">
        <v>16</v>
      </c>
      <c r="M327" s="7">
        <v>43</v>
      </c>
      <c r="N327" s="7" t="b">
        <f>AND($N$5,$N$6,5&lt;=$M$5,12&lt;=$M$6)</f>
        <v>0</v>
      </c>
      <c r="O327" s="7">
        <f>(P16-N16)*(O43-O16)-(Q16-O16)*(N43-N16)</f>
        <v>0</v>
      </c>
      <c r="P327" s="7">
        <f>(P16-N16)*(Q43-O16)-(Q16-O16)*(P43-N16)</f>
        <v>0</v>
      </c>
      <c r="Q327" s="7">
        <f>(P43-N43)*(O16-O43)-(Q43-O43)*(N16-N43)</f>
        <v>0</v>
      </c>
      <c r="R327" s="7">
        <f>(P43-N43)*(Q16-O43)-(Q43-O43)*(P16-N43)</f>
        <v>0</v>
      </c>
      <c r="S327" s="7">
        <f>IF(N327,IF(AND(O327*P327&lt;=0,Q327*R327&lt;=0,MAX(MIN(N16,P16),MIN(N43,P43))&lt;=MIN(MAX(N16,P16),MAX(N43,P43)),MAX(MIN(O16,Q16),MIN(O43,Q43))&lt;=MIN(MAX(O16,Q16),MAX(O43,Q43))),1,0),0)</f>
        <v>0</v>
      </c>
      <c r="T327" s="7"/>
      <c r="U327" s="7"/>
      <c r="V327" s="7"/>
      <c r="W327" s="7"/>
      <c r="X327" s="7"/>
      <c r="Y327" s="7"/>
      <c r="Z327" s="7"/>
      <c r="AA327" s="7"/>
      <c r="AB327" s="7"/>
      <c r="AC327" s="7"/>
      <c r="AD327" s="7"/>
      <c r="AE327" s="7"/>
      <c r="AF327" s="7"/>
      <c r="AG327" s="7"/>
      <c r="AH327" s="7"/>
      <c r="AI327" s="7"/>
    </row>
    <row r="328" spans="12:35">
      <c r="L328" s="7">
        <v>16</v>
      </c>
      <c r="M328" s="7">
        <v>44</v>
      </c>
      <c r="N328" s="7" t="b">
        <f>AND($N$5,$N$6,5&lt;=$M$5,13&lt;=$M$6)</f>
        <v>0</v>
      </c>
      <c r="O328" s="7">
        <f>(P16-N16)*(O44-O16)-(Q16-O16)*(N44-N16)</f>
        <v>0</v>
      </c>
      <c r="P328" s="7">
        <f>(P16-N16)*(Q44-O16)-(Q16-O16)*(P44-N16)</f>
        <v>0</v>
      </c>
      <c r="Q328" s="7">
        <f>(P44-N44)*(O16-O44)-(Q44-O44)*(N16-N44)</f>
        <v>0</v>
      </c>
      <c r="R328" s="7">
        <f>(P44-N44)*(Q16-O44)-(Q44-O44)*(P16-N44)</f>
        <v>0</v>
      </c>
      <c r="S328" s="7">
        <f>IF(N328,IF(AND(O328*P328&lt;=0,Q328*R328&lt;=0,MAX(MIN(N16,P16),MIN(N44,P44))&lt;=MIN(MAX(N16,P16),MAX(N44,P44)),MAX(MIN(O16,Q16),MIN(O44,Q44))&lt;=MIN(MAX(O16,Q16),MAX(O44,Q44))),1,0),0)</f>
        <v>0</v>
      </c>
      <c r="T328" s="7"/>
      <c r="U328" s="7"/>
      <c r="V328" s="7"/>
      <c r="W328" s="7"/>
      <c r="X328" s="7"/>
      <c r="Y328" s="7"/>
      <c r="Z328" s="7"/>
      <c r="AA328" s="7"/>
      <c r="AB328" s="7"/>
      <c r="AC328" s="7"/>
      <c r="AD328" s="7"/>
      <c r="AE328" s="7"/>
      <c r="AF328" s="7"/>
      <c r="AG328" s="7"/>
      <c r="AH328" s="7"/>
      <c r="AI328" s="7"/>
    </row>
    <row r="329" spans="12:35">
      <c r="L329" s="7">
        <v>16</v>
      </c>
      <c r="M329" s="7">
        <v>45</v>
      </c>
      <c r="N329" s="7" t="b">
        <f>AND($N$5,$N$6,5&lt;=$M$5,14&lt;=$M$6)</f>
        <v>0</v>
      </c>
      <c r="O329" s="7">
        <f>(P16-N16)*(O45-O16)-(Q16-O16)*(N45-N16)</f>
        <v>0</v>
      </c>
      <c r="P329" s="7">
        <f>(P16-N16)*(Q45-O16)-(Q16-O16)*(P45-N16)</f>
        <v>0</v>
      </c>
      <c r="Q329" s="7">
        <f>(P45-N45)*(O16-O45)-(Q45-O45)*(N16-N45)</f>
        <v>0</v>
      </c>
      <c r="R329" s="7">
        <f>(P45-N45)*(Q16-O45)-(Q45-O45)*(P16-N45)</f>
        <v>0</v>
      </c>
      <c r="S329" s="7">
        <f>IF(N329,IF(AND(O329*P329&lt;=0,Q329*R329&lt;=0,MAX(MIN(N16,P16),MIN(N45,P45))&lt;=MIN(MAX(N16,P16),MAX(N45,P45)),MAX(MIN(O16,Q16),MIN(O45,Q45))&lt;=MIN(MAX(O16,Q16),MAX(O45,Q45))),1,0),0)</f>
        <v>0</v>
      </c>
      <c r="T329" s="7"/>
      <c r="U329" s="7"/>
      <c r="V329" s="7"/>
      <c r="W329" s="7"/>
      <c r="X329" s="7"/>
      <c r="Y329" s="7"/>
      <c r="Z329" s="7"/>
      <c r="AA329" s="7"/>
      <c r="AB329" s="7"/>
      <c r="AC329" s="7"/>
      <c r="AD329" s="7"/>
      <c r="AE329" s="7"/>
      <c r="AF329" s="7"/>
      <c r="AG329" s="7"/>
      <c r="AH329" s="7"/>
      <c r="AI329" s="7"/>
    </row>
    <row r="330" spans="12:35">
      <c r="L330" s="7">
        <v>16</v>
      </c>
      <c r="M330" s="7">
        <v>46</v>
      </c>
      <c r="N330" s="7" t="b">
        <f>AND($N$5,$N$6,5&lt;=$M$5,15&lt;=$M$6)</f>
        <v>0</v>
      </c>
      <c r="O330" s="7">
        <f>(P16-N16)*(O46-O16)-(Q16-O16)*(N46-N16)</f>
        <v>0</v>
      </c>
      <c r="P330" s="7">
        <f>(P16-N16)*(Q46-O16)-(Q16-O16)*(P46-N16)</f>
        <v>0</v>
      </c>
      <c r="Q330" s="7">
        <f>(P46-N46)*(O16-O46)-(Q46-O46)*(N16-N46)</f>
        <v>0</v>
      </c>
      <c r="R330" s="7">
        <f>(P46-N46)*(Q16-O46)-(Q46-O46)*(P16-N46)</f>
        <v>0</v>
      </c>
      <c r="S330" s="7">
        <f>IF(N330,IF(AND(O330*P330&lt;=0,Q330*R330&lt;=0,MAX(MIN(N16,P16),MIN(N46,P46))&lt;=MIN(MAX(N16,P16),MAX(N46,P46)),MAX(MIN(O16,Q16),MIN(O46,Q46))&lt;=MIN(MAX(O16,Q16),MAX(O46,Q46))),1,0),0)</f>
        <v>0</v>
      </c>
      <c r="T330" s="7"/>
      <c r="U330" s="7"/>
      <c r="V330" s="7"/>
      <c r="W330" s="7"/>
      <c r="X330" s="7"/>
      <c r="Y330" s="7"/>
      <c r="Z330" s="7"/>
      <c r="AA330" s="7"/>
      <c r="AB330" s="7"/>
      <c r="AC330" s="7"/>
      <c r="AD330" s="7"/>
      <c r="AE330" s="7"/>
      <c r="AF330" s="7"/>
      <c r="AG330" s="7"/>
      <c r="AH330" s="7"/>
      <c r="AI330" s="7"/>
    </row>
    <row r="331" spans="12:35">
      <c r="L331" s="7">
        <v>16</v>
      </c>
      <c r="M331" s="7">
        <v>47</v>
      </c>
      <c r="N331" s="7" t="b">
        <f>AND($N$5,$N$6,5&lt;=$M$5,16&lt;=$M$6)</f>
        <v>0</v>
      </c>
      <c r="O331" s="7">
        <f>(P16-N16)*(O47-O16)-(Q16-O16)*(N47-N16)</f>
        <v>0</v>
      </c>
      <c r="P331" s="7">
        <f>(P16-N16)*(Q47-O16)-(Q16-O16)*(P47-N16)</f>
        <v>0</v>
      </c>
      <c r="Q331" s="7">
        <f>(P47-N47)*(O16-O47)-(Q47-O47)*(N16-N47)</f>
        <v>0</v>
      </c>
      <c r="R331" s="7">
        <f>(P47-N47)*(Q16-O47)-(Q47-O47)*(P16-N47)</f>
        <v>0</v>
      </c>
      <c r="S331" s="7">
        <f>IF(N331,IF(AND(O331*P331&lt;=0,Q331*R331&lt;=0,MAX(MIN(N16,P16),MIN(N47,P47))&lt;=MIN(MAX(N16,P16),MAX(N47,P47)),MAX(MIN(O16,Q16),MIN(O47,Q47))&lt;=MIN(MAX(O16,Q16),MAX(O47,Q47))),1,0),0)</f>
        <v>0</v>
      </c>
      <c r="T331" s="7"/>
      <c r="U331" s="7"/>
      <c r="V331" s="7"/>
      <c r="W331" s="7"/>
      <c r="X331" s="7"/>
      <c r="Y331" s="7"/>
      <c r="Z331" s="7"/>
      <c r="AA331" s="7"/>
      <c r="AB331" s="7"/>
      <c r="AC331" s="7"/>
      <c r="AD331" s="7"/>
      <c r="AE331" s="7"/>
      <c r="AF331" s="7"/>
      <c r="AG331" s="7"/>
      <c r="AH331" s="7"/>
      <c r="AI331" s="7"/>
    </row>
    <row r="332" spans="12:35">
      <c r="L332" s="7">
        <v>16</v>
      </c>
      <c r="M332" s="7">
        <v>48</v>
      </c>
      <c r="N332" s="7" t="b">
        <f>AND($N$5,$N$6,5&lt;=$M$5,17&lt;=$M$6)</f>
        <v>0</v>
      </c>
      <c r="O332" s="7">
        <f>(P16-N16)*(O48-O16)-(Q16-O16)*(N48-N16)</f>
        <v>0</v>
      </c>
      <c r="P332" s="7">
        <f>(P16-N16)*(Q48-O16)-(Q16-O16)*(P48-N16)</f>
        <v>0</v>
      </c>
      <c r="Q332" s="7">
        <f>(P48-N48)*(O16-O48)-(Q48-O48)*(N16-N48)</f>
        <v>0</v>
      </c>
      <c r="R332" s="7">
        <f>(P48-N48)*(Q16-O48)-(Q48-O48)*(P16-N48)</f>
        <v>0</v>
      </c>
      <c r="S332" s="7">
        <f>IF(N332,IF(AND(O332*P332&lt;=0,Q332*R332&lt;=0,MAX(MIN(N16,P16),MIN(N48,P48))&lt;=MIN(MAX(N16,P16),MAX(N48,P48)),MAX(MIN(O16,Q16),MIN(O48,Q48))&lt;=MIN(MAX(O16,Q16),MAX(O48,Q48))),1,0),0)</f>
        <v>0</v>
      </c>
      <c r="T332" s="7"/>
      <c r="U332" s="7"/>
      <c r="V332" s="7"/>
      <c r="W332" s="7"/>
      <c r="X332" s="7"/>
      <c r="Y332" s="7"/>
      <c r="Z332" s="7"/>
      <c r="AA332" s="7"/>
      <c r="AB332" s="7"/>
      <c r="AC332" s="7"/>
      <c r="AD332" s="7"/>
      <c r="AE332" s="7"/>
      <c r="AF332" s="7"/>
      <c r="AG332" s="7"/>
      <c r="AH332" s="7"/>
      <c r="AI332" s="7"/>
    </row>
    <row r="333" spans="12:35">
      <c r="L333" s="7">
        <v>16</v>
      </c>
      <c r="M333" s="7">
        <v>49</v>
      </c>
      <c r="N333" s="7" t="b">
        <f>AND($N$5,$N$6,5&lt;=$M$5,18&lt;=$M$6)</f>
        <v>0</v>
      </c>
      <c r="O333" s="7">
        <f>(P16-N16)*(O49-O16)-(Q16-O16)*(N49-N16)</f>
        <v>0</v>
      </c>
      <c r="P333" s="7">
        <f>(P16-N16)*(Q49-O16)-(Q16-O16)*(P49-N16)</f>
        <v>0</v>
      </c>
      <c r="Q333" s="7">
        <f>(P49-N49)*(O16-O49)-(Q49-O49)*(N16-N49)</f>
        <v>0</v>
      </c>
      <c r="R333" s="7">
        <f>(P49-N49)*(Q16-O49)-(Q49-O49)*(P16-N49)</f>
        <v>0</v>
      </c>
      <c r="S333" s="7">
        <f>IF(N333,IF(AND(O333*P333&lt;=0,Q333*R333&lt;=0,MAX(MIN(N16,P16),MIN(N49,P49))&lt;=MIN(MAX(N16,P16),MAX(N49,P49)),MAX(MIN(O16,Q16),MIN(O49,Q49))&lt;=MIN(MAX(O16,Q16),MAX(O49,Q49))),1,0),0)</f>
        <v>0</v>
      </c>
      <c r="T333" s="7"/>
      <c r="U333" s="7"/>
      <c r="V333" s="7"/>
      <c r="W333" s="7"/>
      <c r="X333" s="7"/>
      <c r="Y333" s="7"/>
      <c r="Z333" s="7"/>
      <c r="AA333" s="7"/>
      <c r="AB333" s="7"/>
      <c r="AC333" s="7"/>
      <c r="AD333" s="7"/>
      <c r="AE333" s="7"/>
      <c r="AF333" s="7"/>
      <c r="AG333" s="7"/>
      <c r="AH333" s="7"/>
      <c r="AI333" s="7"/>
    </row>
    <row r="334" spans="12:35">
      <c r="L334" s="7">
        <v>16</v>
      </c>
      <c r="M334" s="7">
        <v>50</v>
      </c>
      <c r="N334" s="7" t="b">
        <f>AND($N$5,$N$6,5&lt;=$M$5,19&lt;=$M$6)</f>
        <v>0</v>
      </c>
      <c r="O334" s="7">
        <f>(P16-N16)*(O50-O16)-(Q16-O16)*(N50-N16)</f>
        <v>0</v>
      </c>
      <c r="P334" s="7">
        <f>(P16-N16)*(Q50-O16)-(Q16-O16)*(P50-N16)</f>
        <v>0</v>
      </c>
      <c r="Q334" s="7">
        <f>(P50-N50)*(O16-O50)-(Q50-O50)*(N16-N50)</f>
        <v>0</v>
      </c>
      <c r="R334" s="7">
        <f>(P50-N50)*(Q16-O50)-(Q50-O50)*(P16-N50)</f>
        <v>0</v>
      </c>
      <c r="S334" s="7">
        <f>IF(N334,IF(AND(O334*P334&lt;=0,Q334*R334&lt;=0,MAX(MIN(N16,P16),MIN(N50,P50))&lt;=MIN(MAX(N16,P16),MAX(N50,P50)),MAX(MIN(O16,Q16),MIN(O50,Q50))&lt;=MIN(MAX(O16,Q16),MAX(O50,Q50))),1,0),0)</f>
        <v>0</v>
      </c>
      <c r="T334" s="7"/>
      <c r="U334" s="7"/>
      <c r="V334" s="7"/>
      <c r="W334" s="7"/>
      <c r="X334" s="7"/>
      <c r="Y334" s="7"/>
      <c r="Z334" s="7"/>
      <c r="AA334" s="7"/>
      <c r="AB334" s="7"/>
      <c r="AC334" s="7"/>
      <c r="AD334" s="7"/>
      <c r="AE334" s="7"/>
      <c r="AF334" s="7"/>
      <c r="AG334" s="7"/>
      <c r="AH334" s="7"/>
      <c r="AI334" s="7"/>
    </row>
    <row r="335" spans="12:35">
      <c r="L335" s="7">
        <v>16</v>
      </c>
      <c r="M335" s="7">
        <v>51</v>
      </c>
      <c r="N335" s="7" t="b">
        <f>AND($N$5,$N$6,5&lt;=$M$5,20&lt;=$M$6)</f>
        <v>0</v>
      </c>
      <c r="O335" s="7">
        <f>(P16-N16)*(O51-O16)-(Q16-O16)*(N51-N16)</f>
        <v>0</v>
      </c>
      <c r="P335" s="7">
        <f>(P16-N16)*(Q51-O16)-(Q16-O16)*(P51-N16)</f>
        <v>0</v>
      </c>
      <c r="Q335" s="7">
        <f>(P51-N51)*(O16-O51)-(Q51-O51)*(N16-N51)</f>
        <v>0</v>
      </c>
      <c r="R335" s="7">
        <f>(P51-N51)*(Q16-O51)-(Q51-O51)*(P16-N51)</f>
        <v>0</v>
      </c>
      <c r="S335" s="7">
        <f>IF(N335,IF(AND(O335*P335&lt;=0,Q335*R335&lt;=0,MAX(MIN(N16,P16),MIN(N51,P51))&lt;=MIN(MAX(N16,P16),MAX(N51,P51)),MAX(MIN(O16,Q16),MIN(O51,Q51))&lt;=MIN(MAX(O16,Q16),MAX(O51,Q51))),1,0),0)</f>
        <v>0</v>
      </c>
      <c r="T335" s="7"/>
      <c r="U335" s="7"/>
      <c r="V335" s="7"/>
      <c r="W335" s="7"/>
      <c r="X335" s="7"/>
      <c r="Y335" s="7"/>
      <c r="Z335" s="7"/>
      <c r="AA335" s="7"/>
      <c r="AB335" s="7"/>
      <c r="AC335" s="7"/>
      <c r="AD335" s="7"/>
      <c r="AE335" s="7"/>
      <c r="AF335" s="7"/>
      <c r="AG335" s="7"/>
      <c r="AH335" s="7"/>
      <c r="AI335" s="7"/>
    </row>
    <row r="336" spans="12:35">
      <c r="L336" s="7">
        <v>16</v>
      </c>
      <c r="M336" s="7">
        <v>52</v>
      </c>
      <c r="N336" s="7" t="b">
        <f>AND($N$5,$N$7,5&lt;=$M$5,1&lt;=$M$7)</f>
        <v>0</v>
      </c>
      <c r="O336" s="7">
        <f>(P16-N16)*(O52-O16)-(Q16-O16)*(N52-N16)</f>
        <v>0</v>
      </c>
      <c r="P336" s="7">
        <f>(P16-N16)*(Q52-O16)-(Q16-O16)*(P52-N16)</f>
        <v>0</v>
      </c>
      <c r="Q336" s="7">
        <f>(P52-N52)*(O16-O52)-(Q52-O52)*(N16-N52)</f>
        <v>0</v>
      </c>
      <c r="R336" s="7">
        <f>(P52-N52)*(Q16-O52)-(Q52-O52)*(P16-N52)</f>
        <v>0</v>
      </c>
      <c r="S336" s="7">
        <f>IF(N336,IF(AND(O336*P336&lt;=0,Q336*R336&lt;=0,MAX(MIN(N16,P16),MIN(N52,P52))&lt;=MIN(MAX(N16,P16),MAX(N52,P52)),MAX(MIN(O16,Q16),MIN(O52,Q52))&lt;=MIN(MAX(O16,Q16),MAX(O52,Q52))),1,0),0)</f>
        <v>0</v>
      </c>
      <c r="T336" s="7"/>
      <c r="U336" s="7"/>
      <c r="V336" s="7"/>
      <c r="W336" s="7"/>
      <c r="X336" s="7"/>
      <c r="Y336" s="7"/>
      <c r="Z336" s="7"/>
      <c r="AA336" s="7"/>
      <c r="AB336" s="7"/>
      <c r="AC336" s="7"/>
      <c r="AD336" s="7"/>
      <c r="AE336" s="7"/>
      <c r="AF336" s="7"/>
      <c r="AG336" s="7"/>
      <c r="AH336" s="7"/>
      <c r="AI336" s="7"/>
    </row>
    <row r="337" spans="12:35">
      <c r="L337" s="7">
        <v>16</v>
      </c>
      <c r="M337" s="7">
        <v>53</v>
      </c>
      <c r="N337" s="7" t="b">
        <f>AND($N$5,$N$7,5&lt;=$M$5,2&lt;=$M$7)</f>
        <v>0</v>
      </c>
      <c r="O337" s="7">
        <f>(P16-N16)*(O53-O16)-(Q16-O16)*(N53-N16)</f>
        <v>0</v>
      </c>
      <c r="P337" s="7">
        <f>(P16-N16)*(Q53-O16)-(Q16-O16)*(P53-N16)</f>
        <v>0</v>
      </c>
      <c r="Q337" s="7">
        <f>(P53-N53)*(O16-O53)-(Q53-O53)*(N16-N53)</f>
        <v>0</v>
      </c>
      <c r="R337" s="7">
        <f>(P53-N53)*(Q16-O53)-(Q53-O53)*(P16-N53)</f>
        <v>0</v>
      </c>
      <c r="S337" s="7">
        <f>IF(N337,IF(AND(O337*P337&lt;=0,Q337*R337&lt;=0,MAX(MIN(N16,P16),MIN(N53,P53))&lt;=MIN(MAX(N16,P16),MAX(N53,P53)),MAX(MIN(O16,Q16),MIN(O53,Q53))&lt;=MIN(MAX(O16,Q16),MAX(O53,Q53))),1,0),0)</f>
        <v>0</v>
      </c>
      <c r="T337" s="7"/>
      <c r="U337" s="7"/>
      <c r="V337" s="7"/>
      <c r="W337" s="7"/>
      <c r="X337" s="7"/>
      <c r="Y337" s="7"/>
      <c r="Z337" s="7"/>
      <c r="AA337" s="7"/>
      <c r="AB337" s="7"/>
      <c r="AC337" s="7"/>
      <c r="AD337" s="7"/>
      <c r="AE337" s="7"/>
      <c r="AF337" s="7"/>
      <c r="AG337" s="7"/>
      <c r="AH337" s="7"/>
      <c r="AI337" s="7"/>
    </row>
    <row r="338" spans="12:35">
      <c r="L338" s="7">
        <v>16</v>
      </c>
      <c r="M338" s="7">
        <v>54</v>
      </c>
      <c r="N338" s="7" t="b">
        <f>AND($N$5,$N$7,5&lt;=$M$5,3&lt;=$M$7)</f>
        <v>0</v>
      </c>
      <c r="O338" s="7">
        <f>(P16-N16)*(O54-O16)-(Q16-O16)*(N54-N16)</f>
        <v>0</v>
      </c>
      <c r="P338" s="7">
        <f>(P16-N16)*(Q54-O16)-(Q16-O16)*(P54-N16)</f>
        <v>0</v>
      </c>
      <c r="Q338" s="7">
        <f>(P54-N54)*(O16-O54)-(Q54-O54)*(N16-N54)</f>
        <v>0</v>
      </c>
      <c r="R338" s="7">
        <f>(P54-N54)*(Q16-O54)-(Q54-O54)*(P16-N54)</f>
        <v>0</v>
      </c>
      <c r="S338" s="7">
        <f>IF(N338,IF(AND(O338*P338&lt;=0,Q338*R338&lt;=0,MAX(MIN(N16,P16),MIN(N54,P54))&lt;=MIN(MAX(N16,P16),MAX(N54,P54)),MAX(MIN(O16,Q16),MIN(O54,Q54))&lt;=MIN(MAX(O16,Q16),MAX(O54,Q54))),1,0),0)</f>
        <v>0</v>
      </c>
      <c r="T338" s="7"/>
      <c r="U338" s="7"/>
      <c r="V338" s="7"/>
      <c r="W338" s="7"/>
      <c r="X338" s="7"/>
      <c r="Y338" s="7"/>
      <c r="Z338" s="7"/>
      <c r="AA338" s="7"/>
      <c r="AB338" s="7"/>
      <c r="AC338" s="7"/>
      <c r="AD338" s="7"/>
      <c r="AE338" s="7"/>
      <c r="AF338" s="7"/>
      <c r="AG338" s="7"/>
      <c r="AH338" s="7"/>
      <c r="AI338" s="7"/>
    </row>
    <row r="339" spans="12:35">
      <c r="L339" s="7">
        <v>16</v>
      </c>
      <c r="M339" s="7">
        <v>55</v>
      </c>
      <c r="N339" s="7" t="b">
        <f>AND($N$5,$N$7,5&lt;=$M$5,4&lt;=$M$7)</f>
        <v>0</v>
      </c>
      <c r="O339" s="7">
        <f>(P16-N16)*(O55-O16)-(Q16-O16)*(N55-N16)</f>
        <v>0</v>
      </c>
      <c r="P339" s="7">
        <f>(P16-N16)*(Q55-O16)-(Q16-O16)*(P55-N16)</f>
        <v>0</v>
      </c>
      <c r="Q339" s="7">
        <f>(P55-N55)*(O16-O55)-(Q55-O55)*(N16-N55)</f>
        <v>0</v>
      </c>
      <c r="R339" s="7">
        <f>(P55-N55)*(Q16-O55)-(Q55-O55)*(P16-N55)</f>
        <v>0</v>
      </c>
      <c r="S339" s="7">
        <f>IF(N339,IF(AND(O339*P339&lt;=0,Q339*R339&lt;=0,MAX(MIN(N16,P16),MIN(N55,P55))&lt;=MIN(MAX(N16,P16),MAX(N55,P55)),MAX(MIN(O16,Q16),MIN(O55,Q55))&lt;=MIN(MAX(O16,Q16),MAX(O55,Q55))),1,0),0)</f>
        <v>0</v>
      </c>
      <c r="T339" s="7"/>
      <c r="U339" s="7"/>
      <c r="V339" s="7"/>
      <c r="W339" s="7"/>
      <c r="X339" s="7"/>
      <c r="Y339" s="7"/>
      <c r="Z339" s="7"/>
      <c r="AA339" s="7"/>
      <c r="AB339" s="7"/>
      <c r="AC339" s="7"/>
      <c r="AD339" s="7"/>
      <c r="AE339" s="7"/>
      <c r="AF339" s="7"/>
      <c r="AG339" s="7"/>
      <c r="AH339" s="7"/>
      <c r="AI339" s="7"/>
    </row>
    <row r="340" spans="12:35">
      <c r="L340" s="7">
        <v>16</v>
      </c>
      <c r="M340" s="7">
        <v>56</v>
      </c>
      <c r="N340" s="7" t="b">
        <f>AND($N$5,$N$7,5&lt;=$M$5,5&lt;=$M$7)</f>
        <v>0</v>
      </c>
      <c r="O340" s="7">
        <f>(P16-N16)*(O56-O16)-(Q16-O16)*(N56-N16)</f>
        <v>0</v>
      </c>
      <c r="P340" s="7">
        <f>(P16-N16)*(Q56-O16)-(Q16-O16)*(P56-N16)</f>
        <v>0</v>
      </c>
      <c r="Q340" s="7">
        <f>(P56-N56)*(O16-O56)-(Q56-O56)*(N16-N56)</f>
        <v>0</v>
      </c>
      <c r="R340" s="7">
        <f>(P56-N56)*(Q16-O56)-(Q56-O56)*(P16-N56)</f>
        <v>0</v>
      </c>
      <c r="S340" s="7">
        <f>IF(N340,IF(AND(O340*P340&lt;=0,Q340*R340&lt;=0,MAX(MIN(N16,P16),MIN(N56,P56))&lt;=MIN(MAX(N16,P16),MAX(N56,P56)),MAX(MIN(O16,Q16),MIN(O56,Q56))&lt;=MIN(MAX(O16,Q16),MAX(O56,Q56))),1,0),0)</f>
        <v>0</v>
      </c>
      <c r="T340" s="7"/>
      <c r="U340" s="7"/>
      <c r="V340" s="7"/>
      <c r="W340" s="7"/>
      <c r="X340" s="7"/>
      <c r="Y340" s="7"/>
      <c r="Z340" s="7"/>
      <c r="AA340" s="7"/>
      <c r="AB340" s="7"/>
      <c r="AC340" s="7"/>
      <c r="AD340" s="7"/>
      <c r="AE340" s="7"/>
      <c r="AF340" s="7"/>
      <c r="AG340" s="7"/>
      <c r="AH340" s="7"/>
      <c r="AI340" s="7"/>
    </row>
    <row r="341" spans="12:35">
      <c r="L341" s="7">
        <v>16</v>
      </c>
      <c r="M341" s="7">
        <v>57</v>
      </c>
      <c r="N341" s="7" t="b">
        <f>AND($N$5,$N$7,5&lt;=$M$5,6&lt;=$M$7)</f>
        <v>0</v>
      </c>
      <c r="O341" s="7">
        <f>(P16-N16)*(O57-O16)-(Q16-O16)*(N57-N16)</f>
        <v>0</v>
      </c>
      <c r="P341" s="7">
        <f>(P16-N16)*(Q57-O16)-(Q16-O16)*(P57-N16)</f>
        <v>0</v>
      </c>
      <c r="Q341" s="7">
        <f>(P57-N57)*(O16-O57)-(Q57-O57)*(N16-N57)</f>
        <v>0</v>
      </c>
      <c r="R341" s="7">
        <f>(P57-N57)*(Q16-O57)-(Q57-O57)*(P16-N57)</f>
        <v>0</v>
      </c>
      <c r="S341" s="7">
        <f>IF(N341,IF(AND(O341*P341&lt;=0,Q341*R341&lt;=0,MAX(MIN(N16,P16),MIN(N57,P57))&lt;=MIN(MAX(N16,P16),MAX(N57,P57)),MAX(MIN(O16,Q16),MIN(O57,Q57))&lt;=MIN(MAX(O16,Q16),MAX(O57,Q57))),1,0),0)</f>
        <v>0</v>
      </c>
      <c r="T341" s="7"/>
      <c r="U341" s="7"/>
      <c r="V341" s="7"/>
      <c r="W341" s="7"/>
      <c r="X341" s="7"/>
      <c r="Y341" s="7"/>
      <c r="Z341" s="7"/>
      <c r="AA341" s="7"/>
      <c r="AB341" s="7"/>
      <c r="AC341" s="7"/>
      <c r="AD341" s="7"/>
      <c r="AE341" s="7"/>
      <c r="AF341" s="7"/>
      <c r="AG341" s="7"/>
      <c r="AH341" s="7"/>
      <c r="AI341" s="7"/>
    </row>
    <row r="342" spans="12:35">
      <c r="L342" s="7">
        <v>16</v>
      </c>
      <c r="M342" s="7">
        <v>58</v>
      </c>
      <c r="N342" s="7" t="b">
        <f>AND($N$5,$N$7,5&lt;=$M$5,7&lt;=$M$7)</f>
        <v>0</v>
      </c>
      <c r="O342" s="7">
        <f>(P16-N16)*(O58-O16)-(Q16-O16)*(N58-N16)</f>
        <v>0</v>
      </c>
      <c r="P342" s="7">
        <f>(P16-N16)*(Q58-O16)-(Q16-O16)*(P58-N16)</f>
        <v>0</v>
      </c>
      <c r="Q342" s="7">
        <f>(P58-N58)*(O16-O58)-(Q58-O58)*(N16-N58)</f>
        <v>0</v>
      </c>
      <c r="R342" s="7">
        <f>(P58-N58)*(Q16-O58)-(Q58-O58)*(P16-N58)</f>
        <v>0</v>
      </c>
      <c r="S342" s="7">
        <f>IF(N342,IF(AND(O342*P342&lt;=0,Q342*R342&lt;=0,MAX(MIN(N16,P16),MIN(N58,P58))&lt;=MIN(MAX(N16,P16),MAX(N58,P58)),MAX(MIN(O16,Q16),MIN(O58,Q58))&lt;=MIN(MAX(O16,Q16),MAX(O58,Q58))),1,0),0)</f>
        <v>0</v>
      </c>
      <c r="T342" s="7"/>
      <c r="U342" s="7"/>
      <c r="V342" s="7"/>
      <c r="W342" s="7"/>
      <c r="X342" s="7"/>
      <c r="Y342" s="7"/>
      <c r="Z342" s="7"/>
      <c r="AA342" s="7"/>
      <c r="AB342" s="7"/>
      <c r="AC342" s="7"/>
      <c r="AD342" s="7"/>
      <c r="AE342" s="7"/>
      <c r="AF342" s="7"/>
      <c r="AG342" s="7"/>
      <c r="AH342" s="7"/>
      <c r="AI342" s="7"/>
    </row>
    <row r="343" spans="12:35">
      <c r="L343" s="7">
        <v>16</v>
      </c>
      <c r="M343" s="7">
        <v>59</v>
      </c>
      <c r="N343" s="7" t="b">
        <f>AND($N$5,$N$7,5&lt;=$M$5,8&lt;=$M$7)</f>
        <v>0</v>
      </c>
      <c r="O343" s="7">
        <f>(P16-N16)*(O59-O16)-(Q16-O16)*(N59-N16)</f>
        <v>0</v>
      </c>
      <c r="P343" s="7">
        <f>(P16-N16)*(Q59-O16)-(Q16-O16)*(P59-N16)</f>
        <v>0</v>
      </c>
      <c r="Q343" s="7">
        <f>(P59-N59)*(O16-O59)-(Q59-O59)*(N16-N59)</f>
        <v>0</v>
      </c>
      <c r="R343" s="7">
        <f>(P59-N59)*(Q16-O59)-(Q59-O59)*(P16-N59)</f>
        <v>0</v>
      </c>
      <c r="S343" s="7">
        <f>IF(N343,IF(AND(O343*P343&lt;=0,Q343*R343&lt;=0,MAX(MIN(N16,P16),MIN(N59,P59))&lt;=MIN(MAX(N16,P16),MAX(N59,P59)),MAX(MIN(O16,Q16),MIN(O59,Q59))&lt;=MIN(MAX(O16,Q16),MAX(O59,Q59))),1,0),0)</f>
        <v>0</v>
      </c>
      <c r="T343" s="7"/>
      <c r="U343" s="7"/>
      <c r="V343" s="7"/>
      <c r="W343" s="7"/>
      <c r="X343" s="7"/>
      <c r="Y343" s="7"/>
      <c r="Z343" s="7"/>
      <c r="AA343" s="7"/>
      <c r="AB343" s="7"/>
      <c r="AC343" s="7"/>
      <c r="AD343" s="7"/>
      <c r="AE343" s="7"/>
      <c r="AF343" s="7"/>
      <c r="AG343" s="7"/>
      <c r="AH343" s="7"/>
      <c r="AI343" s="7"/>
    </row>
    <row r="344" spans="12:35">
      <c r="L344" s="7">
        <v>16</v>
      </c>
      <c r="M344" s="7">
        <v>60</v>
      </c>
      <c r="N344" s="7" t="b">
        <f>AND($N$5,$N$7,5&lt;=$M$5,9&lt;=$M$7)</f>
        <v>0</v>
      </c>
      <c r="O344" s="7">
        <f>(P16-N16)*(O60-O16)-(Q16-O16)*(N60-N16)</f>
        <v>0</v>
      </c>
      <c r="P344" s="7">
        <f>(P16-N16)*(Q60-O16)-(Q16-O16)*(P60-N16)</f>
        <v>0</v>
      </c>
      <c r="Q344" s="7">
        <f>(P60-N60)*(O16-O60)-(Q60-O60)*(N16-N60)</f>
        <v>0</v>
      </c>
      <c r="R344" s="7">
        <f>(P60-N60)*(Q16-O60)-(Q60-O60)*(P16-N60)</f>
        <v>0</v>
      </c>
      <c r="S344" s="7">
        <f>IF(N344,IF(AND(O344*P344&lt;=0,Q344*R344&lt;=0,MAX(MIN(N16,P16),MIN(N60,P60))&lt;=MIN(MAX(N16,P16),MAX(N60,P60)),MAX(MIN(O16,Q16),MIN(O60,Q60))&lt;=MIN(MAX(O16,Q16),MAX(O60,Q60))),1,0),0)</f>
        <v>0</v>
      </c>
      <c r="T344" s="7"/>
      <c r="U344" s="7"/>
      <c r="V344" s="7"/>
      <c r="W344" s="7"/>
      <c r="X344" s="7"/>
      <c r="Y344" s="7"/>
      <c r="Z344" s="7"/>
      <c r="AA344" s="7"/>
      <c r="AB344" s="7"/>
      <c r="AC344" s="7"/>
      <c r="AD344" s="7"/>
      <c r="AE344" s="7"/>
      <c r="AF344" s="7"/>
      <c r="AG344" s="7"/>
      <c r="AH344" s="7"/>
      <c r="AI344" s="7"/>
    </row>
    <row r="345" spans="12:35">
      <c r="L345" s="7">
        <v>16</v>
      </c>
      <c r="M345" s="7">
        <v>61</v>
      </c>
      <c r="N345" s="7" t="b">
        <f>AND($N$5,$N$7,5&lt;=$M$5,10&lt;=$M$7)</f>
        <v>0</v>
      </c>
      <c r="O345" s="7">
        <f>(P16-N16)*(O61-O16)-(Q16-O16)*(N61-N16)</f>
        <v>0</v>
      </c>
      <c r="P345" s="7">
        <f>(P16-N16)*(Q61-O16)-(Q16-O16)*(P61-N16)</f>
        <v>0</v>
      </c>
      <c r="Q345" s="7">
        <f>(P61-N61)*(O16-O61)-(Q61-O61)*(N16-N61)</f>
        <v>0</v>
      </c>
      <c r="R345" s="7">
        <f>(P61-N61)*(Q16-O61)-(Q61-O61)*(P16-N61)</f>
        <v>0</v>
      </c>
      <c r="S345" s="7">
        <f>IF(N345,IF(AND(O345*P345&lt;=0,Q345*R345&lt;=0,MAX(MIN(N16,P16),MIN(N61,P61))&lt;=MIN(MAX(N16,P16),MAX(N61,P61)),MAX(MIN(O16,Q16),MIN(O61,Q61))&lt;=MIN(MAX(O16,Q16),MAX(O61,Q61))),1,0),0)</f>
        <v>0</v>
      </c>
      <c r="T345" s="7"/>
      <c r="U345" s="7"/>
      <c r="V345" s="7"/>
      <c r="W345" s="7"/>
      <c r="X345" s="7"/>
      <c r="Y345" s="7"/>
      <c r="Z345" s="7"/>
      <c r="AA345" s="7"/>
      <c r="AB345" s="7"/>
      <c r="AC345" s="7"/>
      <c r="AD345" s="7"/>
      <c r="AE345" s="7"/>
      <c r="AF345" s="7"/>
      <c r="AG345" s="7"/>
      <c r="AH345" s="7"/>
      <c r="AI345" s="7"/>
    </row>
    <row r="346" spans="12:35">
      <c r="L346" s="7">
        <v>16</v>
      </c>
      <c r="M346" s="7">
        <v>62</v>
      </c>
      <c r="N346" s="7" t="b">
        <f>AND($N$5,$N$7,5&lt;=$M$5,11&lt;=$M$7)</f>
        <v>0</v>
      </c>
      <c r="O346" s="7">
        <f>(P16-N16)*(O62-O16)-(Q16-O16)*(N62-N16)</f>
        <v>0</v>
      </c>
      <c r="P346" s="7">
        <f>(P16-N16)*(Q62-O16)-(Q16-O16)*(P62-N16)</f>
        <v>0</v>
      </c>
      <c r="Q346" s="7">
        <f>(P62-N62)*(O16-O62)-(Q62-O62)*(N16-N62)</f>
        <v>0</v>
      </c>
      <c r="R346" s="7">
        <f>(P62-N62)*(Q16-O62)-(Q62-O62)*(P16-N62)</f>
        <v>0</v>
      </c>
      <c r="S346" s="7">
        <f>IF(N346,IF(AND(O346*P346&lt;=0,Q346*R346&lt;=0,MAX(MIN(N16,P16),MIN(N62,P62))&lt;=MIN(MAX(N16,P16),MAX(N62,P62)),MAX(MIN(O16,Q16),MIN(O62,Q62))&lt;=MIN(MAX(O16,Q16),MAX(O62,Q62))),1,0),0)</f>
        <v>0</v>
      </c>
      <c r="T346" s="7"/>
      <c r="U346" s="7"/>
      <c r="V346" s="7"/>
      <c r="W346" s="7"/>
      <c r="X346" s="7"/>
      <c r="Y346" s="7"/>
      <c r="Z346" s="7"/>
      <c r="AA346" s="7"/>
      <c r="AB346" s="7"/>
      <c r="AC346" s="7"/>
      <c r="AD346" s="7"/>
      <c r="AE346" s="7"/>
      <c r="AF346" s="7"/>
      <c r="AG346" s="7"/>
      <c r="AH346" s="7"/>
      <c r="AI346" s="7"/>
    </row>
    <row r="347" spans="12:35">
      <c r="L347" s="7">
        <v>16</v>
      </c>
      <c r="M347" s="7">
        <v>63</v>
      </c>
      <c r="N347" s="7" t="b">
        <f>AND($N$5,$N$7,5&lt;=$M$5,12&lt;=$M$7)</f>
        <v>0</v>
      </c>
      <c r="O347" s="7">
        <f>(P16-N16)*(O63-O16)-(Q16-O16)*(N63-N16)</f>
        <v>0</v>
      </c>
      <c r="P347" s="7">
        <f>(P16-N16)*(Q63-O16)-(Q16-O16)*(P63-N16)</f>
        <v>0</v>
      </c>
      <c r="Q347" s="7">
        <f>(P63-N63)*(O16-O63)-(Q63-O63)*(N16-N63)</f>
        <v>0</v>
      </c>
      <c r="R347" s="7">
        <f>(P63-N63)*(Q16-O63)-(Q63-O63)*(P16-N63)</f>
        <v>0</v>
      </c>
      <c r="S347" s="7">
        <f>IF(N347,IF(AND(O347*P347&lt;=0,Q347*R347&lt;=0,MAX(MIN(N16,P16),MIN(N63,P63))&lt;=MIN(MAX(N16,P16),MAX(N63,P63)),MAX(MIN(O16,Q16),MIN(O63,Q63))&lt;=MIN(MAX(O16,Q16),MAX(O63,Q63))),1,0),0)</f>
        <v>0</v>
      </c>
      <c r="T347" s="7"/>
      <c r="U347" s="7"/>
      <c r="V347" s="7"/>
      <c r="W347" s="7"/>
      <c r="X347" s="7"/>
      <c r="Y347" s="7"/>
      <c r="Z347" s="7"/>
      <c r="AA347" s="7"/>
      <c r="AB347" s="7"/>
      <c r="AC347" s="7"/>
      <c r="AD347" s="7"/>
      <c r="AE347" s="7"/>
      <c r="AF347" s="7"/>
      <c r="AG347" s="7"/>
      <c r="AH347" s="7"/>
      <c r="AI347" s="7"/>
    </row>
    <row r="348" spans="12:35">
      <c r="L348" s="7">
        <v>16</v>
      </c>
      <c r="M348" s="7">
        <v>64</v>
      </c>
      <c r="N348" s="7" t="b">
        <f>AND($N$5,$N$7,5&lt;=$M$5,13&lt;=$M$7)</f>
        <v>0</v>
      </c>
      <c r="O348" s="7">
        <f>(P16-N16)*(O64-O16)-(Q16-O16)*(N64-N16)</f>
        <v>0</v>
      </c>
      <c r="P348" s="7">
        <f>(P16-N16)*(Q64-O16)-(Q16-O16)*(P64-N16)</f>
        <v>0</v>
      </c>
      <c r="Q348" s="7">
        <f>(P64-N64)*(O16-O64)-(Q64-O64)*(N16-N64)</f>
        <v>0</v>
      </c>
      <c r="R348" s="7">
        <f>(P64-N64)*(Q16-O64)-(Q64-O64)*(P16-N64)</f>
        <v>0</v>
      </c>
      <c r="S348" s="7">
        <f>IF(N348,IF(AND(O348*P348&lt;=0,Q348*R348&lt;=0,MAX(MIN(N16,P16),MIN(N64,P64))&lt;=MIN(MAX(N16,P16),MAX(N64,P64)),MAX(MIN(O16,Q16),MIN(O64,Q64))&lt;=MIN(MAX(O16,Q16),MAX(O64,Q64))),1,0),0)</f>
        <v>0</v>
      </c>
      <c r="T348" s="7"/>
      <c r="U348" s="7"/>
      <c r="V348" s="7"/>
      <c r="W348" s="7"/>
      <c r="X348" s="7"/>
      <c r="Y348" s="7"/>
      <c r="Z348" s="7"/>
      <c r="AA348" s="7"/>
      <c r="AB348" s="7"/>
      <c r="AC348" s="7"/>
      <c r="AD348" s="7"/>
      <c r="AE348" s="7"/>
      <c r="AF348" s="7"/>
      <c r="AG348" s="7"/>
      <c r="AH348" s="7"/>
      <c r="AI348" s="7"/>
    </row>
    <row r="349" spans="12:35">
      <c r="L349" s="7">
        <v>16</v>
      </c>
      <c r="M349" s="7">
        <v>65</v>
      </c>
      <c r="N349" s="7" t="b">
        <f>AND($N$5,$N$7,5&lt;=$M$5,14&lt;=$M$7)</f>
        <v>0</v>
      </c>
      <c r="O349" s="7">
        <f>(P16-N16)*(O65-O16)-(Q16-O16)*(N65-N16)</f>
        <v>0</v>
      </c>
      <c r="P349" s="7">
        <f>(P16-N16)*(Q65-O16)-(Q16-O16)*(P65-N16)</f>
        <v>0</v>
      </c>
      <c r="Q349" s="7">
        <f>(P65-N65)*(O16-O65)-(Q65-O65)*(N16-N65)</f>
        <v>0</v>
      </c>
      <c r="R349" s="7">
        <f>(P65-N65)*(Q16-O65)-(Q65-O65)*(P16-N65)</f>
        <v>0</v>
      </c>
      <c r="S349" s="7">
        <f>IF(N349,IF(AND(O349*P349&lt;=0,Q349*R349&lt;=0,MAX(MIN(N16,P16),MIN(N65,P65))&lt;=MIN(MAX(N16,P16),MAX(N65,P65)),MAX(MIN(O16,Q16),MIN(O65,Q65))&lt;=MIN(MAX(O16,Q16),MAX(O65,Q65))),1,0),0)</f>
        <v>0</v>
      </c>
      <c r="T349" s="7"/>
      <c r="U349" s="7"/>
      <c r="V349" s="7"/>
      <c r="W349" s="7"/>
      <c r="X349" s="7"/>
      <c r="Y349" s="7"/>
      <c r="Z349" s="7"/>
      <c r="AA349" s="7"/>
      <c r="AB349" s="7"/>
      <c r="AC349" s="7"/>
      <c r="AD349" s="7"/>
      <c r="AE349" s="7"/>
      <c r="AF349" s="7"/>
      <c r="AG349" s="7"/>
      <c r="AH349" s="7"/>
      <c r="AI349" s="7"/>
    </row>
    <row r="350" spans="12:35">
      <c r="L350" s="7">
        <v>16</v>
      </c>
      <c r="M350" s="7">
        <v>66</v>
      </c>
      <c r="N350" s="7" t="b">
        <f>AND($N$5,$N$7,5&lt;=$M$5,15&lt;=$M$7)</f>
        <v>0</v>
      </c>
      <c r="O350" s="7">
        <f>(P16-N16)*(O66-O16)-(Q16-O16)*(N66-N16)</f>
        <v>0</v>
      </c>
      <c r="P350" s="7">
        <f>(P16-N16)*(Q66-O16)-(Q16-O16)*(P66-N16)</f>
        <v>0</v>
      </c>
      <c r="Q350" s="7">
        <f>(P66-N66)*(O16-O66)-(Q66-O66)*(N16-N66)</f>
        <v>0</v>
      </c>
      <c r="R350" s="7">
        <f>(P66-N66)*(Q16-O66)-(Q66-O66)*(P16-N66)</f>
        <v>0</v>
      </c>
      <c r="S350" s="7">
        <f>IF(N350,IF(AND(O350*P350&lt;=0,Q350*R350&lt;=0,MAX(MIN(N16,P16),MIN(N66,P66))&lt;=MIN(MAX(N16,P16),MAX(N66,P66)),MAX(MIN(O16,Q16),MIN(O66,Q66))&lt;=MIN(MAX(O16,Q16),MAX(O66,Q66))),1,0),0)</f>
        <v>0</v>
      </c>
      <c r="T350" s="7"/>
      <c r="U350" s="7"/>
      <c r="V350" s="7"/>
      <c r="W350" s="7"/>
      <c r="X350" s="7"/>
      <c r="Y350" s="7"/>
      <c r="Z350" s="7"/>
      <c r="AA350" s="7"/>
      <c r="AB350" s="7"/>
      <c r="AC350" s="7"/>
      <c r="AD350" s="7"/>
      <c r="AE350" s="7"/>
      <c r="AF350" s="7"/>
      <c r="AG350" s="7"/>
      <c r="AH350" s="7"/>
      <c r="AI350" s="7"/>
    </row>
    <row r="351" spans="12:35">
      <c r="L351" s="7">
        <v>16</v>
      </c>
      <c r="M351" s="7">
        <v>67</v>
      </c>
      <c r="N351" s="7" t="b">
        <f>AND($N$5,$N$7,5&lt;=$M$5,16&lt;=$M$7)</f>
        <v>0</v>
      </c>
      <c r="O351" s="7">
        <f>(P16-N16)*(O67-O16)-(Q16-O16)*(N67-N16)</f>
        <v>0</v>
      </c>
      <c r="P351" s="7">
        <f>(P16-N16)*(Q67-O16)-(Q16-O16)*(P67-N16)</f>
        <v>0</v>
      </c>
      <c r="Q351" s="7">
        <f>(P67-N67)*(O16-O67)-(Q67-O67)*(N16-N67)</f>
        <v>0</v>
      </c>
      <c r="R351" s="7">
        <f>(P67-N67)*(Q16-O67)-(Q67-O67)*(P16-N67)</f>
        <v>0</v>
      </c>
      <c r="S351" s="7">
        <f>IF(N351,IF(AND(O351*P351&lt;=0,Q351*R351&lt;=0,MAX(MIN(N16,P16),MIN(N67,P67))&lt;=MIN(MAX(N16,P16),MAX(N67,P67)),MAX(MIN(O16,Q16),MIN(O67,Q67))&lt;=MIN(MAX(O16,Q16),MAX(O67,Q67))),1,0),0)</f>
        <v>0</v>
      </c>
      <c r="T351" s="7"/>
      <c r="U351" s="7"/>
      <c r="V351" s="7"/>
      <c r="W351" s="7"/>
      <c r="X351" s="7"/>
      <c r="Y351" s="7"/>
      <c r="Z351" s="7"/>
      <c r="AA351" s="7"/>
      <c r="AB351" s="7"/>
      <c r="AC351" s="7"/>
      <c r="AD351" s="7"/>
      <c r="AE351" s="7"/>
      <c r="AF351" s="7"/>
      <c r="AG351" s="7"/>
      <c r="AH351" s="7"/>
      <c r="AI351" s="7"/>
    </row>
    <row r="352" spans="12:35">
      <c r="L352" s="7">
        <v>16</v>
      </c>
      <c r="M352" s="7">
        <v>68</v>
      </c>
      <c r="N352" s="7" t="b">
        <f>AND($N$5,$N$7,5&lt;=$M$5,17&lt;=$M$7)</f>
        <v>0</v>
      </c>
      <c r="O352" s="7">
        <f>(P16-N16)*(O68-O16)-(Q16-O16)*(N68-N16)</f>
        <v>0</v>
      </c>
      <c r="P352" s="7">
        <f>(P16-N16)*(Q68-O16)-(Q16-O16)*(P68-N16)</f>
        <v>0</v>
      </c>
      <c r="Q352" s="7">
        <f>(P68-N68)*(O16-O68)-(Q68-O68)*(N16-N68)</f>
        <v>0</v>
      </c>
      <c r="R352" s="7">
        <f>(P68-N68)*(Q16-O68)-(Q68-O68)*(P16-N68)</f>
        <v>0</v>
      </c>
      <c r="S352" s="7">
        <f>IF(N352,IF(AND(O352*P352&lt;=0,Q352*R352&lt;=0,MAX(MIN(N16,P16),MIN(N68,P68))&lt;=MIN(MAX(N16,P16),MAX(N68,P68)),MAX(MIN(O16,Q16),MIN(O68,Q68))&lt;=MIN(MAX(O16,Q16),MAX(O68,Q68))),1,0),0)</f>
        <v>0</v>
      </c>
      <c r="T352" s="7"/>
      <c r="U352" s="7"/>
      <c r="V352" s="7"/>
      <c r="W352" s="7"/>
      <c r="X352" s="7"/>
      <c r="Y352" s="7"/>
      <c r="Z352" s="7"/>
      <c r="AA352" s="7"/>
      <c r="AB352" s="7"/>
      <c r="AC352" s="7"/>
      <c r="AD352" s="7"/>
      <c r="AE352" s="7"/>
      <c r="AF352" s="7"/>
      <c r="AG352" s="7"/>
      <c r="AH352" s="7"/>
      <c r="AI352" s="7"/>
    </row>
    <row r="353" spans="12:35">
      <c r="L353" s="7">
        <v>16</v>
      </c>
      <c r="M353" s="7">
        <v>69</v>
      </c>
      <c r="N353" s="7" t="b">
        <f>AND($N$5,$N$7,5&lt;=$M$5,18&lt;=$M$7)</f>
        <v>0</v>
      </c>
      <c r="O353" s="7">
        <f>(P16-N16)*(O69-O16)-(Q16-O16)*(N69-N16)</f>
        <v>0</v>
      </c>
      <c r="P353" s="7">
        <f>(P16-N16)*(Q69-O16)-(Q16-O16)*(P69-N16)</f>
        <v>0</v>
      </c>
      <c r="Q353" s="7">
        <f>(P69-N69)*(O16-O69)-(Q69-O69)*(N16-N69)</f>
        <v>0</v>
      </c>
      <c r="R353" s="7">
        <f>(P69-N69)*(Q16-O69)-(Q69-O69)*(P16-N69)</f>
        <v>0</v>
      </c>
      <c r="S353" s="7">
        <f>IF(N353,IF(AND(O353*P353&lt;=0,Q353*R353&lt;=0,MAX(MIN(N16,P16),MIN(N69,P69))&lt;=MIN(MAX(N16,P16),MAX(N69,P69)),MAX(MIN(O16,Q16),MIN(O69,Q69))&lt;=MIN(MAX(O16,Q16),MAX(O69,Q69))),1,0),0)</f>
        <v>0</v>
      </c>
      <c r="T353" s="7"/>
      <c r="U353" s="7"/>
      <c r="V353" s="7"/>
      <c r="W353" s="7"/>
      <c r="X353" s="7"/>
      <c r="Y353" s="7"/>
      <c r="Z353" s="7"/>
      <c r="AA353" s="7"/>
      <c r="AB353" s="7"/>
      <c r="AC353" s="7"/>
      <c r="AD353" s="7"/>
      <c r="AE353" s="7"/>
      <c r="AF353" s="7"/>
      <c r="AG353" s="7"/>
      <c r="AH353" s="7"/>
      <c r="AI353" s="7"/>
    </row>
    <row r="354" spans="12:35">
      <c r="L354" s="7">
        <v>16</v>
      </c>
      <c r="M354" s="7">
        <v>70</v>
      </c>
      <c r="N354" s="7" t="b">
        <f>AND($N$5,$N$7,5&lt;=$M$5,19&lt;=$M$7)</f>
        <v>0</v>
      </c>
      <c r="O354" s="7">
        <f>(P16-N16)*(O70-O16)-(Q16-O16)*(N70-N16)</f>
        <v>0</v>
      </c>
      <c r="P354" s="7">
        <f>(P16-N16)*(Q70-O16)-(Q16-O16)*(P70-N16)</f>
        <v>0</v>
      </c>
      <c r="Q354" s="7">
        <f>(P70-N70)*(O16-O70)-(Q70-O70)*(N16-N70)</f>
        <v>0</v>
      </c>
      <c r="R354" s="7">
        <f>(P70-N70)*(Q16-O70)-(Q70-O70)*(P16-N70)</f>
        <v>0</v>
      </c>
      <c r="S354" s="7">
        <f>IF(N354,IF(AND(O354*P354&lt;=0,Q354*R354&lt;=0,MAX(MIN(N16,P16),MIN(N70,P70))&lt;=MIN(MAX(N16,P16),MAX(N70,P70)),MAX(MIN(O16,Q16),MIN(O70,Q70))&lt;=MIN(MAX(O16,Q16),MAX(O70,Q70))),1,0),0)</f>
        <v>0</v>
      </c>
      <c r="T354" s="7"/>
      <c r="U354" s="7"/>
      <c r="V354" s="7"/>
      <c r="W354" s="7"/>
      <c r="X354" s="7"/>
      <c r="Y354" s="7"/>
      <c r="Z354" s="7"/>
      <c r="AA354" s="7"/>
      <c r="AB354" s="7"/>
      <c r="AC354" s="7"/>
      <c r="AD354" s="7"/>
      <c r="AE354" s="7"/>
      <c r="AF354" s="7"/>
      <c r="AG354" s="7"/>
      <c r="AH354" s="7"/>
      <c r="AI354" s="7"/>
    </row>
    <row r="355" spans="12:35">
      <c r="L355" s="7">
        <v>16</v>
      </c>
      <c r="M355" s="7">
        <v>71</v>
      </c>
      <c r="N355" s="7" t="b">
        <f>AND($N$5,$N$7,5&lt;=$M$5,20&lt;=$M$7)</f>
        <v>0</v>
      </c>
      <c r="O355" s="7">
        <f>(P16-N16)*(O71-O16)-(Q16-O16)*(N71-N16)</f>
        <v>0</v>
      </c>
      <c r="P355" s="7">
        <f>(P16-N16)*(Q71-O16)-(Q16-O16)*(P71-N16)</f>
        <v>0</v>
      </c>
      <c r="Q355" s="7">
        <f>(P71-N71)*(O16-O71)-(Q71-O71)*(N16-N71)</f>
        <v>0</v>
      </c>
      <c r="R355" s="7">
        <f>(P71-N71)*(Q16-O71)-(Q71-O71)*(P16-N71)</f>
        <v>0</v>
      </c>
      <c r="S355" s="7">
        <f>IF(N355,IF(AND(O355*P355&lt;=0,Q355*R355&lt;=0,MAX(MIN(N16,P16),MIN(N71,P71))&lt;=MIN(MAX(N16,P16),MAX(N71,P71)),MAX(MIN(O16,Q16),MIN(O71,Q71))&lt;=MIN(MAX(O16,Q16),MAX(O71,Q71))),1,0),0)</f>
        <v>0</v>
      </c>
      <c r="T355" s="7"/>
      <c r="U355" s="7"/>
      <c r="V355" s="7"/>
      <c r="W355" s="7"/>
      <c r="X355" s="7"/>
      <c r="Y355" s="7"/>
      <c r="Z355" s="7"/>
      <c r="AA355" s="7"/>
      <c r="AB355" s="7"/>
      <c r="AC355" s="7"/>
      <c r="AD355" s="7"/>
      <c r="AE355" s="7"/>
      <c r="AF355" s="7"/>
      <c r="AG355" s="7"/>
      <c r="AH355" s="7"/>
      <c r="AI355" s="7"/>
    </row>
    <row r="356" spans="12:35">
      <c r="L356" s="7">
        <v>17</v>
      </c>
      <c r="M356" s="7">
        <v>19</v>
      </c>
      <c r="N356" s="7" t="b">
        <f>AND($N$5,$N$5,6&lt;=$M$5,8&lt;=$M$5)</f>
        <v>0</v>
      </c>
      <c r="O356" s="7">
        <f>(P17-N17)*(O19-O17)-(Q17-O17)*(N19-N17)</f>
        <v>0</v>
      </c>
      <c r="P356" s="7">
        <f>(P17-N17)*(Q19-O17)-(Q17-O17)*(P19-N17)</f>
        <v>0</v>
      </c>
      <c r="Q356" s="7">
        <f>(P19-N19)*(O17-O19)-(Q19-O19)*(N17-N19)</f>
        <v>0</v>
      </c>
      <c r="R356" s="7">
        <f>(P19-N19)*(Q17-O19)-(Q19-O19)*(P17-N19)</f>
        <v>0</v>
      </c>
      <c r="S356" s="7">
        <f>IF(N356,IF(AND(O356*P356&lt;=0,Q356*R356&lt;=0,MAX(MIN(N17,P17),MIN(N19,P19))&lt;=MIN(MAX(N17,P17),MAX(N19,P19)),MAX(MIN(O17,Q17),MIN(O19,Q19))&lt;=MIN(MAX(O17,Q17),MAX(O19,Q19))),1,0),0)</f>
        <v>0</v>
      </c>
      <c r="T356" s="7"/>
      <c r="U356" s="7"/>
      <c r="V356" s="7"/>
      <c r="W356" s="7"/>
      <c r="X356" s="7"/>
      <c r="Y356" s="7"/>
      <c r="Z356" s="7"/>
      <c r="AA356" s="7"/>
      <c r="AB356" s="7"/>
      <c r="AC356" s="7"/>
      <c r="AD356" s="7"/>
      <c r="AE356" s="7"/>
      <c r="AF356" s="7"/>
      <c r="AG356" s="7"/>
      <c r="AH356" s="7"/>
      <c r="AI356" s="7"/>
    </row>
    <row r="357" spans="12:35">
      <c r="L357" s="7">
        <v>17</v>
      </c>
      <c r="M357" s="7">
        <v>20</v>
      </c>
      <c r="N357" s="7" t="b">
        <f>AND($N$5,$N$5,6&lt;=$M$5,9&lt;=$M$5)</f>
        <v>0</v>
      </c>
      <c r="O357" s="7">
        <f>(P17-N17)*(O20-O17)-(Q17-O17)*(N20-N17)</f>
        <v>0</v>
      </c>
      <c r="P357" s="7">
        <f>(P17-N17)*(Q20-O17)-(Q17-O17)*(P20-N17)</f>
        <v>0</v>
      </c>
      <c r="Q357" s="7">
        <f>(P20-N20)*(O17-O20)-(Q20-O20)*(N17-N20)</f>
        <v>0</v>
      </c>
      <c r="R357" s="7">
        <f>(P20-N20)*(Q17-O20)-(Q20-O20)*(P17-N20)</f>
        <v>0</v>
      </c>
      <c r="S357" s="7">
        <f>IF(N357,IF(AND(O357*P357&lt;=0,Q357*R357&lt;=0,MAX(MIN(N17,P17),MIN(N20,P20))&lt;=MIN(MAX(N17,P17),MAX(N20,P20)),MAX(MIN(O17,Q17),MIN(O20,Q20))&lt;=MIN(MAX(O17,Q17),MAX(O20,Q20))),1,0),0)</f>
        <v>0</v>
      </c>
      <c r="T357" s="7"/>
      <c r="U357" s="7"/>
      <c r="V357" s="7"/>
      <c r="W357" s="7"/>
      <c r="X357" s="7"/>
      <c r="Y357" s="7"/>
      <c r="Z357" s="7"/>
      <c r="AA357" s="7"/>
      <c r="AB357" s="7"/>
      <c r="AC357" s="7"/>
      <c r="AD357" s="7"/>
      <c r="AE357" s="7"/>
      <c r="AF357" s="7"/>
      <c r="AG357" s="7"/>
      <c r="AH357" s="7"/>
      <c r="AI357" s="7"/>
    </row>
    <row r="358" spans="12:35">
      <c r="L358" s="7">
        <v>17</v>
      </c>
      <c r="M358" s="7">
        <v>21</v>
      </c>
      <c r="N358" s="7" t="b">
        <f>AND($N$5,$N$5,6&lt;=$M$5,10&lt;=$M$5)</f>
        <v>0</v>
      </c>
      <c r="O358" s="7">
        <f>(P17-N17)*(O21-O17)-(Q17-O17)*(N21-N17)</f>
        <v>0</v>
      </c>
      <c r="P358" s="7">
        <f>(P17-N17)*(Q21-O17)-(Q17-O17)*(P21-N17)</f>
        <v>0</v>
      </c>
      <c r="Q358" s="7">
        <f>(P21-N21)*(O17-O21)-(Q21-O21)*(N17-N21)</f>
        <v>0</v>
      </c>
      <c r="R358" s="7">
        <f>(P21-N21)*(Q17-O21)-(Q21-O21)*(P17-N21)</f>
        <v>0</v>
      </c>
      <c r="S358" s="7">
        <f>IF(N358,IF(AND(O358*P358&lt;=0,Q358*R358&lt;=0,MAX(MIN(N17,P17),MIN(N21,P21))&lt;=MIN(MAX(N17,P17),MAX(N21,P21)),MAX(MIN(O17,Q17),MIN(O21,Q21))&lt;=MIN(MAX(O17,Q17),MAX(O21,Q21))),1,0),0)</f>
        <v>0</v>
      </c>
      <c r="T358" s="7"/>
      <c r="U358" s="7"/>
      <c r="V358" s="7"/>
      <c r="W358" s="7"/>
      <c r="X358" s="7"/>
      <c r="Y358" s="7"/>
      <c r="Z358" s="7"/>
      <c r="AA358" s="7"/>
      <c r="AB358" s="7"/>
      <c r="AC358" s="7"/>
      <c r="AD358" s="7"/>
      <c r="AE358" s="7"/>
      <c r="AF358" s="7"/>
      <c r="AG358" s="7"/>
      <c r="AH358" s="7"/>
      <c r="AI358" s="7"/>
    </row>
    <row r="359" spans="12:35">
      <c r="L359" s="7">
        <v>17</v>
      </c>
      <c r="M359" s="7">
        <v>22</v>
      </c>
      <c r="N359" s="7" t="b">
        <f>AND($N$5,$N$5,6&lt;=$M$5,11&lt;=$M$5)</f>
        <v>0</v>
      </c>
      <c r="O359" s="7">
        <f>(P17-N17)*(O22-O17)-(Q17-O17)*(N22-N17)</f>
        <v>0</v>
      </c>
      <c r="P359" s="7">
        <f>(P17-N17)*(Q22-O17)-(Q17-O17)*(P22-N17)</f>
        <v>0</v>
      </c>
      <c r="Q359" s="7">
        <f>(P22-N22)*(O17-O22)-(Q22-O22)*(N17-N22)</f>
        <v>0</v>
      </c>
      <c r="R359" s="7">
        <f>(P22-N22)*(Q17-O22)-(Q22-O22)*(P17-N22)</f>
        <v>0</v>
      </c>
      <c r="S359" s="7">
        <f>IF(N359,IF(AND(O359*P359&lt;=0,Q359*R359&lt;=0,MAX(MIN(N17,P17),MIN(N22,P22))&lt;=MIN(MAX(N17,P17),MAX(N22,P22)),MAX(MIN(O17,Q17),MIN(O22,Q22))&lt;=MIN(MAX(O17,Q17),MAX(O22,Q22))),1,0),0)</f>
        <v>0</v>
      </c>
      <c r="T359" s="7"/>
      <c r="U359" s="7"/>
      <c r="V359" s="7"/>
      <c r="W359" s="7"/>
      <c r="X359" s="7"/>
      <c r="Y359" s="7"/>
      <c r="Z359" s="7"/>
      <c r="AA359" s="7"/>
      <c r="AB359" s="7"/>
      <c r="AC359" s="7"/>
      <c r="AD359" s="7"/>
      <c r="AE359" s="7"/>
      <c r="AF359" s="7"/>
      <c r="AG359" s="7"/>
      <c r="AH359" s="7"/>
      <c r="AI359" s="7"/>
    </row>
    <row r="360" spans="12:35">
      <c r="L360" s="7">
        <v>17</v>
      </c>
      <c r="M360" s="7">
        <v>23</v>
      </c>
      <c r="N360" s="7" t="b">
        <f>AND($N$5,$N$5,6&lt;=$M$5,12&lt;=$M$5)</f>
        <v>0</v>
      </c>
      <c r="O360" s="7">
        <f>(P17-N17)*(O23-O17)-(Q17-O17)*(N23-N17)</f>
        <v>0</v>
      </c>
      <c r="P360" s="7">
        <f>(P17-N17)*(Q23-O17)-(Q17-O17)*(P23-N17)</f>
        <v>0</v>
      </c>
      <c r="Q360" s="7">
        <f>(P23-N23)*(O17-O23)-(Q23-O23)*(N17-N23)</f>
        <v>0</v>
      </c>
      <c r="R360" s="7">
        <f>(P23-N23)*(Q17-O23)-(Q23-O23)*(P17-N23)</f>
        <v>0</v>
      </c>
      <c r="S360" s="7">
        <f>IF(N360,IF(AND(O360*P360&lt;=0,Q360*R360&lt;=0,MAX(MIN(N17,P17),MIN(N23,P23))&lt;=MIN(MAX(N17,P17),MAX(N23,P23)),MAX(MIN(O17,Q17),MIN(O23,Q23))&lt;=MIN(MAX(O17,Q17),MAX(O23,Q23))),1,0),0)</f>
        <v>0</v>
      </c>
      <c r="T360" s="7"/>
      <c r="U360" s="7"/>
      <c r="V360" s="7"/>
      <c r="W360" s="7"/>
      <c r="X360" s="7"/>
      <c r="Y360" s="7"/>
      <c r="Z360" s="7"/>
      <c r="AA360" s="7"/>
      <c r="AB360" s="7"/>
      <c r="AC360" s="7"/>
      <c r="AD360" s="7"/>
      <c r="AE360" s="7"/>
      <c r="AF360" s="7"/>
      <c r="AG360" s="7"/>
      <c r="AH360" s="7"/>
      <c r="AI360" s="7"/>
    </row>
    <row r="361" spans="12:35">
      <c r="L361" s="7">
        <v>17</v>
      </c>
      <c r="M361" s="7">
        <v>24</v>
      </c>
      <c r="N361" s="7" t="b">
        <f>AND($N$5,$N$5,6&lt;=$M$5,13&lt;=$M$5)</f>
        <v>0</v>
      </c>
      <c r="O361" s="7">
        <f>(P17-N17)*(O24-O17)-(Q17-O17)*(N24-N17)</f>
        <v>0</v>
      </c>
      <c r="P361" s="7">
        <f>(P17-N17)*(Q24-O17)-(Q17-O17)*(P24-N17)</f>
        <v>0</v>
      </c>
      <c r="Q361" s="7">
        <f>(P24-N24)*(O17-O24)-(Q24-O24)*(N17-N24)</f>
        <v>0</v>
      </c>
      <c r="R361" s="7">
        <f>(P24-N24)*(Q17-O24)-(Q24-O24)*(P17-N24)</f>
        <v>0</v>
      </c>
      <c r="S361" s="7">
        <f>IF(N361,IF(AND(O361*P361&lt;=0,Q361*R361&lt;=0,MAX(MIN(N17,P17),MIN(N24,P24))&lt;=MIN(MAX(N17,P17),MAX(N24,P24)),MAX(MIN(O17,Q17),MIN(O24,Q24))&lt;=MIN(MAX(O17,Q17),MAX(O24,Q24))),1,0),0)</f>
        <v>0</v>
      </c>
      <c r="T361" s="7"/>
      <c r="U361" s="7"/>
      <c r="V361" s="7"/>
      <c r="W361" s="7"/>
      <c r="X361" s="7"/>
      <c r="Y361" s="7"/>
      <c r="Z361" s="7"/>
      <c r="AA361" s="7"/>
      <c r="AB361" s="7"/>
      <c r="AC361" s="7"/>
      <c r="AD361" s="7"/>
      <c r="AE361" s="7"/>
      <c r="AF361" s="7"/>
      <c r="AG361" s="7"/>
      <c r="AH361" s="7"/>
      <c r="AI361" s="7"/>
    </row>
    <row r="362" spans="12:35">
      <c r="L362" s="7">
        <v>17</v>
      </c>
      <c r="M362" s="7">
        <v>25</v>
      </c>
      <c r="N362" s="7" t="b">
        <f>AND($N$5,$N$5,6&lt;=$M$5,14&lt;=$M$5)</f>
        <v>0</v>
      </c>
      <c r="O362" s="7">
        <f>(P17-N17)*(O25-O17)-(Q17-O17)*(N25-N17)</f>
        <v>0</v>
      </c>
      <c r="P362" s="7">
        <f>(P17-N17)*(Q25-O17)-(Q17-O17)*(P25-N17)</f>
        <v>0</v>
      </c>
      <c r="Q362" s="7">
        <f>(P25-N25)*(O17-O25)-(Q25-O25)*(N17-N25)</f>
        <v>0</v>
      </c>
      <c r="R362" s="7">
        <f>(P25-N25)*(Q17-O25)-(Q25-O25)*(P17-N25)</f>
        <v>0</v>
      </c>
      <c r="S362" s="7">
        <f>IF(N362,IF(AND(O362*P362&lt;=0,Q362*R362&lt;=0,MAX(MIN(N17,P17),MIN(N25,P25))&lt;=MIN(MAX(N17,P17),MAX(N25,P25)),MAX(MIN(O17,Q17),MIN(O25,Q25))&lt;=MIN(MAX(O17,Q17),MAX(O25,Q25))),1,0),0)</f>
        <v>0</v>
      </c>
      <c r="T362" s="7"/>
      <c r="U362" s="7"/>
      <c r="V362" s="7"/>
      <c r="W362" s="7"/>
      <c r="X362" s="7"/>
      <c r="Y362" s="7"/>
      <c r="Z362" s="7"/>
      <c r="AA362" s="7"/>
      <c r="AB362" s="7"/>
      <c r="AC362" s="7"/>
      <c r="AD362" s="7"/>
      <c r="AE362" s="7"/>
      <c r="AF362" s="7"/>
      <c r="AG362" s="7"/>
      <c r="AH362" s="7"/>
      <c r="AI362" s="7"/>
    </row>
    <row r="363" spans="12:35">
      <c r="L363" s="7">
        <v>17</v>
      </c>
      <c r="M363" s="7">
        <v>26</v>
      </c>
      <c r="N363" s="7" t="b">
        <f>AND($N$5,$N$5,6&lt;=$M$5,15&lt;=$M$5)</f>
        <v>0</v>
      </c>
      <c r="O363" s="7">
        <f>(P17-N17)*(O26-O17)-(Q17-O17)*(N26-N17)</f>
        <v>0</v>
      </c>
      <c r="P363" s="7">
        <f>(P17-N17)*(Q26-O17)-(Q17-O17)*(P26-N17)</f>
        <v>0</v>
      </c>
      <c r="Q363" s="7">
        <f>(P26-N26)*(O17-O26)-(Q26-O26)*(N17-N26)</f>
        <v>0</v>
      </c>
      <c r="R363" s="7">
        <f>(P26-N26)*(Q17-O26)-(Q26-O26)*(P17-N26)</f>
        <v>0</v>
      </c>
      <c r="S363" s="7">
        <f>IF(N363,IF(AND(O363*P363&lt;=0,Q363*R363&lt;=0,MAX(MIN(N17,P17),MIN(N26,P26))&lt;=MIN(MAX(N17,P17),MAX(N26,P26)),MAX(MIN(O17,Q17),MIN(O26,Q26))&lt;=MIN(MAX(O17,Q17),MAX(O26,Q26))),1,0),0)</f>
        <v>0</v>
      </c>
      <c r="T363" s="7"/>
      <c r="U363" s="7"/>
      <c r="V363" s="7"/>
      <c r="W363" s="7"/>
      <c r="X363" s="7"/>
      <c r="Y363" s="7"/>
      <c r="Z363" s="7"/>
      <c r="AA363" s="7"/>
      <c r="AB363" s="7"/>
      <c r="AC363" s="7"/>
      <c r="AD363" s="7"/>
      <c r="AE363" s="7"/>
      <c r="AF363" s="7"/>
      <c r="AG363" s="7"/>
      <c r="AH363" s="7"/>
      <c r="AI363" s="7"/>
    </row>
    <row r="364" spans="12:35">
      <c r="L364" s="7">
        <v>17</v>
      </c>
      <c r="M364" s="7">
        <v>27</v>
      </c>
      <c r="N364" s="7" t="b">
        <f>AND($N$5,$N$5,6&lt;=$M$5,16&lt;=$M$5)</f>
        <v>0</v>
      </c>
      <c r="O364" s="7">
        <f>(P17-N17)*(O27-O17)-(Q17-O17)*(N27-N17)</f>
        <v>0</v>
      </c>
      <c r="P364" s="7">
        <f>(P17-N17)*(Q27-O17)-(Q17-O17)*(P27-N17)</f>
        <v>0</v>
      </c>
      <c r="Q364" s="7">
        <f>(P27-N27)*(O17-O27)-(Q27-O27)*(N17-N27)</f>
        <v>0</v>
      </c>
      <c r="R364" s="7">
        <f>(P27-N27)*(Q17-O27)-(Q27-O27)*(P17-N27)</f>
        <v>0</v>
      </c>
      <c r="S364" s="7">
        <f>IF(N364,IF(AND(O364*P364&lt;=0,Q364*R364&lt;=0,MAX(MIN(N17,P17),MIN(N27,P27))&lt;=MIN(MAX(N17,P17),MAX(N27,P27)),MAX(MIN(O17,Q17),MIN(O27,Q27))&lt;=MIN(MAX(O17,Q17),MAX(O27,Q27))),1,0),0)</f>
        <v>0</v>
      </c>
      <c r="T364" s="7"/>
      <c r="U364" s="7"/>
      <c r="V364" s="7"/>
      <c r="W364" s="7"/>
      <c r="X364" s="7"/>
      <c r="Y364" s="7"/>
      <c r="Z364" s="7"/>
      <c r="AA364" s="7"/>
      <c r="AB364" s="7"/>
      <c r="AC364" s="7"/>
      <c r="AD364" s="7"/>
      <c r="AE364" s="7"/>
      <c r="AF364" s="7"/>
      <c r="AG364" s="7"/>
      <c r="AH364" s="7"/>
      <c r="AI364" s="7"/>
    </row>
    <row r="365" spans="12:35">
      <c r="L365" s="7">
        <v>17</v>
      </c>
      <c r="M365" s="7">
        <v>28</v>
      </c>
      <c r="N365" s="7" t="b">
        <f>AND($N$5,$N$5,6&lt;=$M$5,17&lt;=$M$5)</f>
        <v>0</v>
      </c>
      <c r="O365" s="7">
        <f>(P17-N17)*(O28-O17)-(Q17-O17)*(N28-N17)</f>
        <v>0</v>
      </c>
      <c r="P365" s="7">
        <f>(P17-N17)*(Q28-O17)-(Q17-O17)*(P28-N17)</f>
        <v>0</v>
      </c>
      <c r="Q365" s="7">
        <f>(P28-N28)*(O17-O28)-(Q28-O28)*(N17-N28)</f>
        <v>0</v>
      </c>
      <c r="R365" s="7">
        <f>(P28-N28)*(Q17-O28)-(Q28-O28)*(P17-N28)</f>
        <v>0</v>
      </c>
      <c r="S365" s="7">
        <f>IF(N365,IF(AND(O365*P365&lt;=0,Q365*R365&lt;=0,MAX(MIN(N17,P17),MIN(N28,P28))&lt;=MIN(MAX(N17,P17),MAX(N28,P28)),MAX(MIN(O17,Q17),MIN(O28,Q28))&lt;=MIN(MAX(O17,Q17),MAX(O28,Q28))),1,0),0)</f>
        <v>0</v>
      </c>
      <c r="T365" s="7"/>
      <c r="U365" s="7"/>
      <c r="V365" s="7"/>
      <c r="W365" s="7"/>
      <c r="X365" s="7"/>
      <c r="Y365" s="7"/>
      <c r="Z365" s="7"/>
      <c r="AA365" s="7"/>
      <c r="AB365" s="7"/>
      <c r="AC365" s="7"/>
      <c r="AD365" s="7"/>
      <c r="AE365" s="7"/>
      <c r="AF365" s="7"/>
      <c r="AG365" s="7"/>
      <c r="AH365" s="7"/>
      <c r="AI365" s="7"/>
    </row>
    <row r="366" spans="12:35">
      <c r="L366" s="7">
        <v>17</v>
      </c>
      <c r="M366" s="7">
        <v>29</v>
      </c>
      <c r="N366" s="7" t="b">
        <f>AND($N$5,$N$5,6&lt;=$M$5,18&lt;=$M$5)</f>
        <v>0</v>
      </c>
      <c r="O366" s="7">
        <f>(P17-N17)*(O29-O17)-(Q17-O17)*(N29-N17)</f>
        <v>0</v>
      </c>
      <c r="P366" s="7">
        <f>(P17-N17)*(Q29-O17)-(Q17-O17)*(P29-N17)</f>
        <v>0</v>
      </c>
      <c r="Q366" s="7">
        <f>(P29-N29)*(O17-O29)-(Q29-O29)*(N17-N29)</f>
        <v>0</v>
      </c>
      <c r="R366" s="7">
        <f>(P29-N29)*(Q17-O29)-(Q29-O29)*(P17-N29)</f>
        <v>0</v>
      </c>
      <c r="S366" s="7">
        <f>IF(N366,IF(AND(O366*P366&lt;=0,Q366*R366&lt;=0,MAX(MIN(N17,P17),MIN(N29,P29))&lt;=MIN(MAX(N17,P17),MAX(N29,P29)),MAX(MIN(O17,Q17),MIN(O29,Q29))&lt;=MIN(MAX(O17,Q17),MAX(O29,Q29))),1,0),0)</f>
        <v>0</v>
      </c>
      <c r="T366" s="7"/>
      <c r="U366" s="7"/>
      <c r="V366" s="7"/>
      <c r="W366" s="7"/>
      <c r="X366" s="7"/>
      <c r="Y366" s="7"/>
      <c r="Z366" s="7"/>
      <c r="AA366" s="7"/>
      <c r="AB366" s="7"/>
      <c r="AC366" s="7"/>
      <c r="AD366" s="7"/>
      <c r="AE366" s="7"/>
      <c r="AF366" s="7"/>
      <c r="AG366" s="7"/>
      <c r="AH366" s="7"/>
      <c r="AI366" s="7"/>
    </row>
    <row r="367" spans="12:35">
      <c r="L367" s="7">
        <v>17</v>
      </c>
      <c r="M367" s="7">
        <v>30</v>
      </c>
      <c r="N367" s="7" t="b">
        <f>AND($N$5,$N$5,6&lt;=$M$5,19&lt;=$M$5)</f>
        <v>0</v>
      </c>
      <c r="O367" s="7">
        <f>(P17-N17)*(O30-O17)-(Q17-O17)*(N30-N17)</f>
        <v>0</v>
      </c>
      <c r="P367" s="7">
        <f>(P17-N17)*(Q30-O17)-(Q17-O17)*(P30-N17)</f>
        <v>0</v>
      </c>
      <c r="Q367" s="7">
        <f>(P30-N30)*(O17-O30)-(Q30-O30)*(N17-N30)</f>
        <v>0</v>
      </c>
      <c r="R367" s="7">
        <f>(P30-N30)*(Q17-O30)-(Q30-O30)*(P17-N30)</f>
        <v>0</v>
      </c>
      <c r="S367" s="7">
        <f>IF(N367,IF(AND(O367*P367&lt;=0,Q367*R367&lt;=0,MAX(MIN(N17,P17),MIN(N30,P30))&lt;=MIN(MAX(N17,P17),MAX(N30,P30)),MAX(MIN(O17,Q17),MIN(O30,Q30))&lt;=MIN(MAX(O17,Q17),MAX(O30,Q30))),1,0),0)</f>
        <v>0</v>
      </c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</row>
    <row r="368" spans="12:35">
      <c r="L368" s="7">
        <v>17</v>
      </c>
      <c r="M368" s="7">
        <v>31</v>
      </c>
      <c r="N368" s="7" t="b">
        <f>AND($N$5,$N$5,6&lt;=$M$5,20&lt;=$M$5)</f>
        <v>0</v>
      </c>
      <c r="O368" s="7">
        <f>(P17-N17)*(O31-O17)-(Q17-O17)*(N31-N17)</f>
        <v>0</v>
      </c>
      <c r="P368" s="7">
        <f>(P17-N17)*(Q31-O17)-(Q17-O17)*(P31-N17)</f>
        <v>0</v>
      </c>
      <c r="Q368" s="7">
        <f>(P31-N31)*(O17-O31)-(Q31-O31)*(N17-N31)</f>
        <v>0</v>
      </c>
      <c r="R368" s="7">
        <f>(P31-N31)*(Q17-O31)-(Q31-O31)*(P17-N31)</f>
        <v>0</v>
      </c>
      <c r="S368" s="7">
        <f>IF(N368,IF(AND(O368*P368&lt;=0,Q368*R368&lt;=0,MAX(MIN(N17,P17),MIN(N31,P31))&lt;=MIN(MAX(N17,P17),MAX(N31,P31)),MAX(MIN(O17,Q17),MIN(O31,Q31))&lt;=MIN(MAX(O17,Q17),MAX(O31,Q31))),1,0),0)</f>
        <v>0</v>
      </c>
      <c r="T368" s="7"/>
      <c r="U368" s="7"/>
      <c r="V368" s="7"/>
      <c r="W368" s="7"/>
      <c r="X368" s="7"/>
      <c r="Y368" s="7"/>
      <c r="Z368" s="7"/>
      <c r="AA368" s="7"/>
      <c r="AB368" s="7"/>
      <c r="AC368" s="7"/>
      <c r="AD368" s="7"/>
      <c r="AE368" s="7"/>
      <c r="AF368" s="7"/>
      <c r="AG368" s="7"/>
      <c r="AH368" s="7"/>
      <c r="AI368" s="7"/>
    </row>
    <row r="369" spans="12:35">
      <c r="L369" s="7">
        <v>17</v>
      </c>
      <c r="M369" s="7">
        <v>32</v>
      </c>
      <c r="N369" s="7" t="b">
        <f>AND($N$5,$N$6,6&lt;=$M$5,1&lt;=$M$6)</f>
        <v>0</v>
      </c>
      <c r="O369" s="7">
        <f>(P17-N17)*(O32-O17)-(Q17-O17)*(N32-N17)</f>
        <v>0</v>
      </c>
      <c r="P369" s="7">
        <f>(P17-N17)*(Q32-O17)-(Q17-O17)*(P32-N17)</f>
        <v>0</v>
      </c>
      <c r="Q369" s="7">
        <f>(P32-N32)*(O17-O32)-(Q32-O32)*(N17-N32)</f>
        <v>0</v>
      </c>
      <c r="R369" s="7">
        <f>(P32-N32)*(Q17-O32)-(Q32-O32)*(P17-N32)</f>
        <v>0</v>
      </c>
      <c r="S369" s="7">
        <f>IF(N369,IF(AND(O369*P369&lt;=0,Q369*R369&lt;=0,MAX(MIN(N17,P17),MIN(N32,P32))&lt;=MIN(MAX(N17,P17),MAX(N32,P32)),MAX(MIN(O17,Q17),MIN(O32,Q32))&lt;=MIN(MAX(O17,Q17),MAX(O32,Q32))),1,0),0)</f>
        <v>0</v>
      </c>
      <c r="T369" s="7"/>
      <c r="U369" s="7"/>
      <c r="V369" s="7"/>
      <c r="W369" s="7"/>
      <c r="X369" s="7"/>
      <c r="Y369" s="7"/>
      <c r="Z369" s="7"/>
      <c r="AA369" s="7"/>
      <c r="AB369" s="7"/>
      <c r="AC369" s="7"/>
      <c r="AD369" s="7"/>
      <c r="AE369" s="7"/>
      <c r="AF369" s="7"/>
      <c r="AG369" s="7"/>
      <c r="AH369" s="7"/>
      <c r="AI369" s="7"/>
    </row>
    <row r="370" spans="12:35">
      <c r="L370" s="7">
        <v>17</v>
      </c>
      <c r="M370" s="7">
        <v>33</v>
      </c>
      <c r="N370" s="7" t="b">
        <f>AND($N$5,$N$6,6&lt;=$M$5,2&lt;=$M$6)</f>
        <v>0</v>
      </c>
      <c r="O370" s="7">
        <f>(P17-N17)*(O33-O17)-(Q17-O17)*(N33-N17)</f>
        <v>0</v>
      </c>
      <c r="P370" s="7">
        <f>(P17-N17)*(Q33-O17)-(Q17-O17)*(P33-N17)</f>
        <v>0</v>
      </c>
      <c r="Q370" s="7">
        <f>(P33-N33)*(O17-O33)-(Q33-O33)*(N17-N33)</f>
        <v>0</v>
      </c>
      <c r="R370" s="7">
        <f>(P33-N33)*(Q17-O33)-(Q33-O33)*(P17-N33)</f>
        <v>0</v>
      </c>
      <c r="S370" s="7">
        <f>IF(N370,IF(AND(O370*P370&lt;=0,Q370*R370&lt;=0,MAX(MIN(N17,P17),MIN(N33,P33))&lt;=MIN(MAX(N17,P17),MAX(N33,P33)),MAX(MIN(O17,Q17),MIN(O33,Q33))&lt;=MIN(MAX(O17,Q17),MAX(O33,Q33))),1,0),0)</f>
        <v>0</v>
      </c>
      <c r="T370" s="7"/>
      <c r="U370" s="7"/>
      <c r="V370" s="7"/>
      <c r="W370" s="7"/>
      <c r="X370" s="7"/>
      <c r="Y370" s="7"/>
      <c r="Z370" s="7"/>
      <c r="AA370" s="7"/>
      <c r="AB370" s="7"/>
      <c r="AC370" s="7"/>
      <c r="AD370" s="7"/>
      <c r="AE370" s="7"/>
      <c r="AF370" s="7"/>
      <c r="AG370" s="7"/>
      <c r="AH370" s="7"/>
      <c r="AI370" s="7"/>
    </row>
    <row r="371" spans="12:35">
      <c r="L371" s="7">
        <v>17</v>
      </c>
      <c r="M371" s="7">
        <v>34</v>
      </c>
      <c r="N371" s="7" t="b">
        <f>AND($N$5,$N$6,6&lt;=$M$5,3&lt;=$M$6)</f>
        <v>0</v>
      </c>
      <c r="O371" s="7">
        <f>(P17-N17)*(O34-O17)-(Q17-O17)*(N34-N17)</f>
        <v>0</v>
      </c>
      <c r="P371" s="7">
        <f>(P17-N17)*(Q34-O17)-(Q17-O17)*(P34-N17)</f>
        <v>0</v>
      </c>
      <c r="Q371" s="7">
        <f>(P34-N34)*(O17-O34)-(Q34-O34)*(N17-N34)</f>
        <v>0</v>
      </c>
      <c r="R371" s="7">
        <f>(P34-N34)*(Q17-O34)-(Q34-O34)*(P17-N34)</f>
        <v>0</v>
      </c>
      <c r="S371" s="7">
        <f>IF(N371,IF(AND(O371*P371&lt;=0,Q371*R371&lt;=0,MAX(MIN(N17,P17),MIN(N34,P34))&lt;=MIN(MAX(N17,P17),MAX(N34,P34)),MAX(MIN(O17,Q17),MIN(O34,Q34))&lt;=MIN(MAX(O17,Q17),MAX(O34,Q34))),1,0),0)</f>
        <v>0</v>
      </c>
      <c r="T371" s="7"/>
      <c r="U371" s="7"/>
      <c r="V371" s="7"/>
      <c r="W371" s="7"/>
      <c r="X371" s="7"/>
      <c r="Y371" s="7"/>
      <c r="Z371" s="7"/>
      <c r="AA371" s="7"/>
      <c r="AB371" s="7"/>
      <c r="AC371" s="7"/>
      <c r="AD371" s="7"/>
      <c r="AE371" s="7"/>
      <c r="AF371" s="7"/>
      <c r="AG371" s="7"/>
      <c r="AH371" s="7"/>
      <c r="AI371" s="7"/>
    </row>
    <row r="372" spans="12:35">
      <c r="L372" s="7">
        <v>17</v>
      </c>
      <c r="M372" s="7">
        <v>35</v>
      </c>
      <c r="N372" s="7" t="b">
        <f>AND($N$5,$N$6,6&lt;=$M$5,4&lt;=$M$6)</f>
        <v>0</v>
      </c>
      <c r="O372" s="7">
        <f>(P17-N17)*(O35-O17)-(Q17-O17)*(N35-N17)</f>
        <v>0</v>
      </c>
      <c r="P372" s="7">
        <f>(P17-N17)*(Q35-O17)-(Q17-O17)*(P35-N17)</f>
        <v>0</v>
      </c>
      <c r="Q372" s="7">
        <f>(P35-N35)*(O17-O35)-(Q35-O35)*(N17-N35)</f>
        <v>0</v>
      </c>
      <c r="R372" s="7">
        <f>(P35-N35)*(Q17-O35)-(Q35-O35)*(P17-N35)</f>
        <v>0</v>
      </c>
      <c r="S372" s="7">
        <f>IF(N372,IF(AND(O372*P372&lt;=0,Q372*R372&lt;=0,MAX(MIN(N17,P17),MIN(N35,P35))&lt;=MIN(MAX(N17,P17),MAX(N35,P35)),MAX(MIN(O17,Q17),MIN(O35,Q35))&lt;=MIN(MAX(O17,Q17),MAX(O35,Q35))),1,0),0)</f>
        <v>0</v>
      </c>
      <c r="T372" s="7"/>
      <c r="U372" s="7"/>
      <c r="V372" s="7"/>
      <c r="W372" s="7"/>
      <c r="X372" s="7"/>
      <c r="Y372" s="7"/>
      <c r="Z372" s="7"/>
      <c r="AA372" s="7"/>
      <c r="AB372" s="7"/>
      <c r="AC372" s="7"/>
      <c r="AD372" s="7"/>
      <c r="AE372" s="7"/>
      <c r="AF372" s="7"/>
      <c r="AG372" s="7"/>
      <c r="AH372" s="7"/>
      <c r="AI372" s="7"/>
    </row>
    <row r="373" spans="12:35">
      <c r="L373" s="7">
        <v>17</v>
      </c>
      <c r="M373" s="7">
        <v>36</v>
      </c>
      <c r="N373" s="7" t="b">
        <f>AND($N$5,$N$6,6&lt;=$M$5,5&lt;=$M$6)</f>
        <v>0</v>
      </c>
      <c r="O373" s="7">
        <f>(P17-N17)*(O36-O17)-(Q17-O17)*(N36-N17)</f>
        <v>0</v>
      </c>
      <c r="P373" s="7">
        <f>(P17-N17)*(Q36-O17)-(Q17-O17)*(P36-N17)</f>
        <v>0</v>
      </c>
      <c r="Q373" s="7">
        <f>(P36-N36)*(O17-O36)-(Q36-O36)*(N17-N36)</f>
        <v>0</v>
      </c>
      <c r="R373" s="7">
        <f>(P36-N36)*(Q17-O36)-(Q36-O36)*(P17-N36)</f>
        <v>0</v>
      </c>
      <c r="S373" s="7">
        <f>IF(N373,IF(AND(O373*P373&lt;=0,Q373*R373&lt;=0,MAX(MIN(N17,P17),MIN(N36,P36))&lt;=MIN(MAX(N17,P17),MAX(N36,P36)),MAX(MIN(O17,Q17),MIN(O36,Q36))&lt;=MIN(MAX(O17,Q17),MAX(O36,Q36))),1,0),0)</f>
        <v>0</v>
      </c>
      <c r="T373" s="7"/>
      <c r="U373" s="7"/>
      <c r="V373" s="7"/>
      <c r="W373" s="7"/>
      <c r="X373" s="7"/>
      <c r="Y373" s="7"/>
      <c r="Z373" s="7"/>
      <c r="AA373" s="7"/>
      <c r="AB373" s="7"/>
      <c r="AC373" s="7"/>
      <c r="AD373" s="7"/>
      <c r="AE373" s="7"/>
      <c r="AF373" s="7"/>
      <c r="AG373" s="7"/>
      <c r="AH373" s="7"/>
      <c r="AI373" s="7"/>
    </row>
    <row r="374" spans="12:35">
      <c r="L374" s="7">
        <v>17</v>
      </c>
      <c r="M374" s="7">
        <v>37</v>
      </c>
      <c r="N374" s="7" t="b">
        <f>AND($N$5,$N$6,6&lt;=$M$5,6&lt;=$M$6)</f>
        <v>0</v>
      </c>
      <c r="O374" s="7">
        <f>(P17-N17)*(O37-O17)-(Q17-O17)*(N37-N17)</f>
        <v>0</v>
      </c>
      <c r="P374" s="7">
        <f>(P17-N17)*(Q37-O17)-(Q17-O17)*(P37-N17)</f>
        <v>0</v>
      </c>
      <c r="Q374" s="7">
        <f>(P37-N37)*(O17-O37)-(Q37-O37)*(N17-N37)</f>
        <v>0</v>
      </c>
      <c r="R374" s="7">
        <f>(P37-N37)*(Q17-O37)-(Q37-O37)*(P17-N37)</f>
        <v>0</v>
      </c>
      <c r="S374" s="7">
        <f>IF(N374,IF(AND(O374*P374&lt;=0,Q374*R374&lt;=0,MAX(MIN(N17,P17),MIN(N37,P37))&lt;=MIN(MAX(N17,P17),MAX(N37,P37)),MAX(MIN(O17,Q17),MIN(O37,Q37))&lt;=MIN(MAX(O17,Q17),MAX(O37,Q37))),1,0),0)</f>
        <v>0</v>
      </c>
      <c r="T374" s="7"/>
      <c r="U374" s="7"/>
      <c r="V374" s="7"/>
      <c r="W374" s="7"/>
      <c r="X374" s="7"/>
      <c r="Y374" s="7"/>
      <c r="Z374" s="7"/>
      <c r="AA374" s="7"/>
      <c r="AB374" s="7"/>
      <c r="AC374" s="7"/>
      <c r="AD374" s="7"/>
      <c r="AE374" s="7"/>
      <c r="AF374" s="7"/>
      <c r="AG374" s="7"/>
      <c r="AH374" s="7"/>
      <c r="AI374" s="7"/>
    </row>
    <row r="375" spans="12:35">
      <c r="L375" s="7">
        <v>17</v>
      </c>
      <c r="M375" s="7">
        <v>38</v>
      </c>
      <c r="N375" s="7" t="b">
        <f>AND($N$5,$N$6,6&lt;=$M$5,7&lt;=$M$6)</f>
        <v>0</v>
      </c>
      <c r="O375" s="7">
        <f>(P17-N17)*(O38-O17)-(Q17-O17)*(N38-N17)</f>
        <v>0</v>
      </c>
      <c r="P375" s="7">
        <f>(P17-N17)*(Q38-O17)-(Q17-O17)*(P38-N17)</f>
        <v>0</v>
      </c>
      <c r="Q375" s="7">
        <f>(P38-N38)*(O17-O38)-(Q38-O38)*(N17-N38)</f>
        <v>0</v>
      </c>
      <c r="R375" s="7">
        <f>(P38-N38)*(Q17-O38)-(Q38-O38)*(P17-N38)</f>
        <v>0</v>
      </c>
      <c r="S375" s="7">
        <f>IF(N375,IF(AND(O375*P375&lt;=0,Q375*R375&lt;=0,MAX(MIN(N17,P17),MIN(N38,P38))&lt;=MIN(MAX(N17,P17),MAX(N38,P38)),MAX(MIN(O17,Q17),MIN(O38,Q38))&lt;=MIN(MAX(O17,Q17),MAX(O38,Q38))),1,0),0)</f>
        <v>0</v>
      </c>
      <c r="T375" s="7"/>
      <c r="U375" s="7"/>
      <c r="V375" s="7"/>
      <c r="W375" s="7"/>
      <c r="X375" s="7"/>
      <c r="Y375" s="7"/>
      <c r="Z375" s="7"/>
      <c r="AA375" s="7"/>
      <c r="AB375" s="7"/>
      <c r="AC375" s="7"/>
      <c r="AD375" s="7"/>
      <c r="AE375" s="7"/>
      <c r="AF375" s="7"/>
      <c r="AG375" s="7"/>
      <c r="AH375" s="7"/>
      <c r="AI375" s="7"/>
    </row>
    <row r="376" spans="12:35">
      <c r="L376" s="7">
        <v>17</v>
      </c>
      <c r="M376" s="7">
        <v>39</v>
      </c>
      <c r="N376" s="7" t="b">
        <f>AND($N$5,$N$6,6&lt;=$M$5,8&lt;=$M$6)</f>
        <v>0</v>
      </c>
      <c r="O376" s="7">
        <f>(P17-N17)*(O39-O17)-(Q17-O17)*(N39-N17)</f>
        <v>0</v>
      </c>
      <c r="P376" s="7">
        <f>(P17-N17)*(Q39-O17)-(Q17-O17)*(P39-N17)</f>
        <v>0</v>
      </c>
      <c r="Q376" s="7">
        <f>(P39-N39)*(O17-O39)-(Q39-O39)*(N17-N39)</f>
        <v>0</v>
      </c>
      <c r="R376" s="7">
        <f>(P39-N39)*(Q17-O39)-(Q39-O39)*(P17-N39)</f>
        <v>0</v>
      </c>
      <c r="S376" s="7">
        <f>IF(N376,IF(AND(O376*P376&lt;=0,Q376*R376&lt;=0,MAX(MIN(N17,P17),MIN(N39,P39))&lt;=MIN(MAX(N17,P17),MAX(N39,P39)),MAX(MIN(O17,Q17),MIN(O39,Q39))&lt;=MIN(MAX(O17,Q17),MAX(O39,Q39))),1,0),0)</f>
        <v>0</v>
      </c>
      <c r="T376" s="7"/>
      <c r="U376" s="7"/>
      <c r="V376" s="7"/>
      <c r="W376" s="7"/>
      <c r="X376" s="7"/>
      <c r="Y376" s="7"/>
      <c r="Z376" s="7"/>
      <c r="AA376" s="7"/>
      <c r="AB376" s="7"/>
      <c r="AC376" s="7"/>
      <c r="AD376" s="7"/>
      <c r="AE376" s="7"/>
      <c r="AF376" s="7"/>
      <c r="AG376" s="7"/>
      <c r="AH376" s="7"/>
      <c r="AI376" s="7"/>
    </row>
    <row r="377" spans="12:35">
      <c r="L377" s="7">
        <v>17</v>
      </c>
      <c r="M377" s="7">
        <v>40</v>
      </c>
      <c r="N377" s="7" t="b">
        <f>AND($N$5,$N$6,6&lt;=$M$5,9&lt;=$M$6)</f>
        <v>0</v>
      </c>
      <c r="O377" s="7">
        <f>(P17-N17)*(O40-O17)-(Q17-O17)*(N40-N17)</f>
        <v>0</v>
      </c>
      <c r="P377" s="7">
        <f>(P17-N17)*(Q40-O17)-(Q17-O17)*(P40-N17)</f>
        <v>0</v>
      </c>
      <c r="Q377" s="7">
        <f>(P40-N40)*(O17-O40)-(Q40-O40)*(N17-N40)</f>
        <v>0</v>
      </c>
      <c r="R377" s="7">
        <f>(P40-N40)*(Q17-O40)-(Q40-O40)*(P17-N40)</f>
        <v>0</v>
      </c>
      <c r="S377" s="7">
        <f>IF(N377,IF(AND(O377*P377&lt;=0,Q377*R377&lt;=0,MAX(MIN(N17,P17),MIN(N40,P40))&lt;=MIN(MAX(N17,P17),MAX(N40,P40)),MAX(MIN(O17,Q17),MIN(O40,Q40))&lt;=MIN(MAX(O17,Q17),MAX(O40,Q40))),1,0),0)</f>
        <v>0</v>
      </c>
      <c r="T377" s="7"/>
      <c r="U377" s="7"/>
      <c r="V377" s="7"/>
      <c r="W377" s="7"/>
      <c r="X377" s="7"/>
      <c r="Y377" s="7"/>
      <c r="Z377" s="7"/>
      <c r="AA377" s="7"/>
      <c r="AB377" s="7"/>
      <c r="AC377" s="7"/>
      <c r="AD377" s="7"/>
      <c r="AE377" s="7"/>
      <c r="AF377" s="7"/>
      <c r="AG377" s="7"/>
      <c r="AH377" s="7"/>
      <c r="AI377" s="7"/>
    </row>
    <row r="378" spans="12:35">
      <c r="L378" s="7">
        <v>17</v>
      </c>
      <c r="M378" s="7">
        <v>41</v>
      </c>
      <c r="N378" s="7" t="b">
        <f>AND($N$5,$N$6,6&lt;=$M$5,10&lt;=$M$6)</f>
        <v>0</v>
      </c>
      <c r="O378" s="7">
        <f>(P17-N17)*(O41-O17)-(Q17-O17)*(N41-N17)</f>
        <v>0</v>
      </c>
      <c r="P378" s="7">
        <f>(P17-N17)*(Q41-O17)-(Q17-O17)*(P41-N17)</f>
        <v>0</v>
      </c>
      <c r="Q378" s="7">
        <f>(P41-N41)*(O17-O41)-(Q41-O41)*(N17-N41)</f>
        <v>0</v>
      </c>
      <c r="R378" s="7">
        <f>(P41-N41)*(Q17-O41)-(Q41-O41)*(P17-N41)</f>
        <v>0</v>
      </c>
      <c r="S378" s="7">
        <f>IF(N378,IF(AND(O378*P378&lt;=0,Q378*R378&lt;=0,MAX(MIN(N17,P17),MIN(N41,P41))&lt;=MIN(MAX(N17,P17),MAX(N41,P41)),MAX(MIN(O17,Q17),MIN(O41,Q41))&lt;=MIN(MAX(O17,Q17),MAX(O41,Q41))),1,0),0)</f>
        <v>0</v>
      </c>
      <c r="T378" s="7"/>
      <c r="U378" s="7"/>
      <c r="V378" s="7"/>
      <c r="W378" s="7"/>
      <c r="X378" s="7"/>
      <c r="Y378" s="7"/>
      <c r="Z378" s="7"/>
      <c r="AA378" s="7"/>
      <c r="AB378" s="7"/>
      <c r="AC378" s="7"/>
      <c r="AD378" s="7"/>
      <c r="AE378" s="7"/>
      <c r="AF378" s="7"/>
      <c r="AG378" s="7"/>
      <c r="AH378" s="7"/>
      <c r="AI378" s="7"/>
    </row>
    <row r="379" spans="12:35">
      <c r="L379" s="7">
        <v>17</v>
      </c>
      <c r="M379" s="7">
        <v>42</v>
      </c>
      <c r="N379" s="7" t="b">
        <f>AND($N$5,$N$6,6&lt;=$M$5,11&lt;=$M$6)</f>
        <v>0</v>
      </c>
      <c r="O379" s="7">
        <f>(P17-N17)*(O42-O17)-(Q17-O17)*(N42-N17)</f>
        <v>0</v>
      </c>
      <c r="P379" s="7">
        <f>(P17-N17)*(Q42-O17)-(Q17-O17)*(P42-N17)</f>
        <v>0</v>
      </c>
      <c r="Q379" s="7">
        <f>(P42-N42)*(O17-O42)-(Q42-O42)*(N17-N42)</f>
        <v>0</v>
      </c>
      <c r="R379" s="7">
        <f>(P42-N42)*(Q17-O42)-(Q42-O42)*(P17-N42)</f>
        <v>0</v>
      </c>
      <c r="S379" s="7">
        <f>IF(N379,IF(AND(O379*P379&lt;=0,Q379*R379&lt;=0,MAX(MIN(N17,P17),MIN(N42,P42))&lt;=MIN(MAX(N17,P17),MAX(N42,P42)),MAX(MIN(O17,Q17),MIN(O42,Q42))&lt;=MIN(MAX(O17,Q17),MAX(O42,Q42))),1,0),0)</f>
        <v>0</v>
      </c>
      <c r="T379" s="7"/>
      <c r="U379" s="7"/>
      <c r="V379" s="7"/>
      <c r="W379" s="7"/>
      <c r="X379" s="7"/>
      <c r="Y379" s="7"/>
      <c r="Z379" s="7"/>
      <c r="AA379" s="7"/>
      <c r="AB379" s="7"/>
      <c r="AC379" s="7"/>
      <c r="AD379" s="7"/>
      <c r="AE379" s="7"/>
      <c r="AF379" s="7"/>
      <c r="AG379" s="7"/>
      <c r="AH379" s="7"/>
      <c r="AI379" s="7"/>
    </row>
    <row r="380" spans="12:35">
      <c r="L380" s="7">
        <v>17</v>
      </c>
      <c r="M380" s="7">
        <v>43</v>
      </c>
      <c r="N380" s="7" t="b">
        <f>AND($N$5,$N$6,6&lt;=$M$5,12&lt;=$M$6)</f>
        <v>0</v>
      </c>
      <c r="O380" s="7">
        <f>(P17-N17)*(O43-O17)-(Q17-O17)*(N43-N17)</f>
        <v>0</v>
      </c>
      <c r="P380" s="7">
        <f>(P17-N17)*(Q43-O17)-(Q17-O17)*(P43-N17)</f>
        <v>0</v>
      </c>
      <c r="Q380" s="7">
        <f>(P43-N43)*(O17-O43)-(Q43-O43)*(N17-N43)</f>
        <v>0</v>
      </c>
      <c r="R380" s="7">
        <f>(P43-N43)*(Q17-O43)-(Q43-O43)*(P17-N43)</f>
        <v>0</v>
      </c>
      <c r="S380" s="7">
        <f>IF(N380,IF(AND(O380*P380&lt;=0,Q380*R380&lt;=0,MAX(MIN(N17,P17),MIN(N43,P43))&lt;=MIN(MAX(N17,P17),MAX(N43,P43)),MAX(MIN(O17,Q17),MIN(O43,Q43))&lt;=MIN(MAX(O17,Q17),MAX(O43,Q43))),1,0),0)</f>
        <v>0</v>
      </c>
      <c r="T380" s="7"/>
      <c r="U380" s="7"/>
      <c r="V380" s="7"/>
      <c r="W380" s="7"/>
      <c r="X380" s="7"/>
      <c r="Y380" s="7"/>
      <c r="Z380" s="7"/>
      <c r="AA380" s="7"/>
      <c r="AB380" s="7"/>
      <c r="AC380" s="7"/>
      <c r="AD380" s="7"/>
      <c r="AE380" s="7"/>
      <c r="AF380" s="7"/>
      <c r="AG380" s="7"/>
      <c r="AH380" s="7"/>
      <c r="AI380" s="7"/>
    </row>
    <row r="381" spans="12:35">
      <c r="L381" s="7">
        <v>17</v>
      </c>
      <c r="M381" s="7">
        <v>44</v>
      </c>
      <c r="N381" s="7" t="b">
        <f>AND($N$5,$N$6,6&lt;=$M$5,13&lt;=$M$6)</f>
        <v>0</v>
      </c>
      <c r="O381" s="7">
        <f>(P17-N17)*(O44-O17)-(Q17-O17)*(N44-N17)</f>
        <v>0</v>
      </c>
      <c r="P381" s="7">
        <f>(P17-N17)*(Q44-O17)-(Q17-O17)*(P44-N17)</f>
        <v>0</v>
      </c>
      <c r="Q381" s="7">
        <f>(P44-N44)*(O17-O44)-(Q44-O44)*(N17-N44)</f>
        <v>0</v>
      </c>
      <c r="R381" s="7">
        <f>(P44-N44)*(Q17-O44)-(Q44-O44)*(P17-N44)</f>
        <v>0</v>
      </c>
      <c r="S381" s="7">
        <f>IF(N381,IF(AND(O381*P381&lt;=0,Q381*R381&lt;=0,MAX(MIN(N17,P17),MIN(N44,P44))&lt;=MIN(MAX(N17,P17),MAX(N44,P44)),MAX(MIN(O17,Q17),MIN(O44,Q44))&lt;=MIN(MAX(O17,Q17),MAX(O44,Q44))),1,0),0)</f>
        <v>0</v>
      </c>
      <c r="T381" s="7"/>
      <c r="U381" s="7"/>
      <c r="V381" s="7"/>
      <c r="W381" s="7"/>
      <c r="X381" s="7"/>
      <c r="Y381" s="7"/>
      <c r="Z381" s="7"/>
      <c r="AA381" s="7"/>
      <c r="AB381" s="7"/>
      <c r="AC381" s="7"/>
      <c r="AD381" s="7"/>
      <c r="AE381" s="7"/>
      <c r="AF381" s="7"/>
      <c r="AG381" s="7"/>
      <c r="AH381" s="7"/>
      <c r="AI381" s="7"/>
    </row>
    <row r="382" spans="12:35">
      <c r="L382" s="7">
        <v>17</v>
      </c>
      <c r="M382" s="7">
        <v>45</v>
      </c>
      <c r="N382" s="7" t="b">
        <f>AND($N$5,$N$6,6&lt;=$M$5,14&lt;=$M$6)</f>
        <v>0</v>
      </c>
      <c r="O382" s="7">
        <f>(P17-N17)*(O45-O17)-(Q17-O17)*(N45-N17)</f>
        <v>0</v>
      </c>
      <c r="P382" s="7">
        <f>(P17-N17)*(Q45-O17)-(Q17-O17)*(P45-N17)</f>
        <v>0</v>
      </c>
      <c r="Q382" s="7">
        <f>(P45-N45)*(O17-O45)-(Q45-O45)*(N17-N45)</f>
        <v>0</v>
      </c>
      <c r="R382" s="7">
        <f>(P45-N45)*(Q17-O45)-(Q45-O45)*(P17-N45)</f>
        <v>0</v>
      </c>
      <c r="S382" s="7">
        <f>IF(N382,IF(AND(O382*P382&lt;=0,Q382*R382&lt;=0,MAX(MIN(N17,P17),MIN(N45,P45))&lt;=MIN(MAX(N17,P17),MAX(N45,P45)),MAX(MIN(O17,Q17),MIN(O45,Q45))&lt;=MIN(MAX(O17,Q17),MAX(O45,Q45))),1,0),0)</f>
        <v>0</v>
      </c>
      <c r="T382" s="7"/>
      <c r="U382" s="7"/>
      <c r="V382" s="7"/>
      <c r="W382" s="7"/>
      <c r="X382" s="7"/>
      <c r="Y382" s="7"/>
      <c r="Z382" s="7"/>
      <c r="AA382" s="7"/>
      <c r="AB382" s="7"/>
      <c r="AC382" s="7"/>
      <c r="AD382" s="7"/>
      <c r="AE382" s="7"/>
      <c r="AF382" s="7"/>
      <c r="AG382" s="7"/>
      <c r="AH382" s="7"/>
      <c r="AI382" s="7"/>
    </row>
    <row r="383" spans="12:35">
      <c r="L383" s="7">
        <v>17</v>
      </c>
      <c r="M383" s="7">
        <v>46</v>
      </c>
      <c r="N383" s="7" t="b">
        <f>AND($N$5,$N$6,6&lt;=$M$5,15&lt;=$M$6)</f>
        <v>0</v>
      </c>
      <c r="O383" s="7">
        <f>(P17-N17)*(O46-O17)-(Q17-O17)*(N46-N17)</f>
        <v>0</v>
      </c>
      <c r="P383" s="7">
        <f>(P17-N17)*(Q46-O17)-(Q17-O17)*(P46-N17)</f>
        <v>0</v>
      </c>
      <c r="Q383" s="7">
        <f>(P46-N46)*(O17-O46)-(Q46-O46)*(N17-N46)</f>
        <v>0</v>
      </c>
      <c r="R383" s="7">
        <f>(P46-N46)*(Q17-O46)-(Q46-O46)*(P17-N46)</f>
        <v>0</v>
      </c>
      <c r="S383" s="7">
        <f>IF(N383,IF(AND(O383*P383&lt;=0,Q383*R383&lt;=0,MAX(MIN(N17,P17),MIN(N46,P46))&lt;=MIN(MAX(N17,P17),MAX(N46,P46)),MAX(MIN(O17,Q17),MIN(O46,Q46))&lt;=MIN(MAX(O17,Q17),MAX(O46,Q46))),1,0),0)</f>
        <v>0</v>
      </c>
      <c r="T383" s="7"/>
      <c r="U383" s="7"/>
      <c r="V383" s="7"/>
      <c r="W383" s="7"/>
      <c r="X383" s="7"/>
      <c r="Y383" s="7"/>
      <c r="Z383" s="7"/>
      <c r="AA383" s="7"/>
      <c r="AB383" s="7"/>
      <c r="AC383" s="7"/>
      <c r="AD383" s="7"/>
      <c r="AE383" s="7"/>
      <c r="AF383" s="7"/>
      <c r="AG383" s="7"/>
      <c r="AH383" s="7"/>
      <c r="AI383" s="7"/>
    </row>
    <row r="384" spans="12:35">
      <c r="L384" s="7">
        <v>17</v>
      </c>
      <c r="M384" s="7">
        <v>47</v>
      </c>
      <c r="N384" s="7" t="b">
        <f>AND($N$5,$N$6,6&lt;=$M$5,16&lt;=$M$6)</f>
        <v>0</v>
      </c>
      <c r="O384" s="7">
        <f>(P17-N17)*(O47-O17)-(Q17-O17)*(N47-N17)</f>
        <v>0</v>
      </c>
      <c r="P384" s="7">
        <f>(P17-N17)*(Q47-O17)-(Q17-O17)*(P47-N17)</f>
        <v>0</v>
      </c>
      <c r="Q384" s="7">
        <f>(P47-N47)*(O17-O47)-(Q47-O47)*(N17-N47)</f>
        <v>0</v>
      </c>
      <c r="R384" s="7">
        <f>(P47-N47)*(Q17-O47)-(Q47-O47)*(P17-N47)</f>
        <v>0</v>
      </c>
      <c r="S384" s="7">
        <f>IF(N384,IF(AND(O384*P384&lt;=0,Q384*R384&lt;=0,MAX(MIN(N17,P17),MIN(N47,P47))&lt;=MIN(MAX(N17,P17),MAX(N47,P47)),MAX(MIN(O17,Q17),MIN(O47,Q47))&lt;=MIN(MAX(O17,Q17),MAX(O47,Q47))),1,0),0)</f>
        <v>0</v>
      </c>
      <c r="T384" s="7"/>
      <c r="U384" s="7"/>
      <c r="V384" s="7"/>
      <c r="W384" s="7"/>
      <c r="X384" s="7"/>
      <c r="Y384" s="7"/>
      <c r="Z384" s="7"/>
      <c r="AA384" s="7"/>
      <c r="AB384" s="7"/>
      <c r="AC384" s="7"/>
      <c r="AD384" s="7"/>
      <c r="AE384" s="7"/>
      <c r="AF384" s="7"/>
      <c r="AG384" s="7"/>
      <c r="AH384" s="7"/>
      <c r="AI384" s="7"/>
    </row>
    <row r="385" spans="12:35">
      <c r="L385" s="7">
        <v>17</v>
      </c>
      <c r="M385" s="7">
        <v>48</v>
      </c>
      <c r="N385" s="7" t="b">
        <f>AND($N$5,$N$6,6&lt;=$M$5,17&lt;=$M$6)</f>
        <v>0</v>
      </c>
      <c r="O385" s="7">
        <f>(P17-N17)*(O48-O17)-(Q17-O17)*(N48-N17)</f>
        <v>0</v>
      </c>
      <c r="P385" s="7">
        <f>(P17-N17)*(Q48-O17)-(Q17-O17)*(P48-N17)</f>
        <v>0</v>
      </c>
      <c r="Q385" s="7">
        <f>(P48-N48)*(O17-O48)-(Q48-O48)*(N17-N48)</f>
        <v>0</v>
      </c>
      <c r="R385" s="7">
        <f>(P48-N48)*(Q17-O48)-(Q48-O48)*(P17-N48)</f>
        <v>0</v>
      </c>
      <c r="S385" s="7">
        <f>IF(N385,IF(AND(O385*P385&lt;=0,Q385*R385&lt;=0,MAX(MIN(N17,P17),MIN(N48,P48))&lt;=MIN(MAX(N17,P17),MAX(N48,P48)),MAX(MIN(O17,Q17),MIN(O48,Q48))&lt;=MIN(MAX(O17,Q17),MAX(O48,Q48))),1,0),0)</f>
        <v>0</v>
      </c>
      <c r="T385" s="7"/>
      <c r="U385" s="7"/>
      <c r="V385" s="7"/>
      <c r="W385" s="7"/>
      <c r="X385" s="7"/>
      <c r="Y385" s="7"/>
      <c r="Z385" s="7"/>
      <c r="AA385" s="7"/>
      <c r="AB385" s="7"/>
      <c r="AC385" s="7"/>
      <c r="AD385" s="7"/>
      <c r="AE385" s="7"/>
      <c r="AF385" s="7"/>
      <c r="AG385" s="7"/>
      <c r="AH385" s="7"/>
      <c r="AI385" s="7"/>
    </row>
    <row r="386" spans="12:35">
      <c r="L386" s="7">
        <v>17</v>
      </c>
      <c r="M386" s="7">
        <v>49</v>
      </c>
      <c r="N386" s="7" t="b">
        <f>AND($N$5,$N$6,6&lt;=$M$5,18&lt;=$M$6)</f>
        <v>0</v>
      </c>
      <c r="O386" s="7">
        <f>(P17-N17)*(O49-O17)-(Q17-O17)*(N49-N17)</f>
        <v>0</v>
      </c>
      <c r="P386" s="7">
        <f>(P17-N17)*(Q49-O17)-(Q17-O17)*(P49-N17)</f>
        <v>0</v>
      </c>
      <c r="Q386" s="7">
        <f>(P49-N49)*(O17-O49)-(Q49-O49)*(N17-N49)</f>
        <v>0</v>
      </c>
      <c r="R386" s="7">
        <f>(P49-N49)*(Q17-O49)-(Q49-O49)*(P17-N49)</f>
        <v>0</v>
      </c>
      <c r="S386" s="7">
        <f>IF(N386,IF(AND(O386*P386&lt;=0,Q386*R386&lt;=0,MAX(MIN(N17,P17),MIN(N49,P49))&lt;=MIN(MAX(N17,P17),MAX(N49,P49)),MAX(MIN(O17,Q17),MIN(O49,Q49))&lt;=MIN(MAX(O17,Q17),MAX(O49,Q49))),1,0),0)</f>
        <v>0</v>
      </c>
      <c r="T386" s="7"/>
      <c r="U386" s="7"/>
      <c r="V386" s="7"/>
      <c r="W386" s="7"/>
      <c r="X386" s="7"/>
      <c r="Y386" s="7"/>
      <c r="Z386" s="7"/>
      <c r="AA386" s="7"/>
      <c r="AB386" s="7"/>
      <c r="AC386" s="7"/>
      <c r="AD386" s="7"/>
      <c r="AE386" s="7"/>
      <c r="AF386" s="7"/>
      <c r="AG386" s="7"/>
      <c r="AH386" s="7"/>
      <c r="AI386" s="7"/>
    </row>
    <row r="387" spans="12:35">
      <c r="L387" s="7">
        <v>17</v>
      </c>
      <c r="M387" s="7">
        <v>50</v>
      </c>
      <c r="N387" s="7" t="b">
        <f>AND($N$5,$N$6,6&lt;=$M$5,19&lt;=$M$6)</f>
        <v>0</v>
      </c>
      <c r="O387" s="7">
        <f>(P17-N17)*(O50-O17)-(Q17-O17)*(N50-N17)</f>
        <v>0</v>
      </c>
      <c r="P387" s="7">
        <f>(P17-N17)*(Q50-O17)-(Q17-O17)*(P50-N17)</f>
        <v>0</v>
      </c>
      <c r="Q387" s="7">
        <f>(P50-N50)*(O17-O50)-(Q50-O50)*(N17-N50)</f>
        <v>0</v>
      </c>
      <c r="R387" s="7">
        <f>(P50-N50)*(Q17-O50)-(Q50-O50)*(P17-N50)</f>
        <v>0</v>
      </c>
      <c r="S387" s="7">
        <f>IF(N387,IF(AND(O387*P387&lt;=0,Q387*R387&lt;=0,MAX(MIN(N17,P17),MIN(N50,P50))&lt;=MIN(MAX(N17,P17),MAX(N50,P50)),MAX(MIN(O17,Q17),MIN(O50,Q50))&lt;=MIN(MAX(O17,Q17),MAX(O50,Q50))),1,0),0)</f>
        <v>0</v>
      </c>
      <c r="T387" s="7"/>
      <c r="U387" s="7"/>
      <c r="V387" s="7"/>
      <c r="W387" s="7"/>
      <c r="X387" s="7"/>
      <c r="Y387" s="7"/>
      <c r="Z387" s="7"/>
      <c r="AA387" s="7"/>
      <c r="AB387" s="7"/>
      <c r="AC387" s="7"/>
      <c r="AD387" s="7"/>
      <c r="AE387" s="7"/>
      <c r="AF387" s="7"/>
      <c r="AG387" s="7"/>
      <c r="AH387" s="7"/>
      <c r="AI387" s="7"/>
    </row>
    <row r="388" spans="12:35">
      <c r="L388" s="7">
        <v>17</v>
      </c>
      <c r="M388" s="7">
        <v>51</v>
      </c>
      <c r="N388" s="7" t="b">
        <f>AND($N$5,$N$6,6&lt;=$M$5,20&lt;=$M$6)</f>
        <v>0</v>
      </c>
      <c r="O388" s="7">
        <f>(P17-N17)*(O51-O17)-(Q17-O17)*(N51-N17)</f>
        <v>0</v>
      </c>
      <c r="P388" s="7">
        <f>(P17-N17)*(Q51-O17)-(Q17-O17)*(P51-N17)</f>
        <v>0</v>
      </c>
      <c r="Q388" s="7">
        <f>(P51-N51)*(O17-O51)-(Q51-O51)*(N17-N51)</f>
        <v>0</v>
      </c>
      <c r="R388" s="7">
        <f>(P51-N51)*(Q17-O51)-(Q51-O51)*(P17-N51)</f>
        <v>0</v>
      </c>
      <c r="S388" s="7">
        <f>IF(N388,IF(AND(O388*P388&lt;=0,Q388*R388&lt;=0,MAX(MIN(N17,P17),MIN(N51,P51))&lt;=MIN(MAX(N17,P17),MAX(N51,P51)),MAX(MIN(O17,Q17),MIN(O51,Q51))&lt;=MIN(MAX(O17,Q17),MAX(O51,Q51))),1,0),0)</f>
        <v>0</v>
      </c>
      <c r="T388" s="7"/>
      <c r="U388" s="7"/>
      <c r="V388" s="7"/>
      <c r="W388" s="7"/>
      <c r="X388" s="7"/>
      <c r="Y388" s="7"/>
      <c r="Z388" s="7"/>
      <c r="AA388" s="7"/>
      <c r="AB388" s="7"/>
      <c r="AC388" s="7"/>
      <c r="AD388" s="7"/>
      <c r="AE388" s="7"/>
      <c r="AF388" s="7"/>
      <c r="AG388" s="7"/>
      <c r="AH388" s="7"/>
      <c r="AI388" s="7"/>
    </row>
    <row r="389" spans="12:35">
      <c r="L389" s="7">
        <v>17</v>
      </c>
      <c r="M389" s="7">
        <v>52</v>
      </c>
      <c r="N389" s="7" t="b">
        <f>AND($N$5,$N$7,6&lt;=$M$5,1&lt;=$M$7)</f>
        <v>0</v>
      </c>
      <c r="O389" s="7">
        <f>(P17-N17)*(O52-O17)-(Q17-O17)*(N52-N17)</f>
        <v>0</v>
      </c>
      <c r="P389" s="7">
        <f>(P17-N17)*(Q52-O17)-(Q17-O17)*(P52-N17)</f>
        <v>0</v>
      </c>
      <c r="Q389" s="7">
        <f>(P52-N52)*(O17-O52)-(Q52-O52)*(N17-N52)</f>
        <v>0</v>
      </c>
      <c r="R389" s="7">
        <f>(P52-N52)*(Q17-O52)-(Q52-O52)*(P17-N52)</f>
        <v>0</v>
      </c>
      <c r="S389" s="7">
        <f>IF(N389,IF(AND(O389*P389&lt;=0,Q389*R389&lt;=0,MAX(MIN(N17,P17),MIN(N52,P52))&lt;=MIN(MAX(N17,P17),MAX(N52,P52)),MAX(MIN(O17,Q17),MIN(O52,Q52))&lt;=MIN(MAX(O17,Q17),MAX(O52,Q52))),1,0),0)</f>
        <v>0</v>
      </c>
      <c r="T389" s="7"/>
      <c r="U389" s="7"/>
      <c r="V389" s="7"/>
      <c r="W389" s="7"/>
      <c r="X389" s="7"/>
      <c r="Y389" s="7"/>
      <c r="Z389" s="7"/>
      <c r="AA389" s="7"/>
      <c r="AB389" s="7"/>
      <c r="AC389" s="7"/>
      <c r="AD389" s="7"/>
      <c r="AE389" s="7"/>
      <c r="AF389" s="7"/>
      <c r="AG389" s="7"/>
      <c r="AH389" s="7"/>
      <c r="AI389" s="7"/>
    </row>
    <row r="390" spans="12:35">
      <c r="L390" s="7">
        <v>17</v>
      </c>
      <c r="M390" s="7">
        <v>53</v>
      </c>
      <c r="N390" s="7" t="b">
        <f>AND($N$5,$N$7,6&lt;=$M$5,2&lt;=$M$7)</f>
        <v>0</v>
      </c>
      <c r="O390" s="7">
        <f>(P17-N17)*(O53-O17)-(Q17-O17)*(N53-N17)</f>
        <v>0</v>
      </c>
      <c r="P390" s="7">
        <f>(P17-N17)*(Q53-O17)-(Q17-O17)*(P53-N17)</f>
        <v>0</v>
      </c>
      <c r="Q390" s="7">
        <f>(P53-N53)*(O17-O53)-(Q53-O53)*(N17-N53)</f>
        <v>0</v>
      </c>
      <c r="R390" s="7">
        <f>(P53-N53)*(Q17-O53)-(Q53-O53)*(P17-N53)</f>
        <v>0</v>
      </c>
      <c r="S390" s="7">
        <f>IF(N390,IF(AND(O390*P390&lt;=0,Q390*R390&lt;=0,MAX(MIN(N17,P17),MIN(N53,P53))&lt;=MIN(MAX(N17,P17),MAX(N53,P53)),MAX(MIN(O17,Q17),MIN(O53,Q53))&lt;=MIN(MAX(O17,Q17),MAX(O53,Q53))),1,0),0)</f>
        <v>0</v>
      </c>
      <c r="T390" s="7"/>
      <c r="U390" s="7"/>
      <c r="V390" s="7"/>
      <c r="W390" s="7"/>
      <c r="X390" s="7"/>
      <c r="Y390" s="7"/>
      <c r="Z390" s="7"/>
      <c r="AA390" s="7"/>
      <c r="AB390" s="7"/>
      <c r="AC390" s="7"/>
      <c r="AD390" s="7"/>
      <c r="AE390" s="7"/>
      <c r="AF390" s="7"/>
      <c r="AG390" s="7"/>
      <c r="AH390" s="7"/>
      <c r="AI390" s="7"/>
    </row>
    <row r="391" spans="12:35">
      <c r="L391" s="7">
        <v>17</v>
      </c>
      <c r="M391" s="7">
        <v>54</v>
      </c>
      <c r="N391" s="7" t="b">
        <f>AND($N$5,$N$7,6&lt;=$M$5,3&lt;=$M$7)</f>
        <v>0</v>
      </c>
      <c r="O391" s="7">
        <f>(P17-N17)*(O54-O17)-(Q17-O17)*(N54-N17)</f>
        <v>0</v>
      </c>
      <c r="P391" s="7">
        <f>(P17-N17)*(Q54-O17)-(Q17-O17)*(P54-N17)</f>
        <v>0</v>
      </c>
      <c r="Q391" s="7">
        <f>(P54-N54)*(O17-O54)-(Q54-O54)*(N17-N54)</f>
        <v>0</v>
      </c>
      <c r="R391" s="7">
        <f>(P54-N54)*(Q17-O54)-(Q54-O54)*(P17-N54)</f>
        <v>0</v>
      </c>
      <c r="S391" s="7">
        <f>IF(N391,IF(AND(O391*P391&lt;=0,Q391*R391&lt;=0,MAX(MIN(N17,P17),MIN(N54,P54))&lt;=MIN(MAX(N17,P17),MAX(N54,P54)),MAX(MIN(O17,Q17),MIN(O54,Q54))&lt;=MIN(MAX(O17,Q17),MAX(O54,Q54))),1,0),0)</f>
        <v>0</v>
      </c>
      <c r="T391" s="7"/>
      <c r="U391" s="7"/>
      <c r="V391" s="7"/>
      <c r="W391" s="7"/>
      <c r="X391" s="7"/>
      <c r="Y391" s="7"/>
      <c r="Z391" s="7"/>
      <c r="AA391" s="7"/>
      <c r="AB391" s="7"/>
      <c r="AC391" s="7"/>
      <c r="AD391" s="7"/>
      <c r="AE391" s="7"/>
      <c r="AF391" s="7"/>
      <c r="AG391" s="7"/>
      <c r="AH391" s="7"/>
      <c r="AI391" s="7"/>
    </row>
    <row r="392" spans="12:35">
      <c r="L392" s="7">
        <v>17</v>
      </c>
      <c r="M392" s="7">
        <v>55</v>
      </c>
      <c r="N392" s="7" t="b">
        <f>AND($N$5,$N$7,6&lt;=$M$5,4&lt;=$M$7)</f>
        <v>0</v>
      </c>
      <c r="O392" s="7">
        <f>(P17-N17)*(O55-O17)-(Q17-O17)*(N55-N17)</f>
        <v>0</v>
      </c>
      <c r="P392" s="7">
        <f>(P17-N17)*(Q55-O17)-(Q17-O17)*(P55-N17)</f>
        <v>0</v>
      </c>
      <c r="Q392" s="7">
        <f>(P55-N55)*(O17-O55)-(Q55-O55)*(N17-N55)</f>
        <v>0</v>
      </c>
      <c r="R392" s="7">
        <f>(P55-N55)*(Q17-O55)-(Q55-O55)*(P17-N55)</f>
        <v>0</v>
      </c>
      <c r="S392" s="7">
        <f>IF(N392,IF(AND(O392*P392&lt;=0,Q392*R392&lt;=0,MAX(MIN(N17,P17),MIN(N55,P55))&lt;=MIN(MAX(N17,P17),MAX(N55,P55)),MAX(MIN(O17,Q17),MIN(O55,Q55))&lt;=MIN(MAX(O17,Q17),MAX(O55,Q55))),1,0),0)</f>
        <v>0</v>
      </c>
      <c r="T392" s="7"/>
      <c r="U392" s="7"/>
      <c r="V392" s="7"/>
      <c r="W392" s="7"/>
      <c r="X392" s="7"/>
      <c r="Y392" s="7"/>
      <c r="Z392" s="7"/>
      <c r="AA392" s="7"/>
      <c r="AB392" s="7"/>
      <c r="AC392" s="7"/>
      <c r="AD392" s="7"/>
      <c r="AE392" s="7"/>
      <c r="AF392" s="7"/>
      <c r="AG392" s="7"/>
      <c r="AH392" s="7"/>
      <c r="AI392" s="7"/>
    </row>
    <row r="393" spans="12:35">
      <c r="L393" s="7">
        <v>17</v>
      </c>
      <c r="M393" s="7">
        <v>56</v>
      </c>
      <c r="N393" s="7" t="b">
        <f>AND($N$5,$N$7,6&lt;=$M$5,5&lt;=$M$7)</f>
        <v>0</v>
      </c>
      <c r="O393" s="7">
        <f>(P17-N17)*(O56-O17)-(Q17-O17)*(N56-N17)</f>
        <v>0</v>
      </c>
      <c r="P393" s="7">
        <f>(P17-N17)*(Q56-O17)-(Q17-O17)*(P56-N17)</f>
        <v>0</v>
      </c>
      <c r="Q393" s="7">
        <f>(P56-N56)*(O17-O56)-(Q56-O56)*(N17-N56)</f>
        <v>0</v>
      </c>
      <c r="R393" s="7">
        <f>(P56-N56)*(Q17-O56)-(Q56-O56)*(P17-N56)</f>
        <v>0</v>
      </c>
      <c r="S393" s="7">
        <f>IF(N393,IF(AND(O393*P393&lt;=0,Q393*R393&lt;=0,MAX(MIN(N17,P17),MIN(N56,P56))&lt;=MIN(MAX(N17,P17),MAX(N56,P56)),MAX(MIN(O17,Q17),MIN(O56,Q56))&lt;=MIN(MAX(O17,Q17),MAX(O56,Q56))),1,0),0)</f>
        <v>0</v>
      </c>
      <c r="T393" s="7"/>
      <c r="U393" s="7"/>
      <c r="V393" s="7"/>
      <c r="W393" s="7"/>
      <c r="X393" s="7"/>
      <c r="Y393" s="7"/>
      <c r="Z393" s="7"/>
      <c r="AA393" s="7"/>
      <c r="AB393" s="7"/>
      <c r="AC393" s="7"/>
      <c r="AD393" s="7"/>
      <c r="AE393" s="7"/>
      <c r="AF393" s="7"/>
      <c r="AG393" s="7"/>
      <c r="AH393" s="7"/>
      <c r="AI393" s="7"/>
    </row>
    <row r="394" spans="12:35">
      <c r="L394" s="7">
        <v>17</v>
      </c>
      <c r="M394" s="7">
        <v>57</v>
      </c>
      <c r="N394" s="7" t="b">
        <f>AND($N$5,$N$7,6&lt;=$M$5,6&lt;=$M$7)</f>
        <v>0</v>
      </c>
      <c r="O394" s="7">
        <f>(P17-N17)*(O57-O17)-(Q17-O17)*(N57-N17)</f>
        <v>0</v>
      </c>
      <c r="P394" s="7">
        <f>(P17-N17)*(Q57-O17)-(Q17-O17)*(P57-N17)</f>
        <v>0</v>
      </c>
      <c r="Q394" s="7">
        <f>(P57-N57)*(O17-O57)-(Q57-O57)*(N17-N57)</f>
        <v>0</v>
      </c>
      <c r="R394" s="7">
        <f>(P57-N57)*(Q17-O57)-(Q57-O57)*(P17-N57)</f>
        <v>0</v>
      </c>
      <c r="S394" s="7">
        <f>IF(N394,IF(AND(O394*P394&lt;=0,Q394*R394&lt;=0,MAX(MIN(N17,P17),MIN(N57,P57))&lt;=MIN(MAX(N17,P17),MAX(N57,P57)),MAX(MIN(O17,Q17),MIN(O57,Q57))&lt;=MIN(MAX(O17,Q17),MAX(O57,Q57))),1,0),0)</f>
        <v>0</v>
      </c>
      <c r="T394" s="7"/>
      <c r="U394" s="7"/>
      <c r="V394" s="7"/>
      <c r="W394" s="7"/>
      <c r="X394" s="7"/>
      <c r="Y394" s="7"/>
      <c r="Z394" s="7"/>
      <c r="AA394" s="7"/>
      <c r="AB394" s="7"/>
      <c r="AC394" s="7"/>
      <c r="AD394" s="7"/>
      <c r="AE394" s="7"/>
      <c r="AF394" s="7"/>
      <c r="AG394" s="7"/>
      <c r="AH394" s="7"/>
      <c r="AI394" s="7"/>
    </row>
    <row r="395" spans="12:35">
      <c r="L395" s="7">
        <v>17</v>
      </c>
      <c r="M395" s="7">
        <v>58</v>
      </c>
      <c r="N395" s="7" t="b">
        <f>AND($N$5,$N$7,6&lt;=$M$5,7&lt;=$M$7)</f>
        <v>0</v>
      </c>
      <c r="O395" s="7">
        <f>(P17-N17)*(O58-O17)-(Q17-O17)*(N58-N17)</f>
        <v>0</v>
      </c>
      <c r="P395" s="7">
        <f>(P17-N17)*(Q58-O17)-(Q17-O17)*(P58-N17)</f>
        <v>0</v>
      </c>
      <c r="Q395" s="7">
        <f>(P58-N58)*(O17-O58)-(Q58-O58)*(N17-N58)</f>
        <v>0</v>
      </c>
      <c r="R395" s="7">
        <f>(P58-N58)*(Q17-O58)-(Q58-O58)*(P17-N58)</f>
        <v>0</v>
      </c>
      <c r="S395" s="7">
        <f>IF(N395,IF(AND(O395*P395&lt;=0,Q395*R395&lt;=0,MAX(MIN(N17,P17),MIN(N58,P58))&lt;=MIN(MAX(N17,P17),MAX(N58,P58)),MAX(MIN(O17,Q17),MIN(O58,Q58))&lt;=MIN(MAX(O17,Q17),MAX(O58,Q58))),1,0),0)</f>
        <v>0</v>
      </c>
      <c r="T395" s="7"/>
      <c r="U395" s="7"/>
      <c r="V395" s="7"/>
      <c r="W395" s="7"/>
      <c r="X395" s="7"/>
      <c r="Y395" s="7"/>
      <c r="Z395" s="7"/>
      <c r="AA395" s="7"/>
      <c r="AB395" s="7"/>
      <c r="AC395" s="7"/>
      <c r="AD395" s="7"/>
      <c r="AE395" s="7"/>
      <c r="AF395" s="7"/>
      <c r="AG395" s="7"/>
      <c r="AH395" s="7"/>
      <c r="AI395" s="7"/>
    </row>
    <row r="396" spans="12:35">
      <c r="L396" s="7">
        <v>17</v>
      </c>
      <c r="M396" s="7">
        <v>59</v>
      </c>
      <c r="N396" s="7" t="b">
        <f>AND($N$5,$N$7,6&lt;=$M$5,8&lt;=$M$7)</f>
        <v>0</v>
      </c>
      <c r="O396" s="7">
        <f>(P17-N17)*(O59-O17)-(Q17-O17)*(N59-N17)</f>
        <v>0</v>
      </c>
      <c r="P396" s="7">
        <f>(P17-N17)*(Q59-O17)-(Q17-O17)*(P59-N17)</f>
        <v>0</v>
      </c>
      <c r="Q396" s="7">
        <f>(P59-N59)*(O17-O59)-(Q59-O59)*(N17-N59)</f>
        <v>0</v>
      </c>
      <c r="R396" s="7">
        <f>(P59-N59)*(Q17-O59)-(Q59-O59)*(P17-N59)</f>
        <v>0</v>
      </c>
      <c r="S396" s="7">
        <f>IF(N396,IF(AND(O396*P396&lt;=0,Q396*R396&lt;=0,MAX(MIN(N17,P17),MIN(N59,P59))&lt;=MIN(MAX(N17,P17),MAX(N59,P59)),MAX(MIN(O17,Q17),MIN(O59,Q59))&lt;=MIN(MAX(O17,Q17),MAX(O59,Q59))),1,0),0)</f>
        <v>0</v>
      </c>
      <c r="T396" s="7"/>
      <c r="U396" s="7"/>
      <c r="V396" s="7"/>
      <c r="W396" s="7"/>
      <c r="X396" s="7"/>
      <c r="Y396" s="7"/>
      <c r="Z396" s="7"/>
      <c r="AA396" s="7"/>
      <c r="AB396" s="7"/>
      <c r="AC396" s="7"/>
      <c r="AD396" s="7"/>
      <c r="AE396" s="7"/>
      <c r="AF396" s="7"/>
      <c r="AG396" s="7"/>
      <c r="AH396" s="7"/>
      <c r="AI396" s="7"/>
    </row>
    <row r="397" spans="12:35">
      <c r="L397" s="7">
        <v>17</v>
      </c>
      <c r="M397" s="7">
        <v>60</v>
      </c>
      <c r="N397" s="7" t="b">
        <f>AND($N$5,$N$7,6&lt;=$M$5,9&lt;=$M$7)</f>
        <v>0</v>
      </c>
      <c r="O397" s="7">
        <f>(P17-N17)*(O60-O17)-(Q17-O17)*(N60-N17)</f>
        <v>0</v>
      </c>
      <c r="P397" s="7">
        <f>(P17-N17)*(Q60-O17)-(Q17-O17)*(P60-N17)</f>
        <v>0</v>
      </c>
      <c r="Q397" s="7">
        <f>(P60-N60)*(O17-O60)-(Q60-O60)*(N17-N60)</f>
        <v>0</v>
      </c>
      <c r="R397" s="7">
        <f>(P60-N60)*(Q17-O60)-(Q60-O60)*(P17-N60)</f>
        <v>0</v>
      </c>
      <c r="S397" s="7">
        <f>IF(N397,IF(AND(O397*P397&lt;=0,Q397*R397&lt;=0,MAX(MIN(N17,P17),MIN(N60,P60))&lt;=MIN(MAX(N17,P17),MAX(N60,P60)),MAX(MIN(O17,Q17),MIN(O60,Q60))&lt;=MIN(MAX(O17,Q17),MAX(O60,Q60))),1,0),0)</f>
        <v>0</v>
      </c>
      <c r="T397" s="7"/>
      <c r="U397" s="7"/>
      <c r="V397" s="7"/>
      <c r="W397" s="7"/>
      <c r="X397" s="7"/>
      <c r="Y397" s="7"/>
      <c r="Z397" s="7"/>
      <c r="AA397" s="7"/>
      <c r="AB397" s="7"/>
      <c r="AC397" s="7"/>
      <c r="AD397" s="7"/>
      <c r="AE397" s="7"/>
      <c r="AF397" s="7"/>
      <c r="AG397" s="7"/>
      <c r="AH397" s="7"/>
      <c r="AI397" s="7"/>
    </row>
    <row r="398" spans="12:35">
      <c r="L398" s="7">
        <v>17</v>
      </c>
      <c r="M398" s="7">
        <v>61</v>
      </c>
      <c r="N398" s="7" t="b">
        <f>AND($N$5,$N$7,6&lt;=$M$5,10&lt;=$M$7)</f>
        <v>0</v>
      </c>
      <c r="O398" s="7">
        <f>(P17-N17)*(O61-O17)-(Q17-O17)*(N61-N17)</f>
        <v>0</v>
      </c>
      <c r="P398" s="7">
        <f>(P17-N17)*(Q61-O17)-(Q17-O17)*(P61-N17)</f>
        <v>0</v>
      </c>
      <c r="Q398" s="7">
        <f>(P61-N61)*(O17-O61)-(Q61-O61)*(N17-N61)</f>
        <v>0</v>
      </c>
      <c r="R398" s="7">
        <f>(P61-N61)*(Q17-O61)-(Q61-O61)*(P17-N61)</f>
        <v>0</v>
      </c>
      <c r="S398" s="7">
        <f>IF(N398,IF(AND(O398*P398&lt;=0,Q398*R398&lt;=0,MAX(MIN(N17,P17),MIN(N61,P61))&lt;=MIN(MAX(N17,P17),MAX(N61,P61)),MAX(MIN(O17,Q17),MIN(O61,Q61))&lt;=MIN(MAX(O17,Q17),MAX(O61,Q61))),1,0),0)</f>
        <v>0</v>
      </c>
      <c r="T398" s="7"/>
      <c r="U398" s="7"/>
      <c r="V398" s="7"/>
      <c r="W398" s="7"/>
      <c r="X398" s="7"/>
      <c r="Y398" s="7"/>
      <c r="Z398" s="7"/>
      <c r="AA398" s="7"/>
      <c r="AB398" s="7"/>
      <c r="AC398" s="7"/>
      <c r="AD398" s="7"/>
      <c r="AE398" s="7"/>
      <c r="AF398" s="7"/>
      <c r="AG398" s="7"/>
      <c r="AH398" s="7"/>
      <c r="AI398" s="7"/>
    </row>
    <row r="399" spans="12:35">
      <c r="L399" s="7">
        <v>17</v>
      </c>
      <c r="M399" s="7">
        <v>62</v>
      </c>
      <c r="N399" s="7" t="b">
        <f>AND($N$5,$N$7,6&lt;=$M$5,11&lt;=$M$7)</f>
        <v>0</v>
      </c>
      <c r="O399" s="7">
        <f>(P17-N17)*(O62-O17)-(Q17-O17)*(N62-N17)</f>
        <v>0</v>
      </c>
      <c r="P399" s="7">
        <f>(P17-N17)*(Q62-O17)-(Q17-O17)*(P62-N17)</f>
        <v>0</v>
      </c>
      <c r="Q399" s="7">
        <f>(P62-N62)*(O17-O62)-(Q62-O62)*(N17-N62)</f>
        <v>0</v>
      </c>
      <c r="R399" s="7">
        <f>(P62-N62)*(Q17-O62)-(Q62-O62)*(P17-N62)</f>
        <v>0</v>
      </c>
      <c r="S399" s="7">
        <f>IF(N399,IF(AND(O399*P399&lt;=0,Q399*R399&lt;=0,MAX(MIN(N17,P17),MIN(N62,P62))&lt;=MIN(MAX(N17,P17),MAX(N62,P62)),MAX(MIN(O17,Q17),MIN(O62,Q62))&lt;=MIN(MAX(O17,Q17),MAX(O62,Q62))),1,0),0)</f>
        <v>0</v>
      </c>
      <c r="T399" s="7"/>
      <c r="U399" s="7"/>
      <c r="V399" s="7"/>
      <c r="W399" s="7"/>
      <c r="X399" s="7"/>
      <c r="Y399" s="7"/>
      <c r="Z399" s="7"/>
      <c r="AA399" s="7"/>
      <c r="AB399" s="7"/>
      <c r="AC399" s="7"/>
      <c r="AD399" s="7"/>
      <c r="AE399" s="7"/>
      <c r="AF399" s="7"/>
      <c r="AG399" s="7"/>
      <c r="AH399" s="7"/>
      <c r="AI399" s="7"/>
    </row>
    <row r="400" spans="12:35">
      <c r="L400" s="7">
        <v>17</v>
      </c>
      <c r="M400" s="7">
        <v>63</v>
      </c>
      <c r="N400" s="7" t="b">
        <f>AND($N$5,$N$7,6&lt;=$M$5,12&lt;=$M$7)</f>
        <v>0</v>
      </c>
      <c r="O400" s="7">
        <f>(P17-N17)*(O63-O17)-(Q17-O17)*(N63-N17)</f>
        <v>0</v>
      </c>
      <c r="P400" s="7">
        <f>(P17-N17)*(Q63-O17)-(Q17-O17)*(P63-N17)</f>
        <v>0</v>
      </c>
      <c r="Q400" s="7">
        <f>(P63-N63)*(O17-O63)-(Q63-O63)*(N17-N63)</f>
        <v>0</v>
      </c>
      <c r="R400" s="7">
        <f>(P63-N63)*(Q17-O63)-(Q63-O63)*(P17-N63)</f>
        <v>0</v>
      </c>
      <c r="S400" s="7">
        <f>IF(N400,IF(AND(O400*P400&lt;=0,Q400*R400&lt;=0,MAX(MIN(N17,P17),MIN(N63,P63))&lt;=MIN(MAX(N17,P17),MAX(N63,P63)),MAX(MIN(O17,Q17),MIN(O63,Q63))&lt;=MIN(MAX(O17,Q17),MAX(O63,Q63))),1,0),0)</f>
        <v>0</v>
      </c>
      <c r="T400" s="7"/>
      <c r="U400" s="7"/>
      <c r="V400" s="7"/>
      <c r="W400" s="7"/>
      <c r="X400" s="7"/>
      <c r="Y400" s="7"/>
      <c r="Z400" s="7"/>
      <c r="AA400" s="7"/>
      <c r="AB400" s="7"/>
      <c r="AC400" s="7"/>
      <c r="AD400" s="7"/>
      <c r="AE400" s="7"/>
      <c r="AF400" s="7"/>
      <c r="AG400" s="7"/>
      <c r="AH400" s="7"/>
      <c r="AI400" s="7"/>
    </row>
    <row r="401" spans="12:35">
      <c r="L401" s="7">
        <v>17</v>
      </c>
      <c r="M401" s="7">
        <v>64</v>
      </c>
      <c r="N401" s="7" t="b">
        <f>AND($N$5,$N$7,6&lt;=$M$5,13&lt;=$M$7)</f>
        <v>0</v>
      </c>
      <c r="O401" s="7">
        <f>(P17-N17)*(O64-O17)-(Q17-O17)*(N64-N17)</f>
        <v>0</v>
      </c>
      <c r="P401" s="7">
        <f>(P17-N17)*(Q64-O17)-(Q17-O17)*(P64-N17)</f>
        <v>0</v>
      </c>
      <c r="Q401" s="7">
        <f>(P64-N64)*(O17-O64)-(Q64-O64)*(N17-N64)</f>
        <v>0</v>
      </c>
      <c r="R401" s="7">
        <f>(P64-N64)*(Q17-O64)-(Q64-O64)*(P17-N64)</f>
        <v>0</v>
      </c>
      <c r="S401" s="7">
        <f>IF(N401,IF(AND(O401*P401&lt;=0,Q401*R401&lt;=0,MAX(MIN(N17,P17),MIN(N64,P64))&lt;=MIN(MAX(N17,P17),MAX(N64,P64)),MAX(MIN(O17,Q17),MIN(O64,Q64))&lt;=MIN(MAX(O17,Q17),MAX(O64,Q64))),1,0),0)</f>
        <v>0</v>
      </c>
      <c r="T401" s="7"/>
      <c r="U401" s="7"/>
      <c r="V401" s="7"/>
      <c r="W401" s="7"/>
      <c r="X401" s="7"/>
      <c r="Y401" s="7"/>
      <c r="Z401" s="7"/>
      <c r="AA401" s="7"/>
      <c r="AB401" s="7"/>
      <c r="AC401" s="7"/>
      <c r="AD401" s="7"/>
      <c r="AE401" s="7"/>
      <c r="AF401" s="7"/>
      <c r="AG401" s="7"/>
      <c r="AH401" s="7"/>
      <c r="AI401" s="7"/>
    </row>
    <row r="402" spans="12:35">
      <c r="L402" s="7">
        <v>17</v>
      </c>
      <c r="M402" s="7">
        <v>65</v>
      </c>
      <c r="N402" s="7" t="b">
        <f>AND($N$5,$N$7,6&lt;=$M$5,14&lt;=$M$7)</f>
        <v>0</v>
      </c>
      <c r="O402" s="7">
        <f>(P17-N17)*(O65-O17)-(Q17-O17)*(N65-N17)</f>
        <v>0</v>
      </c>
      <c r="P402" s="7">
        <f>(P17-N17)*(Q65-O17)-(Q17-O17)*(P65-N17)</f>
        <v>0</v>
      </c>
      <c r="Q402" s="7">
        <f>(P65-N65)*(O17-O65)-(Q65-O65)*(N17-N65)</f>
        <v>0</v>
      </c>
      <c r="R402" s="7">
        <f>(P65-N65)*(Q17-O65)-(Q65-O65)*(P17-N65)</f>
        <v>0</v>
      </c>
      <c r="S402" s="7">
        <f>IF(N402,IF(AND(O402*P402&lt;=0,Q402*R402&lt;=0,MAX(MIN(N17,P17),MIN(N65,P65))&lt;=MIN(MAX(N17,P17),MAX(N65,P65)),MAX(MIN(O17,Q17),MIN(O65,Q65))&lt;=MIN(MAX(O17,Q17),MAX(O65,Q65))),1,0),0)</f>
        <v>0</v>
      </c>
      <c r="T402" s="7"/>
      <c r="U402" s="7"/>
      <c r="V402" s="7"/>
      <c r="W402" s="7"/>
      <c r="X402" s="7"/>
      <c r="Y402" s="7"/>
      <c r="Z402" s="7"/>
      <c r="AA402" s="7"/>
      <c r="AB402" s="7"/>
      <c r="AC402" s="7"/>
      <c r="AD402" s="7"/>
      <c r="AE402" s="7"/>
      <c r="AF402" s="7"/>
      <c r="AG402" s="7"/>
      <c r="AH402" s="7"/>
      <c r="AI402" s="7"/>
    </row>
    <row r="403" spans="12:35">
      <c r="L403" s="7">
        <v>17</v>
      </c>
      <c r="M403" s="7">
        <v>66</v>
      </c>
      <c r="N403" s="7" t="b">
        <f>AND($N$5,$N$7,6&lt;=$M$5,15&lt;=$M$7)</f>
        <v>0</v>
      </c>
      <c r="O403" s="7">
        <f>(P17-N17)*(O66-O17)-(Q17-O17)*(N66-N17)</f>
        <v>0</v>
      </c>
      <c r="P403" s="7">
        <f>(P17-N17)*(Q66-O17)-(Q17-O17)*(P66-N17)</f>
        <v>0</v>
      </c>
      <c r="Q403" s="7">
        <f>(P66-N66)*(O17-O66)-(Q66-O66)*(N17-N66)</f>
        <v>0</v>
      </c>
      <c r="R403" s="7">
        <f>(P66-N66)*(Q17-O66)-(Q66-O66)*(P17-N66)</f>
        <v>0</v>
      </c>
      <c r="S403" s="7">
        <f>IF(N403,IF(AND(O403*P403&lt;=0,Q403*R403&lt;=0,MAX(MIN(N17,P17),MIN(N66,P66))&lt;=MIN(MAX(N17,P17),MAX(N66,P66)),MAX(MIN(O17,Q17),MIN(O66,Q66))&lt;=MIN(MAX(O17,Q17),MAX(O66,Q66))),1,0),0)</f>
        <v>0</v>
      </c>
      <c r="T403" s="7"/>
      <c r="U403" s="7"/>
      <c r="V403" s="7"/>
      <c r="W403" s="7"/>
      <c r="X403" s="7"/>
      <c r="Y403" s="7"/>
      <c r="Z403" s="7"/>
      <c r="AA403" s="7"/>
      <c r="AB403" s="7"/>
      <c r="AC403" s="7"/>
      <c r="AD403" s="7"/>
      <c r="AE403" s="7"/>
      <c r="AF403" s="7"/>
      <c r="AG403" s="7"/>
      <c r="AH403" s="7"/>
      <c r="AI403" s="7"/>
    </row>
    <row r="404" spans="12:35">
      <c r="L404" s="7">
        <v>17</v>
      </c>
      <c r="M404" s="7">
        <v>67</v>
      </c>
      <c r="N404" s="7" t="b">
        <f>AND($N$5,$N$7,6&lt;=$M$5,16&lt;=$M$7)</f>
        <v>0</v>
      </c>
      <c r="O404" s="7">
        <f>(P17-N17)*(O67-O17)-(Q17-O17)*(N67-N17)</f>
        <v>0</v>
      </c>
      <c r="P404" s="7">
        <f>(P17-N17)*(Q67-O17)-(Q17-O17)*(P67-N17)</f>
        <v>0</v>
      </c>
      <c r="Q404" s="7">
        <f>(P67-N67)*(O17-O67)-(Q67-O67)*(N17-N67)</f>
        <v>0</v>
      </c>
      <c r="R404" s="7">
        <f>(P67-N67)*(Q17-O67)-(Q67-O67)*(P17-N67)</f>
        <v>0</v>
      </c>
      <c r="S404" s="7">
        <f>IF(N404,IF(AND(O404*P404&lt;=0,Q404*R404&lt;=0,MAX(MIN(N17,P17),MIN(N67,P67))&lt;=MIN(MAX(N17,P17),MAX(N67,P67)),MAX(MIN(O17,Q17),MIN(O67,Q67))&lt;=MIN(MAX(O17,Q17),MAX(O67,Q67))),1,0),0)</f>
        <v>0</v>
      </c>
      <c r="T404" s="7"/>
      <c r="U404" s="7"/>
      <c r="V404" s="7"/>
      <c r="W404" s="7"/>
      <c r="X404" s="7"/>
      <c r="Y404" s="7"/>
      <c r="Z404" s="7"/>
      <c r="AA404" s="7"/>
      <c r="AB404" s="7"/>
      <c r="AC404" s="7"/>
      <c r="AD404" s="7"/>
      <c r="AE404" s="7"/>
      <c r="AF404" s="7"/>
      <c r="AG404" s="7"/>
      <c r="AH404" s="7"/>
      <c r="AI404" s="7"/>
    </row>
    <row r="405" spans="12:35">
      <c r="L405" s="7">
        <v>17</v>
      </c>
      <c r="M405" s="7">
        <v>68</v>
      </c>
      <c r="N405" s="7" t="b">
        <f>AND($N$5,$N$7,6&lt;=$M$5,17&lt;=$M$7)</f>
        <v>0</v>
      </c>
      <c r="O405" s="7">
        <f>(P17-N17)*(O68-O17)-(Q17-O17)*(N68-N17)</f>
        <v>0</v>
      </c>
      <c r="P405" s="7">
        <f>(P17-N17)*(Q68-O17)-(Q17-O17)*(P68-N17)</f>
        <v>0</v>
      </c>
      <c r="Q405" s="7">
        <f>(P68-N68)*(O17-O68)-(Q68-O68)*(N17-N68)</f>
        <v>0</v>
      </c>
      <c r="R405" s="7">
        <f>(P68-N68)*(Q17-O68)-(Q68-O68)*(P17-N68)</f>
        <v>0</v>
      </c>
      <c r="S405" s="7">
        <f>IF(N405,IF(AND(O405*P405&lt;=0,Q405*R405&lt;=0,MAX(MIN(N17,P17),MIN(N68,P68))&lt;=MIN(MAX(N17,P17),MAX(N68,P68)),MAX(MIN(O17,Q17),MIN(O68,Q68))&lt;=MIN(MAX(O17,Q17),MAX(O68,Q68))),1,0),0)</f>
        <v>0</v>
      </c>
      <c r="T405" s="7"/>
      <c r="U405" s="7"/>
      <c r="V405" s="7"/>
      <c r="W405" s="7"/>
      <c r="X405" s="7"/>
      <c r="Y405" s="7"/>
      <c r="Z405" s="7"/>
      <c r="AA405" s="7"/>
      <c r="AB405" s="7"/>
      <c r="AC405" s="7"/>
      <c r="AD405" s="7"/>
      <c r="AE405" s="7"/>
      <c r="AF405" s="7"/>
      <c r="AG405" s="7"/>
      <c r="AH405" s="7"/>
      <c r="AI405" s="7"/>
    </row>
    <row r="406" spans="12:35">
      <c r="L406" s="7">
        <v>17</v>
      </c>
      <c r="M406" s="7">
        <v>69</v>
      </c>
      <c r="N406" s="7" t="b">
        <f>AND($N$5,$N$7,6&lt;=$M$5,18&lt;=$M$7)</f>
        <v>0</v>
      </c>
      <c r="O406" s="7">
        <f>(P17-N17)*(O69-O17)-(Q17-O17)*(N69-N17)</f>
        <v>0</v>
      </c>
      <c r="P406" s="7">
        <f>(P17-N17)*(Q69-O17)-(Q17-O17)*(P69-N17)</f>
        <v>0</v>
      </c>
      <c r="Q406" s="7">
        <f>(P69-N69)*(O17-O69)-(Q69-O69)*(N17-N69)</f>
        <v>0</v>
      </c>
      <c r="R406" s="7">
        <f>(P69-N69)*(Q17-O69)-(Q69-O69)*(P17-N69)</f>
        <v>0</v>
      </c>
      <c r="S406" s="7">
        <f>IF(N406,IF(AND(O406*P406&lt;=0,Q406*R406&lt;=0,MAX(MIN(N17,P17),MIN(N69,P69))&lt;=MIN(MAX(N17,P17),MAX(N69,P69)),MAX(MIN(O17,Q17),MIN(O69,Q69))&lt;=MIN(MAX(O17,Q17),MAX(O69,Q69))),1,0),0)</f>
        <v>0</v>
      </c>
      <c r="T406" s="7"/>
      <c r="U406" s="7"/>
      <c r="V406" s="7"/>
      <c r="W406" s="7"/>
      <c r="X406" s="7"/>
      <c r="Y406" s="7"/>
      <c r="Z406" s="7"/>
      <c r="AA406" s="7"/>
      <c r="AB406" s="7"/>
      <c r="AC406" s="7"/>
      <c r="AD406" s="7"/>
      <c r="AE406" s="7"/>
      <c r="AF406" s="7"/>
      <c r="AG406" s="7"/>
      <c r="AH406" s="7"/>
      <c r="AI406" s="7"/>
    </row>
    <row r="407" spans="12:35">
      <c r="L407" s="7">
        <v>17</v>
      </c>
      <c r="M407" s="7">
        <v>70</v>
      </c>
      <c r="N407" s="7" t="b">
        <f>AND($N$5,$N$7,6&lt;=$M$5,19&lt;=$M$7)</f>
        <v>0</v>
      </c>
      <c r="O407" s="7">
        <f>(P17-N17)*(O70-O17)-(Q17-O17)*(N70-N17)</f>
        <v>0</v>
      </c>
      <c r="P407" s="7">
        <f>(P17-N17)*(Q70-O17)-(Q17-O17)*(P70-N17)</f>
        <v>0</v>
      </c>
      <c r="Q407" s="7">
        <f>(P70-N70)*(O17-O70)-(Q70-O70)*(N17-N70)</f>
        <v>0</v>
      </c>
      <c r="R407" s="7">
        <f>(P70-N70)*(Q17-O70)-(Q70-O70)*(P17-N70)</f>
        <v>0</v>
      </c>
      <c r="S407" s="7">
        <f>IF(N407,IF(AND(O407*P407&lt;=0,Q407*R407&lt;=0,MAX(MIN(N17,P17),MIN(N70,P70))&lt;=MIN(MAX(N17,P17),MAX(N70,P70)),MAX(MIN(O17,Q17),MIN(O70,Q70))&lt;=MIN(MAX(O17,Q17),MAX(O70,Q70))),1,0),0)</f>
        <v>0</v>
      </c>
      <c r="T407" s="7"/>
      <c r="U407" s="7"/>
      <c r="V407" s="7"/>
      <c r="W407" s="7"/>
      <c r="X407" s="7"/>
      <c r="Y407" s="7"/>
      <c r="Z407" s="7"/>
      <c r="AA407" s="7"/>
      <c r="AB407" s="7"/>
      <c r="AC407" s="7"/>
      <c r="AD407" s="7"/>
      <c r="AE407" s="7"/>
      <c r="AF407" s="7"/>
      <c r="AG407" s="7"/>
      <c r="AH407" s="7"/>
      <c r="AI407" s="7"/>
    </row>
    <row r="408" spans="12:35">
      <c r="L408" s="7">
        <v>17</v>
      </c>
      <c r="M408" s="7">
        <v>71</v>
      </c>
      <c r="N408" s="7" t="b">
        <f>AND($N$5,$N$7,6&lt;=$M$5,20&lt;=$M$7)</f>
        <v>0</v>
      </c>
      <c r="O408" s="7">
        <f>(P17-N17)*(O71-O17)-(Q17-O17)*(N71-N17)</f>
        <v>0</v>
      </c>
      <c r="P408" s="7">
        <f>(P17-N17)*(Q71-O17)-(Q17-O17)*(P71-N17)</f>
        <v>0</v>
      </c>
      <c r="Q408" s="7">
        <f>(P71-N71)*(O17-O71)-(Q71-O71)*(N17-N71)</f>
        <v>0</v>
      </c>
      <c r="R408" s="7">
        <f>(P71-N71)*(Q17-O71)-(Q71-O71)*(P17-N71)</f>
        <v>0</v>
      </c>
      <c r="S408" s="7">
        <f>IF(N408,IF(AND(O408*P408&lt;=0,Q408*R408&lt;=0,MAX(MIN(N17,P17),MIN(N71,P71))&lt;=MIN(MAX(N17,P17),MAX(N71,P71)),MAX(MIN(O17,Q17),MIN(O71,Q71))&lt;=MIN(MAX(O17,Q17),MAX(O71,Q71))),1,0),0)</f>
        <v>0</v>
      </c>
      <c r="T408" s="7"/>
      <c r="U408" s="7"/>
      <c r="V408" s="7"/>
      <c r="W408" s="7"/>
      <c r="X408" s="7"/>
      <c r="Y408" s="7"/>
      <c r="Z408" s="7"/>
      <c r="AA408" s="7"/>
      <c r="AB408" s="7"/>
      <c r="AC408" s="7"/>
      <c r="AD408" s="7"/>
      <c r="AE408" s="7"/>
      <c r="AF408" s="7"/>
      <c r="AG408" s="7"/>
      <c r="AH408" s="7"/>
      <c r="AI408" s="7"/>
    </row>
    <row r="409" spans="12:35">
      <c r="L409" s="7">
        <v>18</v>
      </c>
      <c r="M409" s="7">
        <v>20</v>
      </c>
      <c r="N409" s="7" t="b">
        <f>AND($N$5,$N$5,7&lt;=$M$5,9&lt;=$M$5)</f>
        <v>0</v>
      </c>
      <c r="O409" s="7">
        <f>(P18-N18)*(O20-O18)-(Q18-O18)*(N20-N18)</f>
        <v>0</v>
      </c>
      <c r="P409" s="7">
        <f>(P18-N18)*(Q20-O18)-(Q18-O18)*(P20-N18)</f>
        <v>0</v>
      </c>
      <c r="Q409" s="7">
        <f>(P20-N20)*(O18-O20)-(Q20-O20)*(N18-N20)</f>
        <v>0</v>
      </c>
      <c r="R409" s="7">
        <f>(P20-N20)*(Q18-O20)-(Q20-O20)*(P18-N20)</f>
        <v>0</v>
      </c>
      <c r="S409" s="7">
        <f>IF(N409,IF(AND(O409*P409&lt;=0,Q409*R409&lt;=0,MAX(MIN(N18,P18),MIN(N20,P20))&lt;=MIN(MAX(N18,P18),MAX(N20,P20)),MAX(MIN(O18,Q18),MIN(O20,Q20))&lt;=MIN(MAX(O18,Q18),MAX(O20,Q20))),1,0),0)</f>
        <v>0</v>
      </c>
      <c r="T409" s="7"/>
      <c r="U409" s="7"/>
      <c r="V409" s="7"/>
      <c r="W409" s="7"/>
      <c r="X409" s="7"/>
      <c r="Y409" s="7"/>
      <c r="Z409" s="7"/>
      <c r="AA409" s="7"/>
      <c r="AB409" s="7"/>
      <c r="AC409" s="7"/>
      <c r="AD409" s="7"/>
      <c r="AE409" s="7"/>
      <c r="AF409" s="7"/>
      <c r="AG409" s="7"/>
      <c r="AH409" s="7"/>
      <c r="AI409" s="7"/>
    </row>
    <row r="410" spans="12:35">
      <c r="L410" s="7">
        <v>18</v>
      </c>
      <c r="M410" s="7">
        <v>21</v>
      </c>
      <c r="N410" s="7" t="b">
        <f>AND($N$5,$N$5,7&lt;=$M$5,10&lt;=$M$5)</f>
        <v>0</v>
      </c>
      <c r="O410" s="7">
        <f>(P18-N18)*(O21-O18)-(Q18-O18)*(N21-N18)</f>
        <v>0</v>
      </c>
      <c r="P410" s="7">
        <f>(P18-N18)*(Q21-O18)-(Q18-O18)*(P21-N18)</f>
        <v>0</v>
      </c>
      <c r="Q410" s="7">
        <f>(P21-N21)*(O18-O21)-(Q21-O21)*(N18-N21)</f>
        <v>0</v>
      </c>
      <c r="R410" s="7">
        <f>(P21-N21)*(Q18-O21)-(Q21-O21)*(P18-N21)</f>
        <v>0</v>
      </c>
      <c r="S410" s="7">
        <f>IF(N410,IF(AND(O410*P410&lt;=0,Q410*R410&lt;=0,MAX(MIN(N18,P18),MIN(N21,P21))&lt;=MIN(MAX(N18,P18),MAX(N21,P21)),MAX(MIN(O18,Q18),MIN(O21,Q21))&lt;=MIN(MAX(O18,Q18),MAX(O21,Q21))),1,0),0)</f>
        <v>0</v>
      </c>
      <c r="T410" s="7"/>
      <c r="U410" s="7"/>
      <c r="V410" s="7"/>
      <c r="W410" s="7"/>
      <c r="X410" s="7"/>
      <c r="Y410" s="7"/>
      <c r="Z410" s="7"/>
      <c r="AA410" s="7"/>
      <c r="AB410" s="7"/>
      <c r="AC410" s="7"/>
      <c r="AD410" s="7"/>
      <c r="AE410" s="7"/>
      <c r="AF410" s="7"/>
      <c r="AG410" s="7"/>
      <c r="AH410" s="7"/>
      <c r="AI410" s="7"/>
    </row>
    <row r="411" spans="12:35">
      <c r="L411" s="7">
        <v>18</v>
      </c>
      <c r="M411" s="7">
        <v>22</v>
      </c>
      <c r="N411" s="7" t="b">
        <f>AND($N$5,$N$5,7&lt;=$M$5,11&lt;=$M$5)</f>
        <v>0</v>
      </c>
      <c r="O411" s="7">
        <f>(P18-N18)*(O22-O18)-(Q18-O18)*(N22-N18)</f>
        <v>0</v>
      </c>
      <c r="P411" s="7">
        <f>(P18-N18)*(Q22-O18)-(Q18-O18)*(P22-N18)</f>
        <v>0</v>
      </c>
      <c r="Q411" s="7">
        <f>(P22-N22)*(O18-O22)-(Q22-O22)*(N18-N22)</f>
        <v>0</v>
      </c>
      <c r="R411" s="7">
        <f>(P22-N22)*(Q18-O22)-(Q22-O22)*(P18-N22)</f>
        <v>0</v>
      </c>
      <c r="S411" s="7">
        <f>IF(N411,IF(AND(O411*P411&lt;=0,Q411*R411&lt;=0,MAX(MIN(N18,P18),MIN(N22,P22))&lt;=MIN(MAX(N18,P18),MAX(N22,P22)),MAX(MIN(O18,Q18),MIN(O22,Q22))&lt;=MIN(MAX(O18,Q18),MAX(O22,Q22))),1,0),0)</f>
        <v>0</v>
      </c>
      <c r="T411" s="7"/>
      <c r="U411" s="7"/>
      <c r="V411" s="7"/>
      <c r="W411" s="7"/>
      <c r="X411" s="7"/>
      <c r="Y411" s="7"/>
      <c r="Z411" s="7"/>
      <c r="AA411" s="7"/>
      <c r="AB411" s="7"/>
      <c r="AC411" s="7"/>
      <c r="AD411" s="7"/>
      <c r="AE411" s="7"/>
      <c r="AF411" s="7"/>
      <c r="AG411" s="7"/>
      <c r="AH411" s="7"/>
      <c r="AI411" s="7"/>
    </row>
    <row r="412" spans="12:35">
      <c r="L412" s="7">
        <v>18</v>
      </c>
      <c r="M412" s="7">
        <v>23</v>
      </c>
      <c r="N412" s="7" t="b">
        <f>AND($N$5,$N$5,7&lt;=$M$5,12&lt;=$M$5)</f>
        <v>0</v>
      </c>
      <c r="O412" s="7">
        <f>(P18-N18)*(O23-O18)-(Q18-O18)*(N23-N18)</f>
        <v>0</v>
      </c>
      <c r="P412" s="7">
        <f>(P18-N18)*(Q23-O18)-(Q18-O18)*(P23-N18)</f>
        <v>0</v>
      </c>
      <c r="Q412" s="7">
        <f>(P23-N23)*(O18-O23)-(Q23-O23)*(N18-N23)</f>
        <v>0</v>
      </c>
      <c r="R412" s="7">
        <f>(P23-N23)*(Q18-O23)-(Q23-O23)*(P18-N23)</f>
        <v>0</v>
      </c>
      <c r="S412" s="7">
        <f>IF(N412,IF(AND(O412*P412&lt;=0,Q412*R412&lt;=0,MAX(MIN(N18,P18),MIN(N23,P23))&lt;=MIN(MAX(N18,P18),MAX(N23,P23)),MAX(MIN(O18,Q18),MIN(O23,Q23))&lt;=MIN(MAX(O18,Q18),MAX(O23,Q23))),1,0),0)</f>
        <v>0</v>
      </c>
      <c r="T412" s="7"/>
      <c r="U412" s="7"/>
      <c r="V412" s="7"/>
      <c r="W412" s="7"/>
      <c r="X412" s="7"/>
      <c r="Y412" s="7"/>
      <c r="Z412" s="7"/>
      <c r="AA412" s="7"/>
      <c r="AB412" s="7"/>
      <c r="AC412" s="7"/>
      <c r="AD412" s="7"/>
      <c r="AE412" s="7"/>
      <c r="AF412" s="7"/>
      <c r="AG412" s="7"/>
      <c r="AH412" s="7"/>
      <c r="AI412" s="7"/>
    </row>
    <row r="413" spans="12:35">
      <c r="L413" s="7">
        <v>18</v>
      </c>
      <c r="M413" s="7">
        <v>24</v>
      </c>
      <c r="N413" s="7" t="b">
        <f>AND($N$5,$N$5,7&lt;=$M$5,13&lt;=$M$5)</f>
        <v>0</v>
      </c>
      <c r="O413" s="7">
        <f>(P18-N18)*(O24-O18)-(Q18-O18)*(N24-N18)</f>
        <v>0</v>
      </c>
      <c r="P413" s="7">
        <f>(P18-N18)*(Q24-O18)-(Q18-O18)*(P24-N18)</f>
        <v>0</v>
      </c>
      <c r="Q413" s="7">
        <f>(P24-N24)*(O18-O24)-(Q24-O24)*(N18-N24)</f>
        <v>0</v>
      </c>
      <c r="R413" s="7">
        <f>(P24-N24)*(Q18-O24)-(Q24-O24)*(P18-N24)</f>
        <v>0</v>
      </c>
      <c r="S413" s="7">
        <f>IF(N413,IF(AND(O413*P413&lt;=0,Q413*R413&lt;=0,MAX(MIN(N18,P18),MIN(N24,P24))&lt;=MIN(MAX(N18,P18),MAX(N24,P24)),MAX(MIN(O18,Q18),MIN(O24,Q24))&lt;=MIN(MAX(O18,Q18),MAX(O24,Q24))),1,0),0)</f>
        <v>0</v>
      </c>
      <c r="T413" s="7"/>
      <c r="U413" s="7"/>
      <c r="V413" s="7"/>
      <c r="W413" s="7"/>
      <c r="X413" s="7"/>
      <c r="Y413" s="7"/>
      <c r="Z413" s="7"/>
      <c r="AA413" s="7"/>
      <c r="AB413" s="7"/>
      <c r="AC413" s="7"/>
      <c r="AD413" s="7"/>
      <c r="AE413" s="7"/>
      <c r="AF413" s="7"/>
      <c r="AG413" s="7"/>
      <c r="AH413" s="7"/>
      <c r="AI413" s="7"/>
    </row>
    <row r="414" spans="12:35">
      <c r="L414" s="7">
        <v>18</v>
      </c>
      <c r="M414" s="7">
        <v>25</v>
      </c>
      <c r="N414" s="7" t="b">
        <f>AND($N$5,$N$5,7&lt;=$M$5,14&lt;=$M$5)</f>
        <v>0</v>
      </c>
      <c r="O414" s="7">
        <f>(P18-N18)*(O25-O18)-(Q18-O18)*(N25-N18)</f>
        <v>0</v>
      </c>
      <c r="P414" s="7">
        <f>(P18-N18)*(Q25-O18)-(Q18-O18)*(P25-N18)</f>
        <v>0</v>
      </c>
      <c r="Q414" s="7">
        <f>(P25-N25)*(O18-O25)-(Q25-O25)*(N18-N25)</f>
        <v>0</v>
      </c>
      <c r="R414" s="7">
        <f>(P25-N25)*(Q18-O25)-(Q25-O25)*(P18-N25)</f>
        <v>0</v>
      </c>
      <c r="S414" s="7">
        <f>IF(N414,IF(AND(O414*P414&lt;=0,Q414*R414&lt;=0,MAX(MIN(N18,P18),MIN(N25,P25))&lt;=MIN(MAX(N18,P18),MAX(N25,P25)),MAX(MIN(O18,Q18),MIN(O25,Q25))&lt;=MIN(MAX(O18,Q18),MAX(O25,Q25))),1,0),0)</f>
        <v>0</v>
      </c>
      <c r="T414" s="7"/>
      <c r="U414" s="7"/>
      <c r="V414" s="7"/>
      <c r="W414" s="7"/>
      <c r="X414" s="7"/>
      <c r="Y414" s="7"/>
      <c r="Z414" s="7"/>
      <c r="AA414" s="7"/>
      <c r="AB414" s="7"/>
      <c r="AC414" s="7"/>
      <c r="AD414" s="7"/>
      <c r="AE414" s="7"/>
      <c r="AF414" s="7"/>
      <c r="AG414" s="7"/>
      <c r="AH414" s="7"/>
      <c r="AI414" s="7"/>
    </row>
    <row r="415" spans="12:35">
      <c r="L415" s="7">
        <v>18</v>
      </c>
      <c r="M415" s="7">
        <v>26</v>
      </c>
      <c r="N415" s="7" t="b">
        <f>AND($N$5,$N$5,7&lt;=$M$5,15&lt;=$M$5)</f>
        <v>0</v>
      </c>
      <c r="O415" s="7">
        <f>(P18-N18)*(O26-O18)-(Q18-O18)*(N26-N18)</f>
        <v>0</v>
      </c>
      <c r="P415" s="7">
        <f>(P18-N18)*(Q26-O18)-(Q18-O18)*(P26-N18)</f>
        <v>0</v>
      </c>
      <c r="Q415" s="7">
        <f>(P26-N26)*(O18-O26)-(Q26-O26)*(N18-N26)</f>
        <v>0</v>
      </c>
      <c r="R415" s="7">
        <f>(P26-N26)*(Q18-O26)-(Q26-O26)*(P18-N26)</f>
        <v>0</v>
      </c>
      <c r="S415" s="7">
        <f>IF(N415,IF(AND(O415*P415&lt;=0,Q415*R415&lt;=0,MAX(MIN(N18,P18),MIN(N26,P26))&lt;=MIN(MAX(N18,P18),MAX(N26,P26)),MAX(MIN(O18,Q18),MIN(O26,Q26))&lt;=MIN(MAX(O18,Q18),MAX(O26,Q26))),1,0),0)</f>
        <v>0</v>
      </c>
      <c r="T415" s="7"/>
      <c r="U415" s="7"/>
      <c r="V415" s="7"/>
      <c r="W415" s="7"/>
      <c r="X415" s="7"/>
      <c r="Y415" s="7"/>
      <c r="Z415" s="7"/>
      <c r="AA415" s="7"/>
      <c r="AB415" s="7"/>
      <c r="AC415" s="7"/>
      <c r="AD415" s="7"/>
      <c r="AE415" s="7"/>
      <c r="AF415" s="7"/>
      <c r="AG415" s="7"/>
      <c r="AH415" s="7"/>
      <c r="AI415" s="7"/>
    </row>
    <row r="416" spans="12:35">
      <c r="L416" s="7">
        <v>18</v>
      </c>
      <c r="M416" s="7">
        <v>27</v>
      </c>
      <c r="N416" s="7" t="b">
        <f>AND($N$5,$N$5,7&lt;=$M$5,16&lt;=$M$5)</f>
        <v>0</v>
      </c>
      <c r="O416" s="7">
        <f>(P18-N18)*(O27-O18)-(Q18-O18)*(N27-N18)</f>
        <v>0</v>
      </c>
      <c r="P416" s="7">
        <f>(P18-N18)*(Q27-O18)-(Q18-O18)*(P27-N18)</f>
        <v>0</v>
      </c>
      <c r="Q416" s="7">
        <f>(P27-N27)*(O18-O27)-(Q27-O27)*(N18-N27)</f>
        <v>0</v>
      </c>
      <c r="R416" s="7">
        <f>(P27-N27)*(Q18-O27)-(Q27-O27)*(P18-N27)</f>
        <v>0</v>
      </c>
      <c r="S416" s="7">
        <f>IF(N416,IF(AND(O416*P416&lt;=0,Q416*R416&lt;=0,MAX(MIN(N18,P18),MIN(N27,P27))&lt;=MIN(MAX(N18,P18),MAX(N27,P27)),MAX(MIN(O18,Q18),MIN(O27,Q27))&lt;=MIN(MAX(O18,Q18),MAX(O27,Q27))),1,0),0)</f>
        <v>0</v>
      </c>
      <c r="T416" s="7"/>
      <c r="U416" s="7"/>
      <c r="V416" s="7"/>
      <c r="W416" s="7"/>
      <c r="X416" s="7"/>
      <c r="Y416" s="7"/>
      <c r="Z416" s="7"/>
      <c r="AA416" s="7"/>
      <c r="AB416" s="7"/>
      <c r="AC416" s="7"/>
      <c r="AD416" s="7"/>
      <c r="AE416" s="7"/>
      <c r="AF416" s="7"/>
      <c r="AG416" s="7"/>
      <c r="AH416" s="7"/>
      <c r="AI416" s="7"/>
    </row>
    <row r="417" spans="12:35">
      <c r="L417" s="7">
        <v>18</v>
      </c>
      <c r="M417" s="7">
        <v>28</v>
      </c>
      <c r="N417" s="7" t="b">
        <f>AND($N$5,$N$5,7&lt;=$M$5,17&lt;=$M$5)</f>
        <v>0</v>
      </c>
      <c r="O417" s="7">
        <f>(P18-N18)*(O28-O18)-(Q18-O18)*(N28-N18)</f>
        <v>0</v>
      </c>
      <c r="P417" s="7">
        <f>(P18-N18)*(Q28-O18)-(Q18-O18)*(P28-N18)</f>
        <v>0</v>
      </c>
      <c r="Q417" s="7">
        <f>(P28-N28)*(O18-O28)-(Q28-O28)*(N18-N28)</f>
        <v>0</v>
      </c>
      <c r="R417" s="7">
        <f>(P28-N28)*(Q18-O28)-(Q28-O28)*(P18-N28)</f>
        <v>0</v>
      </c>
      <c r="S417" s="7">
        <f>IF(N417,IF(AND(O417*P417&lt;=0,Q417*R417&lt;=0,MAX(MIN(N18,P18),MIN(N28,P28))&lt;=MIN(MAX(N18,P18),MAX(N28,P28)),MAX(MIN(O18,Q18),MIN(O28,Q28))&lt;=MIN(MAX(O18,Q18),MAX(O28,Q28))),1,0),0)</f>
        <v>0</v>
      </c>
      <c r="T417" s="7"/>
      <c r="U417" s="7"/>
      <c r="V417" s="7"/>
      <c r="W417" s="7"/>
      <c r="X417" s="7"/>
      <c r="Y417" s="7"/>
      <c r="Z417" s="7"/>
      <c r="AA417" s="7"/>
      <c r="AB417" s="7"/>
      <c r="AC417" s="7"/>
      <c r="AD417" s="7"/>
      <c r="AE417" s="7"/>
      <c r="AF417" s="7"/>
      <c r="AG417" s="7"/>
      <c r="AH417" s="7"/>
      <c r="AI417" s="7"/>
    </row>
    <row r="418" spans="12:35">
      <c r="L418" s="7">
        <v>18</v>
      </c>
      <c r="M418" s="7">
        <v>29</v>
      </c>
      <c r="N418" s="7" t="b">
        <f>AND($N$5,$N$5,7&lt;=$M$5,18&lt;=$M$5)</f>
        <v>0</v>
      </c>
      <c r="O418" s="7">
        <f>(P18-N18)*(O29-O18)-(Q18-O18)*(N29-N18)</f>
        <v>0</v>
      </c>
      <c r="P418" s="7">
        <f>(P18-N18)*(Q29-O18)-(Q18-O18)*(P29-N18)</f>
        <v>0</v>
      </c>
      <c r="Q418" s="7">
        <f>(P29-N29)*(O18-O29)-(Q29-O29)*(N18-N29)</f>
        <v>0</v>
      </c>
      <c r="R418" s="7">
        <f>(P29-N29)*(Q18-O29)-(Q29-O29)*(P18-N29)</f>
        <v>0</v>
      </c>
      <c r="S418" s="7">
        <f>IF(N418,IF(AND(O418*P418&lt;=0,Q418*R418&lt;=0,MAX(MIN(N18,P18),MIN(N29,P29))&lt;=MIN(MAX(N18,P18),MAX(N29,P29)),MAX(MIN(O18,Q18),MIN(O29,Q29))&lt;=MIN(MAX(O18,Q18),MAX(O29,Q29))),1,0),0)</f>
        <v>0</v>
      </c>
      <c r="T418" s="7"/>
      <c r="U418" s="7"/>
      <c r="V418" s="7"/>
      <c r="W418" s="7"/>
      <c r="X418" s="7"/>
      <c r="Y418" s="7"/>
      <c r="Z418" s="7"/>
      <c r="AA418" s="7"/>
      <c r="AB418" s="7"/>
      <c r="AC418" s="7"/>
      <c r="AD418" s="7"/>
      <c r="AE418" s="7"/>
      <c r="AF418" s="7"/>
      <c r="AG418" s="7"/>
      <c r="AH418" s="7"/>
      <c r="AI418" s="7"/>
    </row>
    <row r="419" spans="12:35">
      <c r="L419" s="7">
        <v>18</v>
      </c>
      <c r="M419" s="7">
        <v>30</v>
      </c>
      <c r="N419" s="7" t="b">
        <f>AND($N$5,$N$5,7&lt;=$M$5,19&lt;=$M$5)</f>
        <v>0</v>
      </c>
      <c r="O419" s="7">
        <f>(P18-N18)*(O30-O18)-(Q18-O18)*(N30-N18)</f>
        <v>0</v>
      </c>
      <c r="P419" s="7">
        <f>(P18-N18)*(Q30-O18)-(Q18-O18)*(P30-N18)</f>
        <v>0</v>
      </c>
      <c r="Q419" s="7">
        <f>(P30-N30)*(O18-O30)-(Q30-O30)*(N18-N30)</f>
        <v>0</v>
      </c>
      <c r="R419" s="7">
        <f>(P30-N30)*(Q18-O30)-(Q30-O30)*(P18-N30)</f>
        <v>0</v>
      </c>
      <c r="S419" s="7">
        <f>IF(N419,IF(AND(O419*P419&lt;=0,Q419*R419&lt;=0,MAX(MIN(N18,P18),MIN(N30,P30))&lt;=MIN(MAX(N18,P18),MAX(N30,P30)),MAX(MIN(O18,Q18),MIN(O30,Q30))&lt;=MIN(MAX(O18,Q18),MAX(O30,Q30))),1,0),0)</f>
        <v>0</v>
      </c>
      <c r="T419" s="7"/>
      <c r="U419" s="7"/>
      <c r="V419" s="7"/>
      <c r="W419" s="7"/>
      <c r="X419" s="7"/>
      <c r="Y419" s="7"/>
      <c r="Z419" s="7"/>
      <c r="AA419" s="7"/>
      <c r="AB419" s="7"/>
      <c r="AC419" s="7"/>
      <c r="AD419" s="7"/>
      <c r="AE419" s="7"/>
      <c r="AF419" s="7"/>
      <c r="AG419" s="7"/>
      <c r="AH419" s="7"/>
      <c r="AI419" s="7"/>
    </row>
    <row r="420" spans="12:35">
      <c r="L420" s="7">
        <v>18</v>
      </c>
      <c r="M420" s="7">
        <v>31</v>
      </c>
      <c r="N420" s="7" t="b">
        <f>AND($N$5,$N$5,7&lt;=$M$5,20&lt;=$M$5)</f>
        <v>0</v>
      </c>
      <c r="O420" s="7">
        <f>(P18-N18)*(O31-O18)-(Q18-O18)*(N31-N18)</f>
        <v>0</v>
      </c>
      <c r="P420" s="7">
        <f>(P18-N18)*(Q31-O18)-(Q18-O18)*(P31-N18)</f>
        <v>0</v>
      </c>
      <c r="Q420" s="7">
        <f>(P31-N31)*(O18-O31)-(Q31-O31)*(N18-N31)</f>
        <v>0</v>
      </c>
      <c r="R420" s="7">
        <f>(P31-N31)*(Q18-O31)-(Q31-O31)*(P18-N31)</f>
        <v>0</v>
      </c>
      <c r="S420" s="7">
        <f>IF(N420,IF(AND(O420*P420&lt;=0,Q420*R420&lt;=0,MAX(MIN(N18,P18),MIN(N31,P31))&lt;=MIN(MAX(N18,P18),MAX(N31,P31)),MAX(MIN(O18,Q18),MIN(O31,Q31))&lt;=MIN(MAX(O18,Q18),MAX(O31,Q31))),1,0),0)</f>
        <v>0</v>
      </c>
      <c r="T420" s="7"/>
      <c r="U420" s="7"/>
      <c r="V420" s="7"/>
      <c r="W420" s="7"/>
      <c r="X420" s="7"/>
      <c r="Y420" s="7"/>
      <c r="Z420" s="7"/>
      <c r="AA420" s="7"/>
      <c r="AB420" s="7"/>
      <c r="AC420" s="7"/>
      <c r="AD420" s="7"/>
      <c r="AE420" s="7"/>
      <c r="AF420" s="7"/>
      <c r="AG420" s="7"/>
      <c r="AH420" s="7"/>
      <c r="AI420" s="7"/>
    </row>
    <row r="421" spans="12:35">
      <c r="L421" s="7">
        <v>18</v>
      </c>
      <c r="M421" s="7">
        <v>32</v>
      </c>
      <c r="N421" s="7" t="b">
        <f>AND($N$5,$N$6,7&lt;=$M$5,1&lt;=$M$6)</f>
        <v>0</v>
      </c>
      <c r="O421" s="7">
        <f>(P18-N18)*(O32-O18)-(Q18-O18)*(N32-N18)</f>
        <v>0</v>
      </c>
      <c r="P421" s="7">
        <f>(P18-N18)*(Q32-O18)-(Q18-O18)*(P32-N18)</f>
        <v>0</v>
      </c>
      <c r="Q421" s="7">
        <f>(P32-N32)*(O18-O32)-(Q32-O32)*(N18-N32)</f>
        <v>0</v>
      </c>
      <c r="R421" s="7">
        <f>(P32-N32)*(Q18-O32)-(Q32-O32)*(P18-N32)</f>
        <v>0</v>
      </c>
      <c r="S421" s="7">
        <f>IF(N421,IF(AND(O421*P421&lt;=0,Q421*R421&lt;=0,MAX(MIN(N18,P18),MIN(N32,P32))&lt;=MIN(MAX(N18,P18),MAX(N32,P32)),MAX(MIN(O18,Q18),MIN(O32,Q32))&lt;=MIN(MAX(O18,Q18),MAX(O32,Q32))),1,0),0)</f>
        <v>0</v>
      </c>
      <c r="T421" s="7"/>
      <c r="U421" s="7"/>
      <c r="V421" s="7"/>
      <c r="W421" s="7"/>
      <c r="X421" s="7"/>
      <c r="Y421" s="7"/>
      <c r="Z421" s="7"/>
      <c r="AA421" s="7"/>
      <c r="AB421" s="7"/>
      <c r="AC421" s="7"/>
      <c r="AD421" s="7"/>
      <c r="AE421" s="7"/>
      <c r="AF421" s="7"/>
      <c r="AG421" s="7"/>
      <c r="AH421" s="7"/>
      <c r="AI421" s="7"/>
    </row>
    <row r="422" spans="12:35">
      <c r="L422" s="7">
        <v>18</v>
      </c>
      <c r="M422" s="7">
        <v>33</v>
      </c>
      <c r="N422" s="7" t="b">
        <f>AND($N$5,$N$6,7&lt;=$M$5,2&lt;=$M$6)</f>
        <v>0</v>
      </c>
      <c r="O422" s="7">
        <f>(P18-N18)*(O33-O18)-(Q18-O18)*(N33-N18)</f>
        <v>0</v>
      </c>
      <c r="P422" s="7">
        <f>(P18-N18)*(Q33-O18)-(Q18-O18)*(P33-N18)</f>
        <v>0</v>
      </c>
      <c r="Q422" s="7">
        <f>(P33-N33)*(O18-O33)-(Q33-O33)*(N18-N33)</f>
        <v>0</v>
      </c>
      <c r="R422" s="7">
        <f>(P33-N33)*(Q18-O33)-(Q33-O33)*(P18-N33)</f>
        <v>0</v>
      </c>
      <c r="S422" s="7">
        <f>IF(N422,IF(AND(O422*P422&lt;=0,Q422*R422&lt;=0,MAX(MIN(N18,P18),MIN(N33,P33))&lt;=MIN(MAX(N18,P18),MAX(N33,P33)),MAX(MIN(O18,Q18),MIN(O33,Q33))&lt;=MIN(MAX(O18,Q18),MAX(O33,Q33))),1,0),0)</f>
        <v>0</v>
      </c>
      <c r="T422" s="7"/>
      <c r="U422" s="7"/>
      <c r="V422" s="7"/>
      <c r="W422" s="7"/>
      <c r="X422" s="7"/>
      <c r="Y422" s="7"/>
      <c r="Z422" s="7"/>
      <c r="AA422" s="7"/>
      <c r="AB422" s="7"/>
      <c r="AC422" s="7"/>
      <c r="AD422" s="7"/>
      <c r="AE422" s="7"/>
      <c r="AF422" s="7"/>
      <c r="AG422" s="7"/>
      <c r="AH422" s="7"/>
      <c r="AI422" s="7"/>
    </row>
    <row r="423" spans="12:35">
      <c r="L423" s="7">
        <v>18</v>
      </c>
      <c r="M423" s="7">
        <v>34</v>
      </c>
      <c r="N423" s="7" t="b">
        <f>AND($N$5,$N$6,7&lt;=$M$5,3&lt;=$M$6)</f>
        <v>0</v>
      </c>
      <c r="O423" s="7">
        <f>(P18-N18)*(O34-O18)-(Q18-O18)*(N34-N18)</f>
        <v>0</v>
      </c>
      <c r="P423" s="7">
        <f>(P18-N18)*(Q34-O18)-(Q18-O18)*(P34-N18)</f>
        <v>0</v>
      </c>
      <c r="Q423" s="7">
        <f>(P34-N34)*(O18-O34)-(Q34-O34)*(N18-N34)</f>
        <v>0</v>
      </c>
      <c r="R423" s="7">
        <f>(P34-N34)*(Q18-O34)-(Q34-O34)*(P18-N34)</f>
        <v>0</v>
      </c>
      <c r="S423" s="7">
        <f>IF(N423,IF(AND(O423*P423&lt;=0,Q423*R423&lt;=0,MAX(MIN(N18,P18),MIN(N34,P34))&lt;=MIN(MAX(N18,P18),MAX(N34,P34)),MAX(MIN(O18,Q18),MIN(O34,Q34))&lt;=MIN(MAX(O18,Q18),MAX(O34,Q34))),1,0),0)</f>
        <v>0</v>
      </c>
      <c r="T423" s="7"/>
      <c r="U423" s="7"/>
      <c r="V423" s="7"/>
      <c r="W423" s="7"/>
      <c r="X423" s="7"/>
      <c r="Y423" s="7"/>
      <c r="Z423" s="7"/>
      <c r="AA423" s="7"/>
      <c r="AB423" s="7"/>
      <c r="AC423" s="7"/>
      <c r="AD423" s="7"/>
      <c r="AE423" s="7"/>
      <c r="AF423" s="7"/>
      <c r="AG423" s="7"/>
      <c r="AH423" s="7"/>
      <c r="AI423" s="7"/>
    </row>
    <row r="424" spans="12:35">
      <c r="L424" s="7">
        <v>18</v>
      </c>
      <c r="M424" s="7">
        <v>35</v>
      </c>
      <c r="N424" s="7" t="b">
        <f>AND($N$5,$N$6,7&lt;=$M$5,4&lt;=$M$6)</f>
        <v>0</v>
      </c>
      <c r="O424" s="7">
        <f>(P18-N18)*(O35-O18)-(Q18-O18)*(N35-N18)</f>
        <v>0</v>
      </c>
      <c r="P424" s="7">
        <f>(P18-N18)*(Q35-O18)-(Q18-O18)*(P35-N18)</f>
        <v>0</v>
      </c>
      <c r="Q424" s="7">
        <f>(P35-N35)*(O18-O35)-(Q35-O35)*(N18-N35)</f>
        <v>0</v>
      </c>
      <c r="R424" s="7">
        <f>(P35-N35)*(Q18-O35)-(Q35-O35)*(P18-N35)</f>
        <v>0</v>
      </c>
      <c r="S424" s="7">
        <f>IF(N424,IF(AND(O424*P424&lt;=0,Q424*R424&lt;=0,MAX(MIN(N18,P18),MIN(N35,P35))&lt;=MIN(MAX(N18,P18),MAX(N35,P35)),MAX(MIN(O18,Q18),MIN(O35,Q35))&lt;=MIN(MAX(O18,Q18),MAX(O35,Q35))),1,0),0)</f>
        <v>0</v>
      </c>
      <c r="T424" s="7"/>
      <c r="U424" s="7"/>
      <c r="V424" s="7"/>
      <c r="W424" s="7"/>
      <c r="X424" s="7"/>
      <c r="Y424" s="7"/>
      <c r="Z424" s="7"/>
      <c r="AA424" s="7"/>
      <c r="AB424" s="7"/>
      <c r="AC424" s="7"/>
      <c r="AD424" s="7"/>
      <c r="AE424" s="7"/>
      <c r="AF424" s="7"/>
      <c r="AG424" s="7"/>
      <c r="AH424" s="7"/>
      <c r="AI424" s="7"/>
    </row>
    <row r="425" spans="12:35">
      <c r="L425" s="7">
        <v>18</v>
      </c>
      <c r="M425" s="7">
        <v>36</v>
      </c>
      <c r="N425" s="7" t="b">
        <f>AND($N$5,$N$6,7&lt;=$M$5,5&lt;=$M$6)</f>
        <v>0</v>
      </c>
      <c r="O425" s="7">
        <f>(P18-N18)*(O36-O18)-(Q18-O18)*(N36-N18)</f>
        <v>0</v>
      </c>
      <c r="P425" s="7">
        <f>(P18-N18)*(Q36-O18)-(Q18-O18)*(P36-N18)</f>
        <v>0</v>
      </c>
      <c r="Q425" s="7">
        <f>(P36-N36)*(O18-O36)-(Q36-O36)*(N18-N36)</f>
        <v>0</v>
      </c>
      <c r="R425" s="7">
        <f>(P36-N36)*(Q18-O36)-(Q36-O36)*(P18-N36)</f>
        <v>0</v>
      </c>
      <c r="S425" s="7">
        <f>IF(N425,IF(AND(O425*P425&lt;=0,Q425*R425&lt;=0,MAX(MIN(N18,P18),MIN(N36,P36))&lt;=MIN(MAX(N18,P18),MAX(N36,P36)),MAX(MIN(O18,Q18),MIN(O36,Q36))&lt;=MIN(MAX(O18,Q18),MAX(O36,Q36))),1,0),0)</f>
        <v>0</v>
      </c>
      <c r="T425" s="7"/>
      <c r="U425" s="7"/>
      <c r="V425" s="7"/>
      <c r="W425" s="7"/>
      <c r="X425" s="7"/>
      <c r="Y425" s="7"/>
      <c r="Z425" s="7"/>
      <c r="AA425" s="7"/>
      <c r="AB425" s="7"/>
      <c r="AC425" s="7"/>
      <c r="AD425" s="7"/>
      <c r="AE425" s="7"/>
      <c r="AF425" s="7"/>
      <c r="AG425" s="7"/>
      <c r="AH425" s="7"/>
      <c r="AI425" s="7"/>
    </row>
    <row r="426" spans="12:35">
      <c r="L426" s="7">
        <v>18</v>
      </c>
      <c r="M426" s="7">
        <v>37</v>
      </c>
      <c r="N426" s="7" t="b">
        <f>AND($N$5,$N$6,7&lt;=$M$5,6&lt;=$M$6)</f>
        <v>0</v>
      </c>
      <c r="O426" s="7">
        <f>(P18-N18)*(O37-O18)-(Q18-O18)*(N37-N18)</f>
        <v>0</v>
      </c>
      <c r="P426" s="7">
        <f>(P18-N18)*(Q37-O18)-(Q18-O18)*(P37-N18)</f>
        <v>0</v>
      </c>
      <c r="Q426" s="7">
        <f>(P37-N37)*(O18-O37)-(Q37-O37)*(N18-N37)</f>
        <v>0</v>
      </c>
      <c r="R426" s="7">
        <f>(P37-N37)*(Q18-O37)-(Q37-O37)*(P18-N37)</f>
        <v>0</v>
      </c>
      <c r="S426" s="7">
        <f>IF(N426,IF(AND(O426*P426&lt;=0,Q426*R426&lt;=0,MAX(MIN(N18,P18),MIN(N37,P37))&lt;=MIN(MAX(N18,P18),MAX(N37,P37)),MAX(MIN(O18,Q18),MIN(O37,Q37))&lt;=MIN(MAX(O18,Q18),MAX(O37,Q37))),1,0),0)</f>
        <v>0</v>
      </c>
      <c r="T426" s="7"/>
      <c r="U426" s="7"/>
      <c r="V426" s="7"/>
      <c r="W426" s="7"/>
      <c r="X426" s="7"/>
      <c r="Y426" s="7"/>
      <c r="Z426" s="7"/>
      <c r="AA426" s="7"/>
      <c r="AB426" s="7"/>
      <c r="AC426" s="7"/>
      <c r="AD426" s="7"/>
      <c r="AE426" s="7"/>
      <c r="AF426" s="7"/>
      <c r="AG426" s="7"/>
      <c r="AH426" s="7"/>
      <c r="AI426" s="7"/>
    </row>
    <row r="427" spans="12:35">
      <c r="L427" s="7">
        <v>18</v>
      </c>
      <c r="M427" s="7">
        <v>38</v>
      </c>
      <c r="N427" s="7" t="b">
        <f>AND($N$5,$N$6,7&lt;=$M$5,7&lt;=$M$6)</f>
        <v>0</v>
      </c>
      <c r="O427" s="7">
        <f>(P18-N18)*(O38-O18)-(Q18-O18)*(N38-N18)</f>
        <v>0</v>
      </c>
      <c r="P427" s="7">
        <f>(P18-N18)*(Q38-O18)-(Q18-O18)*(P38-N18)</f>
        <v>0</v>
      </c>
      <c r="Q427" s="7">
        <f>(P38-N38)*(O18-O38)-(Q38-O38)*(N18-N38)</f>
        <v>0</v>
      </c>
      <c r="R427" s="7">
        <f>(P38-N38)*(Q18-O38)-(Q38-O38)*(P18-N38)</f>
        <v>0</v>
      </c>
      <c r="S427" s="7">
        <f>IF(N427,IF(AND(O427*P427&lt;=0,Q427*R427&lt;=0,MAX(MIN(N18,P18),MIN(N38,P38))&lt;=MIN(MAX(N18,P18),MAX(N38,P38)),MAX(MIN(O18,Q18),MIN(O38,Q38))&lt;=MIN(MAX(O18,Q18),MAX(O38,Q38))),1,0),0)</f>
        <v>0</v>
      </c>
      <c r="T427" s="7"/>
      <c r="U427" s="7"/>
      <c r="V427" s="7"/>
      <c r="W427" s="7"/>
      <c r="X427" s="7"/>
      <c r="Y427" s="7"/>
      <c r="Z427" s="7"/>
      <c r="AA427" s="7"/>
      <c r="AB427" s="7"/>
      <c r="AC427" s="7"/>
      <c r="AD427" s="7"/>
      <c r="AE427" s="7"/>
      <c r="AF427" s="7"/>
      <c r="AG427" s="7"/>
      <c r="AH427" s="7"/>
      <c r="AI427" s="7"/>
    </row>
    <row r="428" spans="12:35">
      <c r="L428" s="7">
        <v>18</v>
      </c>
      <c r="M428" s="7">
        <v>39</v>
      </c>
      <c r="N428" s="7" t="b">
        <f>AND($N$5,$N$6,7&lt;=$M$5,8&lt;=$M$6)</f>
        <v>0</v>
      </c>
      <c r="O428" s="7">
        <f>(P18-N18)*(O39-O18)-(Q18-O18)*(N39-N18)</f>
        <v>0</v>
      </c>
      <c r="P428" s="7">
        <f>(P18-N18)*(Q39-O18)-(Q18-O18)*(P39-N18)</f>
        <v>0</v>
      </c>
      <c r="Q428" s="7">
        <f>(P39-N39)*(O18-O39)-(Q39-O39)*(N18-N39)</f>
        <v>0</v>
      </c>
      <c r="R428" s="7">
        <f>(P39-N39)*(Q18-O39)-(Q39-O39)*(P18-N39)</f>
        <v>0</v>
      </c>
      <c r="S428" s="7">
        <f>IF(N428,IF(AND(O428*P428&lt;=0,Q428*R428&lt;=0,MAX(MIN(N18,P18),MIN(N39,P39))&lt;=MIN(MAX(N18,P18),MAX(N39,P39)),MAX(MIN(O18,Q18),MIN(O39,Q39))&lt;=MIN(MAX(O18,Q18),MAX(O39,Q39))),1,0),0)</f>
        <v>0</v>
      </c>
      <c r="T428" s="7"/>
      <c r="U428" s="7"/>
      <c r="V428" s="7"/>
      <c r="W428" s="7"/>
      <c r="X428" s="7"/>
      <c r="Y428" s="7"/>
      <c r="Z428" s="7"/>
      <c r="AA428" s="7"/>
      <c r="AB428" s="7"/>
      <c r="AC428" s="7"/>
      <c r="AD428" s="7"/>
      <c r="AE428" s="7"/>
      <c r="AF428" s="7"/>
      <c r="AG428" s="7"/>
      <c r="AH428" s="7"/>
      <c r="AI428" s="7"/>
    </row>
    <row r="429" spans="12:35">
      <c r="L429" s="7">
        <v>18</v>
      </c>
      <c r="M429" s="7">
        <v>40</v>
      </c>
      <c r="N429" s="7" t="b">
        <f>AND($N$5,$N$6,7&lt;=$M$5,9&lt;=$M$6)</f>
        <v>0</v>
      </c>
      <c r="O429" s="7">
        <f>(P18-N18)*(O40-O18)-(Q18-O18)*(N40-N18)</f>
        <v>0</v>
      </c>
      <c r="P429" s="7">
        <f>(P18-N18)*(Q40-O18)-(Q18-O18)*(P40-N18)</f>
        <v>0</v>
      </c>
      <c r="Q429" s="7">
        <f>(P40-N40)*(O18-O40)-(Q40-O40)*(N18-N40)</f>
        <v>0</v>
      </c>
      <c r="R429" s="7">
        <f>(P40-N40)*(Q18-O40)-(Q40-O40)*(P18-N40)</f>
        <v>0</v>
      </c>
      <c r="S429" s="7">
        <f>IF(N429,IF(AND(O429*P429&lt;=0,Q429*R429&lt;=0,MAX(MIN(N18,P18),MIN(N40,P40))&lt;=MIN(MAX(N18,P18),MAX(N40,P40)),MAX(MIN(O18,Q18),MIN(O40,Q40))&lt;=MIN(MAX(O18,Q18),MAX(O40,Q40))),1,0),0)</f>
        <v>0</v>
      </c>
      <c r="T429" s="7"/>
      <c r="U429" s="7"/>
      <c r="V429" s="7"/>
      <c r="W429" s="7"/>
      <c r="X429" s="7"/>
      <c r="Y429" s="7"/>
      <c r="Z429" s="7"/>
      <c r="AA429" s="7"/>
      <c r="AB429" s="7"/>
      <c r="AC429" s="7"/>
      <c r="AD429" s="7"/>
      <c r="AE429" s="7"/>
      <c r="AF429" s="7"/>
      <c r="AG429" s="7"/>
      <c r="AH429" s="7"/>
      <c r="AI429" s="7"/>
    </row>
    <row r="430" spans="12:35">
      <c r="L430" s="7">
        <v>18</v>
      </c>
      <c r="M430" s="7">
        <v>41</v>
      </c>
      <c r="N430" s="7" t="b">
        <f>AND($N$5,$N$6,7&lt;=$M$5,10&lt;=$M$6)</f>
        <v>0</v>
      </c>
      <c r="O430" s="7">
        <f>(P18-N18)*(O41-O18)-(Q18-O18)*(N41-N18)</f>
        <v>0</v>
      </c>
      <c r="P430" s="7">
        <f>(P18-N18)*(Q41-O18)-(Q18-O18)*(P41-N18)</f>
        <v>0</v>
      </c>
      <c r="Q430" s="7">
        <f>(P41-N41)*(O18-O41)-(Q41-O41)*(N18-N41)</f>
        <v>0</v>
      </c>
      <c r="R430" s="7">
        <f>(P41-N41)*(Q18-O41)-(Q41-O41)*(P18-N41)</f>
        <v>0</v>
      </c>
      <c r="S430" s="7">
        <f>IF(N430,IF(AND(O430*P430&lt;=0,Q430*R430&lt;=0,MAX(MIN(N18,P18),MIN(N41,P41))&lt;=MIN(MAX(N18,P18),MAX(N41,P41)),MAX(MIN(O18,Q18),MIN(O41,Q41))&lt;=MIN(MAX(O18,Q18),MAX(O41,Q41))),1,0),0)</f>
        <v>0</v>
      </c>
      <c r="T430" s="7"/>
      <c r="U430" s="7"/>
      <c r="V430" s="7"/>
      <c r="W430" s="7"/>
      <c r="X430" s="7"/>
      <c r="Y430" s="7"/>
      <c r="Z430" s="7"/>
      <c r="AA430" s="7"/>
      <c r="AB430" s="7"/>
      <c r="AC430" s="7"/>
      <c r="AD430" s="7"/>
      <c r="AE430" s="7"/>
      <c r="AF430" s="7"/>
      <c r="AG430" s="7"/>
      <c r="AH430" s="7"/>
      <c r="AI430" s="7"/>
    </row>
    <row r="431" spans="12:35">
      <c r="L431" s="7">
        <v>18</v>
      </c>
      <c r="M431" s="7">
        <v>42</v>
      </c>
      <c r="N431" s="7" t="b">
        <f>AND($N$5,$N$6,7&lt;=$M$5,11&lt;=$M$6)</f>
        <v>0</v>
      </c>
      <c r="O431" s="7">
        <f>(P18-N18)*(O42-O18)-(Q18-O18)*(N42-N18)</f>
        <v>0</v>
      </c>
      <c r="P431" s="7">
        <f>(P18-N18)*(Q42-O18)-(Q18-O18)*(P42-N18)</f>
        <v>0</v>
      </c>
      <c r="Q431" s="7">
        <f>(P42-N42)*(O18-O42)-(Q42-O42)*(N18-N42)</f>
        <v>0</v>
      </c>
      <c r="R431" s="7">
        <f>(P42-N42)*(Q18-O42)-(Q42-O42)*(P18-N42)</f>
        <v>0</v>
      </c>
      <c r="S431" s="7">
        <f>IF(N431,IF(AND(O431*P431&lt;=0,Q431*R431&lt;=0,MAX(MIN(N18,P18),MIN(N42,P42))&lt;=MIN(MAX(N18,P18),MAX(N42,P42)),MAX(MIN(O18,Q18),MIN(O42,Q42))&lt;=MIN(MAX(O18,Q18),MAX(O42,Q42))),1,0),0)</f>
        <v>0</v>
      </c>
      <c r="T431" s="7"/>
      <c r="U431" s="7"/>
      <c r="V431" s="7"/>
      <c r="W431" s="7"/>
      <c r="X431" s="7"/>
      <c r="Y431" s="7"/>
      <c r="Z431" s="7"/>
      <c r="AA431" s="7"/>
      <c r="AB431" s="7"/>
      <c r="AC431" s="7"/>
      <c r="AD431" s="7"/>
      <c r="AE431" s="7"/>
      <c r="AF431" s="7"/>
      <c r="AG431" s="7"/>
      <c r="AH431" s="7"/>
      <c r="AI431" s="7"/>
    </row>
    <row r="432" spans="12:35">
      <c r="L432" s="7">
        <v>18</v>
      </c>
      <c r="M432" s="7">
        <v>43</v>
      </c>
      <c r="N432" s="7" t="b">
        <f>AND($N$5,$N$6,7&lt;=$M$5,12&lt;=$M$6)</f>
        <v>0</v>
      </c>
      <c r="O432" s="7">
        <f>(P18-N18)*(O43-O18)-(Q18-O18)*(N43-N18)</f>
        <v>0</v>
      </c>
      <c r="P432" s="7">
        <f>(P18-N18)*(Q43-O18)-(Q18-O18)*(P43-N18)</f>
        <v>0</v>
      </c>
      <c r="Q432" s="7">
        <f>(P43-N43)*(O18-O43)-(Q43-O43)*(N18-N43)</f>
        <v>0</v>
      </c>
      <c r="R432" s="7">
        <f>(P43-N43)*(Q18-O43)-(Q43-O43)*(P18-N43)</f>
        <v>0</v>
      </c>
      <c r="S432" s="7">
        <f>IF(N432,IF(AND(O432*P432&lt;=0,Q432*R432&lt;=0,MAX(MIN(N18,P18),MIN(N43,P43))&lt;=MIN(MAX(N18,P18),MAX(N43,P43)),MAX(MIN(O18,Q18),MIN(O43,Q43))&lt;=MIN(MAX(O18,Q18),MAX(O43,Q43))),1,0),0)</f>
        <v>0</v>
      </c>
      <c r="T432" s="7"/>
      <c r="U432" s="7"/>
      <c r="V432" s="7"/>
      <c r="W432" s="7"/>
      <c r="X432" s="7"/>
      <c r="Y432" s="7"/>
      <c r="Z432" s="7"/>
      <c r="AA432" s="7"/>
      <c r="AB432" s="7"/>
      <c r="AC432" s="7"/>
      <c r="AD432" s="7"/>
      <c r="AE432" s="7"/>
      <c r="AF432" s="7"/>
      <c r="AG432" s="7"/>
      <c r="AH432" s="7"/>
      <c r="AI432" s="7"/>
    </row>
    <row r="433" spans="12:35">
      <c r="L433" s="7">
        <v>18</v>
      </c>
      <c r="M433" s="7">
        <v>44</v>
      </c>
      <c r="N433" s="7" t="b">
        <f>AND($N$5,$N$6,7&lt;=$M$5,13&lt;=$M$6)</f>
        <v>0</v>
      </c>
      <c r="O433" s="7">
        <f>(P18-N18)*(O44-O18)-(Q18-O18)*(N44-N18)</f>
        <v>0</v>
      </c>
      <c r="P433" s="7">
        <f>(P18-N18)*(Q44-O18)-(Q18-O18)*(P44-N18)</f>
        <v>0</v>
      </c>
      <c r="Q433" s="7">
        <f>(P44-N44)*(O18-O44)-(Q44-O44)*(N18-N44)</f>
        <v>0</v>
      </c>
      <c r="R433" s="7">
        <f>(P44-N44)*(Q18-O44)-(Q44-O44)*(P18-N44)</f>
        <v>0</v>
      </c>
      <c r="S433" s="7">
        <f>IF(N433,IF(AND(O433*P433&lt;=0,Q433*R433&lt;=0,MAX(MIN(N18,P18),MIN(N44,P44))&lt;=MIN(MAX(N18,P18),MAX(N44,P44)),MAX(MIN(O18,Q18),MIN(O44,Q44))&lt;=MIN(MAX(O18,Q18),MAX(O44,Q44))),1,0),0)</f>
        <v>0</v>
      </c>
      <c r="T433" s="7"/>
      <c r="U433" s="7"/>
      <c r="V433" s="7"/>
      <c r="W433" s="7"/>
      <c r="X433" s="7"/>
      <c r="Y433" s="7"/>
      <c r="Z433" s="7"/>
      <c r="AA433" s="7"/>
      <c r="AB433" s="7"/>
      <c r="AC433" s="7"/>
      <c r="AD433" s="7"/>
      <c r="AE433" s="7"/>
      <c r="AF433" s="7"/>
      <c r="AG433" s="7"/>
      <c r="AH433" s="7"/>
      <c r="AI433" s="7"/>
    </row>
    <row r="434" spans="12:35">
      <c r="L434" s="7">
        <v>18</v>
      </c>
      <c r="M434" s="7">
        <v>45</v>
      </c>
      <c r="N434" s="7" t="b">
        <f>AND($N$5,$N$6,7&lt;=$M$5,14&lt;=$M$6)</f>
        <v>0</v>
      </c>
      <c r="O434" s="7">
        <f>(P18-N18)*(O45-O18)-(Q18-O18)*(N45-N18)</f>
        <v>0</v>
      </c>
      <c r="P434" s="7">
        <f>(P18-N18)*(Q45-O18)-(Q18-O18)*(P45-N18)</f>
        <v>0</v>
      </c>
      <c r="Q434" s="7">
        <f>(P45-N45)*(O18-O45)-(Q45-O45)*(N18-N45)</f>
        <v>0</v>
      </c>
      <c r="R434" s="7">
        <f>(P45-N45)*(Q18-O45)-(Q45-O45)*(P18-N45)</f>
        <v>0</v>
      </c>
      <c r="S434" s="7">
        <f>IF(N434,IF(AND(O434*P434&lt;=0,Q434*R434&lt;=0,MAX(MIN(N18,P18),MIN(N45,P45))&lt;=MIN(MAX(N18,P18),MAX(N45,P45)),MAX(MIN(O18,Q18),MIN(O45,Q45))&lt;=MIN(MAX(O18,Q18),MAX(O45,Q45))),1,0),0)</f>
        <v>0</v>
      </c>
      <c r="T434" s="7"/>
      <c r="U434" s="7"/>
      <c r="V434" s="7"/>
      <c r="W434" s="7"/>
      <c r="X434" s="7"/>
      <c r="Y434" s="7"/>
      <c r="Z434" s="7"/>
      <c r="AA434" s="7"/>
      <c r="AB434" s="7"/>
      <c r="AC434" s="7"/>
      <c r="AD434" s="7"/>
      <c r="AE434" s="7"/>
      <c r="AF434" s="7"/>
      <c r="AG434" s="7"/>
      <c r="AH434" s="7"/>
      <c r="AI434" s="7"/>
    </row>
    <row r="435" spans="12:35">
      <c r="L435" s="7">
        <v>18</v>
      </c>
      <c r="M435" s="7">
        <v>46</v>
      </c>
      <c r="N435" s="7" t="b">
        <f>AND($N$5,$N$6,7&lt;=$M$5,15&lt;=$M$6)</f>
        <v>0</v>
      </c>
      <c r="O435" s="7">
        <f>(P18-N18)*(O46-O18)-(Q18-O18)*(N46-N18)</f>
        <v>0</v>
      </c>
      <c r="P435" s="7">
        <f>(P18-N18)*(Q46-O18)-(Q18-O18)*(P46-N18)</f>
        <v>0</v>
      </c>
      <c r="Q435" s="7">
        <f>(P46-N46)*(O18-O46)-(Q46-O46)*(N18-N46)</f>
        <v>0</v>
      </c>
      <c r="R435" s="7">
        <f>(P46-N46)*(Q18-O46)-(Q46-O46)*(P18-N46)</f>
        <v>0</v>
      </c>
      <c r="S435" s="7">
        <f>IF(N435,IF(AND(O435*P435&lt;=0,Q435*R435&lt;=0,MAX(MIN(N18,P18),MIN(N46,P46))&lt;=MIN(MAX(N18,P18),MAX(N46,P46)),MAX(MIN(O18,Q18),MIN(O46,Q46))&lt;=MIN(MAX(O18,Q18),MAX(O46,Q46))),1,0),0)</f>
        <v>0</v>
      </c>
      <c r="T435" s="7"/>
      <c r="U435" s="7"/>
      <c r="V435" s="7"/>
      <c r="W435" s="7"/>
      <c r="X435" s="7"/>
      <c r="Y435" s="7"/>
      <c r="Z435" s="7"/>
      <c r="AA435" s="7"/>
      <c r="AB435" s="7"/>
      <c r="AC435" s="7"/>
      <c r="AD435" s="7"/>
      <c r="AE435" s="7"/>
      <c r="AF435" s="7"/>
      <c r="AG435" s="7"/>
      <c r="AH435" s="7"/>
      <c r="AI435" s="7"/>
    </row>
    <row r="436" spans="12:35">
      <c r="L436" s="7">
        <v>18</v>
      </c>
      <c r="M436" s="7">
        <v>47</v>
      </c>
      <c r="N436" s="7" t="b">
        <f>AND($N$5,$N$6,7&lt;=$M$5,16&lt;=$M$6)</f>
        <v>0</v>
      </c>
      <c r="O436" s="7">
        <f>(P18-N18)*(O47-O18)-(Q18-O18)*(N47-N18)</f>
        <v>0</v>
      </c>
      <c r="P436" s="7">
        <f>(P18-N18)*(Q47-O18)-(Q18-O18)*(P47-N18)</f>
        <v>0</v>
      </c>
      <c r="Q436" s="7">
        <f>(P47-N47)*(O18-O47)-(Q47-O47)*(N18-N47)</f>
        <v>0</v>
      </c>
      <c r="R436" s="7">
        <f>(P47-N47)*(Q18-O47)-(Q47-O47)*(P18-N47)</f>
        <v>0</v>
      </c>
      <c r="S436" s="7">
        <f>IF(N436,IF(AND(O436*P436&lt;=0,Q436*R436&lt;=0,MAX(MIN(N18,P18),MIN(N47,P47))&lt;=MIN(MAX(N18,P18),MAX(N47,P47)),MAX(MIN(O18,Q18),MIN(O47,Q47))&lt;=MIN(MAX(O18,Q18),MAX(O47,Q47))),1,0),0)</f>
        <v>0</v>
      </c>
      <c r="T436" s="7"/>
      <c r="U436" s="7"/>
      <c r="V436" s="7"/>
      <c r="W436" s="7"/>
      <c r="X436" s="7"/>
      <c r="Y436" s="7"/>
      <c r="Z436" s="7"/>
      <c r="AA436" s="7"/>
      <c r="AB436" s="7"/>
      <c r="AC436" s="7"/>
      <c r="AD436" s="7"/>
      <c r="AE436" s="7"/>
      <c r="AF436" s="7"/>
      <c r="AG436" s="7"/>
      <c r="AH436" s="7"/>
      <c r="AI436" s="7"/>
    </row>
    <row r="437" spans="12:35">
      <c r="L437" s="7">
        <v>18</v>
      </c>
      <c r="M437" s="7">
        <v>48</v>
      </c>
      <c r="N437" s="7" t="b">
        <f>AND($N$5,$N$6,7&lt;=$M$5,17&lt;=$M$6)</f>
        <v>0</v>
      </c>
      <c r="O437" s="7">
        <f>(P18-N18)*(O48-O18)-(Q18-O18)*(N48-N18)</f>
        <v>0</v>
      </c>
      <c r="P437" s="7">
        <f>(P18-N18)*(Q48-O18)-(Q18-O18)*(P48-N18)</f>
        <v>0</v>
      </c>
      <c r="Q437" s="7">
        <f>(P48-N48)*(O18-O48)-(Q48-O48)*(N18-N48)</f>
        <v>0</v>
      </c>
      <c r="R437" s="7">
        <f>(P48-N48)*(Q18-O48)-(Q48-O48)*(P18-N48)</f>
        <v>0</v>
      </c>
      <c r="S437" s="7">
        <f>IF(N437,IF(AND(O437*P437&lt;=0,Q437*R437&lt;=0,MAX(MIN(N18,P18),MIN(N48,P48))&lt;=MIN(MAX(N18,P18),MAX(N48,P48)),MAX(MIN(O18,Q18),MIN(O48,Q48))&lt;=MIN(MAX(O18,Q18),MAX(O48,Q48))),1,0),0)</f>
        <v>0</v>
      </c>
      <c r="T437" s="7"/>
      <c r="U437" s="7"/>
      <c r="V437" s="7"/>
      <c r="W437" s="7"/>
      <c r="X437" s="7"/>
      <c r="Y437" s="7"/>
      <c r="Z437" s="7"/>
      <c r="AA437" s="7"/>
      <c r="AB437" s="7"/>
      <c r="AC437" s="7"/>
      <c r="AD437" s="7"/>
      <c r="AE437" s="7"/>
      <c r="AF437" s="7"/>
      <c r="AG437" s="7"/>
      <c r="AH437" s="7"/>
      <c r="AI437" s="7"/>
    </row>
    <row r="438" spans="12:35">
      <c r="L438" s="7">
        <v>18</v>
      </c>
      <c r="M438" s="7">
        <v>49</v>
      </c>
      <c r="N438" s="7" t="b">
        <f>AND($N$5,$N$6,7&lt;=$M$5,18&lt;=$M$6)</f>
        <v>0</v>
      </c>
      <c r="O438" s="7">
        <f>(P18-N18)*(O49-O18)-(Q18-O18)*(N49-N18)</f>
        <v>0</v>
      </c>
      <c r="P438" s="7">
        <f>(P18-N18)*(Q49-O18)-(Q18-O18)*(P49-N18)</f>
        <v>0</v>
      </c>
      <c r="Q438" s="7">
        <f>(P49-N49)*(O18-O49)-(Q49-O49)*(N18-N49)</f>
        <v>0</v>
      </c>
      <c r="R438" s="7">
        <f>(P49-N49)*(Q18-O49)-(Q49-O49)*(P18-N49)</f>
        <v>0</v>
      </c>
      <c r="S438" s="7">
        <f>IF(N438,IF(AND(O438*P438&lt;=0,Q438*R438&lt;=0,MAX(MIN(N18,P18),MIN(N49,P49))&lt;=MIN(MAX(N18,P18),MAX(N49,P49)),MAX(MIN(O18,Q18),MIN(O49,Q49))&lt;=MIN(MAX(O18,Q18),MAX(O49,Q49))),1,0),0)</f>
        <v>0</v>
      </c>
      <c r="T438" s="7"/>
      <c r="U438" s="7"/>
      <c r="V438" s="7"/>
      <c r="W438" s="7"/>
      <c r="X438" s="7"/>
      <c r="Y438" s="7"/>
      <c r="Z438" s="7"/>
      <c r="AA438" s="7"/>
      <c r="AB438" s="7"/>
      <c r="AC438" s="7"/>
      <c r="AD438" s="7"/>
      <c r="AE438" s="7"/>
      <c r="AF438" s="7"/>
      <c r="AG438" s="7"/>
      <c r="AH438" s="7"/>
      <c r="AI438" s="7"/>
    </row>
    <row r="439" spans="12:35">
      <c r="L439" s="7">
        <v>18</v>
      </c>
      <c r="M439" s="7">
        <v>50</v>
      </c>
      <c r="N439" s="7" t="b">
        <f>AND($N$5,$N$6,7&lt;=$M$5,19&lt;=$M$6)</f>
        <v>0</v>
      </c>
      <c r="O439" s="7">
        <f>(P18-N18)*(O50-O18)-(Q18-O18)*(N50-N18)</f>
        <v>0</v>
      </c>
      <c r="P439" s="7">
        <f>(P18-N18)*(Q50-O18)-(Q18-O18)*(P50-N18)</f>
        <v>0</v>
      </c>
      <c r="Q439" s="7">
        <f>(P50-N50)*(O18-O50)-(Q50-O50)*(N18-N50)</f>
        <v>0</v>
      </c>
      <c r="R439" s="7">
        <f>(P50-N50)*(Q18-O50)-(Q50-O50)*(P18-N50)</f>
        <v>0</v>
      </c>
      <c r="S439" s="7">
        <f>IF(N439,IF(AND(O439*P439&lt;=0,Q439*R439&lt;=0,MAX(MIN(N18,P18),MIN(N50,P50))&lt;=MIN(MAX(N18,P18),MAX(N50,P50)),MAX(MIN(O18,Q18),MIN(O50,Q50))&lt;=MIN(MAX(O18,Q18),MAX(O50,Q50))),1,0),0)</f>
        <v>0</v>
      </c>
      <c r="T439" s="7"/>
      <c r="U439" s="7"/>
      <c r="V439" s="7"/>
      <c r="W439" s="7"/>
      <c r="X439" s="7"/>
      <c r="Y439" s="7"/>
      <c r="Z439" s="7"/>
      <c r="AA439" s="7"/>
      <c r="AB439" s="7"/>
      <c r="AC439" s="7"/>
      <c r="AD439" s="7"/>
      <c r="AE439" s="7"/>
      <c r="AF439" s="7"/>
      <c r="AG439" s="7"/>
      <c r="AH439" s="7"/>
      <c r="AI439" s="7"/>
    </row>
    <row r="440" spans="12:35">
      <c r="L440" s="7">
        <v>18</v>
      </c>
      <c r="M440" s="7">
        <v>51</v>
      </c>
      <c r="N440" s="7" t="b">
        <f>AND($N$5,$N$6,7&lt;=$M$5,20&lt;=$M$6)</f>
        <v>0</v>
      </c>
      <c r="O440" s="7">
        <f>(P18-N18)*(O51-O18)-(Q18-O18)*(N51-N18)</f>
        <v>0</v>
      </c>
      <c r="P440" s="7">
        <f>(P18-N18)*(Q51-O18)-(Q18-O18)*(P51-N18)</f>
        <v>0</v>
      </c>
      <c r="Q440" s="7">
        <f>(P51-N51)*(O18-O51)-(Q51-O51)*(N18-N51)</f>
        <v>0</v>
      </c>
      <c r="R440" s="7">
        <f>(P51-N51)*(Q18-O51)-(Q51-O51)*(P18-N51)</f>
        <v>0</v>
      </c>
      <c r="S440" s="7">
        <f>IF(N440,IF(AND(O440*P440&lt;=0,Q440*R440&lt;=0,MAX(MIN(N18,P18),MIN(N51,P51))&lt;=MIN(MAX(N18,P18),MAX(N51,P51)),MAX(MIN(O18,Q18),MIN(O51,Q51))&lt;=MIN(MAX(O18,Q18),MAX(O51,Q51))),1,0),0)</f>
        <v>0</v>
      </c>
      <c r="T440" s="7"/>
      <c r="U440" s="7"/>
      <c r="V440" s="7"/>
      <c r="W440" s="7"/>
      <c r="X440" s="7"/>
      <c r="Y440" s="7"/>
      <c r="Z440" s="7"/>
      <c r="AA440" s="7"/>
      <c r="AB440" s="7"/>
      <c r="AC440" s="7"/>
      <c r="AD440" s="7"/>
      <c r="AE440" s="7"/>
      <c r="AF440" s="7"/>
      <c r="AG440" s="7"/>
      <c r="AH440" s="7"/>
      <c r="AI440" s="7"/>
    </row>
    <row r="441" spans="12:35">
      <c r="L441" s="7">
        <v>18</v>
      </c>
      <c r="M441" s="7">
        <v>52</v>
      </c>
      <c r="N441" s="7" t="b">
        <f>AND($N$5,$N$7,7&lt;=$M$5,1&lt;=$M$7)</f>
        <v>0</v>
      </c>
      <c r="O441" s="7">
        <f>(P18-N18)*(O52-O18)-(Q18-O18)*(N52-N18)</f>
        <v>0</v>
      </c>
      <c r="P441" s="7">
        <f>(P18-N18)*(Q52-O18)-(Q18-O18)*(P52-N18)</f>
        <v>0</v>
      </c>
      <c r="Q441" s="7">
        <f>(P52-N52)*(O18-O52)-(Q52-O52)*(N18-N52)</f>
        <v>0</v>
      </c>
      <c r="R441" s="7">
        <f>(P52-N52)*(Q18-O52)-(Q52-O52)*(P18-N52)</f>
        <v>0</v>
      </c>
      <c r="S441" s="7">
        <f>IF(N441,IF(AND(O441*P441&lt;=0,Q441*R441&lt;=0,MAX(MIN(N18,P18),MIN(N52,P52))&lt;=MIN(MAX(N18,P18),MAX(N52,P52)),MAX(MIN(O18,Q18),MIN(O52,Q52))&lt;=MIN(MAX(O18,Q18),MAX(O52,Q52))),1,0),0)</f>
        <v>0</v>
      </c>
      <c r="T441" s="7"/>
      <c r="U441" s="7"/>
      <c r="V441" s="7"/>
      <c r="W441" s="7"/>
      <c r="X441" s="7"/>
      <c r="Y441" s="7"/>
      <c r="Z441" s="7"/>
      <c r="AA441" s="7"/>
      <c r="AB441" s="7"/>
      <c r="AC441" s="7"/>
      <c r="AD441" s="7"/>
      <c r="AE441" s="7"/>
      <c r="AF441" s="7"/>
      <c r="AG441" s="7"/>
      <c r="AH441" s="7"/>
      <c r="AI441" s="7"/>
    </row>
    <row r="442" spans="12:35">
      <c r="L442" s="7">
        <v>18</v>
      </c>
      <c r="M442" s="7">
        <v>53</v>
      </c>
      <c r="N442" s="7" t="b">
        <f>AND($N$5,$N$7,7&lt;=$M$5,2&lt;=$M$7)</f>
        <v>0</v>
      </c>
      <c r="O442" s="7">
        <f>(P18-N18)*(O53-O18)-(Q18-O18)*(N53-N18)</f>
        <v>0</v>
      </c>
      <c r="P442" s="7">
        <f>(P18-N18)*(Q53-O18)-(Q18-O18)*(P53-N18)</f>
        <v>0</v>
      </c>
      <c r="Q442" s="7">
        <f>(P53-N53)*(O18-O53)-(Q53-O53)*(N18-N53)</f>
        <v>0</v>
      </c>
      <c r="R442" s="7">
        <f>(P53-N53)*(Q18-O53)-(Q53-O53)*(P18-N53)</f>
        <v>0</v>
      </c>
      <c r="S442" s="7">
        <f>IF(N442,IF(AND(O442*P442&lt;=0,Q442*R442&lt;=0,MAX(MIN(N18,P18),MIN(N53,P53))&lt;=MIN(MAX(N18,P18),MAX(N53,P53)),MAX(MIN(O18,Q18),MIN(O53,Q53))&lt;=MIN(MAX(O18,Q18),MAX(O53,Q53))),1,0),0)</f>
        <v>0</v>
      </c>
      <c r="T442" s="7"/>
      <c r="U442" s="7"/>
      <c r="V442" s="7"/>
      <c r="W442" s="7"/>
      <c r="X442" s="7"/>
      <c r="Y442" s="7"/>
      <c r="Z442" s="7"/>
      <c r="AA442" s="7"/>
      <c r="AB442" s="7"/>
      <c r="AC442" s="7"/>
      <c r="AD442" s="7"/>
      <c r="AE442" s="7"/>
      <c r="AF442" s="7"/>
      <c r="AG442" s="7"/>
      <c r="AH442" s="7"/>
      <c r="AI442" s="7"/>
    </row>
    <row r="443" spans="12:35">
      <c r="L443" s="7">
        <v>18</v>
      </c>
      <c r="M443" s="7">
        <v>54</v>
      </c>
      <c r="N443" s="7" t="b">
        <f>AND($N$5,$N$7,7&lt;=$M$5,3&lt;=$M$7)</f>
        <v>0</v>
      </c>
      <c r="O443" s="7">
        <f>(P18-N18)*(O54-O18)-(Q18-O18)*(N54-N18)</f>
        <v>0</v>
      </c>
      <c r="P443" s="7">
        <f>(P18-N18)*(Q54-O18)-(Q18-O18)*(P54-N18)</f>
        <v>0</v>
      </c>
      <c r="Q443" s="7">
        <f>(P54-N54)*(O18-O54)-(Q54-O54)*(N18-N54)</f>
        <v>0</v>
      </c>
      <c r="R443" s="7">
        <f>(P54-N54)*(Q18-O54)-(Q54-O54)*(P18-N54)</f>
        <v>0</v>
      </c>
      <c r="S443" s="7">
        <f>IF(N443,IF(AND(O443*P443&lt;=0,Q443*R443&lt;=0,MAX(MIN(N18,P18),MIN(N54,P54))&lt;=MIN(MAX(N18,P18),MAX(N54,P54)),MAX(MIN(O18,Q18),MIN(O54,Q54))&lt;=MIN(MAX(O18,Q18),MAX(O54,Q54))),1,0),0)</f>
        <v>0</v>
      </c>
      <c r="T443" s="7"/>
      <c r="U443" s="7"/>
      <c r="V443" s="7"/>
      <c r="W443" s="7"/>
      <c r="X443" s="7"/>
      <c r="Y443" s="7"/>
      <c r="Z443" s="7"/>
      <c r="AA443" s="7"/>
      <c r="AB443" s="7"/>
      <c r="AC443" s="7"/>
      <c r="AD443" s="7"/>
      <c r="AE443" s="7"/>
      <c r="AF443" s="7"/>
      <c r="AG443" s="7"/>
      <c r="AH443" s="7"/>
      <c r="AI443" s="7"/>
    </row>
    <row r="444" spans="12:35">
      <c r="L444" s="7">
        <v>18</v>
      </c>
      <c r="M444" s="7">
        <v>55</v>
      </c>
      <c r="N444" s="7" t="b">
        <f>AND($N$5,$N$7,7&lt;=$M$5,4&lt;=$M$7)</f>
        <v>0</v>
      </c>
      <c r="O444" s="7">
        <f>(P18-N18)*(O55-O18)-(Q18-O18)*(N55-N18)</f>
        <v>0</v>
      </c>
      <c r="P444" s="7">
        <f>(P18-N18)*(Q55-O18)-(Q18-O18)*(P55-N18)</f>
        <v>0</v>
      </c>
      <c r="Q444" s="7">
        <f>(P55-N55)*(O18-O55)-(Q55-O55)*(N18-N55)</f>
        <v>0</v>
      </c>
      <c r="R444" s="7">
        <f>(P55-N55)*(Q18-O55)-(Q55-O55)*(P18-N55)</f>
        <v>0</v>
      </c>
      <c r="S444" s="7">
        <f>IF(N444,IF(AND(O444*P444&lt;=0,Q444*R444&lt;=0,MAX(MIN(N18,P18),MIN(N55,P55))&lt;=MIN(MAX(N18,P18),MAX(N55,P55)),MAX(MIN(O18,Q18),MIN(O55,Q55))&lt;=MIN(MAX(O18,Q18),MAX(O55,Q55))),1,0),0)</f>
        <v>0</v>
      </c>
      <c r="T444" s="7"/>
      <c r="U444" s="7"/>
      <c r="V444" s="7"/>
      <c r="W444" s="7"/>
      <c r="X444" s="7"/>
      <c r="Y444" s="7"/>
      <c r="Z444" s="7"/>
      <c r="AA444" s="7"/>
      <c r="AB444" s="7"/>
      <c r="AC444" s="7"/>
      <c r="AD444" s="7"/>
      <c r="AE444" s="7"/>
      <c r="AF444" s="7"/>
      <c r="AG444" s="7"/>
      <c r="AH444" s="7"/>
      <c r="AI444" s="7"/>
    </row>
    <row r="445" spans="12:35">
      <c r="L445" s="7">
        <v>18</v>
      </c>
      <c r="M445" s="7">
        <v>56</v>
      </c>
      <c r="N445" s="7" t="b">
        <f>AND($N$5,$N$7,7&lt;=$M$5,5&lt;=$M$7)</f>
        <v>0</v>
      </c>
      <c r="O445" s="7">
        <f>(P18-N18)*(O56-O18)-(Q18-O18)*(N56-N18)</f>
        <v>0</v>
      </c>
      <c r="P445" s="7">
        <f>(P18-N18)*(Q56-O18)-(Q18-O18)*(P56-N18)</f>
        <v>0</v>
      </c>
      <c r="Q445" s="7">
        <f>(P56-N56)*(O18-O56)-(Q56-O56)*(N18-N56)</f>
        <v>0</v>
      </c>
      <c r="R445" s="7">
        <f>(P56-N56)*(Q18-O56)-(Q56-O56)*(P18-N56)</f>
        <v>0</v>
      </c>
      <c r="S445" s="7">
        <f>IF(N445,IF(AND(O445*P445&lt;=0,Q445*R445&lt;=0,MAX(MIN(N18,P18),MIN(N56,P56))&lt;=MIN(MAX(N18,P18),MAX(N56,P56)),MAX(MIN(O18,Q18),MIN(O56,Q56))&lt;=MIN(MAX(O18,Q18),MAX(O56,Q56))),1,0),0)</f>
        <v>0</v>
      </c>
      <c r="T445" s="7"/>
      <c r="U445" s="7"/>
      <c r="V445" s="7"/>
      <c r="W445" s="7"/>
      <c r="X445" s="7"/>
      <c r="Y445" s="7"/>
      <c r="Z445" s="7"/>
      <c r="AA445" s="7"/>
      <c r="AB445" s="7"/>
      <c r="AC445" s="7"/>
      <c r="AD445" s="7"/>
      <c r="AE445" s="7"/>
      <c r="AF445" s="7"/>
      <c r="AG445" s="7"/>
      <c r="AH445" s="7"/>
      <c r="AI445" s="7"/>
    </row>
    <row r="446" spans="12:35">
      <c r="L446" s="7">
        <v>18</v>
      </c>
      <c r="M446" s="7">
        <v>57</v>
      </c>
      <c r="N446" s="7" t="b">
        <f>AND($N$5,$N$7,7&lt;=$M$5,6&lt;=$M$7)</f>
        <v>0</v>
      </c>
      <c r="O446" s="7">
        <f>(P18-N18)*(O57-O18)-(Q18-O18)*(N57-N18)</f>
        <v>0</v>
      </c>
      <c r="P446" s="7">
        <f>(P18-N18)*(Q57-O18)-(Q18-O18)*(P57-N18)</f>
        <v>0</v>
      </c>
      <c r="Q446" s="7">
        <f>(P57-N57)*(O18-O57)-(Q57-O57)*(N18-N57)</f>
        <v>0</v>
      </c>
      <c r="R446" s="7">
        <f>(P57-N57)*(Q18-O57)-(Q57-O57)*(P18-N57)</f>
        <v>0</v>
      </c>
      <c r="S446" s="7">
        <f>IF(N446,IF(AND(O446*P446&lt;=0,Q446*R446&lt;=0,MAX(MIN(N18,P18),MIN(N57,P57))&lt;=MIN(MAX(N18,P18),MAX(N57,P57)),MAX(MIN(O18,Q18),MIN(O57,Q57))&lt;=MIN(MAX(O18,Q18),MAX(O57,Q57))),1,0),0)</f>
        <v>0</v>
      </c>
      <c r="T446" s="7"/>
      <c r="U446" s="7"/>
      <c r="V446" s="7"/>
      <c r="W446" s="7"/>
      <c r="X446" s="7"/>
      <c r="Y446" s="7"/>
      <c r="Z446" s="7"/>
      <c r="AA446" s="7"/>
      <c r="AB446" s="7"/>
      <c r="AC446" s="7"/>
      <c r="AD446" s="7"/>
      <c r="AE446" s="7"/>
      <c r="AF446" s="7"/>
      <c r="AG446" s="7"/>
      <c r="AH446" s="7"/>
      <c r="AI446" s="7"/>
    </row>
    <row r="447" spans="12:35">
      <c r="L447" s="7">
        <v>18</v>
      </c>
      <c r="M447" s="7">
        <v>58</v>
      </c>
      <c r="N447" s="7" t="b">
        <f>AND($N$5,$N$7,7&lt;=$M$5,7&lt;=$M$7)</f>
        <v>0</v>
      </c>
      <c r="O447" s="7">
        <f>(P18-N18)*(O58-O18)-(Q18-O18)*(N58-N18)</f>
        <v>0</v>
      </c>
      <c r="P447" s="7">
        <f>(P18-N18)*(Q58-O18)-(Q18-O18)*(P58-N18)</f>
        <v>0</v>
      </c>
      <c r="Q447" s="7">
        <f>(P58-N58)*(O18-O58)-(Q58-O58)*(N18-N58)</f>
        <v>0</v>
      </c>
      <c r="R447" s="7">
        <f>(P58-N58)*(Q18-O58)-(Q58-O58)*(P18-N58)</f>
        <v>0</v>
      </c>
      <c r="S447" s="7">
        <f>IF(N447,IF(AND(O447*P447&lt;=0,Q447*R447&lt;=0,MAX(MIN(N18,P18),MIN(N58,P58))&lt;=MIN(MAX(N18,P18),MAX(N58,P58)),MAX(MIN(O18,Q18),MIN(O58,Q58))&lt;=MIN(MAX(O18,Q18),MAX(O58,Q58))),1,0),0)</f>
        <v>0</v>
      </c>
      <c r="T447" s="7"/>
      <c r="U447" s="7"/>
      <c r="V447" s="7"/>
      <c r="W447" s="7"/>
      <c r="X447" s="7"/>
      <c r="Y447" s="7"/>
      <c r="Z447" s="7"/>
      <c r="AA447" s="7"/>
      <c r="AB447" s="7"/>
      <c r="AC447" s="7"/>
      <c r="AD447" s="7"/>
      <c r="AE447" s="7"/>
      <c r="AF447" s="7"/>
      <c r="AG447" s="7"/>
      <c r="AH447" s="7"/>
      <c r="AI447" s="7"/>
    </row>
    <row r="448" spans="12:35">
      <c r="L448" s="7">
        <v>18</v>
      </c>
      <c r="M448" s="7">
        <v>59</v>
      </c>
      <c r="N448" s="7" t="b">
        <f>AND($N$5,$N$7,7&lt;=$M$5,8&lt;=$M$7)</f>
        <v>0</v>
      </c>
      <c r="O448" s="7">
        <f>(P18-N18)*(O59-O18)-(Q18-O18)*(N59-N18)</f>
        <v>0</v>
      </c>
      <c r="P448" s="7">
        <f>(P18-N18)*(Q59-O18)-(Q18-O18)*(P59-N18)</f>
        <v>0</v>
      </c>
      <c r="Q448" s="7">
        <f>(P59-N59)*(O18-O59)-(Q59-O59)*(N18-N59)</f>
        <v>0</v>
      </c>
      <c r="R448" s="7">
        <f>(P59-N59)*(Q18-O59)-(Q59-O59)*(P18-N59)</f>
        <v>0</v>
      </c>
      <c r="S448" s="7">
        <f>IF(N448,IF(AND(O448*P448&lt;=0,Q448*R448&lt;=0,MAX(MIN(N18,P18),MIN(N59,P59))&lt;=MIN(MAX(N18,P18),MAX(N59,P59)),MAX(MIN(O18,Q18),MIN(O59,Q59))&lt;=MIN(MAX(O18,Q18),MAX(O59,Q59))),1,0),0)</f>
        <v>0</v>
      </c>
      <c r="T448" s="7"/>
      <c r="U448" s="7"/>
      <c r="V448" s="7"/>
      <c r="W448" s="7"/>
      <c r="X448" s="7"/>
      <c r="Y448" s="7"/>
      <c r="Z448" s="7"/>
      <c r="AA448" s="7"/>
      <c r="AB448" s="7"/>
      <c r="AC448" s="7"/>
      <c r="AD448" s="7"/>
      <c r="AE448" s="7"/>
      <c r="AF448" s="7"/>
      <c r="AG448" s="7"/>
      <c r="AH448" s="7"/>
      <c r="AI448" s="7"/>
    </row>
    <row r="449" spans="12:35">
      <c r="L449" s="7">
        <v>18</v>
      </c>
      <c r="M449" s="7">
        <v>60</v>
      </c>
      <c r="N449" s="7" t="b">
        <f>AND($N$5,$N$7,7&lt;=$M$5,9&lt;=$M$7)</f>
        <v>0</v>
      </c>
      <c r="O449" s="7">
        <f>(P18-N18)*(O60-O18)-(Q18-O18)*(N60-N18)</f>
        <v>0</v>
      </c>
      <c r="P449" s="7">
        <f>(P18-N18)*(Q60-O18)-(Q18-O18)*(P60-N18)</f>
        <v>0</v>
      </c>
      <c r="Q449" s="7">
        <f>(P60-N60)*(O18-O60)-(Q60-O60)*(N18-N60)</f>
        <v>0</v>
      </c>
      <c r="R449" s="7">
        <f>(P60-N60)*(Q18-O60)-(Q60-O60)*(P18-N60)</f>
        <v>0</v>
      </c>
      <c r="S449" s="7">
        <f>IF(N449,IF(AND(O449*P449&lt;=0,Q449*R449&lt;=0,MAX(MIN(N18,P18),MIN(N60,P60))&lt;=MIN(MAX(N18,P18),MAX(N60,P60)),MAX(MIN(O18,Q18),MIN(O60,Q60))&lt;=MIN(MAX(O18,Q18),MAX(O60,Q60))),1,0),0)</f>
        <v>0</v>
      </c>
      <c r="T449" s="7"/>
      <c r="U449" s="7"/>
      <c r="V449" s="7"/>
      <c r="W449" s="7"/>
      <c r="X449" s="7"/>
      <c r="Y449" s="7"/>
      <c r="Z449" s="7"/>
      <c r="AA449" s="7"/>
      <c r="AB449" s="7"/>
      <c r="AC449" s="7"/>
      <c r="AD449" s="7"/>
      <c r="AE449" s="7"/>
      <c r="AF449" s="7"/>
      <c r="AG449" s="7"/>
      <c r="AH449" s="7"/>
      <c r="AI449" s="7"/>
    </row>
    <row r="450" spans="12:35">
      <c r="L450" s="7">
        <v>18</v>
      </c>
      <c r="M450" s="7">
        <v>61</v>
      </c>
      <c r="N450" s="7" t="b">
        <f>AND($N$5,$N$7,7&lt;=$M$5,10&lt;=$M$7)</f>
        <v>0</v>
      </c>
      <c r="O450" s="7">
        <f>(P18-N18)*(O61-O18)-(Q18-O18)*(N61-N18)</f>
        <v>0</v>
      </c>
      <c r="P450" s="7">
        <f>(P18-N18)*(Q61-O18)-(Q18-O18)*(P61-N18)</f>
        <v>0</v>
      </c>
      <c r="Q450" s="7">
        <f>(P61-N61)*(O18-O61)-(Q61-O61)*(N18-N61)</f>
        <v>0</v>
      </c>
      <c r="R450" s="7">
        <f>(P61-N61)*(Q18-O61)-(Q61-O61)*(P18-N61)</f>
        <v>0</v>
      </c>
      <c r="S450" s="7">
        <f>IF(N450,IF(AND(O450*P450&lt;=0,Q450*R450&lt;=0,MAX(MIN(N18,P18),MIN(N61,P61))&lt;=MIN(MAX(N18,P18),MAX(N61,P61)),MAX(MIN(O18,Q18),MIN(O61,Q61))&lt;=MIN(MAX(O18,Q18),MAX(O61,Q61))),1,0),0)</f>
        <v>0</v>
      </c>
      <c r="T450" s="7"/>
      <c r="U450" s="7"/>
      <c r="V450" s="7"/>
      <c r="W450" s="7"/>
      <c r="X450" s="7"/>
      <c r="Y450" s="7"/>
      <c r="Z450" s="7"/>
      <c r="AA450" s="7"/>
      <c r="AB450" s="7"/>
      <c r="AC450" s="7"/>
      <c r="AD450" s="7"/>
      <c r="AE450" s="7"/>
      <c r="AF450" s="7"/>
      <c r="AG450" s="7"/>
      <c r="AH450" s="7"/>
      <c r="AI450" s="7"/>
    </row>
    <row r="451" spans="12:35">
      <c r="L451" s="7">
        <v>18</v>
      </c>
      <c r="M451" s="7">
        <v>62</v>
      </c>
      <c r="N451" s="7" t="b">
        <f>AND($N$5,$N$7,7&lt;=$M$5,11&lt;=$M$7)</f>
        <v>0</v>
      </c>
      <c r="O451" s="7">
        <f>(P18-N18)*(O62-O18)-(Q18-O18)*(N62-N18)</f>
        <v>0</v>
      </c>
      <c r="P451" s="7">
        <f>(P18-N18)*(Q62-O18)-(Q18-O18)*(P62-N18)</f>
        <v>0</v>
      </c>
      <c r="Q451" s="7">
        <f>(P62-N62)*(O18-O62)-(Q62-O62)*(N18-N62)</f>
        <v>0</v>
      </c>
      <c r="R451" s="7">
        <f>(P62-N62)*(Q18-O62)-(Q62-O62)*(P18-N62)</f>
        <v>0</v>
      </c>
      <c r="S451" s="7">
        <f>IF(N451,IF(AND(O451*P451&lt;=0,Q451*R451&lt;=0,MAX(MIN(N18,P18),MIN(N62,P62))&lt;=MIN(MAX(N18,P18),MAX(N62,P62)),MAX(MIN(O18,Q18),MIN(O62,Q62))&lt;=MIN(MAX(O18,Q18),MAX(O62,Q62))),1,0),0)</f>
        <v>0</v>
      </c>
      <c r="T451" s="7"/>
      <c r="U451" s="7"/>
      <c r="V451" s="7"/>
      <c r="W451" s="7"/>
      <c r="X451" s="7"/>
      <c r="Y451" s="7"/>
      <c r="Z451" s="7"/>
      <c r="AA451" s="7"/>
      <c r="AB451" s="7"/>
      <c r="AC451" s="7"/>
      <c r="AD451" s="7"/>
      <c r="AE451" s="7"/>
      <c r="AF451" s="7"/>
      <c r="AG451" s="7"/>
      <c r="AH451" s="7"/>
      <c r="AI451" s="7"/>
    </row>
    <row r="452" spans="12:35">
      <c r="L452" s="7">
        <v>18</v>
      </c>
      <c r="M452" s="7">
        <v>63</v>
      </c>
      <c r="N452" s="7" t="b">
        <f>AND($N$5,$N$7,7&lt;=$M$5,12&lt;=$M$7)</f>
        <v>0</v>
      </c>
      <c r="O452" s="7">
        <f>(P18-N18)*(O63-O18)-(Q18-O18)*(N63-N18)</f>
        <v>0</v>
      </c>
      <c r="P452" s="7">
        <f>(P18-N18)*(Q63-O18)-(Q18-O18)*(P63-N18)</f>
        <v>0</v>
      </c>
      <c r="Q452" s="7">
        <f>(P63-N63)*(O18-O63)-(Q63-O63)*(N18-N63)</f>
        <v>0</v>
      </c>
      <c r="R452" s="7">
        <f>(P63-N63)*(Q18-O63)-(Q63-O63)*(P18-N63)</f>
        <v>0</v>
      </c>
      <c r="S452" s="7">
        <f>IF(N452,IF(AND(O452*P452&lt;=0,Q452*R452&lt;=0,MAX(MIN(N18,P18),MIN(N63,P63))&lt;=MIN(MAX(N18,P18),MAX(N63,P63)),MAX(MIN(O18,Q18),MIN(O63,Q63))&lt;=MIN(MAX(O18,Q18),MAX(O63,Q63))),1,0),0)</f>
        <v>0</v>
      </c>
      <c r="T452" s="7"/>
      <c r="U452" s="7"/>
      <c r="V452" s="7"/>
      <c r="W452" s="7"/>
      <c r="X452" s="7"/>
      <c r="Y452" s="7"/>
      <c r="Z452" s="7"/>
      <c r="AA452" s="7"/>
      <c r="AB452" s="7"/>
      <c r="AC452" s="7"/>
      <c r="AD452" s="7"/>
      <c r="AE452" s="7"/>
      <c r="AF452" s="7"/>
      <c r="AG452" s="7"/>
      <c r="AH452" s="7"/>
      <c r="AI452" s="7"/>
    </row>
    <row r="453" spans="12:35">
      <c r="L453" s="7">
        <v>18</v>
      </c>
      <c r="M453" s="7">
        <v>64</v>
      </c>
      <c r="N453" s="7" t="b">
        <f>AND($N$5,$N$7,7&lt;=$M$5,13&lt;=$M$7)</f>
        <v>0</v>
      </c>
      <c r="O453" s="7">
        <f>(P18-N18)*(O64-O18)-(Q18-O18)*(N64-N18)</f>
        <v>0</v>
      </c>
      <c r="P453" s="7">
        <f>(P18-N18)*(Q64-O18)-(Q18-O18)*(P64-N18)</f>
        <v>0</v>
      </c>
      <c r="Q453" s="7">
        <f>(P64-N64)*(O18-O64)-(Q64-O64)*(N18-N64)</f>
        <v>0</v>
      </c>
      <c r="R453" s="7">
        <f>(P64-N64)*(Q18-O64)-(Q64-O64)*(P18-N64)</f>
        <v>0</v>
      </c>
      <c r="S453" s="7">
        <f>IF(N453,IF(AND(O453*P453&lt;=0,Q453*R453&lt;=0,MAX(MIN(N18,P18),MIN(N64,P64))&lt;=MIN(MAX(N18,P18),MAX(N64,P64)),MAX(MIN(O18,Q18),MIN(O64,Q64))&lt;=MIN(MAX(O18,Q18),MAX(O64,Q64))),1,0),0)</f>
        <v>0</v>
      </c>
      <c r="T453" s="7"/>
      <c r="U453" s="7"/>
      <c r="V453" s="7"/>
      <c r="W453" s="7"/>
      <c r="X453" s="7"/>
      <c r="Y453" s="7"/>
      <c r="Z453" s="7"/>
      <c r="AA453" s="7"/>
      <c r="AB453" s="7"/>
      <c r="AC453" s="7"/>
      <c r="AD453" s="7"/>
      <c r="AE453" s="7"/>
      <c r="AF453" s="7"/>
      <c r="AG453" s="7"/>
      <c r="AH453" s="7"/>
      <c r="AI453" s="7"/>
    </row>
    <row r="454" spans="12:35">
      <c r="L454" s="7">
        <v>18</v>
      </c>
      <c r="M454" s="7">
        <v>65</v>
      </c>
      <c r="N454" s="7" t="b">
        <f>AND($N$5,$N$7,7&lt;=$M$5,14&lt;=$M$7)</f>
        <v>0</v>
      </c>
      <c r="O454" s="7">
        <f>(P18-N18)*(O65-O18)-(Q18-O18)*(N65-N18)</f>
        <v>0</v>
      </c>
      <c r="P454" s="7">
        <f>(P18-N18)*(Q65-O18)-(Q18-O18)*(P65-N18)</f>
        <v>0</v>
      </c>
      <c r="Q454" s="7">
        <f>(P65-N65)*(O18-O65)-(Q65-O65)*(N18-N65)</f>
        <v>0</v>
      </c>
      <c r="R454" s="7">
        <f>(P65-N65)*(Q18-O65)-(Q65-O65)*(P18-N65)</f>
        <v>0</v>
      </c>
      <c r="S454" s="7">
        <f>IF(N454,IF(AND(O454*P454&lt;=0,Q454*R454&lt;=0,MAX(MIN(N18,P18),MIN(N65,P65))&lt;=MIN(MAX(N18,P18),MAX(N65,P65)),MAX(MIN(O18,Q18),MIN(O65,Q65))&lt;=MIN(MAX(O18,Q18),MAX(O65,Q65))),1,0),0)</f>
        <v>0</v>
      </c>
      <c r="T454" s="7"/>
      <c r="U454" s="7"/>
      <c r="V454" s="7"/>
      <c r="W454" s="7"/>
      <c r="X454" s="7"/>
      <c r="Y454" s="7"/>
      <c r="Z454" s="7"/>
      <c r="AA454" s="7"/>
      <c r="AB454" s="7"/>
      <c r="AC454" s="7"/>
      <c r="AD454" s="7"/>
      <c r="AE454" s="7"/>
      <c r="AF454" s="7"/>
      <c r="AG454" s="7"/>
      <c r="AH454" s="7"/>
      <c r="AI454" s="7"/>
    </row>
    <row r="455" spans="12:35">
      <c r="L455" s="7">
        <v>18</v>
      </c>
      <c r="M455" s="7">
        <v>66</v>
      </c>
      <c r="N455" s="7" t="b">
        <f>AND($N$5,$N$7,7&lt;=$M$5,15&lt;=$M$7)</f>
        <v>0</v>
      </c>
      <c r="O455" s="7">
        <f>(P18-N18)*(O66-O18)-(Q18-O18)*(N66-N18)</f>
        <v>0</v>
      </c>
      <c r="P455" s="7">
        <f>(P18-N18)*(Q66-O18)-(Q18-O18)*(P66-N18)</f>
        <v>0</v>
      </c>
      <c r="Q455" s="7">
        <f>(P66-N66)*(O18-O66)-(Q66-O66)*(N18-N66)</f>
        <v>0</v>
      </c>
      <c r="R455" s="7">
        <f>(P66-N66)*(Q18-O66)-(Q66-O66)*(P18-N66)</f>
        <v>0</v>
      </c>
      <c r="S455" s="7">
        <f>IF(N455,IF(AND(O455*P455&lt;=0,Q455*R455&lt;=0,MAX(MIN(N18,P18),MIN(N66,P66))&lt;=MIN(MAX(N18,P18),MAX(N66,P66)),MAX(MIN(O18,Q18),MIN(O66,Q66))&lt;=MIN(MAX(O18,Q18),MAX(O66,Q66))),1,0),0)</f>
        <v>0</v>
      </c>
      <c r="T455" s="7"/>
      <c r="U455" s="7"/>
      <c r="V455" s="7"/>
      <c r="W455" s="7"/>
      <c r="X455" s="7"/>
      <c r="Y455" s="7"/>
      <c r="Z455" s="7"/>
      <c r="AA455" s="7"/>
      <c r="AB455" s="7"/>
      <c r="AC455" s="7"/>
      <c r="AD455" s="7"/>
      <c r="AE455" s="7"/>
      <c r="AF455" s="7"/>
      <c r="AG455" s="7"/>
      <c r="AH455" s="7"/>
      <c r="AI455" s="7"/>
    </row>
    <row r="456" spans="12:35">
      <c r="L456" s="7">
        <v>18</v>
      </c>
      <c r="M456" s="7">
        <v>67</v>
      </c>
      <c r="N456" s="7" t="b">
        <f>AND($N$5,$N$7,7&lt;=$M$5,16&lt;=$M$7)</f>
        <v>0</v>
      </c>
      <c r="O456" s="7">
        <f>(P18-N18)*(O67-O18)-(Q18-O18)*(N67-N18)</f>
        <v>0</v>
      </c>
      <c r="P456" s="7">
        <f>(P18-N18)*(Q67-O18)-(Q18-O18)*(P67-N18)</f>
        <v>0</v>
      </c>
      <c r="Q456" s="7">
        <f>(P67-N67)*(O18-O67)-(Q67-O67)*(N18-N67)</f>
        <v>0</v>
      </c>
      <c r="R456" s="7">
        <f>(P67-N67)*(Q18-O67)-(Q67-O67)*(P18-N67)</f>
        <v>0</v>
      </c>
      <c r="S456" s="7">
        <f>IF(N456,IF(AND(O456*P456&lt;=0,Q456*R456&lt;=0,MAX(MIN(N18,P18),MIN(N67,P67))&lt;=MIN(MAX(N18,P18),MAX(N67,P67)),MAX(MIN(O18,Q18),MIN(O67,Q67))&lt;=MIN(MAX(O18,Q18),MAX(O67,Q67))),1,0),0)</f>
        <v>0</v>
      </c>
      <c r="T456" s="7"/>
      <c r="U456" s="7"/>
      <c r="V456" s="7"/>
      <c r="W456" s="7"/>
      <c r="X456" s="7"/>
      <c r="Y456" s="7"/>
      <c r="Z456" s="7"/>
      <c r="AA456" s="7"/>
      <c r="AB456" s="7"/>
      <c r="AC456" s="7"/>
      <c r="AD456" s="7"/>
      <c r="AE456" s="7"/>
      <c r="AF456" s="7"/>
      <c r="AG456" s="7"/>
      <c r="AH456" s="7"/>
      <c r="AI456" s="7"/>
    </row>
    <row r="457" spans="12:35">
      <c r="L457" s="7">
        <v>18</v>
      </c>
      <c r="M457" s="7">
        <v>68</v>
      </c>
      <c r="N457" s="7" t="b">
        <f>AND($N$5,$N$7,7&lt;=$M$5,17&lt;=$M$7)</f>
        <v>0</v>
      </c>
      <c r="O457" s="7">
        <f>(P18-N18)*(O68-O18)-(Q18-O18)*(N68-N18)</f>
        <v>0</v>
      </c>
      <c r="P457" s="7">
        <f>(P18-N18)*(Q68-O18)-(Q18-O18)*(P68-N18)</f>
        <v>0</v>
      </c>
      <c r="Q457" s="7">
        <f>(P68-N68)*(O18-O68)-(Q68-O68)*(N18-N68)</f>
        <v>0</v>
      </c>
      <c r="R457" s="7">
        <f>(P68-N68)*(Q18-O68)-(Q68-O68)*(P18-N68)</f>
        <v>0</v>
      </c>
      <c r="S457" s="7">
        <f>IF(N457,IF(AND(O457*P457&lt;=0,Q457*R457&lt;=0,MAX(MIN(N18,P18),MIN(N68,P68))&lt;=MIN(MAX(N18,P18),MAX(N68,P68)),MAX(MIN(O18,Q18),MIN(O68,Q68))&lt;=MIN(MAX(O18,Q18),MAX(O68,Q68))),1,0),0)</f>
        <v>0</v>
      </c>
      <c r="T457" s="7"/>
      <c r="U457" s="7"/>
      <c r="V457" s="7"/>
      <c r="W457" s="7"/>
      <c r="X457" s="7"/>
      <c r="Y457" s="7"/>
      <c r="Z457" s="7"/>
      <c r="AA457" s="7"/>
      <c r="AB457" s="7"/>
      <c r="AC457" s="7"/>
      <c r="AD457" s="7"/>
      <c r="AE457" s="7"/>
      <c r="AF457" s="7"/>
      <c r="AG457" s="7"/>
      <c r="AH457" s="7"/>
      <c r="AI457" s="7"/>
    </row>
    <row r="458" spans="12:35">
      <c r="L458" s="7">
        <v>18</v>
      </c>
      <c r="M458" s="7">
        <v>69</v>
      </c>
      <c r="N458" s="7" t="b">
        <f>AND($N$5,$N$7,7&lt;=$M$5,18&lt;=$M$7)</f>
        <v>0</v>
      </c>
      <c r="O458" s="7">
        <f>(P18-N18)*(O69-O18)-(Q18-O18)*(N69-N18)</f>
        <v>0</v>
      </c>
      <c r="P458" s="7">
        <f>(P18-N18)*(Q69-O18)-(Q18-O18)*(P69-N18)</f>
        <v>0</v>
      </c>
      <c r="Q458" s="7">
        <f>(P69-N69)*(O18-O69)-(Q69-O69)*(N18-N69)</f>
        <v>0</v>
      </c>
      <c r="R458" s="7">
        <f>(P69-N69)*(Q18-O69)-(Q69-O69)*(P18-N69)</f>
        <v>0</v>
      </c>
      <c r="S458" s="7">
        <f>IF(N458,IF(AND(O458*P458&lt;=0,Q458*R458&lt;=0,MAX(MIN(N18,P18),MIN(N69,P69))&lt;=MIN(MAX(N18,P18),MAX(N69,P69)),MAX(MIN(O18,Q18),MIN(O69,Q69))&lt;=MIN(MAX(O18,Q18),MAX(O69,Q69))),1,0),0)</f>
        <v>0</v>
      </c>
      <c r="T458" s="7"/>
      <c r="U458" s="7"/>
      <c r="V458" s="7"/>
      <c r="W458" s="7"/>
      <c r="X458" s="7"/>
      <c r="Y458" s="7"/>
      <c r="Z458" s="7"/>
      <c r="AA458" s="7"/>
      <c r="AB458" s="7"/>
      <c r="AC458" s="7"/>
      <c r="AD458" s="7"/>
      <c r="AE458" s="7"/>
      <c r="AF458" s="7"/>
      <c r="AG458" s="7"/>
      <c r="AH458" s="7"/>
      <c r="AI458" s="7"/>
    </row>
    <row r="459" spans="12:35">
      <c r="L459" s="7">
        <v>18</v>
      </c>
      <c r="M459" s="7">
        <v>70</v>
      </c>
      <c r="N459" s="7" t="b">
        <f>AND($N$5,$N$7,7&lt;=$M$5,19&lt;=$M$7)</f>
        <v>0</v>
      </c>
      <c r="O459" s="7">
        <f>(P18-N18)*(O70-O18)-(Q18-O18)*(N70-N18)</f>
        <v>0</v>
      </c>
      <c r="P459" s="7">
        <f>(P18-N18)*(Q70-O18)-(Q18-O18)*(P70-N18)</f>
        <v>0</v>
      </c>
      <c r="Q459" s="7">
        <f>(P70-N70)*(O18-O70)-(Q70-O70)*(N18-N70)</f>
        <v>0</v>
      </c>
      <c r="R459" s="7">
        <f>(P70-N70)*(Q18-O70)-(Q70-O70)*(P18-N70)</f>
        <v>0</v>
      </c>
      <c r="S459" s="7">
        <f>IF(N459,IF(AND(O459*P459&lt;=0,Q459*R459&lt;=0,MAX(MIN(N18,P18),MIN(N70,P70))&lt;=MIN(MAX(N18,P18),MAX(N70,P70)),MAX(MIN(O18,Q18),MIN(O70,Q70))&lt;=MIN(MAX(O18,Q18),MAX(O70,Q70))),1,0),0)</f>
        <v>0</v>
      </c>
      <c r="T459" s="7"/>
      <c r="U459" s="7"/>
      <c r="V459" s="7"/>
      <c r="W459" s="7"/>
      <c r="X459" s="7"/>
      <c r="Y459" s="7"/>
      <c r="Z459" s="7"/>
      <c r="AA459" s="7"/>
      <c r="AB459" s="7"/>
      <c r="AC459" s="7"/>
      <c r="AD459" s="7"/>
      <c r="AE459" s="7"/>
      <c r="AF459" s="7"/>
      <c r="AG459" s="7"/>
      <c r="AH459" s="7"/>
      <c r="AI459" s="7"/>
    </row>
    <row r="460" spans="12:35">
      <c r="L460" s="7">
        <v>18</v>
      </c>
      <c r="M460" s="7">
        <v>71</v>
      </c>
      <c r="N460" s="7" t="b">
        <f>AND($N$5,$N$7,7&lt;=$M$5,20&lt;=$M$7)</f>
        <v>0</v>
      </c>
      <c r="O460" s="7">
        <f>(P18-N18)*(O71-O18)-(Q18-O18)*(N71-N18)</f>
        <v>0</v>
      </c>
      <c r="P460" s="7">
        <f>(P18-N18)*(Q71-O18)-(Q18-O18)*(P71-N18)</f>
        <v>0</v>
      </c>
      <c r="Q460" s="7">
        <f>(P71-N71)*(O18-O71)-(Q71-O71)*(N18-N71)</f>
        <v>0</v>
      </c>
      <c r="R460" s="7">
        <f>(P71-N71)*(Q18-O71)-(Q71-O71)*(P18-N71)</f>
        <v>0</v>
      </c>
      <c r="S460" s="7">
        <f>IF(N460,IF(AND(O460*P460&lt;=0,Q460*R460&lt;=0,MAX(MIN(N18,P18),MIN(N71,P71))&lt;=MIN(MAX(N18,P18),MAX(N71,P71)),MAX(MIN(O18,Q18),MIN(O71,Q71))&lt;=MIN(MAX(O18,Q18),MAX(O71,Q71))),1,0),0)</f>
        <v>0</v>
      </c>
      <c r="T460" s="7"/>
      <c r="U460" s="7"/>
      <c r="V460" s="7"/>
      <c r="W460" s="7"/>
      <c r="X460" s="7"/>
      <c r="Y460" s="7"/>
      <c r="Z460" s="7"/>
      <c r="AA460" s="7"/>
      <c r="AB460" s="7"/>
      <c r="AC460" s="7"/>
      <c r="AD460" s="7"/>
      <c r="AE460" s="7"/>
      <c r="AF460" s="7"/>
      <c r="AG460" s="7"/>
      <c r="AH460" s="7"/>
      <c r="AI460" s="7"/>
    </row>
    <row r="461" spans="12:35">
      <c r="L461" s="7">
        <v>19</v>
      </c>
      <c r="M461" s="7">
        <v>21</v>
      </c>
      <c r="N461" s="7" t="b">
        <f>AND($N$5,$N$5,8&lt;=$M$5,10&lt;=$M$5)</f>
        <v>0</v>
      </c>
      <c r="O461" s="7">
        <f>(P19-N19)*(O21-O19)-(Q19-O19)*(N21-N19)</f>
        <v>0</v>
      </c>
      <c r="P461" s="7">
        <f>(P19-N19)*(Q21-O19)-(Q19-O19)*(P21-N19)</f>
        <v>0</v>
      </c>
      <c r="Q461" s="7">
        <f>(P21-N21)*(O19-O21)-(Q21-O21)*(N19-N21)</f>
        <v>0</v>
      </c>
      <c r="R461" s="7">
        <f>(P21-N21)*(Q19-O21)-(Q21-O21)*(P19-N21)</f>
        <v>0</v>
      </c>
      <c r="S461" s="7">
        <f>IF(N461,IF(AND(O461*P461&lt;=0,Q461*R461&lt;=0,MAX(MIN(N19,P19),MIN(N21,P21))&lt;=MIN(MAX(N19,P19),MAX(N21,P21)),MAX(MIN(O19,Q19),MIN(O21,Q21))&lt;=MIN(MAX(O19,Q19),MAX(O21,Q21))),1,0),0)</f>
        <v>0</v>
      </c>
      <c r="T461" s="7"/>
      <c r="U461" s="7"/>
      <c r="V461" s="7"/>
      <c r="W461" s="7"/>
      <c r="X461" s="7"/>
      <c r="Y461" s="7"/>
      <c r="Z461" s="7"/>
      <c r="AA461" s="7"/>
      <c r="AB461" s="7"/>
      <c r="AC461" s="7"/>
      <c r="AD461" s="7"/>
      <c r="AE461" s="7"/>
      <c r="AF461" s="7"/>
      <c r="AG461" s="7"/>
      <c r="AH461" s="7"/>
      <c r="AI461" s="7"/>
    </row>
    <row r="462" spans="12:35">
      <c r="L462" s="7">
        <v>19</v>
      </c>
      <c r="M462" s="7">
        <v>22</v>
      </c>
      <c r="N462" s="7" t="b">
        <f>AND($N$5,$N$5,8&lt;=$M$5,11&lt;=$M$5)</f>
        <v>0</v>
      </c>
      <c r="O462" s="7">
        <f>(P19-N19)*(O22-O19)-(Q19-O19)*(N22-N19)</f>
        <v>0</v>
      </c>
      <c r="P462" s="7">
        <f>(P19-N19)*(Q22-O19)-(Q19-O19)*(P22-N19)</f>
        <v>0</v>
      </c>
      <c r="Q462" s="7">
        <f>(P22-N22)*(O19-O22)-(Q22-O22)*(N19-N22)</f>
        <v>0</v>
      </c>
      <c r="R462" s="7">
        <f>(P22-N22)*(Q19-O22)-(Q22-O22)*(P19-N22)</f>
        <v>0</v>
      </c>
      <c r="S462" s="7">
        <f>IF(N462,IF(AND(O462*P462&lt;=0,Q462*R462&lt;=0,MAX(MIN(N19,P19),MIN(N22,P22))&lt;=MIN(MAX(N19,P19),MAX(N22,P22)),MAX(MIN(O19,Q19),MIN(O22,Q22))&lt;=MIN(MAX(O19,Q19),MAX(O22,Q22))),1,0),0)</f>
        <v>0</v>
      </c>
      <c r="T462" s="7"/>
      <c r="U462" s="7"/>
      <c r="V462" s="7"/>
      <c r="W462" s="7"/>
      <c r="X462" s="7"/>
      <c r="Y462" s="7"/>
      <c r="Z462" s="7"/>
      <c r="AA462" s="7"/>
      <c r="AB462" s="7"/>
      <c r="AC462" s="7"/>
      <c r="AD462" s="7"/>
      <c r="AE462" s="7"/>
      <c r="AF462" s="7"/>
      <c r="AG462" s="7"/>
      <c r="AH462" s="7"/>
      <c r="AI462" s="7"/>
    </row>
    <row r="463" spans="12:35">
      <c r="L463" s="7">
        <v>19</v>
      </c>
      <c r="M463" s="7">
        <v>23</v>
      </c>
      <c r="N463" s="7" t="b">
        <f>AND($N$5,$N$5,8&lt;=$M$5,12&lt;=$M$5)</f>
        <v>0</v>
      </c>
      <c r="O463" s="7">
        <f>(P19-N19)*(O23-O19)-(Q19-O19)*(N23-N19)</f>
        <v>0</v>
      </c>
      <c r="P463" s="7">
        <f>(P19-N19)*(Q23-O19)-(Q19-O19)*(P23-N19)</f>
        <v>0</v>
      </c>
      <c r="Q463" s="7">
        <f>(P23-N23)*(O19-O23)-(Q23-O23)*(N19-N23)</f>
        <v>0</v>
      </c>
      <c r="R463" s="7">
        <f>(P23-N23)*(Q19-O23)-(Q23-O23)*(P19-N23)</f>
        <v>0</v>
      </c>
      <c r="S463" s="7">
        <f>IF(N463,IF(AND(O463*P463&lt;=0,Q463*R463&lt;=0,MAX(MIN(N19,P19),MIN(N23,P23))&lt;=MIN(MAX(N19,P19),MAX(N23,P23)),MAX(MIN(O19,Q19),MIN(O23,Q23))&lt;=MIN(MAX(O19,Q19),MAX(O23,Q23))),1,0),0)</f>
        <v>0</v>
      </c>
      <c r="T463" s="7"/>
      <c r="U463" s="7"/>
      <c r="V463" s="7"/>
      <c r="W463" s="7"/>
      <c r="X463" s="7"/>
      <c r="Y463" s="7"/>
      <c r="Z463" s="7"/>
      <c r="AA463" s="7"/>
      <c r="AB463" s="7"/>
      <c r="AC463" s="7"/>
      <c r="AD463" s="7"/>
      <c r="AE463" s="7"/>
      <c r="AF463" s="7"/>
      <c r="AG463" s="7"/>
      <c r="AH463" s="7"/>
      <c r="AI463" s="7"/>
    </row>
    <row r="464" spans="12:35">
      <c r="L464" s="7">
        <v>19</v>
      </c>
      <c r="M464" s="7">
        <v>24</v>
      </c>
      <c r="N464" s="7" t="b">
        <f>AND($N$5,$N$5,8&lt;=$M$5,13&lt;=$M$5)</f>
        <v>0</v>
      </c>
      <c r="O464" s="7">
        <f>(P19-N19)*(O24-O19)-(Q19-O19)*(N24-N19)</f>
        <v>0</v>
      </c>
      <c r="P464" s="7">
        <f>(P19-N19)*(Q24-O19)-(Q19-O19)*(P24-N19)</f>
        <v>0</v>
      </c>
      <c r="Q464" s="7">
        <f>(P24-N24)*(O19-O24)-(Q24-O24)*(N19-N24)</f>
        <v>0</v>
      </c>
      <c r="R464" s="7">
        <f>(P24-N24)*(Q19-O24)-(Q24-O24)*(P19-N24)</f>
        <v>0</v>
      </c>
      <c r="S464" s="7">
        <f>IF(N464,IF(AND(O464*P464&lt;=0,Q464*R464&lt;=0,MAX(MIN(N19,P19),MIN(N24,P24))&lt;=MIN(MAX(N19,P19),MAX(N24,P24)),MAX(MIN(O19,Q19),MIN(O24,Q24))&lt;=MIN(MAX(O19,Q19),MAX(O24,Q24))),1,0),0)</f>
        <v>0</v>
      </c>
      <c r="T464" s="7"/>
      <c r="U464" s="7"/>
      <c r="V464" s="7"/>
      <c r="W464" s="7"/>
      <c r="X464" s="7"/>
      <c r="Y464" s="7"/>
      <c r="Z464" s="7"/>
      <c r="AA464" s="7"/>
      <c r="AB464" s="7"/>
      <c r="AC464" s="7"/>
      <c r="AD464" s="7"/>
      <c r="AE464" s="7"/>
      <c r="AF464" s="7"/>
      <c r="AG464" s="7"/>
      <c r="AH464" s="7"/>
      <c r="AI464" s="7"/>
    </row>
    <row r="465" spans="12:35">
      <c r="L465" s="7">
        <v>19</v>
      </c>
      <c r="M465" s="7">
        <v>25</v>
      </c>
      <c r="N465" s="7" t="b">
        <f>AND($N$5,$N$5,8&lt;=$M$5,14&lt;=$M$5)</f>
        <v>0</v>
      </c>
      <c r="O465" s="7">
        <f>(P19-N19)*(O25-O19)-(Q19-O19)*(N25-N19)</f>
        <v>0</v>
      </c>
      <c r="P465" s="7">
        <f>(P19-N19)*(Q25-O19)-(Q19-O19)*(P25-N19)</f>
        <v>0</v>
      </c>
      <c r="Q465" s="7">
        <f>(P25-N25)*(O19-O25)-(Q25-O25)*(N19-N25)</f>
        <v>0</v>
      </c>
      <c r="R465" s="7">
        <f>(P25-N25)*(Q19-O25)-(Q25-O25)*(P19-N25)</f>
        <v>0</v>
      </c>
      <c r="S465" s="7">
        <f>IF(N465,IF(AND(O465*P465&lt;=0,Q465*R465&lt;=0,MAX(MIN(N19,P19),MIN(N25,P25))&lt;=MIN(MAX(N19,P19),MAX(N25,P25)),MAX(MIN(O19,Q19),MIN(O25,Q25))&lt;=MIN(MAX(O19,Q19),MAX(O25,Q25))),1,0),0)</f>
        <v>0</v>
      </c>
      <c r="T465" s="7"/>
      <c r="U465" s="7"/>
      <c r="V465" s="7"/>
      <c r="W465" s="7"/>
      <c r="X465" s="7"/>
      <c r="Y465" s="7"/>
      <c r="Z465" s="7"/>
      <c r="AA465" s="7"/>
      <c r="AB465" s="7"/>
      <c r="AC465" s="7"/>
      <c r="AD465" s="7"/>
      <c r="AE465" s="7"/>
      <c r="AF465" s="7"/>
      <c r="AG465" s="7"/>
      <c r="AH465" s="7"/>
      <c r="AI465" s="7"/>
    </row>
    <row r="466" spans="12:35">
      <c r="L466" s="7">
        <v>19</v>
      </c>
      <c r="M466" s="7">
        <v>26</v>
      </c>
      <c r="N466" s="7" t="b">
        <f>AND($N$5,$N$5,8&lt;=$M$5,15&lt;=$M$5)</f>
        <v>0</v>
      </c>
      <c r="O466" s="7">
        <f>(P19-N19)*(O26-O19)-(Q19-O19)*(N26-N19)</f>
        <v>0</v>
      </c>
      <c r="P466" s="7">
        <f>(P19-N19)*(Q26-O19)-(Q19-O19)*(P26-N19)</f>
        <v>0</v>
      </c>
      <c r="Q466" s="7">
        <f>(P26-N26)*(O19-O26)-(Q26-O26)*(N19-N26)</f>
        <v>0</v>
      </c>
      <c r="R466" s="7">
        <f>(P26-N26)*(Q19-O26)-(Q26-O26)*(P19-N26)</f>
        <v>0</v>
      </c>
      <c r="S466" s="7">
        <f>IF(N466,IF(AND(O466*P466&lt;=0,Q466*R466&lt;=0,MAX(MIN(N19,P19),MIN(N26,P26))&lt;=MIN(MAX(N19,P19),MAX(N26,P26)),MAX(MIN(O19,Q19),MIN(O26,Q26))&lt;=MIN(MAX(O19,Q19),MAX(O26,Q26))),1,0),0)</f>
        <v>0</v>
      </c>
      <c r="T466" s="7"/>
      <c r="U466" s="7"/>
      <c r="V466" s="7"/>
      <c r="W466" s="7"/>
      <c r="X466" s="7"/>
      <c r="Y466" s="7"/>
      <c r="Z466" s="7"/>
      <c r="AA466" s="7"/>
      <c r="AB466" s="7"/>
      <c r="AC466" s="7"/>
      <c r="AD466" s="7"/>
      <c r="AE466" s="7"/>
      <c r="AF466" s="7"/>
      <c r="AG466" s="7"/>
      <c r="AH466" s="7"/>
      <c r="AI466" s="7"/>
    </row>
    <row r="467" spans="12:35">
      <c r="L467" s="7">
        <v>19</v>
      </c>
      <c r="M467" s="7">
        <v>27</v>
      </c>
      <c r="N467" s="7" t="b">
        <f>AND($N$5,$N$5,8&lt;=$M$5,16&lt;=$M$5)</f>
        <v>0</v>
      </c>
      <c r="O467" s="7">
        <f>(P19-N19)*(O27-O19)-(Q19-O19)*(N27-N19)</f>
        <v>0</v>
      </c>
      <c r="P467" s="7">
        <f>(P19-N19)*(Q27-O19)-(Q19-O19)*(P27-N19)</f>
        <v>0</v>
      </c>
      <c r="Q467" s="7">
        <f>(P27-N27)*(O19-O27)-(Q27-O27)*(N19-N27)</f>
        <v>0</v>
      </c>
      <c r="R467" s="7">
        <f>(P27-N27)*(Q19-O27)-(Q27-O27)*(P19-N27)</f>
        <v>0</v>
      </c>
      <c r="S467" s="7">
        <f>IF(N467,IF(AND(O467*P467&lt;=0,Q467*R467&lt;=0,MAX(MIN(N19,P19),MIN(N27,P27))&lt;=MIN(MAX(N19,P19),MAX(N27,P27)),MAX(MIN(O19,Q19),MIN(O27,Q27))&lt;=MIN(MAX(O19,Q19),MAX(O27,Q27))),1,0),0)</f>
        <v>0</v>
      </c>
      <c r="T467" s="7"/>
      <c r="U467" s="7"/>
      <c r="V467" s="7"/>
      <c r="W467" s="7"/>
      <c r="X467" s="7"/>
      <c r="Y467" s="7"/>
      <c r="Z467" s="7"/>
      <c r="AA467" s="7"/>
      <c r="AB467" s="7"/>
      <c r="AC467" s="7"/>
      <c r="AD467" s="7"/>
      <c r="AE467" s="7"/>
      <c r="AF467" s="7"/>
      <c r="AG467" s="7"/>
      <c r="AH467" s="7"/>
      <c r="AI467" s="7"/>
    </row>
    <row r="468" spans="12:35">
      <c r="L468" s="7">
        <v>19</v>
      </c>
      <c r="M468" s="7">
        <v>28</v>
      </c>
      <c r="N468" s="7" t="b">
        <f>AND($N$5,$N$5,8&lt;=$M$5,17&lt;=$M$5)</f>
        <v>0</v>
      </c>
      <c r="O468" s="7">
        <f>(P19-N19)*(O28-O19)-(Q19-O19)*(N28-N19)</f>
        <v>0</v>
      </c>
      <c r="P468" s="7">
        <f>(P19-N19)*(Q28-O19)-(Q19-O19)*(P28-N19)</f>
        <v>0</v>
      </c>
      <c r="Q468" s="7">
        <f>(P28-N28)*(O19-O28)-(Q28-O28)*(N19-N28)</f>
        <v>0</v>
      </c>
      <c r="R468" s="7">
        <f>(P28-N28)*(Q19-O28)-(Q28-O28)*(P19-N28)</f>
        <v>0</v>
      </c>
      <c r="S468" s="7">
        <f>IF(N468,IF(AND(O468*P468&lt;=0,Q468*R468&lt;=0,MAX(MIN(N19,P19),MIN(N28,P28))&lt;=MIN(MAX(N19,P19),MAX(N28,P28)),MAX(MIN(O19,Q19),MIN(O28,Q28))&lt;=MIN(MAX(O19,Q19),MAX(O28,Q28))),1,0),0)</f>
        <v>0</v>
      </c>
      <c r="T468" s="7"/>
      <c r="U468" s="7"/>
      <c r="V468" s="7"/>
      <c r="W468" s="7"/>
      <c r="X468" s="7"/>
      <c r="Y468" s="7"/>
      <c r="Z468" s="7"/>
      <c r="AA468" s="7"/>
      <c r="AB468" s="7"/>
      <c r="AC468" s="7"/>
      <c r="AD468" s="7"/>
      <c r="AE468" s="7"/>
      <c r="AF468" s="7"/>
      <c r="AG468" s="7"/>
      <c r="AH468" s="7"/>
      <c r="AI468" s="7"/>
    </row>
    <row r="469" spans="12:35">
      <c r="L469" s="7">
        <v>19</v>
      </c>
      <c r="M469" s="7">
        <v>29</v>
      </c>
      <c r="N469" s="7" t="b">
        <f>AND($N$5,$N$5,8&lt;=$M$5,18&lt;=$M$5)</f>
        <v>0</v>
      </c>
      <c r="O469" s="7">
        <f>(P19-N19)*(O29-O19)-(Q19-O19)*(N29-N19)</f>
        <v>0</v>
      </c>
      <c r="P469" s="7">
        <f>(P19-N19)*(Q29-O19)-(Q19-O19)*(P29-N19)</f>
        <v>0</v>
      </c>
      <c r="Q469" s="7">
        <f>(P29-N29)*(O19-O29)-(Q29-O29)*(N19-N29)</f>
        <v>0</v>
      </c>
      <c r="R469" s="7">
        <f>(P29-N29)*(Q19-O29)-(Q29-O29)*(P19-N29)</f>
        <v>0</v>
      </c>
      <c r="S469" s="7">
        <f>IF(N469,IF(AND(O469*P469&lt;=0,Q469*R469&lt;=0,MAX(MIN(N19,P19),MIN(N29,P29))&lt;=MIN(MAX(N19,P19),MAX(N29,P29)),MAX(MIN(O19,Q19),MIN(O29,Q29))&lt;=MIN(MAX(O19,Q19),MAX(O29,Q29))),1,0),0)</f>
        <v>0</v>
      </c>
      <c r="T469" s="7"/>
      <c r="U469" s="7"/>
      <c r="V469" s="7"/>
      <c r="W469" s="7"/>
      <c r="X469" s="7"/>
      <c r="Y469" s="7"/>
      <c r="Z469" s="7"/>
      <c r="AA469" s="7"/>
      <c r="AB469" s="7"/>
      <c r="AC469" s="7"/>
      <c r="AD469" s="7"/>
      <c r="AE469" s="7"/>
      <c r="AF469" s="7"/>
      <c r="AG469" s="7"/>
      <c r="AH469" s="7"/>
      <c r="AI469" s="7"/>
    </row>
    <row r="470" spans="12:35">
      <c r="L470" s="7">
        <v>19</v>
      </c>
      <c r="M470" s="7">
        <v>30</v>
      </c>
      <c r="N470" s="7" t="b">
        <f>AND($N$5,$N$5,8&lt;=$M$5,19&lt;=$M$5)</f>
        <v>0</v>
      </c>
      <c r="O470" s="7">
        <f>(P19-N19)*(O30-O19)-(Q19-O19)*(N30-N19)</f>
        <v>0</v>
      </c>
      <c r="P470" s="7">
        <f>(P19-N19)*(Q30-O19)-(Q19-O19)*(P30-N19)</f>
        <v>0</v>
      </c>
      <c r="Q470" s="7">
        <f>(P30-N30)*(O19-O30)-(Q30-O30)*(N19-N30)</f>
        <v>0</v>
      </c>
      <c r="R470" s="7">
        <f>(P30-N30)*(Q19-O30)-(Q30-O30)*(P19-N30)</f>
        <v>0</v>
      </c>
      <c r="S470" s="7">
        <f>IF(N470,IF(AND(O470*P470&lt;=0,Q470*R470&lt;=0,MAX(MIN(N19,P19),MIN(N30,P30))&lt;=MIN(MAX(N19,P19),MAX(N30,P30)),MAX(MIN(O19,Q19),MIN(O30,Q30))&lt;=MIN(MAX(O19,Q19),MAX(O30,Q30))),1,0),0)</f>
        <v>0</v>
      </c>
      <c r="T470" s="7"/>
      <c r="U470" s="7"/>
      <c r="V470" s="7"/>
      <c r="W470" s="7"/>
      <c r="X470" s="7"/>
      <c r="Y470" s="7"/>
      <c r="Z470" s="7"/>
      <c r="AA470" s="7"/>
      <c r="AB470" s="7"/>
      <c r="AC470" s="7"/>
      <c r="AD470" s="7"/>
      <c r="AE470" s="7"/>
      <c r="AF470" s="7"/>
      <c r="AG470" s="7"/>
      <c r="AH470" s="7"/>
      <c r="AI470" s="7"/>
    </row>
    <row r="471" spans="12:35">
      <c r="L471" s="7">
        <v>19</v>
      </c>
      <c r="M471" s="7">
        <v>31</v>
      </c>
      <c r="N471" s="7" t="b">
        <f>AND($N$5,$N$5,8&lt;=$M$5,20&lt;=$M$5)</f>
        <v>0</v>
      </c>
      <c r="O471" s="7">
        <f>(P19-N19)*(O31-O19)-(Q19-O19)*(N31-N19)</f>
        <v>0</v>
      </c>
      <c r="P471" s="7">
        <f>(P19-N19)*(Q31-O19)-(Q19-O19)*(P31-N19)</f>
        <v>0</v>
      </c>
      <c r="Q471" s="7">
        <f>(P31-N31)*(O19-O31)-(Q31-O31)*(N19-N31)</f>
        <v>0</v>
      </c>
      <c r="R471" s="7">
        <f>(P31-N31)*(Q19-O31)-(Q31-O31)*(P19-N31)</f>
        <v>0</v>
      </c>
      <c r="S471" s="7">
        <f>IF(N471,IF(AND(O471*P471&lt;=0,Q471*R471&lt;=0,MAX(MIN(N19,P19),MIN(N31,P31))&lt;=MIN(MAX(N19,P19),MAX(N31,P31)),MAX(MIN(O19,Q19),MIN(O31,Q31))&lt;=MIN(MAX(O19,Q19),MAX(O31,Q31))),1,0),0)</f>
        <v>0</v>
      </c>
      <c r="T471" s="7"/>
      <c r="U471" s="7"/>
      <c r="V471" s="7"/>
      <c r="W471" s="7"/>
      <c r="X471" s="7"/>
      <c r="Y471" s="7"/>
      <c r="Z471" s="7"/>
      <c r="AA471" s="7"/>
      <c r="AB471" s="7"/>
      <c r="AC471" s="7"/>
      <c r="AD471" s="7"/>
      <c r="AE471" s="7"/>
      <c r="AF471" s="7"/>
      <c r="AG471" s="7"/>
      <c r="AH471" s="7"/>
      <c r="AI471" s="7"/>
    </row>
    <row r="472" spans="12:35">
      <c r="L472" s="7">
        <v>19</v>
      </c>
      <c r="M472" s="7">
        <v>32</v>
      </c>
      <c r="N472" s="7" t="b">
        <f>AND($N$5,$N$6,8&lt;=$M$5,1&lt;=$M$6)</f>
        <v>0</v>
      </c>
      <c r="O472" s="7">
        <f>(P19-N19)*(O32-O19)-(Q19-O19)*(N32-N19)</f>
        <v>0</v>
      </c>
      <c r="P472" s="7">
        <f>(P19-N19)*(Q32-O19)-(Q19-O19)*(P32-N19)</f>
        <v>0</v>
      </c>
      <c r="Q472" s="7">
        <f>(P32-N32)*(O19-O32)-(Q32-O32)*(N19-N32)</f>
        <v>0</v>
      </c>
      <c r="R472" s="7">
        <f>(P32-N32)*(Q19-O32)-(Q32-O32)*(P19-N32)</f>
        <v>0</v>
      </c>
      <c r="S472" s="7">
        <f>IF(N472,IF(AND(O472*P472&lt;=0,Q472*R472&lt;=0,MAX(MIN(N19,P19),MIN(N32,P32))&lt;=MIN(MAX(N19,P19),MAX(N32,P32)),MAX(MIN(O19,Q19),MIN(O32,Q32))&lt;=MIN(MAX(O19,Q19),MAX(O32,Q32))),1,0),0)</f>
        <v>0</v>
      </c>
      <c r="T472" s="7"/>
      <c r="U472" s="7"/>
      <c r="V472" s="7"/>
      <c r="W472" s="7"/>
      <c r="X472" s="7"/>
      <c r="Y472" s="7"/>
      <c r="Z472" s="7"/>
      <c r="AA472" s="7"/>
      <c r="AB472" s="7"/>
      <c r="AC472" s="7"/>
      <c r="AD472" s="7"/>
      <c r="AE472" s="7"/>
      <c r="AF472" s="7"/>
      <c r="AG472" s="7"/>
      <c r="AH472" s="7"/>
      <c r="AI472" s="7"/>
    </row>
    <row r="473" spans="12:35">
      <c r="L473" s="7">
        <v>19</v>
      </c>
      <c r="M473" s="7">
        <v>33</v>
      </c>
      <c r="N473" s="7" t="b">
        <f>AND($N$5,$N$6,8&lt;=$M$5,2&lt;=$M$6)</f>
        <v>0</v>
      </c>
      <c r="O473" s="7">
        <f>(P19-N19)*(O33-O19)-(Q19-O19)*(N33-N19)</f>
        <v>0</v>
      </c>
      <c r="P473" s="7">
        <f>(P19-N19)*(Q33-O19)-(Q19-O19)*(P33-N19)</f>
        <v>0</v>
      </c>
      <c r="Q473" s="7">
        <f>(P33-N33)*(O19-O33)-(Q33-O33)*(N19-N33)</f>
        <v>0</v>
      </c>
      <c r="R473" s="7">
        <f>(P33-N33)*(Q19-O33)-(Q33-O33)*(P19-N33)</f>
        <v>0</v>
      </c>
      <c r="S473" s="7">
        <f>IF(N473,IF(AND(O473*P473&lt;=0,Q473*R473&lt;=0,MAX(MIN(N19,P19),MIN(N33,P33))&lt;=MIN(MAX(N19,P19),MAX(N33,P33)),MAX(MIN(O19,Q19),MIN(O33,Q33))&lt;=MIN(MAX(O19,Q19),MAX(O33,Q33))),1,0),0)</f>
        <v>0</v>
      </c>
      <c r="T473" s="7"/>
      <c r="U473" s="7"/>
      <c r="V473" s="7"/>
      <c r="W473" s="7"/>
      <c r="X473" s="7"/>
      <c r="Y473" s="7"/>
      <c r="Z473" s="7"/>
      <c r="AA473" s="7"/>
      <c r="AB473" s="7"/>
      <c r="AC473" s="7"/>
      <c r="AD473" s="7"/>
      <c r="AE473" s="7"/>
      <c r="AF473" s="7"/>
      <c r="AG473" s="7"/>
      <c r="AH473" s="7"/>
      <c r="AI473" s="7"/>
    </row>
    <row r="474" spans="12:35">
      <c r="L474" s="7">
        <v>19</v>
      </c>
      <c r="M474" s="7">
        <v>34</v>
      </c>
      <c r="N474" s="7" t="b">
        <f>AND($N$5,$N$6,8&lt;=$M$5,3&lt;=$M$6)</f>
        <v>0</v>
      </c>
      <c r="O474" s="7">
        <f>(P19-N19)*(O34-O19)-(Q19-O19)*(N34-N19)</f>
        <v>0</v>
      </c>
      <c r="P474" s="7">
        <f>(P19-N19)*(Q34-O19)-(Q19-O19)*(P34-N19)</f>
        <v>0</v>
      </c>
      <c r="Q474" s="7">
        <f>(P34-N34)*(O19-O34)-(Q34-O34)*(N19-N34)</f>
        <v>0</v>
      </c>
      <c r="R474" s="7">
        <f>(P34-N34)*(Q19-O34)-(Q34-O34)*(P19-N34)</f>
        <v>0</v>
      </c>
      <c r="S474" s="7">
        <f>IF(N474,IF(AND(O474*P474&lt;=0,Q474*R474&lt;=0,MAX(MIN(N19,P19),MIN(N34,P34))&lt;=MIN(MAX(N19,P19),MAX(N34,P34)),MAX(MIN(O19,Q19),MIN(O34,Q34))&lt;=MIN(MAX(O19,Q19),MAX(O34,Q34))),1,0),0)</f>
        <v>0</v>
      </c>
      <c r="T474" s="7"/>
      <c r="U474" s="7"/>
      <c r="V474" s="7"/>
      <c r="W474" s="7"/>
      <c r="X474" s="7"/>
      <c r="Y474" s="7"/>
      <c r="Z474" s="7"/>
      <c r="AA474" s="7"/>
      <c r="AB474" s="7"/>
      <c r="AC474" s="7"/>
      <c r="AD474" s="7"/>
      <c r="AE474" s="7"/>
      <c r="AF474" s="7"/>
      <c r="AG474" s="7"/>
      <c r="AH474" s="7"/>
      <c r="AI474" s="7"/>
    </row>
    <row r="475" spans="12:35">
      <c r="L475" s="7">
        <v>19</v>
      </c>
      <c r="M475" s="7">
        <v>35</v>
      </c>
      <c r="N475" s="7" t="b">
        <f>AND($N$5,$N$6,8&lt;=$M$5,4&lt;=$M$6)</f>
        <v>0</v>
      </c>
      <c r="O475" s="7">
        <f>(P19-N19)*(O35-O19)-(Q19-O19)*(N35-N19)</f>
        <v>0</v>
      </c>
      <c r="P475" s="7">
        <f>(P19-N19)*(Q35-O19)-(Q19-O19)*(P35-N19)</f>
        <v>0</v>
      </c>
      <c r="Q475" s="7">
        <f>(P35-N35)*(O19-O35)-(Q35-O35)*(N19-N35)</f>
        <v>0</v>
      </c>
      <c r="R475" s="7">
        <f>(P35-N35)*(Q19-O35)-(Q35-O35)*(P19-N35)</f>
        <v>0</v>
      </c>
      <c r="S475" s="7">
        <f>IF(N475,IF(AND(O475*P475&lt;=0,Q475*R475&lt;=0,MAX(MIN(N19,P19),MIN(N35,P35))&lt;=MIN(MAX(N19,P19),MAX(N35,P35)),MAX(MIN(O19,Q19),MIN(O35,Q35))&lt;=MIN(MAX(O19,Q19),MAX(O35,Q35))),1,0),0)</f>
        <v>0</v>
      </c>
      <c r="T475" s="7"/>
      <c r="U475" s="7"/>
      <c r="V475" s="7"/>
      <c r="W475" s="7"/>
      <c r="X475" s="7"/>
      <c r="Y475" s="7"/>
      <c r="Z475" s="7"/>
      <c r="AA475" s="7"/>
      <c r="AB475" s="7"/>
      <c r="AC475" s="7"/>
      <c r="AD475" s="7"/>
      <c r="AE475" s="7"/>
      <c r="AF475" s="7"/>
      <c r="AG475" s="7"/>
      <c r="AH475" s="7"/>
      <c r="AI475" s="7"/>
    </row>
    <row r="476" spans="12:35">
      <c r="L476" s="7">
        <v>19</v>
      </c>
      <c r="M476" s="7">
        <v>36</v>
      </c>
      <c r="N476" s="7" t="b">
        <f>AND($N$5,$N$6,8&lt;=$M$5,5&lt;=$M$6)</f>
        <v>0</v>
      </c>
      <c r="O476" s="7">
        <f>(P19-N19)*(O36-O19)-(Q19-O19)*(N36-N19)</f>
        <v>0</v>
      </c>
      <c r="P476" s="7">
        <f>(P19-N19)*(Q36-O19)-(Q19-O19)*(P36-N19)</f>
        <v>0</v>
      </c>
      <c r="Q476" s="7">
        <f>(P36-N36)*(O19-O36)-(Q36-O36)*(N19-N36)</f>
        <v>0</v>
      </c>
      <c r="R476" s="7">
        <f>(P36-N36)*(Q19-O36)-(Q36-O36)*(P19-N36)</f>
        <v>0</v>
      </c>
      <c r="S476" s="7">
        <f>IF(N476,IF(AND(O476*P476&lt;=0,Q476*R476&lt;=0,MAX(MIN(N19,P19),MIN(N36,P36))&lt;=MIN(MAX(N19,P19),MAX(N36,P36)),MAX(MIN(O19,Q19),MIN(O36,Q36))&lt;=MIN(MAX(O19,Q19),MAX(O36,Q36))),1,0),0)</f>
        <v>0</v>
      </c>
      <c r="T476" s="7"/>
      <c r="U476" s="7"/>
      <c r="V476" s="7"/>
      <c r="W476" s="7"/>
      <c r="X476" s="7"/>
      <c r="Y476" s="7"/>
      <c r="Z476" s="7"/>
      <c r="AA476" s="7"/>
      <c r="AB476" s="7"/>
      <c r="AC476" s="7"/>
      <c r="AD476" s="7"/>
      <c r="AE476" s="7"/>
      <c r="AF476" s="7"/>
      <c r="AG476" s="7"/>
      <c r="AH476" s="7"/>
      <c r="AI476" s="7"/>
    </row>
    <row r="477" spans="12:35">
      <c r="L477" s="7">
        <v>19</v>
      </c>
      <c r="M477" s="7">
        <v>37</v>
      </c>
      <c r="N477" s="7" t="b">
        <f>AND($N$5,$N$6,8&lt;=$M$5,6&lt;=$M$6)</f>
        <v>0</v>
      </c>
      <c r="O477" s="7">
        <f>(P19-N19)*(O37-O19)-(Q19-O19)*(N37-N19)</f>
        <v>0</v>
      </c>
      <c r="P477" s="7">
        <f>(P19-N19)*(Q37-O19)-(Q19-O19)*(P37-N19)</f>
        <v>0</v>
      </c>
      <c r="Q477" s="7">
        <f>(P37-N37)*(O19-O37)-(Q37-O37)*(N19-N37)</f>
        <v>0</v>
      </c>
      <c r="R477" s="7">
        <f>(P37-N37)*(Q19-O37)-(Q37-O37)*(P19-N37)</f>
        <v>0</v>
      </c>
      <c r="S477" s="7">
        <f>IF(N477,IF(AND(O477*P477&lt;=0,Q477*R477&lt;=0,MAX(MIN(N19,P19),MIN(N37,P37))&lt;=MIN(MAX(N19,P19),MAX(N37,P37)),MAX(MIN(O19,Q19),MIN(O37,Q37))&lt;=MIN(MAX(O19,Q19),MAX(O37,Q37))),1,0),0)</f>
        <v>0</v>
      </c>
      <c r="T477" s="7"/>
      <c r="U477" s="7"/>
      <c r="V477" s="7"/>
      <c r="W477" s="7"/>
      <c r="X477" s="7"/>
      <c r="Y477" s="7"/>
      <c r="Z477" s="7"/>
      <c r="AA477" s="7"/>
      <c r="AB477" s="7"/>
      <c r="AC477" s="7"/>
      <c r="AD477" s="7"/>
      <c r="AE477" s="7"/>
      <c r="AF477" s="7"/>
      <c r="AG477" s="7"/>
      <c r="AH477" s="7"/>
      <c r="AI477" s="7"/>
    </row>
    <row r="478" spans="12:35">
      <c r="L478" s="7">
        <v>19</v>
      </c>
      <c r="M478" s="7">
        <v>38</v>
      </c>
      <c r="N478" s="7" t="b">
        <f>AND($N$5,$N$6,8&lt;=$M$5,7&lt;=$M$6)</f>
        <v>0</v>
      </c>
      <c r="O478" s="7">
        <f>(P19-N19)*(O38-O19)-(Q19-O19)*(N38-N19)</f>
        <v>0</v>
      </c>
      <c r="P478" s="7">
        <f>(P19-N19)*(Q38-O19)-(Q19-O19)*(P38-N19)</f>
        <v>0</v>
      </c>
      <c r="Q478" s="7">
        <f>(P38-N38)*(O19-O38)-(Q38-O38)*(N19-N38)</f>
        <v>0</v>
      </c>
      <c r="R478" s="7">
        <f>(P38-N38)*(Q19-O38)-(Q38-O38)*(P19-N38)</f>
        <v>0</v>
      </c>
      <c r="S478" s="7">
        <f>IF(N478,IF(AND(O478*P478&lt;=0,Q478*R478&lt;=0,MAX(MIN(N19,P19),MIN(N38,P38))&lt;=MIN(MAX(N19,P19),MAX(N38,P38)),MAX(MIN(O19,Q19),MIN(O38,Q38))&lt;=MIN(MAX(O19,Q19),MAX(O38,Q38))),1,0),0)</f>
        <v>0</v>
      </c>
      <c r="T478" s="7"/>
      <c r="U478" s="7"/>
      <c r="V478" s="7"/>
      <c r="W478" s="7"/>
      <c r="X478" s="7"/>
      <c r="Y478" s="7"/>
      <c r="Z478" s="7"/>
      <c r="AA478" s="7"/>
      <c r="AB478" s="7"/>
      <c r="AC478" s="7"/>
      <c r="AD478" s="7"/>
      <c r="AE478" s="7"/>
      <c r="AF478" s="7"/>
      <c r="AG478" s="7"/>
      <c r="AH478" s="7"/>
      <c r="AI478" s="7"/>
    </row>
    <row r="479" spans="12:35">
      <c r="L479" s="7">
        <v>19</v>
      </c>
      <c r="M479" s="7">
        <v>39</v>
      </c>
      <c r="N479" s="7" t="b">
        <f>AND($N$5,$N$6,8&lt;=$M$5,8&lt;=$M$6)</f>
        <v>0</v>
      </c>
      <c r="O479" s="7">
        <f>(P19-N19)*(O39-O19)-(Q19-O19)*(N39-N19)</f>
        <v>0</v>
      </c>
      <c r="P479" s="7">
        <f>(P19-N19)*(Q39-O19)-(Q19-O19)*(P39-N19)</f>
        <v>0</v>
      </c>
      <c r="Q479" s="7">
        <f>(P39-N39)*(O19-O39)-(Q39-O39)*(N19-N39)</f>
        <v>0</v>
      </c>
      <c r="R479" s="7">
        <f>(P39-N39)*(Q19-O39)-(Q39-O39)*(P19-N39)</f>
        <v>0</v>
      </c>
      <c r="S479" s="7">
        <f>IF(N479,IF(AND(O479*P479&lt;=0,Q479*R479&lt;=0,MAX(MIN(N19,P19),MIN(N39,P39))&lt;=MIN(MAX(N19,P19),MAX(N39,P39)),MAX(MIN(O19,Q19),MIN(O39,Q39))&lt;=MIN(MAX(O19,Q19),MAX(O39,Q39))),1,0),0)</f>
        <v>0</v>
      </c>
      <c r="T479" s="7"/>
      <c r="U479" s="7"/>
      <c r="V479" s="7"/>
      <c r="W479" s="7"/>
      <c r="X479" s="7"/>
      <c r="Y479" s="7"/>
      <c r="Z479" s="7"/>
      <c r="AA479" s="7"/>
      <c r="AB479" s="7"/>
      <c r="AC479" s="7"/>
      <c r="AD479" s="7"/>
      <c r="AE479" s="7"/>
      <c r="AF479" s="7"/>
      <c r="AG479" s="7"/>
      <c r="AH479" s="7"/>
      <c r="AI479" s="7"/>
    </row>
    <row r="480" spans="12:35">
      <c r="L480" s="7">
        <v>19</v>
      </c>
      <c r="M480" s="7">
        <v>40</v>
      </c>
      <c r="N480" s="7" t="b">
        <f>AND($N$5,$N$6,8&lt;=$M$5,9&lt;=$M$6)</f>
        <v>0</v>
      </c>
      <c r="O480" s="7">
        <f>(P19-N19)*(O40-O19)-(Q19-O19)*(N40-N19)</f>
        <v>0</v>
      </c>
      <c r="P480" s="7">
        <f>(P19-N19)*(Q40-O19)-(Q19-O19)*(P40-N19)</f>
        <v>0</v>
      </c>
      <c r="Q480" s="7">
        <f>(P40-N40)*(O19-O40)-(Q40-O40)*(N19-N40)</f>
        <v>0</v>
      </c>
      <c r="R480" s="7">
        <f>(P40-N40)*(Q19-O40)-(Q40-O40)*(P19-N40)</f>
        <v>0</v>
      </c>
      <c r="S480" s="7">
        <f>IF(N480,IF(AND(O480*P480&lt;=0,Q480*R480&lt;=0,MAX(MIN(N19,P19),MIN(N40,P40))&lt;=MIN(MAX(N19,P19),MAX(N40,P40)),MAX(MIN(O19,Q19),MIN(O40,Q40))&lt;=MIN(MAX(O19,Q19),MAX(O40,Q40))),1,0),0)</f>
        <v>0</v>
      </c>
      <c r="T480" s="7"/>
      <c r="U480" s="7"/>
      <c r="V480" s="7"/>
      <c r="W480" s="7"/>
      <c r="X480" s="7"/>
      <c r="Y480" s="7"/>
      <c r="Z480" s="7"/>
      <c r="AA480" s="7"/>
      <c r="AB480" s="7"/>
      <c r="AC480" s="7"/>
      <c r="AD480" s="7"/>
      <c r="AE480" s="7"/>
      <c r="AF480" s="7"/>
      <c r="AG480" s="7"/>
      <c r="AH480" s="7"/>
      <c r="AI480" s="7"/>
    </row>
    <row r="481" spans="12:35">
      <c r="L481" s="7">
        <v>19</v>
      </c>
      <c r="M481" s="7">
        <v>41</v>
      </c>
      <c r="N481" s="7" t="b">
        <f>AND($N$5,$N$6,8&lt;=$M$5,10&lt;=$M$6)</f>
        <v>0</v>
      </c>
      <c r="O481" s="7">
        <f>(P19-N19)*(O41-O19)-(Q19-O19)*(N41-N19)</f>
        <v>0</v>
      </c>
      <c r="P481" s="7">
        <f>(P19-N19)*(Q41-O19)-(Q19-O19)*(P41-N19)</f>
        <v>0</v>
      </c>
      <c r="Q481" s="7">
        <f>(P41-N41)*(O19-O41)-(Q41-O41)*(N19-N41)</f>
        <v>0</v>
      </c>
      <c r="R481" s="7">
        <f>(P41-N41)*(Q19-O41)-(Q41-O41)*(P19-N41)</f>
        <v>0</v>
      </c>
      <c r="S481" s="7">
        <f>IF(N481,IF(AND(O481*P481&lt;=0,Q481*R481&lt;=0,MAX(MIN(N19,P19),MIN(N41,P41))&lt;=MIN(MAX(N19,P19),MAX(N41,P41)),MAX(MIN(O19,Q19),MIN(O41,Q41))&lt;=MIN(MAX(O19,Q19),MAX(O41,Q41))),1,0),0)</f>
        <v>0</v>
      </c>
      <c r="T481" s="7"/>
      <c r="U481" s="7"/>
      <c r="V481" s="7"/>
      <c r="W481" s="7"/>
      <c r="X481" s="7"/>
      <c r="Y481" s="7"/>
      <c r="Z481" s="7"/>
      <c r="AA481" s="7"/>
      <c r="AB481" s="7"/>
      <c r="AC481" s="7"/>
      <c r="AD481" s="7"/>
      <c r="AE481" s="7"/>
      <c r="AF481" s="7"/>
      <c r="AG481" s="7"/>
      <c r="AH481" s="7"/>
      <c r="AI481" s="7"/>
    </row>
    <row r="482" spans="12:35">
      <c r="L482" s="7">
        <v>19</v>
      </c>
      <c r="M482" s="7">
        <v>42</v>
      </c>
      <c r="N482" s="7" t="b">
        <f>AND($N$5,$N$6,8&lt;=$M$5,11&lt;=$M$6)</f>
        <v>0</v>
      </c>
      <c r="O482" s="7">
        <f>(P19-N19)*(O42-O19)-(Q19-O19)*(N42-N19)</f>
        <v>0</v>
      </c>
      <c r="P482" s="7">
        <f>(P19-N19)*(Q42-O19)-(Q19-O19)*(P42-N19)</f>
        <v>0</v>
      </c>
      <c r="Q482" s="7">
        <f>(P42-N42)*(O19-O42)-(Q42-O42)*(N19-N42)</f>
        <v>0</v>
      </c>
      <c r="R482" s="7">
        <f>(P42-N42)*(Q19-O42)-(Q42-O42)*(P19-N42)</f>
        <v>0</v>
      </c>
      <c r="S482" s="7">
        <f>IF(N482,IF(AND(O482*P482&lt;=0,Q482*R482&lt;=0,MAX(MIN(N19,P19),MIN(N42,P42))&lt;=MIN(MAX(N19,P19),MAX(N42,P42)),MAX(MIN(O19,Q19),MIN(O42,Q42))&lt;=MIN(MAX(O19,Q19),MAX(O42,Q42))),1,0),0)</f>
        <v>0</v>
      </c>
      <c r="T482" s="7"/>
      <c r="U482" s="7"/>
      <c r="V482" s="7"/>
      <c r="W482" s="7"/>
      <c r="X482" s="7"/>
      <c r="Y482" s="7"/>
      <c r="Z482" s="7"/>
      <c r="AA482" s="7"/>
      <c r="AB482" s="7"/>
      <c r="AC482" s="7"/>
      <c r="AD482" s="7"/>
      <c r="AE482" s="7"/>
      <c r="AF482" s="7"/>
      <c r="AG482" s="7"/>
      <c r="AH482" s="7"/>
      <c r="AI482" s="7"/>
    </row>
    <row r="483" spans="12:35">
      <c r="L483" s="7">
        <v>19</v>
      </c>
      <c r="M483" s="7">
        <v>43</v>
      </c>
      <c r="N483" s="7" t="b">
        <f>AND($N$5,$N$6,8&lt;=$M$5,12&lt;=$M$6)</f>
        <v>0</v>
      </c>
      <c r="O483" s="7">
        <f>(P19-N19)*(O43-O19)-(Q19-O19)*(N43-N19)</f>
        <v>0</v>
      </c>
      <c r="P483" s="7">
        <f>(P19-N19)*(Q43-O19)-(Q19-O19)*(P43-N19)</f>
        <v>0</v>
      </c>
      <c r="Q483" s="7">
        <f>(P43-N43)*(O19-O43)-(Q43-O43)*(N19-N43)</f>
        <v>0</v>
      </c>
      <c r="R483" s="7">
        <f>(P43-N43)*(Q19-O43)-(Q43-O43)*(P19-N43)</f>
        <v>0</v>
      </c>
      <c r="S483" s="7">
        <f>IF(N483,IF(AND(O483*P483&lt;=0,Q483*R483&lt;=0,MAX(MIN(N19,P19),MIN(N43,P43))&lt;=MIN(MAX(N19,P19),MAX(N43,P43)),MAX(MIN(O19,Q19),MIN(O43,Q43))&lt;=MIN(MAX(O19,Q19),MAX(O43,Q43))),1,0),0)</f>
        <v>0</v>
      </c>
      <c r="T483" s="7"/>
      <c r="U483" s="7"/>
      <c r="V483" s="7"/>
      <c r="W483" s="7"/>
      <c r="X483" s="7"/>
      <c r="Y483" s="7"/>
      <c r="Z483" s="7"/>
      <c r="AA483" s="7"/>
      <c r="AB483" s="7"/>
      <c r="AC483" s="7"/>
      <c r="AD483" s="7"/>
      <c r="AE483" s="7"/>
      <c r="AF483" s="7"/>
      <c r="AG483" s="7"/>
      <c r="AH483" s="7"/>
      <c r="AI483" s="7"/>
    </row>
    <row r="484" spans="12:35">
      <c r="L484" s="7">
        <v>19</v>
      </c>
      <c r="M484" s="7">
        <v>44</v>
      </c>
      <c r="N484" s="7" t="b">
        <f>AND($N$5,$N$6,8&lt;=$M$5,13&lt;=$M$6)</f>
        <v>0</v>
      </c>
      <c r="O484" s="7">
        <f>(P19-N19)*(O44-O19)-(Q19-O19)*(N44-N19)</f>
        <v>0</v>
      </c>
      <c r="P484" s="7">
        <f>(P19-N19)*(Q44-O19)-(Q19-O19)*(P44-N19)</f>
        <v>0</v>
      </c>
      <c r="Q484" s="7">
        <f>(P44-N44)*(O19-O44)-(Q44-O44)*(N19-N44)</f>
        <v>0</v>
      </c>
      <c r="R484" s="7">
        <f>(P44-N44)*(Q19-O44)-(Q44-O44)*(P19-N44)</f>
        <v>0</v>
      </c>
      <c r="S484" s="7">
        <f>IF(N484,IF(AND(O484*P484&lt;=0,Q484*R484&lt;=0,MAX(MIN(N19,P19),MIN(N44,P44))&lt;=MIN(MAX(N19,P19),MAX(N44,P44)),MAX(MIN(O19,Q19),MIN(O44,Q44))&lt;=MIN(MAX(O19,Q19),MAX(O44,Q44))),1,0),0)</f>
        <v>0</v>
      </c>
      <c r="T484" s="7"/>
      <c r="U484" s="7"/>
      <c r="V484" s="7"/>
      <c r="W484" s="7"/>
      <c r="X484" s="7"/>
      <c r="Y484" s="7"/>
      <c r="Z484" s="7"/>
      <c r="AA484" s="7"/>
      <c r="AB484" s="7"/>
      <c r="AC484" s="7"/>
      <c r="AD484" s="7"/>
      <c r="AE484" s="7"/>
      <c r="AF484" s="7"/>
      <c r="AG484" s="7"/>
      <c r="AH484" s="7"/>
      <c r="AI484" s="7"/>
    </row>
    <row r="485" spans="12:35">
      <c r="L485" s="7">
        <v>19</v>
      </c>
      <c r="M485" s="7">
        <v>45</v>
      </c>
      <c r="N485" s="7" t="b">
        <f>AND($N$5,$N$6,8&lt;=$M$5,14&lt;=$M$6)</f>
        <v>0</v>
      </c>
      <c r="O485" s="7">
        <f>(P19-N19)*(O45-O19)-(Q19-O19)*(N45-N19)</f>
        <v>0</v>
      </c>
      <c r="P485" s="7">
        <f>(P19-N19)*(Q45-O19)-(Q19-O19)*(P45-N19)</f>
        <v>0</v>
      </c>
      <c r="Q485" s="7">
        <f>(P45-N45)*(O19-O45)-(Q45-O45)*(N19-N45)</f>
        <v>0</v>
      </c>
      <c r="R485" s="7">
        <f>(P45-N45)*(Q19-O45)-(Q45-O45)*(P19-N45)</f>
        <v>0</v>
      </c>
      <c r="S485" s="7">
        <f>IF(N485,IF(AND(O485*P485&lt;=0,Q485*R485&lt;=0,MAX(MIN(N19,P19),MIN(N45,P45))&lt;=MIN(MAX(N19,P19),MAX(N45,P45)),MAX(MIN(O19,Q19),MIN(O45,Q45))&lt;=MIN(MAX(O19,Q19),MAX(O45,Q45))),1,0),0)</f>
        <v>0</v>
      </c>
      <c r="T485" s="7"/>
      <c r="U485" s="7"/>
      <c r="V485" s="7"/>
      <c r="W485" s="7"/>
      <c r="X485" s="7"/>
      <c r="Y485" s="7"/>
      <c r="Z485" s="7"/>
      <c r="AA485" s="7"/>
      <c r="AB485" s="7"/>
      <c r="AC485" s="7"/>
      <c r="AD485" s="7"/>
      <c r="AE485" s="7"/>
      <c r="AF485" s="7"/>
      <c r="AG485" s="7"/>
      <c r="AH485" s="7"/>
      <c r="AI485" s="7"/>
    </row>
    <row r="486" spans="12:35">
      <c r="L486" s="7">
        <v>19</v>
      </c>
      <c r="M486" s="7">
        <v>46</v>
      </c>
      <c r="N486" s="7" t="b">
        <f>AND($N$5,$N$6,8&lt;=$M$5,15&lt;=$M$6)</f>
        <v>0</v>
      </c>
      <c r="O486" s="7">
        <f>(P19-N19)*(O46-O19)-(Q19-O19)*(N46-N19)</f>
        <v>0</v>
      </c>
      <c r="P486" s="7">
        <f>(P19-N19)*(Q46-O19)-(Q19-O19)*(P46-N19)</f>
        <v>0</v>
      </c>
      <c r="Q486" s="7">
        <f>(P46-N46)*(O19-O46)-(Q46-O46)*(N19-N46)</f>
        <v>0</v>
      </c>
      <c r="R486" s="7">
        <f>(P46-N46)*(Q19-O46)-(Q46-O46)*(P19-N46)</f>
        <v>0</v>
      </c>
      <c r="S486" s="7">
        <f>IF(N486,IF(AND(O486*P486&lt;=0,Q486*R486&lt;=0,MAX(MIN(N19,P19),MIN(N46,P46))&lt;=MIN(MAX(N19,P19),MAX(N46,P46)),MAX(MIN(O19,Q19),MIN(O46,Q46))&lt;=MIN(MAX(O19,Q19),MAX(O46,Q46))),1,0),0)</f>
        <v>0</v>
      </c>
      <c r="T486" s="7"/>
      <c r="U486" s="7"/>
      <c r="V486" s="7"/>
      <c r="W486" s="7"/>
      <c r="X486" s="7"/>
      <c r="Y486" s="7"/>
      <c r="Z486" s="7"/>
      <c r="AA486" s="7"/>
      <c r="AB486" s="7"/>
      <c r="AC486" s="7"/>
      <c r="AD486" s="7"/>
      <c r="AE486" s="7"/>
      <c r="AF486" s="7"/>
      <c r="AG486" s="7"/>
      <c r="AH486" s="7"/>
      <c r="AI486" s="7"/>
    </row>
    <row r="487" spans="12:35">
      <c r="L487" s="7">
        <v>19</v>
      </c>
      <c r="M487" s="7">
        <v>47</v>
      </c>
      <c r="N487" s="7" t="b">
        <f>AND($N$5,$N$6,8&lt;=$M$5,16&lt;=$M$6)</f>
        <v>0</v>
      </c>
      <c r="O487" s="7">
        <f>(P19-N19)*(O47-O19)-(Q19-O19)*(N47-N19)</f>
        <v>0</v>
      </c>
      <c r="P487" s="7">
        <f>(P19-N19)*(Q47-O19)-(Q19-O19)*(P47-N19)</f>
        <v>0</v>
      </c>
      <c r="Q487" s="7">
        <f>(P47-N47)*(O19-O47)-(Q47-O47)*(N19-N47)</f>
        <v>0</v>
      </c>
      <c r="R487" s="7">
        <f>(P47-N47)*(Q19-O47)-(Q47-O47)*(P19-N47)</f>
        <v>0</v>
      </c>
      <c r="S487" s="7">
        <f>IF(N487,IF(AND(O487*P487&lt;=0,Q487*R487&lt;=0,MAX(MIN(N19,P19),MIN(N47,P47))&lt;=MIN(MAX(N19,P19),MAX(N47,P47)),MAX(MIN(O19,Q19),MIN(O47,Q47))&lt;=MIN(MAX(O19,Q19),MAX(O47,Q47))),1,0),0)</f>
        <v>0</v>
      </c>
      <c r="T487" s="7"/>
      <c r="U487" s="7"/>
      <c r="V487" s="7"/>
      <c r="W487" s="7"/>
      <c r="X487" s="7"/>
      <c r="Y487" s="7"/>
      <c r="Z487" s="7"/>
      <c r="AA487" s="7"/>
      <c r="AB487" s="7"/>
      <c r="AC487" s="7"/>
      <c r="AD487" s="7"/>
      <c r="AE487" s="7"/>
      <c r="AF487" s="7"/>
      <c r="AG487" s="7"/>
      <c r="AH487" s="7"/>
      <c r="AI487" s="7"/>
    </row>
    <row r="488" spans="12:35">
      <c r="L488" s="7">
        <v>19</v>
      </c>
      <c r="M488" s="7">
        <v>48</v>
      </c>
      <c r="N488" s="7" t="b">
        <f>AND($N$5,$N$6,8&lt;=$M$5,17&lt;=$M$6)</f>
        <v>0</v>
      </c>
      <c r="O488" s="7">
        <f>(P19-N19)*(O48-O19)-(Q19-O19)*(N48-N19)</f>
        <v>0</v>
      </c>
      <c r="P488" s="7">
        <f>(P19-N19)*(Q48-O19)-(Q19-O19)*(P48-N19)</f>
        <v>0</v>
      </c>
      <c r="Q488" s="7">
        <f>(P48-N48)*(O19-O48)-(Q48-O48)*(N19-N48)</f>
        <v>0</v>
      </c>
      <c r="R488" s="7">
        <f>(P48-N48)*(Q19-O48)-(Q48-O48)*(P19-N48)</f>
        <v>0</v>
      </c>
      <c r="S488" s="7">
        <f>IF(N488,IF(AND(O488*P488&lt;=0,Q488*R488&lt;=0,MAX(MIN(N19,P19),MIN(N48,P48))&lt;=MIN(MAX(N19,P19),MAX(N48,P48)),MAX(MIN(O19,Q19),MIN(O48,Q48))&lt;=MIN(MAX(O19,Q19),MAX(O48,Q48))),1,0),0)</f>
        <v>0</v>
      </c>
      <c r="T488" s="7"/>
      <c r="U488" s="7"/>
      <c r="V488" s="7"/>
      <c r="W488" s="7"/>
      <c r="X488" s="7"/>
      <c r="Y488" s="7"/>
      <c r="Z488" s="7"/>
      <c r="AA488" s="7"/>
      <c r="AB488" s="7"/>
      <c r="AC488" s="7"/>
      <c r="AD488" s="7"/>
      <c r="AE488" s="7"/>
      <c r="AF488" s="7"/>
      <c r="AG488" s="7"/>
      <c r="AH488" s="7"/>
      <c r="AI488" s="7"/>
    </row>
    <row r="489" spans="12:35">
      <c r="L489" s="7">
        <v>19</v>
      </c>
      <c r="M489" s="7">
        <v>49</v>
      </c>
      <c r="N489" s="7" t="b">
        <f>AND($N$5,$N$6,8&lt;=$M$5,18&lt;=$M$6)</f>
        <v>0</v>
      </c>
      <c r="O489" s="7">
        <f>(P19-N19)*(O49-O19)-(Q19-O19)*(N49-N19)</f>
        <v>0</v>
      </c>
      <c r="P489" s="7">
        <f>(P19-N19)*(Q49-O19)-(Q19-O19)*(P49-N19)</f>
        <v>0</v>
      </c>
      <c r="Q489" s="7">
        <f>(P49-N49)*(O19-O49)-(Q49-O49)*(N19-N49)</f>
        <v>0</v>
      </c>
      <c r="R489" s="7">
        <f>(P49-N49)*(Q19-O49)-(Q49-O49)*(P19-N49)</f>
        <v>0</v>
      </c>
      <c r="S489" s="7">
        <f>IF(N489,IF(AND(O489*P489&lt;=0,Q489*R489&lt;=0,MAX(MIN(N19,P19),MIN(N49,P49))&lt;=MIN(MAX(N19,P19),MAX(N49,P49)),MAX(MIN(O19,Q19),MIN(O49,Q49))&lt;=MIN(MAX(O19,Q19),MAX(O49,Q49))),1,0),0)</f>
        <v>0</v>
      </c>
      <c r="T489" s="7"/>
      <c r="U489" s="7"/>
      <c r="V489" s="7"/>
      <c r="W489" s="7"/>
      <c r="X489" s="7"/>
      <c r="Y489" s="7"/>
      <c r="Z489" s="7"/>
      <c r="AA489" s="7"/>
      <c r="AB489" s="7"/>
      <c r="AC489" s="7"/>
      <c r="AD489" s="7"/>
      <c r="AE489" s="7"/>
      <c r="AF489" s="7"/>
      <c r="AG489" s="7"/>
      <c r="AH489" s="7"/>
      <c r="AI489" s="7"/>
    </row>
    <row r="490" spans="12:35">
      <c r="L490" s="7">
        <v>19</v>
      </c>
      <c r="M490" s="7">
        <v>50</v>
      </c>
      <c r="N490" s="7" t="b">
        <f>AND($N$5,$N$6,8&lt;=$M$5,19&lt;=$M$6)</f>
        <v>0</v>
      </c>
      <c r="O490" s="7">
        <f>(P19-N19)*(O50-O19)-(Q19-O19)*(N50-N19)</f>
        <v>0</v>
      </c>
      <c r="P490" s="7">
        <f>(P19-N19)*(Q50-O19)-(Q19-O19)*(P50-N19)</f>
        <v>0</v>
      </c>
      <c r="Q490" s="7">
        <f>(P50-N50)*(O19-O50)-(Q50-O50)*(N19-N50)</f>
        <v>0</v>
      </c>
      <c r="R490" s="7">
        <f>(P50-N50)*(Q19-O50)-(Q50-O50)*(P19-N50)</f>
        <v>0</v>
      </c>
      <c r="S490" s="7">
        <f>IF(N490,IF(AND(O490*P490&lt;=0,Q490*R490&lt;=0,MAX(MIN(N19,P19),MIN(N50,P50))&lt;=MIN(MAX(N19,P19),MAX(N50,P50)),MAX(MIN(O19,Q19),MIN(O50,Q50))&lt;=MIN(MAX(O19,Q19),MAX(O50,Q50))),1,0),0)</f>
        <v>0</v>
      </c>
      <c r="T490" s="7"/>
      <c r="U490" s="7"/>
      <c r="V490" s="7"/>
      <c r="W490" s="7"/>
      <c r="X490" s="7"/>
      <c r="Y490" s="7"/>
      <c r="Z490" s="7"/>
      <c r="AA490" s="7"/>
      <c r="AB490" s="7"/>
      <c r="AC490" s="7"/>
      <c r="AD490" s="7"/>
      <c r="AE490" s="7"/>
      <c r="AF490" s="7"/>
      <c r="AG490" s="7"/>
      <c r="AH490" s="7"/>
      <c r="AI490" s="7"/>
    </row>
    <row r="491" spans="12:35">
      <c r="L491" s="7">
        <v>19</v>
      </c>
      <c r="M491" s="7">
        <v>51</v>
      </c>
      <c r="N491" s="7" t="b">
        <f>AND($N$5,$N$6,8&lt;=$M$5,20&lt;=$M$6)</f>
        <v>0</v>
      </c>
      <c r="O491" s="7">
        <f>(P19-N19)*(O51-O19)-(Q19-O19)*(N51-N19)</f>
        <v>0</v>
      </c>
      <c r="P491" s="7">
        <f>(P19-N19)*(Q51-O19)-(Q19-O19)*(P51-N19)</f>
        <v>0</v>
      </c>
      <c r="Q491" s="7">
        <f>(P51-N51)*(O19-O51)-(Q51-O51)*(N19-N51)</f>
        <v>0</v>
      </c>
      <c r="R491" s="7">
        <f>(P51-N51)*(Q19-O51)-(Q51-O51)*(P19-N51)</f>
        <v>0</v>
      </c>
      <c r="S491" s="7">
        <f>IF(N491,IF(AND(O491*P491&lt;=0,Q491*R491&lt;=0,MAX(MIN(N19,P19),MIN(N51,P51))&lt;=MIN(MAX(N19,P19),MAX(N51,P51)),MAX(MIN(O19,Q19),MIN(O51,Q51))&lt;=MIN(MAX(O19,Q19),MAX(O51,Q51))),1,0),0)</f>
        <v>0</v>
      </c>
      <c r="T491" s="7"/>
      <c r="U491" s="7"/>
      <c r="V491" s="7"/>
      <c r="W491" s="7"/>
      <c r="X491" s="7"/>
      <c r="Y491" s="7"/>
      <c r="Z491" s="7"/>
      <c r="AA491" s="7"/>
      <c r="AB491" s="7"/>
      <c r="AC491" s="7"/>
      <c r="AD491" s="7"/>
      <c r="AE491" s="7"/>
      <c r="AF491" s="7"/>
      <c r="AG491" s="7"/>
      <c r="AH491" s="7"/>
      <c r="AI491" s="7"/>
    </row>
    <row r="492" spans="12:35">
      <c r="L492" s="7">
        <v>19</v>
      </c>
      <c r="M492" s="7">
        <v>52</v>
      </c>
      <c r="N492" s="7" t="b">
        <f>AND($N$5,$N$7,8&lt;=$M$5,1&lt;=$M$7)</f>
        <v>0</v>
      </c>
      <c r="O492" s="7">
        <f>(P19-N19)*(O52-O19)-(Q19-O19)*(N52-N19)</f>
        <v>0</v>
      </c>
      <c r="P492" s="7">
        <f>(P19-N19)*(Q52-O19)-(Q19-O19)*(P52-N19)</f>
        <v>0</v>
      </c>
      <c r="Q492" s="7">
        <f>(P52-N52)*(O19-O52)-(Q52-O52)*(N19-N52)</f>
        <v>0</v>
      </c>
      <c r="R492" s="7">
        <f>(P52-N52)*(Q19-O52)-(Q52-O52)*(P19-N52)</f>
        <v>0</v>
      </c>
      <c r="S492" s="7">
        <f>IF(N492,IF(AND(O492*P492&lt;=0,Q492*R492&lt;=0,MAX(MIN(N19,P19),MIN(N52,P52))&lt;=MIN(MAX(N19,P19),MAX(N52,P52)),MAX(MIN(O19,Q19),MIN(O52,Q52))&lt;=MIN(MAX(O19,Q19),MAX(O52,Q52))),1,0),0)</f>
        <v>0</v>
      </c>
      <c r="T492" s="7"/>
      <c r="U492" s="7"/>
      <c r="V492" s="7"/>
      <c r="W492" s="7"/>
      <c r="X492" s="7"/>
      <c r="Y492" s="7"/>
      <c r="Z492" s="7"/>
      <c r="AA492" s="7"/>
      <c r="AB492" s="7"/>
      <c r="AC492" s="7"/>
      <c r="AD492" s="7"/>
      <c r="AE492" s="7"/>
      <c r="AF492" s="7"/>
      <c r="AG492" s="7"/>
      <c r="AH492" s="7"/>
      <c r="AI492" s="7"/>
    </row>
    <row r="493" spans="12:35">
      <c r="L493" s="7">
        <v>19</v>
      </c>
      <c r="M493" s="7">
        <v>53</v>
      </c>
      <c r="N493" s="7" t="b">
        <f>AND($N$5,$N$7,8&lt;=$M$5,2&lt;=$M$7)</f>
        <v>0</v>
      </c>
      <c r="O493" s="7">
        <f>(P19-N19)*(O53-O19)-(Q19-O19)*(N53-N19)</f>
        <v>0</v>
      </c>
      <c r="P493" s="7">
        <f>(P19-N19)*(Q53-O19)-(Q19-O19)*(P53-N19)</f>
        <v>0</v>
      </c>
      <c r="Q493" s="7">
        <f>(P53-N53)*(O19-O53)-(Q53-O53)*(N19-N53)</f>
        <v>0</v>
      </c>
      <c r="R493" s="7">
        <f>(P53-N53)*(Q19-O53)-(Q53-O53)*(P19-N53)</f>
        <v>0</v>
      </c>
      <c r="S493" s="7">
        <f>IF(N493,IF(AND(O493*P493&lt;=0,Q493*R493&lt;=0,MAX(MIN(N19,P19),MIN(N53,P53))&lt;=MIN(MAX(N19,P19),MAX(N53,P53)),MAX(MIN(O19,Q19),MIN(O53,Q53))&lt;=MIN(MAX(O19,Q19),MAX(O53,Q53))),1,0),0)</f>
        <v>0</v>
      </c>
      <c r="T493" s="7"/>
      <c r="U493" s="7"/>
      <c r="V493" s="7"/>
      <c r="W493" s="7"/>
      <c r="X493" s="7"/>
      <c r="Y493" s="7"/>
      <c r="Z493" s="7"/>
      <c r="AA493" s="7"/>
      <c r="AB493" s="7"/>
      <c r="AC493" s="7"/>
      <c r="AD493" s="7"/>
      <c r="AE493" s="7"/>
      <c r="AF493" s="7"/>
      <c r="AG493" s="7"/>
      <c r="AH493" s="7"/>
      <c r="AI493" s="7"/>
    </row>
    <row r="494" spans="12:35">
      <c r="L494" s="7">
        <v>19</v>
      </c>
      <c r="M494" s="7">
        <v>54</v>
      </c>
      <c r="N494" s="7" t="b">
        <f>AND($N$5,$N$7,8&lt;=$M$5,3&lt;=$M$7)</f>
        <v>0</v>
      </c>
      <c r="O494" s="7">
        <f>(P19-N19)*(O54-O19)-(Q19-O19)*(N54-N19)</f>
        <v>0</v>
      </c>
      <c r="P494" s="7">
        <f>(P19-N19)*(Q54-O19)-(Q19-O19)*(P54-N19)</f>
        <v>0</v>
      </c>
      <c r="Q494" s="7">
        <f>(P54-N54)*(O19-O54)-(Q54-O54)*(N19-N54)</f>
        <v>0</v>
      </c>
      <c r="R494" s="7">
        <f>(P54-N54)*(Q19-O54)-(Q54-O54)*(P19-N54)</f>
        <v>0</v>
      </c>
      <c r="S494" s="7">
        <f>IF(N494,IF(AND(O494*P494&lt;=0,Q494*R494&lt;=0,MAX(MIN(N19,P19),MIN(N54,P54))&lt;=MIN(MAX(N19,P19),MAX(N54,P54)),MAX(MIN(O19,Q19),MIN(O54,Q54))&lt;=MIN(MAX(O19,Q19),MAX(O54,Q54))),1,0),0)</f>
        <v>0</v>
      </c>
      <c r="T494" s="7"/>
      <c r="U494" s="7"/>
      <c r="V494" s="7"/>
      <c r="W494" s="7"/>
      <c r="X494" s="7"/>
      <c r="Y494" s="7"/>
      <c r="Z494" s="7"/>
      <c r="AA494" s="7"/>
      <c r="AB494" s="7"/>
      <c r="AC494" s="7"/>
      <c r="AD494" s="7"/>
      <c r="AE494" s="7"/>
      <c r="AF494" s="7"/>
      <c r="AG494" s="7"/>
      <c r="AH494" s="7"/>
      <c r="AI494" s="7"/>
    </row>
    <row r="495" spans="12:35">
      <c r="L495" s="7">
        <v>19</v>
      </c>
      <c r="M495" s="7">
        <v>55</v>
      </c>
      <c r="N495" s="7" t="b">
        <f>AND($N$5,$N$7,8&lt;=$M$5,4&lt;=$M$7)</f>
        <v>0</v>
      </c>
      <c r="O495" s="7">
        <f>(P19-N19)*(O55-O19)-(Q19-O19)*(N55-N19)</f>
        <v>0</v>
      </c>
      <c r="P495" s="7">
        <f>(P19-N19)*(Q55-O19)-(Q19-O19)*(P55-N19)</f>
        <v>0</v>
      </c>
      <c r="Q495" s="7">
        <f>(P55-N55)*(O19-O55)-(Q55-O55)*(N19-N55)</f>
        <v>0</v>
      </c>
      <c r="R495" s="7">
        <f>(P55-N55)*(Q19-O55)-(Q55-O55)*(P19-N55)</f>
        <v>0</v>
      </c>
      <c r="S495" s="7">
        <f>IF(N495,IF(AND(O495*P495&lt;=0,Q495*R495&lt;=0,MAX(MIN(N19,P19),MIN(N55,P55))&lt;=MIN(MAX(N19,P19),MAX(N55,P55)),MAX(MIN(O19,Q19),MIN(O55,Q55))&lt;=MIN(MAX(O19,Q19),MAX(O55,Q55))),1,0),0)</f>
        <v>0</v>
      </c>
      <c r="T495" s="7"/>
      <c r="U495" s="7"/>
      <c r="V495" s="7"/>
      <c r="W495" s="7"/>
      <c r="X495" s="7"/>
      <c r="Y495" s="7"/>
      <c r="Z495" s="7"/>
      <c r="AA495" s="7"/>
      <c r="AB495" s="7"/>
      <c r="AC495" s="7"/>
      <c r="AD495" s="7"/>
      <c r="AE495" s="7"/>
      <c r="AF495" s="7"/>
      <c r="AG495" s="7"/>
      <c r="AH495" s="7"/>
      <c r="AI495" s="7"/>
    </row>
    <row r="496" spans="12:35">
      <c r="L496" s="7">
        <v>19</v>
      </c>
      <c r="M496" s="7">
        <v>56</v>
      </c>
      <c r="N496" s="7" t="b">
        <f>AND($N$5,$N$7,8&lt;=$M$5,5&lt;=$M$7)</f>
        <v>0</v>
      </c>
      <c r="O496" s="7">
        <f>(P19-N19)*(O56-O19)-(Q19-O19)*(N56-N19)</f>
        <v>0</v>
      </c>
      <c r="P496" s="7">
        <f>(P19-N19)*(Q56-O19)-(Q19-O19)*(P56-N19)</f>
        <v>0</v>
      </c>
      <c r="Q496" s="7">
        <f>(P56-N56)*(O19-O56)-(Q56-O56)*(N19-N56)</f>
        <v>0</v>
      </c>
      <c r="R496" s="7">
        <f>(P56-N56)*(Q19-O56)-(Q56-O56)*(P19-N56)</f>
        <v>0</v>
      </c>
      <c r="S496" s="7">
        <f>IF(N496,IF(AND(O496*P496&lt;=0,Q496*R496&lt;=0,MAX(MIN(N19,P19),MIN(N56,P56))&lt;=MIN(MAX(N19,P19),MAX(N56,P56)),MAX(MIN(O19,Q19),MIN(O56,Q56))&lt;=MIN(MAX(O19,Q19),MAX(O56,Q56))),1,0),0)</f>
        <v>0</v>
      </c>
      <c r="T496" s="7"/>
      <c r="U496" s="7"/>
      <c r="V496" s="7"/>
      <c r="W496" s="7"/>
      <c r="X496" s="7"/>
      <c r="Y496" s="7"/>
      <c r="Z496" s="7"/>
      <c r="AA496" s="7"/>
      <c r="AB496" s="7"/>
      <c r="AC496" s="7"/>
      <c r="AD496" s="7"/>
      <c r="AE496" s="7"/>
      <c r="AF496" s="7"/>
      <c r="AG496" s="7"/>
      <c r="AH496" s="7"/>
      <c r="AI496" s="7"/>
    </row>
    <row r="497" spans="12:35">
      <c r="L497" s="7">
        <v>19</v>
      </c>
      <c r="M497" s="7">
        <v>57</v>
      </c>
      <c r="N497" s="7" t="b">
        <f>AND($N$5,$N$7,8&lt;=$M$5,6&lt;=$M$7)</f>
        <v>0</v>
      </c>
      <c r="O497" s="7">
        <f>(P19-N19)*(O57-O19)-(Q19-O19)*(N57-N19)</f>
        <v>0</v>
      </c>
      <c r="P497" s="7">
        <f>(P19-N19)*(Q57-O19)-(Q19-O19)*(P57-N19)</f>
        <v>0</v>
      </c>
      <c r="Q497" s="7">
        <f>(P57-N57)*(O19-O57)-(Q57-O57)*(N19-N57)</f>
        <v>0</v>
      </c>
      <c r="R497" s="7">
        <f>(P57-N57)*(Q19-O57)-(Q57-O57)*(P19-N57)</f>
        <v>0</v>
      </c>
      <c r="S497" s="7">
        <f>IF(N497,IF(AND(O497*P497&lt;=0,Q497*R497&lt;=0,MAX(MIN(N19,P19),MIN(N57,P57))&lt;=MIN(MAX(N19,P19),MAX(N57,P57)),MAX(MIN(O19,Q19),MIN(O57,Q57))&lt;=MIN(MAX(O19,Q19),MAX(O57,Q57))),1,0),0)</f>
        <v>0</v>
      </c>
      <c r="T497" s="7"/>
      <c r="U497" s="7"/>
      <c r="V497" s="7"/>
      <c r="W497" s="7"/>
      <c r="X497" s="7"/>
      <c r="Y497" s="7"/>
      <c r="Z497" s="7"/>
      <c r="AA497" s="7"/>
      <c r="AB497" s="7"/>
      <c r="AC497" s="7"/>
      <c r="AD497" s="7"/>
      <c r="AE497" s="7"/>
      <c r="AF497" s="7"/>
      <c r="AG497" s="7"/>
      <c r="AH497" s="7"/>
      <c r="AI497" s="7"/>
    </row>
    <row r="498" spans="12:35">
      <c r="L498" s="7">
        <v>19</v>
      </c>
      <c r="M498" s="7">
        <v>58</v>
      </c>
      <c r="N498" s="7" t="b">
        <f>AND($N$5,$N$7,8&lt;=$M$5,7&lt;=$M$7)</f>
        <v>0</v>
      </c>
      <c r="O498" s="7">
        <f>(P19-N19)*(O58-O19)-(Q19-O19)*(N58-N19)</f>
        <v>0</v>
      </c>
      <c r="P498" s="7">
        <f>(P19-N19)*(Q58-O19)-(Q19-O19)*(P58-N19)</f>
        <v>0</v>
      </c>
      <c r="Q498" s="7">
        <f>(P58-N58)*(O19-O58)-(Q58-O58)*(N19-N58)</f>
        <v>0</v>
      </c>
      <c r="R498" s="7">
        <f>(P58-N58)*(Q19-O58)-(Q58-O58)*(P19-N58)</f>
        <v>0</v>
      </c>
      <c r="S498" s="7">
        <f>IF(N498,IF(AND(O498*P498&lt;=0,Q498*R498&lt;=0,MAX(MIN(N19,P19),MIN(N58,P58))&lt;=MIN(MAX(N19,P19),MAX(N58,P58)),MAX(MIN(O19,Q19),MIN(O58,Q58))&lt;=MIN(MAX(O19,Q19),MAX(O58,Q58))),1,0),0)</f>
        <v>0</v>
      </c>
      <c r="T498" s="7"/>
      <c r="U498" s="7"/>
      <c r="V498" s="7"/>
      <c r="W498" s="7"/>
      <c r="X498" s="7"/>
      <c r="Y498" s="7"/>
      <c r="Z498" s="7"/>
      <c r="AA498" s="7"/>
      <c r="AB498" s="7"/>
      <c r="AC498" s="7"/>
      <c r="AD498" s="7"/>
      <c r="AE498" s="7"/>
      <c r="AF498" s="7"/>
      <c r="AG498" s="7"/>
      <c r="AH498" s="7"/>
      <c r="AI498" s="7"/>
    </row>
    <row r="499" spans="12:35">
      <c r="L499" s="7">
        <v>19</v>
      </c>
      <c r="M499" s="7">
        <v>59</v>
      </c>
      <c r="N499" s="7" t="b">
        <f>AND($N$5,$N$7,8&lt;=$M$5,8&lt;=$M$7)</f>
        <v>0</v>
      </c>
      <c r="O499" s="7">
        <f>(P19-N19)*(O59-O19)-(Q19-O19)*(N59-N19)</f>
        <v>0</v>
      </c>
      <c r="P499" s="7">
        <f>(P19-N19)*(Q59-O19)-(Q19-O19)*(P59-N19)</f>
        <v>0</v>
      </c>
      <c r="Q499" s="7">
        <f>(P59-N59)*(O19-O59)-(Q59-O59)*(N19-N59)</f>
        <v>0</v>
      </c>
      <c r="R499" s="7">
        <f>(P59-N59)*(Q19-O59)-(Q59-O59)*(P19-N59)</f>
        <v>0</v>
      </c>
      <c r="S499" s="7">
        <f>IF(N499,IF(AND(O499*P499&lt;=0,Q499*R499&lt;=0,MAX(MIN(N19,P19),MIN(N59,P59))&lt;=MIN(MAX(N19,P19),MAX(N59,P59)),MAX(MIN(O19,Q19),MIN(O59,Q59))&lt;=MIN(MAX(O19,Q19),MAX(O59,Q59))),1,0),0)</f>
        <v>0</v>
      </c>
      <c r="T499" s="7"/>
      <c r="U499" s="7"/>
      <c r="V499" s="7"/>
      <c r="W499" s="7"/>
      <c r="X499" s="7"/>
      <c r="Y499" s="7"/>
      <c r="Z499" s="7"/>
      <c r="AA499" s="7"/>
      <c r="AB499" s="7"/>
      <c r="AC499" s="7"/>
      <c r="AD499" s="7"/>
      <c r="AE499" s="7"/>
      <c r="AF499" s="7"/>
      <c r="AG499" s="7"/>
      <c r="AH499" s="7"/>
      <c r="AI499" s="7"/>
    </row>
    <row r="500" spans="12:35">
      <c r="L500" s="7">
        <v>19</v>
      </c>
      <c r="M500" s="7">
        <v>60</v>
      </c>
      <c r="N500" s="7" t="b">
        <f>AND($N$5,$N$7,8&lt;=$M$5,9&lt;=$M$7)</f>
        <v>0</v>
      </c>
      <c r="O500" s="7">
        <f>(P19-N19)*(O60-O19)-(Q19-O19)*(N60-N19)</f>
        <v>0</v>
      </c>
      <c r="P500" s="7">
        <f>(P19-N19)*(Q60-O19)-(Q19-O19)*(P60-N19)</f>
        <v>0</v>
      </c>
      <c r="Q500" s="7">
        <f>(P60-N60)*(O19-O60)-(Q60-O60)*(N19-N60)</f>
        <v>0</v>
      </c>
      <c r="R500" s="7">
        <f>(P60-N60)*(Q19-O60)-(Q60-O60)*(P19-N60)</f>
        <v>0</v>
      </c>
      <c r="S500" s="7">
        <f>IF(N500,IF(AND(O500*P500&lt;=0,Q500*R500&lt;=0,MAX(MIN(N19,P19),MIN(N60,P60))&lt;=MIN(MAX(N19,P19),MAX(N60,P60)),MAX(MIN(O19,Q19),MIN(O60,Q60))&lt;=MIN(MAX(O19,Q19),MAX(O60,Q60))),1,0),0)</f>
        <v>0</v>
      </c>
      <c r="T500" s="7"/>
      <c r="U500" s="7"/>
      <c r="V500" s="7"/>
      <c r="W500" s="7"/>
      <c r="X500" s="7"/>
      <c r="Y500" s="7"/>
      <c r="Z500" s="7"/>
      <c r="AA500" s="7"/>
      <c r="AB500" s="7"/>
      <c r="AC500" s="7"/>
      <c r="AD500" s="7"/>
      <c r="AE500" s="7"/>
      <c r="AF500" s="7"/>
      <c r="AG500" s="7"/>
      <c r="AH500" s="7"/>
      <c r="AI500" s="7"/>
    </row>
    <row r="501" spans="12:35">
      <c r="L501" s="7">
        <v>19</v>
      </c>
      <c r="M501" s="7">
        <v>61</v>
      </c>
      <c r="N501" s="7" t="b">
        <f>AND($N$5,$N$7,8&lt;=$M$5,10&lt;=$M$7)</f>
        <v>0</v>
      </c>
      <c r="O501" s="7">
        <f>(P19-N19)*(O61-O19)-(Q19-O19)*(N61-N19)</f>
        <v>0</v>
      </c>
      <c r="P501" s="7">
        <f>(P19-N19)*(Q61-O19)-(Q19-O19)*(P61-N19)</f>
        <v>0</v>
      </c>
      <c r="Q501" s="7">
        <f>(P61-N61)*(O19-O61)-(Q61-O61)*(N19-N61)</f>
        <v>0</v>
      </c>
      <c r="R501" s="7">
        <f>(P61-N61)*(Q19-O61)-(Q61-O61)*(P19-N61)</f>
        <v>0</v>
      </c>
      <c r="S501" s="7">
        <f>IF(N501,IF(AND(O501*P501&lt;=0,Q501*R501&lt;=0,MAX(MIN(N19,P19),MIN(N61,P61))&lt;=MIN(MAX(N19,P19),MAX(N61,P61)),MAX(MIN(O19,Q19),MIN(O61,Q61))&lt;=MIN(MAX(O19,Q19),MAX(O61,Q61))),1,0),0)</f>
        <v>0</v>
      </c>
      <c r="T501" s="7"/>
      <c r="U501" s="7"/>
      <c r="V501" s="7"/>
      <c r="W501" s="7"/>
      <c r="X501" s="7"/>
      <c r="Y501" s="7"/>
      <c r="Z501" s="7"/>
      <c r="AA501" s="7"/>
      <c r="AB501" s="7"/>
      <c r="AC501" s="7"/>
      <c r="AD501" s="7"/>
      <c r="AE501" s="7"/>
      <c r="AF501" s="7"/>
      <c r="AG501" s="7"/>
      <c r="AH501" s="7"/>
      <c r="AI501" s="7"/>
    </row>
    <row r="502" spans="12:35">
      <c r="L502" s="7">
        <v>19</v>
      </c>
      <c r="M502" s="7">
        <v>62</v>
      </c>
      <c r="N502" s="7" t="b">
        <f>AND($N$5,$N$7,8&lt;=$M$5,11&lt;=$M$7)</f>
        <v>0</v>
      </c>
      <c r="O502" s="7">
        <f>(P19-N19)*(O62-O19)-(Q19-O19)*(N62-N19)</f>
        <v>0</v>
      </c>
      <c r="P502" s="7">
        <f>(P19-N19)*(Q62-O19)-(Q19-O19)*(P62-N19)</f>
        <v>0</v>
      </c>
      <c r="Q502" s="7">
        <f>(P62-N62)*(O19-O62)-(Q62-O62)*(N19-N62)</f>
        <v>0</v>
      </c>
      <c r="R502" s="7">
        <f>(P62-N62)*(Q19-O62)-(Q62-O62)*(P19-N62)</f>
        <v>0</v>
      </c>
      <c r="S502" s="7">
        <f>IF(N502,IF(AND(O502*P502&lt;=0,Q502*R502&lt;=0,MAX(MIN(N19,P19),MIN(N62,P62))&lt;=MIN(MAX(N19,P19),MAX(N62,P62)),MAX(MIN(O19,Q19),MIN(O62,Q62))&lt;=MIN(MAX(O19,Q19),MAX(O62,Q62))),1,0),0)</f>
        <v>0</v>
      </c>
      <c r="T502" s="7"/>
      <c r="U502" s="7"/>
      <c r="V502" s="7"/>
      <c r="W502" s="7"/>
      <c r="X502" s="7"/>
      <c r="Y502" s="7"/>
      <c r="Z502" s="7"/>
      <c r="AA502" s="7"/>
      <c r="AB502" s="7"/>
      <c r="AC502" s="7"/>
      <c r="AD502" s="7"/>
      <c r="AE502" s="7"/>
      <c r="AF502" s="7"/>
      <c r="AG502" s="7"/>
      <c r="AH502" s="7"/>
      <c r="AI502" s="7"/>
    </row>
    <row r="503" spans="12:35">
      <c r="L503" s="7">
        <v>19</v>
      </c>
      <c r="M503" s="7">
        <v>63</v>
      </c>
      <c r="N503" s="7" t="b">
        <f>AND($N$5,$N$7,8&lt;=$M$5,12&lt;=$M$7)</f>
        <v>0</v>
      </c>
      <c r="O503" s="7">
        <f>(P19-N19)*(O63-O19)-(Q19-O19)*(N63-N19)</f>
        <v>0</v>
      </c>
      <c r="P503" s="7">
        <f>(P19-N19)*(Q63-O19)-(Q19-O19)*(P63-N19)</f>
        <v>0</v>
      </c>
      <c r="Q503" s="7">
        <f>(P63-N63)*(O19-O63)-(Q63-O63)*(N19-N63)</f>
        <v>0</v>
      </c>
      <c r="R503" s="7">
        <f>(P63-N63)*(Q19-O63)-(Q63-O63)*(P19-N63)</f>
        <v>0</v>
      </c>
      <c r="S503" s="7">
        <f>IF(N503,IF(AND(O503*P503&lt;=0,Q503*R503&lt;=0,MAX(MIN(N19,P19),MIN(N63,P63))&lt;=MIN(MAX(N19,P19),MAX(N63,P63)),MAX(MIN(O19,Q19),MIN(O63,Q63))&lt;=MIN(MAX(O19,Q19),MAX(O63,Q63))),1,0),0)</f>
        <v>0</v>
      </c>
      <c r="T503" s="7"/>
      <c r="U503" s="7"/>
      <c r="V503" s="7"/>
      <c r="W503" s="7"/>
      <c r="X503" s="7"/>
      <c r="Y503" s="7"/>
      <c r="Z503" s="7"/>
      <c r="AA503" s="7"/>
      <c r="AB503" s="7"/>
      <c r="AC503" s="7"/>
      <c r="AD503" s="7"/>
      <c r="AE503" s="7"/>
      <c r="AF503" s="7"/>
      <c r="AG503" s="7"/>
      <c r="AH503" s="7"/>
      <c r="AI503" s="7"/>
    </row>
    <row r="504" spans="12:35">
      <c r="L504" s="7">
        <v>19</v>
      </c>
      <c r="M504" s="7">
        <v>64</v>
      </c>
      <c r="N504" s="7" t="b">
        <f>AND($N$5,$N$7,8&lt;=$M$5,13&lt;=$M$7)</f>
        <v>0</v>
      </c>
      <c r="O504" s="7">
        <f>(P19-N19)*(O64-O19)-(Q19-O19)*(N64-N19)</f>
        <v>0</v>
      </c>
      <c r="P504" s="7">
        <f>(P19-N19)*(Q64-O19)-(Q19-O19)*(P64-N19)</f>
        <v>0</v>
      </c>
      <c r="Q504" s="7">
        <f>(P64-N64)*(O19-O64)-(Q64-O64)*(N19-N64)</f>
        <v>0</v>
      </c>
      <c r="R504" s="7">
        <f>(P64-N64)*(Q19-O64)-(Q64-O64)*(P19-N64)</f>
        <v>0</v>
      </c>
      <c r="S504" s="7">
        <f>IF(N504,IF(AND(O504*P504&lt;=0,Q504*R504&lt;=0,MAX(MIN(N19,P19),MIN(N64,P64))&lt;=MIN(MAX(N19,P19),MAX(N64,P64)),MAX(MIN(O19,Q19),MIN(O64,Q64))&lt;=MIN(MAX(O19,Q19),MAX(O64,Q64))),1,0),0)</f>
        <v>0</v>
      </c>
      <c r="T504" s="7"/>
      <c r="U504" s="7"/>
      <c r="V504" s="7"/>
      <c r="W504" s="7"/>
      <c r="X504" s="7"/>
      <c r="Y504" s="7"/>
      <c r="Z504" s="7"/>
      <c r="AA504" s="7"/>
      <c r="AB504" s="7"/>
      <c r="AC504" s="7"/>
      <c r="AD504" s="7"/>
      <c r="AE504" s="7"/>
      <c r="AF504" s="7"/>
      <c r="AG504" s="7"/>
      <c r="AH504" s="7"/>
      <c r="AI504" s="7"/>
    </row>
    <row r="505" spans="12:35">
      <c r="L505" s="7">
        <v>19</v>
      </c>
      <c r="M505" s="7">
        <v>65</v>
      </c>
      <c r="N505" s="7" t="b">
        <f>AND($N$5,$N$7,8&lt;=$M$5,14&lt;=$M$7)</f>
        <v>0</v>
      </c>
      <c r="O505" s="7">
        <f>(P19-N19)*(O65-O19)-(Q19-O19)*(N65-N19)</f>
        <v>0</v>
      </c>
      <c r="P505" s="7">
        <f>(P19-N19)*(Q65-O19)-(Q19-O19)*(P65-N19)</f>
        <v>0</v>
      </c>
      <c r="Q505" s="7">
        <f>(P65-N65)*(O19-O65)-(Q65-O65)*(N19-N65)</f>
        <v>0</v>
      </c>
      <c r="R505" s="7">
        <f>(P65-N65)*(Q19-O65)-(Q65-O65)*(P19-N65)</f>
        <v>0</v>
      </c>
      <c r="S505" s="7">
        <f>IF(N505,IF(AND(O505*P505&lt;=0,Q505*R505&lt;=0,MAX(MIN(N19,P19),MIN(N65,P65))&lt;=MIN(MAX(N19,P19),MAX(N65,P65)),MAX(MIN(O19,Q19),MIN(O65,Q65))&lt;=MIN(MAX(O19,Q19),MAX(O65,Q65))),1,0),0)</f>
        <v>0</v>
      </c>
      <c r="T505" s="7"/>
      <c r="U505" s="7"/>
      <c r="V505" s="7"/>
      <c r="W505" s="7"/>
      <c r="X505" s="7"/>
      <c r="Y505" s="7"/>
      <c r="Z505" s="7"/>
      <c r="AA505" s="7"/>
      <c r="AB505" s="7"/>
      <c r="AC505" s="7"/>
      <c r="AD505" s="7"/>
      <c r="AE505" s="7"/>
      <c r="AF505" s="7"/>
      <c r="AG505" s="7"/>
      <c r="AH505" s="7"/>
      <c r="AI505" s="7"/>
    </row>
    <row r="506" spans="12:35">
      <c r="L506" s="7">
        <v>19</v>
      </c>
      <c r="M506" s="7">
        <v>66</v>
      </c>
      <c r="N506" s="7" t="b">
        <f>AND($N$5,$N$7,8&lt;=$M$5,15&lt;=$M$7)</f>
        <v>0</v>
      </c>
      <c r="O506" s="7">
        <f>(P19-N19)*(O66-O19)-(Q19-O19)*(N66-N19)</f>
        <v>0</v>
      </c>
      <c r="P506" s="7">
        <f>(P19-N19)*(Q66-O19)-(Q19-O19)*(P66-N19)</f>
        <v>0</v>
      </c>
      <c r="Q506" s="7">
        <f>(P66-N66)*(O19-O66)-(Q66-O66)*(N19-N66)</f>
        <v>0</v>
      </c>
      <c r="R506" s="7">
        <f>(P66-N66)*(Q19-O66)-(Q66-O66)*(P19-N66)</f>
        <v>0</v>
      </c>
      <c r="S506" s="7">
        <f>IF(N506,IF(AND(O506*P506&lt;=0,Q506*R506&lt;=0,MAX(MIN(N19,P19),MIN(N66,P66))&lt;=MIN(MAX(N19,P19),MAX(N66,P66)),MAX(MIN(O19,Q19),MIN(O66,Q66))&lt;=MIN(MAX(O19,Q19),MAX(O66,Q66))),1,0),0)</f>
        <v>0</v>
      </c>
      <c r="T506" s="7"/>
      <c r="U506" s="7"/>
      <c r="V506" s="7"/>
      <c r="W506" s="7"/>
      <c r="X506" s="7"/>
      <c r="Y506" s="7"/>
      <c r="Z506" s="7"/>
      <c r="AA506" s="7"/>
      <c r="AB506" s="7"/>
      <c r="AC506" s="7"/>
      <c r="AD506" s="7"/>
      <c r="AE506" s="7"/>
      <c r="AF506" s="7"/>
      <c r="AG506" s="7"/>
      <c r="AH506" s="7"/>
      <c r="AI506" s="7"/>
    </row>
    <row r="507" spans="12:35">
      <c r="L507" s="7">
        <v>19</v>
      </c>
      <c r="M507" s="7">
        <v>67</v>
      </c>
      <c r="N507" s="7" t="b">
        <f>AND($N$5,$N$7,8&lt;=$M$5,16&lt;=$M$7)</f>
        <v>0</v>
      </c>
      <c r="O507" s="7">
        <f>(P19-N19)*(O67-O19)-(Q19-O19)*(N67-N19)</f>
        <v>0</v>
      </c>
      <c r="P507" s="7">
        <f>(P19-N19)*(Q67-O19)-(Q19-O19)*(P67-N19)</f>
        <v>0</v>
      </c>
      <c r="Q507" s="7">
        <f>(P67-N67)*(O19-O67)-(Q67-O67)*(N19-N67)</f>
        <v>0</v>
      </c>
      <c r="R507" s="7">
        <f>(P67-N67)*(Q19-O67)-(Q67-O67)*(P19-N67)</f>
        <v>0</v>
      </c>
      <c r="S507" s="7">
        <f>IF(N507,IF(AND(O507*P507&lt;=0,Q507*R507&lt;=0,MAX(MIN(N19,P19),MIN(N67,P67))&lt;=MIN(MAX(N19,P19),MAX(N67,P67)),MAX(MIN(O19,Q19),MIN(O67,Q67))&lt;=MIN(MAX(O19,Q19),MAX(O67,Q67))),1,0),0)</f>
        <v>0</v>
      </c>
      <c r="T507" s="7"/>
      <c r="U507" s="7"/>
      <c r="V507" s="7"/>
      <c r="W507" s="7"/>
      <c r="X507" s="7"/>
      <c r="Y507" s="7"/>
      <c r="Z507" s="7"/>
      <c r="AA507" s="7"/>
      <c r="AB507" s="7"/>
      <c r="AC507" s="7"/>
      <c r="AD507" s="7"/>
      <c r="AE507" s="7"/>
      <c r="AF507" s="7"/>
      <c r="AG507" s="7"/>
      <c r="AH507" s="7"/>
      <c r="AI507" s="7"/>
    </row>
    <row r="508" spans="12:35">
      <c r="L508" s="7">
        <v>19</v>
      </c>
      <c r="M508" s="7">
        <v>68</v>
      </c>
      <c r="N508" s="7" t="b">
        <f>AND($N$5,$N$7,8&lt;=$M$5,17&lt;=$M$7)</f>
        <v>0</v>
      </c>
      <c r="O508" s="7">
        <f>(P19-N19)*(O68-O19)-(Q19-O19)*(N68-N19)</f>
        <v>0</v>
      </c>
      <c r="P508" s="7">
        <f>(P19-N19)*(Q68-O19)-(Q19-O19)*(P68-N19)</f>
        <v>0</v>
      </c>
      <c r="Q508" s="7">
        <f>(P68-N68)*(O19-O68)-(Q68-O68)*(N19-N68)</f>
        <v>0</v>
      </c>
      <c r="R508" s="7">
        <f>(P68-N68)*(Q19-O68)-(Q68-O68)*(P19-N68)</f>
        <v>0</v>
      </c>
      <c r="S508" s="7">
        <f>IF(N508,IF(AND(O508*P508&lt;=0,Q508*R508&lt;=0,MAX(MIN(N19,P19),MIN(N68,P68))&lt;=MIN(MAX(N19,P19),MAX(N68,P68)),MAX(MIN(O19,Q19),MIN(O68,Q68))&lt;=MIN(MAX(O19,Q19),MAX(O68,Q68))),1,0),0)</f>
        <v>0</v>
      </c>
      <c r="T508" s="7"/>
      <c r="U508" s="7"/>
      <c r="V508" s="7"/>
      <c r="W508" s="7"/>
      <c r="X508" s="7"/>
      <c r="Y508" s="7"/>
      <c r="Z508" s="7"/>
      <c r="AA508" s="7"/>
      <c r="AB508" s="7"/>
      <c r="AC508" s="7"/>
      <c r="AD508" s="7"/>
      <c r="AE508" s="7"/>
      <c r="AF508" s="7"/>
      <c r="AG508" s="7"/>
      <c r="AH508" s="7"/>
      <c r="AI508" s="7"/>
    </row>
    <row r="509" spans="12:35">
      <c r="L509" s="7">
        <v>19</v>
      </c>
      <c r="M509" s="7">
        <v>69</v>
      </c>
      <c r="N509" s="7" t="b">
        <f>AND($N$5,$N$7,8&lt;=$M$5,18&lt;=$M$7)</f>
        <v>0</v>
      </c>
      <c r="O509" s="7">
        <f>(P19-N19)*(O69-O19)-(Q19-O19)*(N69-N19)</f>
        <v>0</v>
      </c>
      <c r="P509" s="7">
        <f>(P19-N19)*(Q69-O19)-(Q19-O19)*(P69-N19)</f>
        <v>0</v>
      </c>
      <c r="Q509" s="7">
        <f>(P69-N69)*(O19-O69)-(Q69-O69)*(N19-N69)</f>
        <v>0</v>
      </c>
      <c r="R509" s="7">
        <f>(P69-N69)*(Q19-O69)-(Q69-O69)*(P19-N69)</f>
        <v>0</v>
      </c>
      <c r="S509" s="7">
        <f>IF(N509,IF(AND(O509*P509&lt;=0,Q509*R509&lt;=0,MAX(MIN(N19,P19),MIN(N69,P69))&lt;=MIN(MAX(N19,P19),MAX(N69,P69)),MAX(MIN(O19,Q19),MIN(O69,Q69))&lt;=MIN(MAX(O19,Q19),MAX(O69,Q69))),1,0),0)</f>
        <v>0</v>
      </c>
      <c r="T509" s="7"/>
      <c r="U509" s="7"/>
      <c r="V509" s="7"/>
      <c r="W509" s="7"/>
      <c r="X509" s="7"/>
      <c r="Y509" s="7"/>
      <c r="Z509" s="7"/>
      <c r="AA509" s="7"/>
      <c r="AB509" s="7"/>
      <c r="AC509" s="7"/>
      <c r="AD509" s="7"/>
      <c r="AE509" s="7"/>
      <c r="AF509" s="7"/>
      <c r="AG509" s="7"/>
      <c r="AH509" s="7"/>
      <c r="AI509" s="7"/>
    </row>
    <row r="510" spans="12:35">
      <c r="L510" s="7">
        <v>19</v>
      </c>
      <c r="M510" s="7">
        <v>70</v>
      </c>
      <c r="N510" s="7" t="b">
        <f>AND($N$5,$N$7,8&lt;=$M$5,19&lt;=$M$7)</f>
        <v>0</v>
      </c>
      <c r="O510" s="7">
        <f>(P19-N19)*(O70-O19)-(Q19-O19)*(N70-N19)</f>
        <v>0</v>
      </c>
      <c r="P510" s="7">
        <f>(P19-N19)*(Q70-O19)-(Q19-O19)*(P70-N19)</f>
        <v>0</v>
      </c>
      <c r="Q510" s="7">
        <f>(P70-N70)*(O19-O70)-(Q70-O70)*(N19-N70)</f>
        <v>0</v>
      </c>
      <c r="R510" s="7">
        <f>(P70-N70)*(Q19-O70)-(Q70-O70)*(P19-N70)</f>
        <v>0</v>
      </c>
      <c r="S510" s="7">
        <f>IF(N510,IF(AND(O510*P510&lt;=0,Q510*R510&lt;=0,MAX(MIN(N19,P19),MIN(N70,P70))&lt;=MIN(MAX(N19,P19),MAX(N70,P70)),MAX(MIN(O19,Q19),MIN(O70,Q70))&lt;=MIN(MAX(O19,Q19),MAX(O70,Q70))),1,0),0)</f>
        <v>0</v>
      </c>
      <c r="T510" s="7"/>
      <c r="U510" s="7"/>
      <c r="V510" s="7"/>
      <c r="W510" s="7"/>
      <c r="X510" s="7"/>
      <c r="Y510" s="7"/>
      <c r="Z510" s="7"/>
      <c r="AA510" s="7"/>
      <c r="AB510" s="7"/>
      <c r="AC510" s="7"/>
      <c r="AD510" s="7"/>
      <c r="AE510" s="7"/>
      <c r="AF510" s="7"/>
      <c r="AG510" s="7"/>
      <c r="AH510" s="7"/>
      <c r="AI510" s="7"/>
    </row>
    <row r="511" spans="12:35">
      <c r="L511" s="7">
        <v>19</v>
      </c>
      <c r="M511" s="7">
        <v>71</v>
      </c>
      <c r="N511" s="7" t="b">
        <f>AND($N$5,$N$7,8&lt;=$M$5,20&lt;=$M$7)</f>
        <v>0</v>
      </c>
      <c r="O511" s="7">
        <f>(P19-N19)*(O71-O19)-(Q19-O19)*(N71-N19)</f>
        <v>0</v>
      </c>
      <c r="P511" s="7">
        <f>(P19-N19)*(Q71-O19)-(Q19-O19)*(P71-N19)</f>
        <v>0</v>
      </c>
      <c r="Q511" s="7">
        <f>(P71-N71)*(O19-O71)-(Q71-O71)*(N19-N71)</f>
        <v>0</v>
      </c>
      <c r="R511" s="7">
        <f>(P71-N71)*(Q19-O71)-(Q71-O71)*(P19-N71)</f>
        <v>0</v>
      </c>
      <c r="S511" s="7">
        <f>IF(N511,IF(AND(O511*P511&lt;=0,Q511*R511&lt;=0,MAX(MIN(N19,P19),MIN(N71,P71))&lt;=MIN(MAX(N19,P19),MAX(N71,P71)),MAX(MIN(O19,Q19),MIN(O71,Q71))&lt;=MIN(MAX(O19,Q19),MAX(O71,Q71))),1,0),0)</f>
        <v>0</v>
      </c>
      <c r="T511" s="7"/>
      <c r="U511" s="7"/>
      <c r="V511" s="7"/>
      <c r="W511" s="7"/>
      <c r="X511" s="7"/>
      <c r="Y511" s="7"/>
      <c r="Z511" s="7"/>
      <c r="AA511" s="7"/>
      <c r="AB511" s="7"/>
      <c r="AC511" s="7"/>
      <c r="AD511" s="7"/>
      <c r="AE511" s="7"/>
      <c r="AF511" s="7"/>
      <c r="AG511" s="7"/>
      <c r="AH511" s="7"/>
      <c r="AI511" s="7"/>
    </row>
    <row r="512" spans="12:35">
      <c r="L512" s="7">
        <v>20</v>
      </c>
      <c r="M512" s="7">
        <v>22</v>
      </c>
      <c r="N512" s="7" t="b">
        <f>AND($N$5,$N$5,9&lt;=$M$5,11&lt;=$M$5)</f>
        <v>0</v>
      </c>
      <c r="O512" s="7">
        <f>(P20-N20)*(O22-O20)-(Q20-O20)*(N22-N20)</f>
        <v>0</v>
      </c>
      <c r="P512" s="7">
        <f>(P20-N20)*(Q22-O20)-(Q20-O20)*(P22-N20)</f>
        <v>0</v>
      </c>
      <c r="Q512" s="7">
        <f>(P22-N22)*(O20-O22)-(Q22-O22)*(N20-N22)</f>
        <v>0</v>
      </c>
      <c r="R512" s="7">
        <f>(P22-N22)*(Q20-O22)-(Q22-O22)*(P20-N22)</f>
        <v>0</v>
      </c>
      <c r="S512" s="7">
        <f>IF(N512,IF(AND(O512*P512&lt;=0,Q512*R512&lt;=0,MAX(MIN(N20,P20),MIN(N22,P22))&lt;=MIN(MAX(N20,P20),MAX(N22,P22)),MAX(MIN(O20,Q20),MIN(O22,Q22))&lt;=MIN(MAX(O20,Q20),MAX(O22,Q22))),1,0),0)</f>
        <v>0</v>
      </c>
      <c r="T512" s="7"/>
      <c r="U512" s="7"/>
      <c r="V512" s="7"/>
      <c r="W512" s="7"/>
      <c r="X512" s="7"/>
      <c r="Y512" s="7"/>
      <c r="Z512" s="7"/>
      <c r="AA512" s="7"/>
      <c r="AB512" s="7"/>
      <c r="AC512" s="7"/>
      <c r="AD512" s="7"/>
      <c r="AE512" s="7"/>
      <c r="AF512" s="7"/>
      <c r="AG512" s="7"/>
      <c r="AH512" s="7"/>
      <c r="AI512" s="7"/>
    </row>
    <row r="513" spans="12:35">
      <c r="L513" s="7">
        <v>20</v>
      </c>
      <c r="M513" s="7">
        <v>23</v>
      </c>
      <c r="N513" s="7" t="b">
        <f>AND($N$5,$N$5,9&lt;=$M$5,12&lt;=$M$5)</f>
        <v>0</v>
      </c>
      <c r="O513" s="7">
        <f>(P20-N20)*(O23-O20)-(Q20-O20)*(N23-N20)</f>
        <v>0</v>
      </c>
      <c r="P513" s="7">
        <f>(P20-N20)*(Q23-O20)-(Q20-O20)*(P23-N20)</f>
        <v>0</v>
      </c>
      <c r="Q513" s="7">
        <f>(P23-N23)*(O20-O23)-(Q23-O23)*(N20-N23)</f>
        <v>0</v>
      </c>
      <c r="R513" s="7">
        <f>(P23-N23)*(Q20-O23)-(Q23-O23)*(P20-N23)</f>
        <v>0</v>
      </c>
      <c r="S513" s="7">
        <f>IF(N513,IF(AND(O513*P513&lt;=0,Q513*R513&lt;=0,MAX(MIN(N20,P20),MIN(N23,P23))&lt;=MIN(MAX(N20,P20),MAX(N23,P23)),MAX(MIN(O20,Q20),MIN(O23,Q23))&lt;=MIN(MAX(O20,Q20),MAX(O23,Q23))),1,0),0)</f>
        <v>0</v>
      </c>
      <c r="T513" s="7"/>
      <c r="U513" s="7"/>
      <c r="V513" s="7"/>
      <c r="W513" s="7"/>
      <c r="X513" s="7"/>
      <c r="Y513" s="7"/>
      <c r="Z513" s="7"/>
      <c r="AA513" s="7"/>
      <c r="AB513" s="7"/>
      <c r="AC513" s="7"/>
      <c r="AD513" s="7"/>
      <c r="AE513" s="7"/>
      <c r="AF513" s="7"/>
      <c r="AG513" s="7"/>
      <c r="AH513" s="7"/>
      <c r="AI513" s="7"/>
    </row>
    <row r="514" spans="12:35">
      <c r="L514" s="7">
        <v>20</v>
      </c>
      <c r="M514" s="7">
        <v>24</v>
      </c>
      <c r="N514" s="7" t="b">
        <f>AND($N$5,$N$5,9&lt;=$M$5,13&lt;=$M$5)</f>
        <v>0</v>
      </c>
      <c r="O514" s="7">
        <f>(P20-N20)*(O24-O20)-(Q20-O20)*(N24-N20)</f>
        <v>0</v>
      </c>
      <c r="P514" s="7">
        <f>(P20-N20)*(Q24-O20)-(Q20-O20)*(P24-N20)</f>
        <v>0</v>
      </c>
      <c r="Q514" s="7">
        <f>(P24-N24)*(O20-O24)-(Q24-O24)*(N20-N24)</f>
        <v>0</v>
      </c>
      <c r="R514" s="7">
        <f>(P24-N24)*(Q20-O24)-(Q24-O24)*(P20-N24)</f>
        <v>0</v>
      </c>
      <c r="S514" s="7">
        <f>IF(N514,IF(AND(O514*P514&lt;=0,Q514*R514&lt;=0,MAX(MIN(N20,P20),MIN(N24,P24))&lt;=MIN(MAX(N20,P20),MAX(N24,P24)),MAX(MIN(O20,Q20),MIN(O24,Q24))&lt;=MIN(MAX(O20,Q20),MAX(O24,Q24))),1,0),0)</f>
        <v>0</v>
      </c>
      <c r="T514" s="7"/>
      <c r="U514" s="7"/>
      <c r="V514" s="7"/>
      <c r="W514" s="7"/>
      <c r="X514" s="7"/>
      <c r="Y514" s="7"/>
      <c r="Z514" s="7"/>
      <c r="AA514" s="7"/>
      <c r="AB514" s="7"/>
      <c r="AC514" s="7"/>
      <c r="AD514" s="7"/>
      <c r="AE514" s="7"/>
      <c r="AF514" s="7"/>
      <c r="AG514" s="7"/>
      <c r="AH514" s="7"/>
      <c r="AI514" s="7"/>
    </row>
    <row r="515" spans="12:35">
      <c r="L515" s="7">
        <v>20</v>
      </c>
      <c r="M515" s="7">
        <v>25</v>
      </c>
      <c r="N515" s="7" t="b">
        <f>AND($N$5,$N$5,9&lt;=$M$5,14&lt;=$M$5)</f>
        <v>0</v>
      </c>
      <c r="O515" s="7">
        <f>(P20-N20)*(O25-O20)-(Q20-O20)*(N25-N20)</f>
        <v>0</v>
      </c>
      <c r="P515" s="7">
        <f>(P20-N20)*(Q25-O20)-(Q20-O20)*(P25-N20)</f>
        <v>0</v>
      </c>
      <c r="Q515" s="7">
        <f>(P25-N25)*(O20-O25)-(Q25-O25)*(N20-N25)</f>
        <v>0</v>
      </c>
      <c r="R515" s="7">
        <f>(P25-N25)*(Q20-O25)-(Q25-O25)*(P20-N25)</f>
        <v>0</v>
      </c>
      <c r="S515" s="7">
        <f>IF(N515,IF(AND(O515*P515&lt;=0,Q515*R515&lt;=0,MAX(MIN(N20,P20),MIN(N25,P25))&lt;=MIN(MAX(N20,P20),MAX(N25,P25)),MAX(MIN(O20,Q20),MIN(O25,Q25))&lt;=MIN(MAX(O20,Q20),MAX(O25,Q25))),1,0),0)</f>
        <v>0</v>
      </c>
      <c r="T515" s="7"/>
      <c r="U515" s="7"/>
      <c r="V515" s="7"/>
      <c r="W515" s="7"/>
      <c r="X515" s="7"/>
      <c r="Y515" s="7"/>
      <c r="Z515" s="7"/>
      <c r="AA515" s="7"/>
      <c r="AB515" s="7"/>
      <c r="AC515" s="7"/>
      <c r="AD515" s="7"/>
      <c r="AE515" s="7"/>
      <c r="AF515" s="7"/>
      <c r="AG515" s="7"/>
      <c r="AH515" s="7"/>
      <c r="AI515" s="7"/>
    </row>
    <row r="516" spans="12:35">
      <c r="L516" s="7">
        <v>20</v>
      </c>
      <c r="M516" s="7">
        <v>26</v>
      </c>
      <c r="N516" s="7" t="b">
        <f>AND($N$5,$N$5,9&lt;=$M$5,15&lt;=$M$5)</f>
        <v>0</v>
      </c>
      <c r="O516" s="7">
        <f>(P20-N20)*(O26-O20)-(Q20-O20)*(N26-N20)</f>
        <v>0</v>
      </c>
      <c r="P516" s="7">
        <f>(P20-N20)*(Q26-O20)-(Q20-O20)*(P26-N20)</f>
        <v>0</v>
      </c>
      <c r="Q516" s="7">
        <f>(P26-N26)*(O20-O26)-(Q26-O26)*(N20-N26)</f>
        <v>0</v>
      </c>
      <c r="R516" s="7">
        <f>(P26-N26)*(Q20-O26)-(Q26-O26)*(P20-N26)</f>
        <v>0</v>
      </c>
      <c r="S516" s="7">
        <f>IF(N516,IF(AND(O516*P516&lt;=0,Q516*R516&lt;=0,MAX(MIN(N20,P20),MIN(N26,P26))&lt;=MIN(MAX(N20,P20),MAX(N26,P26)),MAX(MIN(O20,Q20),MIN(O26,Q26))&lt;=MIN(MAX(O20,Q20),MAX(O26,Q26))),1,0),0)</f>
        <v>0</v>
      </c>
      <c r="T516" s="7"/>
      <c r="U516" s="7"/>
      <c r="V516" s="7"/>
      <c r="W516" s="7"/>
      <c r="X516" s="7"/>
      <c r="Y516" s="7"/>
      <c r="Z516" s="7"/>
      <c r="AA516" s="7"/>
      <c r="AB516" s="7"/>
      <c r="AC516" s="7"/>
      <c r="AD516" s="7"/>
      <c r="AE516" s="7"/>
      <c r="AF516" s="7"/>
      <c r="AG516" s="7"/>
      <c r="AH516" s="7"/>
      <c r="AI516" s="7"/>
    </row>
    <row r="517" spans="12:35">
      <c r="L517" s="7">
        <v>20</v>
      </c>
      <c r="M517" s="7">
        <v>27</v>
      </c>
      <c r="N517" s="7" t="b">
        <f>AND($N$5,$N$5,9&lt;=$M$5,16&lt;=$M$5)</f>
        <v>0</v>
      </c>
      <c r="O517" s="7">
        <f>(P20-N20)*(O27-O20)-(Q20-O20)*(N27-N20)</f>
        <v>0</v>
      </c>
      <c r="P517" s="7">
        <f>(P20-N20)*(Q27-O20)-(Q20-O20)*(P27-N20)</f>
        <v>0</v>
      </c>
      <c r="Q517" s="7">
        <f>(P27-N27)*(O20-O27)-(Q27-O27)*(N20-N27)</f>
        <v>0</v>
      </c>
      <c r="R517" s="7">
        <f>(P27-N27)*(Q20-O27)-(Q27-O27)*(P20-N27)</f>
        <v>0</v>
      </c>
      <c r="S517" s="7">
        <f>IF(N517,IF(AND(O517*P517&lt;=0,Q517*R517&lt;=0,MAX(MIN(N20,P20),MIN(N27,P27))&lt;=MIN(MAX(N20,P20),MAX(N27,P27)),MAX(MIN(O20,Q20),MIN(O27,Q27))&lt;=MIN(MAX(O20,Q20),MAX(O27,Q27))),1,0),0)</f>
        <v>0</v>
      </c>
      <c r="T517" s="7"/>
      <c r="U517" s="7"/>
      <c r="V517" s="7"/>
      <c r="W517" s="7"/>
      <c r="X517" s="7"/>
      <c r="Y517" s="7"/>
      <c r="Z517" s="7"/>
      <c r="AA517" s="7"/>
      <c r="AB517" s="7"/>
      <c r="AC517" s="7"/>
      <c r="AD517" s="7"/>
      <c r="AE517" s="7"/>
      <c r="AF517" s="7"/>
      <c r="AG517" s="7"/>
      <c r="AH517" s="7"/>
      <c r="AI517" s="7"/>
    </row>
    <row r="518" spans="12:35">
      <c r="L518" s="7">
        <v>20</v>
      </c>
      <c r="M518" s="7">
        <v>28</v>
      </c>
      <c r="N518" s="7" t="b">
        <f>AND($N$5,$N$5,9&lt;=$M$5,17&lt;=$M$5)</f>
        <v>0</v>
      </c>
      <c r="O518" s="7">
        <f>(P20-N20)*(O28-O20)-(Q20-O20)*(N28-N20)</f>
        <v>0</v>
      </c>
      <c r="P518" s="7">
        <f>(P20-N20)*(Q28-O20)-(Q20-O20)*(P28-N20)</f>
        <v>0</v>
      </c>
      <c r="Q518" s="7">
        <f>(P28-N28)*(O20-O28)-(Q28-O28)*(N20-N28)</f>
        <v>0</v>
      </c>
      <c r="R518" s="7">
        <f>(P28-N28)*(Q20-O28)-(Q28-O28)*(P20-N28)</f>
        <v>0</v>
      </c>
      <c r="S518" s="7">
        <f>IF(N518,IF(AND(O518*P518&lt;=0,Q518*R518&lt;=0,MAX(MIN(N20,P20),MIN(N28,P28))&lt;=MIN(MAX(N20,P20),MAX(N28,P28)),MAX(MIN(O20,Q20),MIN(O28,Q28))&lt;=MIN(MAX(O20,Q20),MAX(O28,Q28))),1,0),0)</f>
        <v>0</v>
      </c>
      <c r="T518" s="7"/>
      <c r="U518" s="7"/>
      <c r="V518" s="7"/>
      <c r="W518" s="7"/>
      <c r="X518" s="7"/>
      <c r="Y518" s="7"/>
      <c r="Z518" s="7"/>
      <c r="AA518" s="7"/>
      <c r="AB518" s="7"/>
      <c r="AC518" s="7"/>
      <c r="AD518" s="7"/>
      <c r="AE518" s="7"/>
      <c r="AF518" s="7"/>
      <c r="AG518" s="7"/>
      <c r="AH518" s="7"/>
      <c r="AI518" s="7"/>
    </row>
    <row r="519" spans="12:35">
      <c r="L519" s="7">
        <v>20</v>
      </c>
      <c r="M519" s="7">
        <v>29</v>
      </c>
      <c r="N519" s="7" t="b">
        <f>AND($N$5,$N$5,9&lt;=$M$5,18&lt;=$M$5)</f>
        <v>0</v>
      </c>
      <c r="O519" s="7">
        <f>(P20-N20)*(O29-O20)-(Q20-O20)*(N29-N20)</f>
        <v>0</v>
      </c>
      <c r="P519" s="7">
        <f>(P20-N20)*(Q29-O20)-(Q20-O20)*(P29-N20)</f>
        <v>0</v>
      </c>
      <c r="Q519" s="7">
        <f>(P29-N29)*(O20-O29)-(Q29-O29)*(N20-N29)</f>
        <v>0</v>
      </c>
      <c r="R519" s="7">
        <f>(P29-N29)*(Q20-O29)-(Q29-O29)*(P20-N29)</f>
        <v>0</v>
      </c>
      <c r="S519" s="7">
        <f>IF(N519,IF(AND(O519*P519&lt;=0,Q519*R519&lt;=0,MAX(MIN(N20,P20),MIN(N29,P29))&lt;=MIN(MAX(N20,P20),MAX(N29,P29)),MAX(MIN(O20,Q20),MIN(O29,Q29))&lt;=MIN(MAX(O20,Q20),MAX(O29,Q29))),1,0),0)</f>
        <v>0</v>
      </c>
      <c r="T519" s="7"/>
      <c r="U519" s="7"/>
      <c r="V519" s="7"/>
      <c r="W519" s="7"/>
      <c r="X519" s="7"/>
      <c r="Y519" s="7"/>
      <c r="Z519" s="7"/>
      <c r="AA519" s="7"/>
      <c r="AB519" s="7"/>
      <c r="AC519" s="7"/>
      <c r="AD519" s="7"/>
      <c r="AE519" s="7"/>
      <c r="AF519" s="7"/>
      <c r="AG519" s="7"/>
      <c r="AH519" s="7"/>
      <c r="AI519" s="7"/>
    </row>
    <row r="520" spans="12:35">
      <c r="L520" s="7">
        <v>20</v>
      </c>
      <c r="M520" s="7">
        <v>30</v>
      </c>
      <c r="N520" s="7" t="b">
        <f>AND($N$5,$N$5,9&lt;=$M$5,19&lt;=$M$5)</f>
        <v>0</v>
      </c>
      <c r="O520" s="7">
        <f>(P20-N20)*(O30-O20)-(Q20-O20)*(N30-N20)</f>
        <v>0</v>
      </c>
      <c r="P520" s="7">
        <f>(P20-N20)*(Q30-O20)-(Q20-O20)*(P30-N20)</f>
        <v>0</v>
      </c>
      <c r="Q520" s="7">
        <f>(P30-N30)*(O20-O30)-(Q30-O30)*(N20-N30)</f>
        <v>0</v>
      </c>
      <c r="R520" s="7">
        <f>(P30-N30)*(Q20-O30)-(Q30-O30)*(P20-N30)</f>
        <v>0</v>
      </c>
      <c r="S520" s="7">
        <f>IF(N520,IF(AND(O520*P520&lt;=0,Q520*R520&lt;=0,MAX(MIN(N20,P20),MIN(N30,P30))&lt;=MIN(MAX(N20,P20),MAX(N30,P30)),MAX(MIN(O20,Q20),MIN(O30,Q30))&lt;=MIN(MAX(O20,Q20),MAX(O30,Q30))),1,0),0)</f>
        <v>0</v>
      </c>
      <c r="T520" s="7"/>
      <c r="U520" s="7"/>
      <c r="V520" s="7"/>
      <c r="W520" s="7"/>
      <c r="X520" s="7"/>
      <c r="Y520" s="7"/>
      <c r="Z520" s="7"/>
      <c r="AA520" s="7"/>
      <c r="AB520" s="7"/>
      <c r="AC520" s="7"/>
      <c r="AD520" s="7"/>
      <c r="AE520" s="7"/>
      <c r="AF520" s="7"/>
      <c r="AG520" s="7"/>
      <c r="AH520" s="7"/>
      <c r="AI520" s="7"/>
    </row>
    <row r="521" spans="12:35">
      <c r="L521" s="7">
        <v>20</v>
      </c>
      <c r="M521" s="7">
        <v>31</v>
      </c>
      <c r="N521" s="7" t="b">
        <f>AND($N$5,$N$5,9&lt;=$M$5,20&lt;=$M$5)</f>
        <v>0</v>
      </c>
      <c r="O521" s="7">
        <f>(P20-N20)*(O31-O20)-(Q20-O20)*(N31-N20)</f>
        <v>0</v>
      </c>
      <c r="P521" s="7">
        <f>(P20-N20)*(Q31-O20)-(Q20-O20)*(P31-N20)</f>
        <v>0</v>
      </c>
      <c r="Q521" s="7">
        <f>(P31-N31)*(O20-O31)-(Q31-O31)*(N20-N31)</f>
        <v>0</v>
      </c>
      <c r="R521" s="7">
        <f>(P31-N31)*(Q20-O31)-(Q31-O31)*(P20-N31)</f>
        <v>0</v>
      </c>
      <c r="S521" s="7">
        <f>IF(N521,IF(AND(O521*P521&lt;=0,Q521*R521&lt;=0,MAX(MIN(N20,P20),MIN(N31,P31))&lt;=MIN(MAX(N20,P20),MAX(N31,P31)),MAX(MIN(O20,Q20),MIN(O31,Q31))&lt;=MIN(MAX(O20,Q20),MAX(O31,Q31))),1,0),0)</f>
        <v>0</v>
      </c>
      <c r="T521" s="7"/>
      <c r="U521" s="7"/>
      <c r="V521" s="7"/>
      <c r="W521" s="7"/>
      <c r="X521" s="7"/>
      <c r="Y521" s="7"/>
      <c r="Z521" s="7"/>
      <c r="AA521" s="7"/>
      <c r="AB521" s="7"/>
      <c r="AC521" s="7"/>
      <c r="AD521" s="7"/>
      <c r="AE521" s="7"/>
      <c r="AF521" s="7"/>
      <c r="AG521" s="7"/>
      <c r="AH521" s="7"/>
      <c r="AI521" s="7"/>
    </row>
    <row r="522" spans="12:35">
      <c r="L522" s="7">
        <v>20</v>
      </c>
      <c r="M522" s="7">
        <v>32</v>
      </c>
      <c r="N522" s="7" t="b">
        <f>AND($N$5,$N$6,9&lt;=$M$5,1&lt;=$M$6)</f>
        <v>0</v>
      </c>
      <c r="O522" s="7">
        <f>(P20-N20)*(O32-O20)-(Q20-O20)*(N32-N20)</f>
        <v>0</v>
      </c>
      <c r="P522" s="7">
        <f>(P20-N20)*(Q32-O20)-(Q20-O20)*(P32-N20)</f>
        <v>0</v>
      </c>
      <c r="Q522" s="7">
        <f>(P32-N32)*(O20-O32)-(Q32-O32)*(N20-N32)</f>
        <v>0</v>
      </c>
      <c r="R522" s="7">
        <f>(P32-N32)*(Q20-O32)-(Q32-O32)*(P20-N32)</f>
        <v>0</v>
      </c>
      <c r="S522" s="7">
        <f>IF(N522,IF(AND(O522*P522&lt;=0,Q522*R522&lt;=0,MAX(MIN(N20,P20),MIN(N32,P32))&lt;=MIN(MAX(N20,P20),MAX(N32,P32)),MAX(MIN(O20,Q20),MIN(O32,Q32))&lt;=MIN(MAX(O20,Q20),MAX(O32,Q32))),1,0),0)</f>
        <v>0</v>
      </c>
      <c r="T522" s="7"/>
      <c r="U522" s="7"/>
      <c r="V522" s="7"/>
      <c r="W522" s="7"/>
      <c r="X522" s="7"/>
      <c r="Y522" s="7"/>
      <c r="Z522" s="7"/>
      <c r="AA522" s="7"/>
      <c r="AB522" s="7"/>
      <c r="AC522" s="7"/>
      <c r="AD522" s="7"/>
      <c r="AE522" s="7"/>
      <c r="AF522" s="7"/>
      <c r="AG522" s="7"/>
      <c r="AH522" s="7"/>
      <c r="AI522" s="7"/>
    </row>
    <row r="523" spans="12:35">
      <c r="L523" s="7">
        <v>20</v>
      </c>
      <c r="M523" s="7">
        <v>33</v>
      </c>
      <c r="N523" s="7" t="b">
        <f>AND($N$5,$N$6,9&lt;=$M$5,2&lt;=$M$6)</f>
        <v>0</v>
      </c>
      <c r="O523" s="7">
        <f>(P20-N20)*(O33-O20)-(Q20-O20)*(N33-N20)</f>
        <v>0</v>
      </c>
      <c r="P523" s="7">
        <f>(P20-N20)*(Q33-O20)-(Q20-O20)*(P33-N20)</f>
        <v>0</v>
      </c>
      <c r="Q523" s="7">
        <f>(P33-N33)*(O20-O33)-(Q33-O33)*(N20-N33)</f>
        <v>0</v>
      </c>
      <c r="R523" s="7">
        <f>(P33-N33)*(Q20-O33)-(Q33-O33)*(P20-N33)</f>
        <v>0</v>
      </c>
      <c r="S523" s="7">
        <f>IF(N523,IF(AND(O523*P523&lt;=0,Q523*R523&lt;=0,MAX(MIN(N20,P20),MIN(N33,P33))&lt;=MIN(MAX(N20,P20),MAX(N33,P33)),MAX(MIN(O20,Q20),MIN(O33,Q33))&lt;=MIN(MAX(O20,Q20),MAX(O33,Q33))),1,0),0)</f>
        <v>0</v>
      </c>
      <c r="T523" s="7"/>
      <c r="U523" s="7"/>
      <c r="V523" s="7"/>
      <c r="W523" s="7"/>
      <c r="X523" s="7"/>
      <c r="Y523" s="7"/>
      <c r="Z523" s="7"/>
      <c r="AA523" s="7"/>
      <c r="AB523" s="7"/>
      <c r="AC523" s="7"/>
      <c r="AD523" s="7"/>
      <c r="AE523" s="7"/>
      <c r="AF523" s="7"/>
      <c r="AG523" s="7"/>
      <c r="AH523" s="7"/>
      <c r="AI523" s="7"/>
    </row>
    <row r="524" spans="12:35">
      <c r="L524" s="7">
        <v>20</v>
      </c>
      <c r="M524" s="7">
        <v>34</v>
      </c>
      <c r="N524" s="7" t="b">
        <f>AND($N$5,$N$6,9&lt;=$M$5,3&lt;=$M$6)</f>
        <v>0</v>
      </c>
      <c r="O524" s="7">
        <f>(P20-N20)*(O34-O20)-(Q20-O20)*(N34-N20)</f>
        <v>0</v>
      </c>
      <c r="P524" s="7">
        <f>(P20-N20)*(Q34-O20)-(Q20-O20)*(P34-N20)</f>
        <v>0</v>
      </c>
      <c r="Q524" s="7">
        <f>(P34-N34)*(O20-O34)-(Q34-O34)*(N20-N34)</f>
        <v>0</v>
      </c>
      <c r="R524" s="7">
        <f>(P34-N34)*(Q20-O34)-(Q34-O34)*(P20-N34)</f>
        <v>0</v>
      </c>
      <c r="S524" s="7">
        <f>IF(N524,IF(AND(O524*P524&lt;=0,Q524*R524&lt;=0,MAX(MIN(N20,P20),MIN(N34,P34))&lt;=MIN(MAX(N20,P20),MAX(N34,P34)),MAX(MIN(O20,Q20),MIN(O34,Q34))&lt;=MIN(MAX(O20,Q20),MAX(O34,Q34))),1,0),0)</f>
        <v>0</v>
      </c>
      <c r="T524" s="7"/>
      <c r="U524" s="7"/>
      <c r="V524" s="7"/>
      <c r="W524" s="7"/>
      <c r="X524" s="7"/>
      <c r="Y524" s="7"/>
      <c r="Z524" s="7"/>
      <c r="AA524" s="7"/>
      <c r="AB524" s="7"/>
      <c r="AC524" s="7"/>
      <c r="AD524" s="7"/>
      <c r="AE524" s="7"/>
      <c r="AF524" s="7"/>
      <c r="AG524" s="7"/>
      <c r="AH524" s="7"/>
      <c r="AI524" s="7"/>
    </row>
    <row r="525" spans="12:35">
      <c r="L525" s="7">
        <v>20</v>
      </c>
      <c r="M525" s="7">
        <v>35</v>
      </c>
      <c r="N525" s="7" t="b">
        <f>AND($N$5,$N$6,9&lt;=$M$5,4&lt;=$M$6)</f>
        <v>0</v>
      </c>
      <c r="O525" s="7">
        <f>(P20-N20)*(O35-O20)-(Q20-O20)*(N35-N20)</f>
        <v>0</v>
      </c>
      <c r="P525" s="7">
        <f>(P20-N20)*(Q35-O20)-(Q20-O20)*(P35-N20)</f>
        <v>0</v>
      </c>
      <c r="Q525" s="7">
        <f>(P35-N35)*(O20-O35)-(Q35-O35)*(N20-N35)</f>
        <v>0</v>
      </c>
      <c r="R525" s="7">
        <f>(P35-N35)*(Q20-O35)-(Q35-O35)*(P20-N35)</f>
        <v>0</v>
      </c>
      <c r="S525" s="7">
        <f>IF(N525,IF(AND(O525*P525&lt;=0,Q525*R525&lt;=0,MAX(MIN(N20,P20),MIN(N35,P35))&lt;=MIN(MAX(N20,P20),MAX(N35,P35)),MAX(MIN(O20,Q20),MIN(O35,Q35))&lt;=MIN(MAX(O20,Q20),MAX(O35,Q35))),1,0),0)</f>
        <v>0</v>
      </c>
      <c r="T525" s="7"/>
      <c r="U525" s="7"/>
      <c r="V525" s="7"/>
      <c r="W525" s="7"/>
      <c r="X525" s="7"/>
      <c r="Y525" s="7"/>
      <c r="Z525" s="7"/>
      <c r="AA525" s="7"/>
      <c r="AB525" s="7"/>
      <c r="AC525" s="7"/>
      <c r="AD525" s="7"/>
      <c r="AE525" s="7"/>
      <c r="AF525" s="7"/>
      <c r="AG525" s="7"/>
      <c r="AH525" s="7"/>
      <c r="AI525" s="7"/>
    </row>
    <row r="526" spans="12:35">
      <c r="L526" s="7">
        <v>20</v>
      </c>
      <c r="M526" s="7">
        <v>36</v>
      </c>
      <c r="N526" s="7" t="b">
        <f>AND($N$5,$N$6,9&lt;=$M$5,5&lt;=$M$6)</f>
        <v>0</v>
      </c>
      <c r="O526" s="7">
        <f>(P20-N20)*(O36-O20)-(Q20-O20)*(N36-N20)</f>
        <v>0</v>
      </c>
      <c r="P526" s="7">
        <f>(P20-N20)*(Q36-O20)-(Q20-O20)*(P36-N20)</f>
        <v>0</v>
      </c>
      <c r="Q526" s="7">
        <f>(P36-N36)*(O20-O36)-(Q36-O36)*(N20-N36)</f>
        <v>0</v>
      </c>
      <c r="R526" s="7">
        <f>(P36-N36)*(Q20-O36)-(Q36-O36)*(P20-N36)</f>
        <v>0</v>
      </c>
      <c r="S526" s="7">
        <f>IF(N526,IF(AND(O526*P526&lt;=0,Q526*R526&lt;=0,MAX(MIN(N20,P20),MIN(N36,P36))&lt;=MIN(MAX(N20,P20),MAX(N36,P36)),MAX(MIN(O20,Q20),MIN(O36,Q36))&lt;=MIN(MAX(O20,Q20),MAX(O36,Q36))),1,0),0)</f>
        <v>0</v>
      </c>
      <c r="T526" s="7"/>
      <c r="U526" s="7"/>
      <c r="V526" s="7"/>
      <c r="W526" s="7"/>
      <c r="X526" s="7"/>
      <c r="Y526" s="7"/>
      <c r="Z526" s="7"/>
      <c r="AA526" s="7"/>
      <c r="AB526" s="7"/>
      <c r="AC526" s="7"/>
      <c r="AD526" s="7"/>
      <c r="AE526" s="7"/>
      <c r="AF526" s="7"/>
      <c r="AG526" s="7"/>
      <c r="AH526" s="7"/>
      <c r="AI526" s="7"/>
    </row>
    <row r="527" spans="12:35">
      <c r="L527" s="7">
        <v>20</v>
      </c>
      <c r="M527" s="7">
        <v>37</v>
      </c>
      <c r="N527" s="7" t="b">
        <f>AND($N$5,$N$6,9&lt;=$M$5,6&lt;=$M$6)</f>
        <v>0</v>
      </c>
      <c r="O527" s="7">
        <f>(P20-N20)*(O37-O20)-(Q20-O20)*(N37-N20)</f>
        <v>0</v>
      </c>
      <c r="P527" s="7">
        <f>(P20-N20)*(Q37-O20)-(Q20-O20)*(P37-N20)</f>
        <v>0</v>
      </c>
      <c r="Q527" s="7">
        <f>(P37-N37)*(O20-O37)-(Q37-O37)*(N20-N37)</f>
        <v>0</v>
      </c>
      <c r="R527" s="7">
        <f>(P37-N37)*(Q20-O37)-(Q37-O37)*(P20-N37)</f>
        <v>0</v>
      </c>
      <c r="S527" s="7">
        <f>IF(N527,IF(AND(O527*P527&lt;=0,Q527*R527&lt;=0,MAX(MIN(N20,P20),MIN(N37,P37))&lt;=MIN(MAX(N20,P20),MAX(N37,P37)),MAX(MIN(O20,Q20),MIN(O37,Q37))&lt;=MIN(MAX(O20,Q20),MAX(O37,Q37))),1,0),0)</f>
        <v>0</v>
      </c>
      <c r="T527" s="7"/>
      <c r="U527" s="7"/>
      <c r="V527" s="7"/>
      <c r="W527" s="7"/>
      <c r="X527" s="7"/>
      <c r="Y527" s="7"/>
      <c r="Z527" s="7"/>
      <c r="AA527" s="7"/>
      <c r="AB527" s="7"/>
      <c r="AC527" s="7"/>
      <c r="AD527" s="7"/>
      <c r="AE527" s="7"/>
      <c r="AF527" s="7"/>
      <c r="AG527" s="7"/>
      <c r="AH527" s="7"/>
      <c r="AI527" s="7"/>
    </row>
    <row r="528" spans="12:35">
      <c r="L528" s="7">
        <v>20</v>
      </c>
      <c r="M528" s="7">
        <v>38</v>
      </c>
      <c r="N528" s="7" t="b">
        <f>AND($N$5,$N$6,9&lt;=$M$5,7&lt;=$M$6)</f>
        <v>0</v>
      </c>
      <c r="O528" s="7">
        <f>(P20-N20)*(O38-O20)-(Q20-O20)*(N38-N20)</f>
        <v>0</v>
      </c>
      <c r="P528" s="7">
        <f>(P20-N20)*(Q38-O20)-(Q20-O20)*(P38-N20)</f>
        <v>0</v>
      </c>
      <c r="Q528" s="7">
        <f>(P38-N38)*(O20-O38)-(Q38-O38)*(N20-N38)</f>
        <v>0</v>
      </c>
      <c r="R528" s="7">
        <f>(P38-N38)*(Q20-O38)-(Q38-O38)*(P20-N38)</f>
        <v>0</v>
      </c>
      <c r="S528" s="7">
        <f>IF(N528,IF(AND(O528*P528&lt;=0,Q528*R528&lt;=0,MAX(MIN(N20,P20),MIN(N38,P38))&lt;=MIN(MAX(N20,P20),MAX(N38,P38)),MAX(MIN(O20,Q20),MIN(O38,Q38))&lt;=MIN(MAX(O20,Q20),MAX(O38,Q38))),1,0),0)</f>
        <v>0</v>
      </c>
      <c r="T528" s="7"/>
      <c r="U528" s="7"/>
      <c r="V528" s="7"/>
      <c r="W528" s="7"/>
      <c r="X528" s="7"/>
      <c r="Y528" s="7"/>
      <c r="Z528" s="7"/>
      <c r="AA528" s="7"/>
      <c r="AB528" s="7"/>
      <c r="AC528" s="7"/>
      <c r="AD528" s="7"/>
      <c r="AE528" s="7"/>
      <c r="AF528" s="7"/>
      <c r="AG528" s="7"/>
      <c r="AH528" s="7"/>
      <c r="AI528" s="7"/>
    </row>
    <row r="529" spans="12:35">
      <c r="L529" s="7">
        <v>20</v>
      </c>
      <c r="M529" s="7">
        <v>39</v>
      </c>
      <c r="N529" s="7" t="b">
        <f>AND($N$5,$N$6,9&lt;=$M$5,8&lt;=$M$6)</f>
        <v>0</v>
      </c>
      <c r="O529" s="7">
        <f>(P20-N20)*(O39-O20)-(Q20-O20)*(N39-N20)</f>
        <v>0</v>
      </c>
      <c r="P529" s="7">
        <f>(P20-N20)*(Q39-O20)-(Q20-O20)*(P39-N20)</f>
        <v>0</v>
      </c>
      <c r="Q529" s="7">
        <f>(P39-N39)*(O20-O39)-(Q39-O39)*(N20-N39)</f>
        <v>0</v>
      </c>
      <c r="R529" s="7">
        <f>(P39-N39)*(Q20-O39)-(Q39-O39)*(P20-N39)</f>
        <v>0</v>
      </c>
      <c r="S529" s="7">
        <f>IF(N529,IF(AND(O529*P529&lt;=0,Q529*R529&lt;=0,MAX(MIN(N20,P20),MIN(N39,P39))&lt;=MIN(MAX(N20,P20),MAX(N39,P39)),MAX(MIN(O20,Q20),MIN(O39,Q39))&lt;=MIN(MAX(O20,Q20),MAX(O39,Q39))),1,0),0)</f>
        <v>0</v>
      </c>
      <c r="T529" s="7"/>
      <c r="U529" s="7"/>
      <c r="V529" s="7"/>
      <c r="W529" s="7"/>
      <c r="X529" s="7"/>
      <c r="Y529" s="7"/>
      <c r="Z529" s="7"/>
      <c r="AA529" s="7"/>
      <c r="AB529" s="7"/>
      <c r="AC529" s="7"/>
      <c r="AD529" s="7"/>
      <c r="AE529" s="7"/>
      <c r="AF529" s="7"/>
      <c r="AG529" s="7"/>
      <c r="AH529" s="7"/>
      <c r="AI529" s="7"/>
    </row>
    <row r="530" spans="12:35">
      <c r="L530" s="7">
        <v>20</v>
      </c>
      <c r="M530" s="7">
        <v>40</v>
      </c>
      <c r="N530" s="7" t="b">
        <f>AND($N$5,$N$6,9&lt;=$M$5,9&lt;=$M$6)</f>
        <v>0</v>
      </c>
      <c r="O530" s="7">
        <f>(P20-N20)*(O40-O20)-(Q20-O20)*(N40-N20)</f>
        <v>0</v>
      </c>
      <c r="P530" s="7">
        <f>(P20-N20)*(Q40-O20)-(Q20-O20)*(P40-N20)</f>
        <v>0</v>
      </c>
      <c r="Q530" s="7">
        <f>(P40-N40)*(O20-O40)-(Q40-O40)*(N20-N40)</f>
        <v>0</v>
      </c>
      <c r="R530" s="7">
        <f>(P40-N40)*(Q20-O40)-(Q40-O40)*(P20-N40)</f>
        <v>0</v>
      </c>
      <c r="S530" s="7">
        <f>IF(N530,IF(AND(O530*P530&lt;=0,Q530*R530&lt;=0,MAX(MIN(N20,P20),MIN(N40,P40))&lt;=MIN(MAX(N20,P20),MAX(N40,P40)),MAX(MIN(O20,Q20),MIN(O40,Q40))&lt;=MIN(MAX(O20,Q20),MAX(O40,Q40))),1,0),0)</f>
        <v>0</v>
      </c>
      <c r="T530" s="7"/>
      <c r="U530" s="7"/>
      <c r="V530" s="7"/>
      <c r="W530" s="7"/>
      <c r="X530" s="7"/>
      <c r="Y530" s="7"/>
      <c r="Z530" s="7"/>
      <c r="AA530" s="7"/>
      <c r="AB530" s="7"/>
      <c r="AC530" s="7"/>
      <c r="AD530" s="7"/>
      <c r="AE530" s="7"/>
      <c r="AF530" s="7"/>
      <c r="AG530" s="7"/>
      <c r="AH530" s="7"/>
      <c r="AI530" s="7"/>
    </row>
    <row r="531" spans="12:35">
      <c r="L531" s="7">
        <v>20</v>
      </c>
      <c r="M531" s="7">
        <v>41</v>
      </c>
      <c r="N531" s="7" t="b">
        <f>AND($N$5,$N$6,9&lt;=$M$5,10&lt;=$M$6)</f>
        <v>0</v>
      </c>
      <c r="O531" s="7">
        <f>(P20-N20)*(O41-O20)-(Q20-O20)*(N41-N20)</f>
        <v>0</v>
      </c>
      <c r="P531" s="7">
        <f>(P20-N20)*(Q41-O20)-(Q20-O20)*(P41-N20)</f>
        <v>0</v>
      </c>
      <c r="Q531" s="7">
        <f>(P41-N41)*(O20-O41)-(Q41-O41)*(N20-N41)</f>
        <v>0</v>
      </c>
      <c r="R531" s="7">
        <f>(P41-N41)*(Q20-O41)-(Q41-O41)*(P20-N41)</f>
        <v>0</v>
      </c>
      <c r="S531" s="7">
        <f>IF(N531,IF(AND(O531*P531&lt;=0,Q531*R531&lt;=0,MAX(MIN(N20,P20),MIN(N41,P41))&lt;=MIN(MAX(N20,P20),MAX(N41,P41)),MAX(MIN(O20,Q20),MIN(O41,Q41))&lt;=MIN(MAX(O20,Q20),MAX(O41,Q41))),1,0),0)</f>
        <v>0</v>
      </c>
      <c r="T531" s="7"/>
      <c r="U531" s="7"/>
      <c r="V531" s="7"/>
      <c r="W531" s="7"/>
      <c r="X531" s="7"/>
      <c r="Y531" s="7"/>
      <c r="Z531" s="7"/>
      <c r="AA531" s="7"/>
      <c r="AB531" s="7"/>
      <c r="AC531" s="7"/>
      <c r="AD531" s="7"/>
      <c r="AE531" s="7"/>
      <c r="AF531" s="7"/>
      <c r="AG531" s="7"/>
      <c r="AH531" s="7"/>
      <c r="AI531" s="7"/>
    </row>
    <row r="532" spans="12:35">
      <c r="L532" s="7">
        <v>20</v>
      </c>
      <c r="M532" s="7">
        <v>42</v>
      </c>
      <c r="N532" s="7" t="b">
        <f>AND($N$5,$N$6,9&lt;=$M$5,11&lt;=$M$6)</f>
        <v>0</v>
      </c>
      <c r="O532" s="7">
        <f>(P20-N20)*(O42-O20)-(Q20-O20)*(N42-N20)</f>
        <v>0</v>
      </c>
      <c r="P532" s="7">
        <f>(P20-N20)*(Q42-O20)-(Q20-O20)*(P42-N20)</f>
        <v>0</v>
      </c>
      <c r="Q532" s="7">
        <f>(P42-N42)*(O20-O42)-(Q42-O42)*(N20-N42)</f>
        <v>0</v>
      </c>
      <c r="R532" s="7">
        <f>(P42-N42)*(Q20-O42)-(Q42-O42)*(P20-N42)</f>
        <v>0</v>
      </c>
      <c r="S532" s="7">
        <f>IF(N532,IF(AND(O532*P532&lt;=0,Q532*R532&lt;=0,MAX(MIN(N20,P20),MIN(N42,P42))&lt;=MIN(MAX(N20,P20),MAX(N42,P42)),MAX(MIN(O20,Q20),MIN(O42,Q42))&lt;=MIN(MAX(O20,Q20),MAX(O42,Q42))),1,0),0)</f>
        <v>0</v>
      </c>
      <c r="T532" s="7"/>
      <c r="U532" s="7"/>
      <c r="V532" s="7"/>
      <c r="W532" s="7"/>
      <c r="X532" s="7"/>
      <c r="Y532" s="7"/>
      <c r="Z532" s="7"/>
      <c r="AA532" s="7"/>
      <c r="AB532" s="7"/>
      <c r="AC532" s="7"/>
      <c r="AD532" s="7"/>
      <c r="AE532" s="7"/>
      <c r="AF532" s="7"/>
      <c r="AG532" s="7"/>
      <c r="AH532" s="7"/>
      <c r="AI532" s="7"/>
    </row>
    <row r="533" spans="12:35">
      <c r="L533" s="7">
        <v>20</v>
      </c>
      <c r="M533" s="7">
        <v>43</v>
      </c>
      <c r="N533" s="7" t="b">
        <f>AND($N$5,$N$6,9&lt;=$M$5,12&lt;=$M$6)</f>
        <v>0</v>
      </c>
      <c r="O533" s="7">
        <f>(P20-N20)*(O43-O20)-(Q20-O20)*(N43-N20)</f>
        <v>0</v>
      </c>
      <c r="P533" s="7">
        <f>(P20-N20)*(Q43-O20)-(Q20-O20)*(P43-N20)</f>
        <v>0</v>
      </c>
      <c r="Q533" s="7">
        <f>(P43-N43)*(O20-O43)-(Q43-O43)*(N20-N43)</f>
        <v>0</v>
      </c>
      <c r="R533" s="7">
        <f>(P43-N43)*(Q20-O43)-(Q43-O43)*(P20-N43)</f>
        <v>0</v>
      </c>
      <c r="S533" s="7">
        <f>IF(N533,IF(AND(O533*P533&lt;=0,Q533*R533&lt;=0,MAX(MIN(N20,P20),MIN(N43,P43))&lt;=MIN(MAX(N20,P20),MAX(N43,P43)),MAX(MIN(O20,Q20),MIN(O43,Q43))&lt;=MIN(MAX(O20,Q20),MAX(O43,Q43))),1,0),0)</f>
        <v>0</v>
      </c>
      <c r="T533" s="7"/>
      <c r="U533" s="7"/>
      <c r="V533" s="7"/>
      <c r="W533" s="7"/>
      <c r="X533" s="7"/>
      <c r="Y533" s="7"/>
      <c r="Z533" s="7"/>
      <c r="AA533" s="7"/>
      <c r="AB533" s="7"/>
      <c r="AC533" s="7"/>
      <c r="AD533" s="7"/>
      <c r="AE533" s="7"/>
      <c r="AF533" s="7"/>
      <c r="AG533" s="7"/>
      <c r="AH533" s="7"/>
      <c r="AI533" s="7"/>
    </row>
    <row r="534" spans="12:35">
      <c r="L534" s="7">
        <v>20</v>
      </c>
      <c r="M534" s="7">
        <v>44</v>
      </c>
      <c r="N534" s="7" t="b">
        <f>AND($N$5,$N$6,9&lt;=$M$5,13&lt;=$M$6)</f>
        <v>0</v>
      </c>
      <c r="O534" s="7">
        <f>(P20-N20)*(O44-O20)-(Q20-O20)*(N44-N20)</f>
        <v>0</v>
      </c>
      <c r="P534" s="7">
        <f>(P20-N20)*(Q44-O20)-(Q20-O20)*(P44-N20)</f>
        <v>0</v>
      </c>
      <c r="Q534" s="7">
        <f>(P44-N44)*(O20-O44)-(Q44-O44)*(N20-N44)</f>
        <v>0</v>
      </c>
      <c r="R534" s="7">
        <f>(P44-N44)*(Q20-O44)-(Q44-O44)*(P20-N44)</f>
        <v>0</v>
      </c>
      <c r="S534" s="7">
        <f>IF(N534,IF(AND(O534*P534&lt;=0,Q534*R534&lt;=0,MAX(MIN(N20,P20),MIN(N44,P44))&lt;=MIN(MAX(N20,P20),MAX(N44,P44)),MAX(MIN(O20,Q20),MIN(O44,Q44))&lt;=MIN(MAX(O20,Q20),MAX(O44,Q44))),1,0),0)</f>
        <v>0</v>
      </c>
      <c r="T534" s="7"/>
      <c r="U534" s="7"/>
      <c r="V534" s="7"/>
      <c r="W534" s="7"/>
      <c r="X534" s="7"/>
      <c r="Y534" s="7"/>
      <c r="Z534" s="7"/>
      <c r="AA534" s="7"/>
      <c r="AB534" s="7"/>
      <c r="AC534" s="7"/>
      <c r="AD534" s="7"/>
      <c r="AE534" s="7"/>
      <c r="AF534" s="7"/>
      <c r="AG534" s="7"/>
      <c r="AH534" s="7"/>
      <c r="AI534" s="7"/>
    </row>
    <row r="535" spans="12:35">
      <c r="L535" s="7">
        <v>20</v>
      </c>
      <c r="M535" s="7">
        <v>45</v>
      </c>
      <c r="N535" s="7" t="b">
        <f>AND($N$5,$N$6,9&lt;=$M$5,14&lt;=$M$6)</f>
        <v>0</v>
      </c>
      <c r="O535" s="7">
        <f>(P20-N20)*(O45-O20)-(Q20-O20)*(N45-N20)</f>
        <v>0</v>
      </c>
      <c r="P535" s="7">
        <f>(P20-N20)*(Q45-O20)-(Q20-O20)*(P45-N20)</f>
        <v>0</v>
      </c>
      <c r="Q535" s="7">
        <f>(P45-N45)*(O20-O45)-(Q45-O45)*(N20-N45)</f>
        <v>0</v>
      </c>
      <c r="R535" s="7">
        <f>(P45-N45)*(Q20-O45)-(Q45-O45)*(P20-N45)</f>
        <v>0</v>
      </c>
      <c r="S535" s="7">
        <f>IF(N535,IF(AND(O535*P535&lt;=0,Q535*R535&lt;=0,MAX(MIN(N20,P20),MIN(N45,P45))&lt;=MIN(MAX(N20,P20),MAX(N45,P45)),MAX(MIN(O20,Q20),MIN(O45,Q45))&lt;=MIN(MAX(O20,Q20),MAX(O45,Q45))),1,0),0)</f>
        <v>0</v>
      </c>
      <c r="T535" s="7"/>
      <c r="U535" s="7"/>
      <c r="V535" s="7"/>
      <c r="W535" s="7"/>
      <c r="X535" s="7"/>
      <c r="Y535" s="7"/>
      <c r="Z535" s="7"/>
      <c r="AA535" s="7"/>
      <c r="AB535" s="7"/>
      <c r="AC535" s="7"/>
      <c r="AD535" s="7"/>
      <c r="AE535" s="7"/>
      <c r="AF535" s="7"/>
      <c r="AG535" s="7"/>
      <c r="AH535" s="7"/>
      <c r="AI535" s="7"/>
    </row>
    <row r="536" spans="12:35">
      <c r="L536" s="7">
        <v>20</v>
      </c>
      <c r="M536" s="7">
        <v>46</v>
      </c>
      <c r="N536" s="7" t="b">
        <f>AND($N$5,$N$6,9&lt;=$M$5,15&lt;=$M$6)</f>
        <v>0</v>
      </c>
      <c r="O536" s="7">
        <f>(P20-N20)*(O46-O20)-(Q20-O20)*(N46-N20)</f>
        <v>0</v>
      </c>
      <c r="P536" s="7">
        <f>(P20-N20)*(Q46-O20)-(Q20-O20)*(P46-N20)</f>
        <v>0</v>
      </c>
      <c r="Q536" s="7">
        <f>(P46-N46)*(O20-O46)-(Q46-O46)*(N20-N46)</f>
        <v>0</v>
      </c>
      <c r="R536" s="7">
        <f>(P46-N46)*(Q20-O46)-(Q46-O46)*(P20-N46)</f>
        <v>0</v>
      </c>
      <c r="S536" s="7">
        <f>IF(N536,IF(AND(O536*P536&lt;=0,Q536*R536&lt;=0,MAX(MIN(N20,P20),MIN(N46,P46))&lt;=MIN(MAX(N20,P20),MAX(N46,P46)),MAX(MIN(O20,Q20),MIN(O46,Q46))&lt;=MIN(MAX(O20,Q20),MAX(O46,Q46))),1,0),0)</f>
        <v>0</v>
      </c>
      <c r="T536" s="7"/>
      <c r="U536" s="7"/>
      <c r="V536" s="7"/>
      <c r="W536" s="7"/>
      <c r="X536" s="7"/>
      <c r="Y536" s="7"/>
      <c r="Z536" s="7"/>
      <c r="AA536" s="7"/>
      <c r="AB536" s="7"/>
      <c r="AC536" s="7"/>
      <c r="AD536" s="7"/>
      <c r="AE536" s="7"/>
      <c r="AF536" s="7"/>
      <c r="AG536" s="7"/>
      <c r="AH536" s="7"/>
      <c r="AI536" s="7"/>
    </row>
    <row r="537" spans="12:35">
      <c r="L537" s="7">
        <v>20</v>
      </c>
      <c r="M537" s="7">
        <v>47</v>
      </c>
      <c r="N537" s="7" t="b">
        <f>AND($N$5,$N$6,9&lt;=$M$5,16&lt;=$M$6)</f>
        <v>0</v>
      </c>
      <c r="O537" s="7">
        <f>(P20-N20)*(O47-O20)-(Q20-O20)*(N47-N20)</f>
        <v>0</v>
      </c>
      <c r="P537" s="7">
        <f>(P20-N20)*(Q47-O20)-(Q20-O20)*(P47-N20)</f>
        <v>0</v>
      </c>
      <c r="Q537" s="7">
        <f>(P47-N47)*(O20-O47)-(Q47-O47)*(N20-N47)</f>
        <v>0</v>
      </c>
      <c r="R537" s="7">
        <f>(P47-N47)*(Q20-O47)-(Q47-O47)*(P20-N47)</f>
        <v>0</v>
      </c>
      <c r="S537" s="7">
        <f>IF(N537,IF(AND(O537*P537&lt;=0,Q537*R537&lt;=0,MAX(MIN(N20,P20),MIN(N47,P47))&lt;=MIN(MAX(N20,P20),MAX(N47,P47)),MAX(MIN(O20,Q20),MIN(O47,Q47))&lt;=MIN(MAX(O20,Q20),MAX(O47,Q47))),1,0),0)</f>
        <v>0</v>
      </c>
      <c r="T537" s="7"/>
      <c r="U537" s="7"/>
      <c r="V537" s="7"/>
      <c r="W537" s="7"/>
      <c r="X537" s="7"/>
      <c r="Y537" s="7"/>
      <c r="Z537" s="7"/>
      <c r="AA537" s="7"/>
      <c r="AB537" s="7"/>
      <c r="AC537" s="7"/>
      <c r="AD537" s="7"/>
      <c r="AE537" s="7"/>
      <c r="AF537" s="7"/>
      <c r="AG537" s="7"/>
      <c r="AH537" s="7"/>
      <c r="AI537" s="7"/>
    </row>
    <row r="538" spans="12:35">
      <c r="L538" s="7">
        <v>20</v>
      </c>
      <c r="M538" s="7">
        <v>48</v>
      </c>
      <c r="N538" s="7" t="b">
        <f>AND($N$5,$N$6,9&lt;=$M$5,17&lt;=$M$6)</f>
        <v>0</v>
      </c>
      <c r="O538" s="7">
        <f>(P20-N20)*(O48-O20)-(Q20-O20)*(N48-N20)</f>
        <v>0</v>
      </c>
      <c r="P538" s="7">
        <f>(P20-N20)*(Q48-O20)-(Q20-O20)*(P48-N20)</f>
        <v>0</v>
      </c>
      <c r="Q538" s="7">
        <f>(P48-N48)*(O20-O48)-(Q48-O48)*(N20-N48)</f>
        <v>0</v>
      </c>
      <c r="R538" s="7">
        <f>(P48-N48)*(Q20-O48)-(Q48-O48)*(P20-N48)</f>
        <v>0</v>
      </c>
      <c r="S538" s="7">
        <f>IF(N538,IF(AND(O538*P538&lt;=0,Q538*R538&lt;=0,MAX(MIN(N20,P20),MIN(N48,P48))&lt;=MIN(MAX(N20,P20),MAX(N48,P48)),MAX(MIN(O20,Q20),MIN(O48,Q48))&lt;=MIN(MAX(O20,Q20),MAX(O48,Q48))),1,0),0)</f>
        <v>0</v>
      </c>
      <c r="T538" s="7"/>
      <c r="U538" s="7"/>
      <c r="V538" s="7"/>
      <c r="W538" s="7"/>
      <c r="X538" s="7"/>
      <c r="Y538" s="7"/>
      <c r="Z538" s="7"/>
      <c r="AA538" s="7"/>
      <c r="AB538" s="7"/>
      <c r="AC538" s="7"/>
      <c r="AD538" s="7"/>
      <c r="AE538" s="7"/>
      <c r="AF538" s="7"/>
      <c r="AG538" s="7"/>
      <c r="AH538" s="7"/>
      <c r="AI538" s="7"/>
    </row>
    <row r="539" spans="12:35">
      <c r="L539" s="7">
        <v>20</v>
      </c>
      <c r="M539" s="7">
        <v>49</v>
      </c>
      <c r="N539" s="7" t="b">
        <f>AND($N$5,$N$6,9&lt;=$M$5,18&lt;=$M$6)</f>
        <v>0</v>
      </c>
      <c r="O539" s="7">
        <f>(P20-N20)*(O49-O20)-(Q20-O20)*(N49-N20)</f>
        <v>0</v>
      </c>
      <c r="P539" s="7">
        <f>(P20-N20)*(Q49-O20)-(Q20-O20)*(P49-N20)</f>
        <v>0</v>
      </c>
      <c r="Q539" s="7">
        <f>(P49-N49)*(O20-O49)-(Q49-O49)*(N20-N49)</f>
        <v>0</v>
      </c>
      <c r="R539" s="7">
        <f>(P49-N49)*(Q20-O49)-(Q49-O49)*(P20-N49)</f>
        <v>0</v>
      </c>
      <c r="S539" s="7">
        <f>IF(N539,IF(AND(O539*P539&lt;=0,Q539*R539&lt;=0,MAX(MIN(N20,P20),MIN(N49,P49))&lt;=MIN(MAX(N20,P20),MAX(N49,P49)),MAX(MIN(O20,Q20),MIN(O49,Q49))&lt;=MIN(MAX(O20,Q20),MAX(O49,Q49))),1,0),0)</f>
        <v>0</v>
      </c>
      <c r="T539" s="7"/>
      <c r="U539" s="7"/>
      <c r="V539" s="7"/>
      <c r="W539" s="7"/>
      <c r="X539" s="7"/>
      <c r="Y539" s="7"/>
      <c r="Z539" s="7"/>
      <c r="AA539" s="7"/>
      <c r="AB539" s="7"/>
      <c r="AC539" s="7"/>
      <c r="AD539" s="7"/>
      <c r="AE539" s="7"/>
      <c r="AF539" s="7"/>
      <c r="AG539" s="7"/>
      <c r="AH539" s="7"/>
      <c r="AI539" s="7"/>
    </row>
    <row r="540" spans="12:35">
      <c r="L540" s="7">
        <v>20</v>
      </c>
      <c r="M540" s="7">
        <v>50</v>
      </c>
      <c r="N540" s="7" t="b">
        <f>AND($N$5,$N$6,9&lt;=$M$5,19&lt;=$M$6)</f>
        <v>0</v>
      </c>
      <c r="O540" s="7">
        <f>(P20-N20)*(O50-O20)-(Q20-O20)*(N50-N20)</f>
        <v>0</v>
      </c>
      <c r="P540" s="7">
        <f>(P20-N20)*(Q50-O20)-(Q20-O20)*(P50-N20)</f>
        <v>0</v>
      </c>
      <c r="Q540" s="7">
        <f>(P50-N50)*(O20-O50)-(Q50-O50)*(N20-N50)</f>
        <v>0</v>
      </c>
      <c r="R540" s="7">
        <f>(P50-N50)*(Q20-O50)-(Q50-O50)*(P20-N50)</f>
        <v>0</v>
      </c>
      <c r="S540" s="7">
        <f>IF(N540,IF(AND(O540*P540&lt;=0,Q540*R540&lt;=0,MAX(MIN(N20,P20),MIN(N50,P50))&lt;=MIN(MAX(N20,P20),MAX(N50,P50)),MAX(MIN(O20,Q20),MIN(O50,Q50))&lt;=MIN(MAX(O20,Q20),MAX(O50,Q50))),1,0),0)</f>
        <v>0</v>
      </c>
      <c r="T540" s="7"/>
      <c r="U540" s="7"/>
      <c r="V540" s="7"/>
      <c r="W540" s="7"/>
      <c r="X540" s="7"/>
      <c r="Y540" s="7"/>
      <c r="Z540" s="7"/>
      <c r="AA540" s="7"/>
      <c r="AB540" s="7"/>
      <c r="AC540" s="7"/>
      <c r="AD540" s="7"/>
      <c r="AE540" s="7"/>
      <c r="AF540" s="7"/>
      <c r="AG540" s="7"/>
      <c r="AH540" s="7"/>
      <c r="AI540" s="7"/>
    </row>
    <row r="541" spans="12:35">
      <c r="L541" s="7">
        <v>20</v>
      </c>
      <c r="M541" s="7">
        <v>51</v>
      </c>
      <c r="N541" s="7" t="b">
        <f>AND($N$5,$N$6,9&lt;=$M$5,20&lt;=$M$6)</f>
        <v>0</v>
      </c>
      <c r="O541" s="7">
        <f>(P20-N20)*(O51-O20)-(Q20-O20)*(N51-N20)</f>
        <v>0</v>
      </c>
      <c r="P541" s="7">
        <f>(P20-N20)*(Q51-O20)-(Q20-O20)*(P51-N20)</f>
        <v>0</v>
      </c>
      <c r="Q541" s="7">
        <f>(P51-N51)*(O20-O51)-(Q51-O51)*(N20-N51)</f>
        <v>0</v>
      </c>
      <c r="R541" s="7">
        <f>(P51-N51)*(Q20-O51)-(Q51-O51)*(P20-N51)</f>
        <v>0</v>
      </c>
      <c r="S541" s="7">
        <f>IF(N541,IF(AND(O541*P541&lt;=0,Q541*R541&lt;=0,MAX(MIN(N20,P20),MIN(N51,P51))&lt;=MIN(MAX(N20,P20),MAX(N51,P51)),MAX(MIN(O20,Q20),MIN(O51,Q51))&lt;=MIN(MAX(O20,Q20),MAX(O51,Q51))),1,0),0)</f>
        <v>0</v>
      </c>
      <c r="T541" s="7"/>
      <c r="U541" s="7"/>
      <c r="V541" s="7"/>
      <c r="W541" s="7"/>
      <c r="X541" s="7"/>
      <c r="Y541" s="7"/>
      <c r="Z541" s="7"/>
      <c r="AA541" s="7"/>
      <c r="AB541" s="7"/>
      <c r="AC541" s="7"/>
      <c r="AD541" s="7"/>
      <c r="AE541" s="7"/>
      <c r="AF541" s="7"/>
      <c r="AG541" s="7"/>
      <c r="AH541" s="7"/>
      <c r="AI541" s="7"/>
    </row>
    <row r="542" spans="12:35">
      <c r="L542" s="7">
        <v>20</v>
      </c>
      <c r="M542" s="7">
        <v>52</v>
      </c>
      <c r="N542" s="7" t="b">
        <f>AND($N$5,$N$7,9&lt;=$M$5,1&lt;=$M$7)</f>
        <v>0</v>
      </c>
      <c r="O542" s="7">
        <f>(P20-N20)*(O52-O20)-(Q20-O20)*(N52-N20)</f>
        <v>0</v>
      </c>
      <c r="P542" s="7">
        <f>(P20-N20)*(Q52-O20)-(Q20-O20)*(P52-N20)</f>
        <v>0</v>
      </c>
      <c r="Q542" s="7">
        <f>(P52-N52)*(O20-O52)-(Q52-O52)*(N20-N52)</f>
        <v>0</v>
      </c>
      <c r="R542" s="7">
        <f>(P52-N52)*(Q20-O52)-(Q52-O52)*(P20-N52)</f>
        <v>0</v>
      </c>
      <c r="S542" s="7">
        <f>IF(N542,IF(AND(O542*P542&lt;=0,Q542*R542&lt;=0,MAX(MIN(N20,P20),MIN(N52,P52))&lt;=MIN(MAX(N20,P20),MAX(N52,P52)),MAX(MIN(O20,Q20),MIN(O52,Q52))&lt;=MIN(MAX(O20,Q20),MAX(O52,Q52))),1,0),0)</f>
        <v>0</v>
      </c>
      <c r="T542" s="7"/>
      <c r="U542" s="7"/>
      <c r="V542" s="7"/>
      <c r="W542" s="7"/>
      <c r="X542" s="7"/>
      <c r="Y542" s="7"/>
      <c r="Z542" s="7"/>
      <c r="AA542" s="7"/>
      <c r="AB542" s="7"/>
      <c r="AC542" s="7"/>
      <c r="AD542" s="7"/>
      <c r="AE542" s="7"/>
      <c r="AF542" s="7"/>
      <c r="AG542" s="7"/>
      <c r="AH542" s="7"/>
      <c r="AI542" s="7"/>
    </row>
    <row r="543" spans="12:35">
      <c r="L543" s="7">
        <v>20</v>
      </c>
      <c r="M543" s="7">
        <v>53</v>
      </c>
      <c r="N543" s="7" t="b">
        <f>AND($N$5,$N$7,9&lt;=$M$5,2&lt;=$M$7)</f>
        <v>0</v>
      </c>
      <c r="O543" s="7">
        <f>(P20-N20)*(O53-O20)-(Q20-O20)*(N53-N20)</f>
        <v>0</v>
      </c>
      <c r="P543" s="7">
        <f>(P20-N20)*(Q53-O20)-(Q20-O20)*(P53-N20)</f>
        <v>0</v>
      </c>
      <c r="Q543" s="7">
        <f>(P53-N53)*(O20-O53)-(Q53-O53)*(N20-N53)</f>
        <v>0</v>
      </c>
      <c r="R543" s="7">
        <f>(P53-N53)*(Q20-O53)-(Q53-O53)*(P20-N53)</f>
        <v>0</v>
      </c>
      <c r="S543" s="7">
        <f>IF(N543,IF(AND(O543*P543&lt;=0,Q543*R543&lt;=0,MAX(MIN(N20,P20),MIN(N53,P53))&lt;=MIN(MAX(N20,P20),MAX(N53,P53)),MAX(MIN(O20,Q20),MIN(O53,Q53))&lt;=MIN(MAX(O20,Q20),MAX(O53,Q53))),1,0),0)</f>
        <v>0</v>
      </c>
      <c r="T543" s="7"/>
      <c r="U543" s="7"/>
      <c r="V543" s="7"/>
      <c r="W543" s="7"/>
      <c r="X543" s="7"/>
      <c r="Y543" s="7"/>
      <c r="Z543" s="7"/>
      <c r="AA543" s="7"/>
      <c r="AB543" s="7"/>
      <c r="AC543" s="7"/>
      <c r="AD543" s="7"/>
      <c r="AE543" s="7"/>
      <c r="AF543" s="7"/>
      <c r="AG543" s="7"/>
      <c r="AH543" s="7"/>
      <c r="AI543" s="7"/>
    </row>
    <row r="544" spans="12:35">
      <c r="L544" s="7">
        <v>20</v>
      </c>
      <c r="M544" s="7">
        <v>54</v>
      </c>
      <c r="N544" s="7" t="b">
        <f>AND($N$5,$N$7,9&lt;=$M$5,3&lt;=$M$7)</f>
        <v>0</v>
      </c>
      <c r="O544" s="7">
        <f>(P20-N20)*(O54-O20)-(Q20-O20)*(N54-N20)</f>
        <v>0</v>
      </c>
      <c r="P544" s="7">
        <f>(P20-N20)*(Q54-O20)-(Q20-O20)*(P54-N20)</f>
        <v>0</v>
      </c>
      <c r="Q544" s="7">
        <f>(P54-N54)*(O20-O54)-(Q54-O54)*(N20-N54)</f>
        <v>0</v>
      </c>
      <c r="R544" s="7">
        <f>(P54-N54)*(Q20-O54)-(Q54-O54)*(P20-N54)</f>
        <v>0</v>
      </c>
      <c r="S544" s="7">
        <f>IF(N544,IF(AND(O544*P544&lt;=0,Q544*R544&lt;=0,MAX(MIN(N20,P20),MIN(N54,P54))&lt;=MIN(MAX(N20,P20),MAX(N54,P54)),MAX(MIN(O20,Q20),MIN(O54,Q54))&lt;=MIN(MAX(O20,Q20),MAX(O54,Q54))),1,0),0)</f>
        <v>0</v>
      </c>
      <c r="T544" s="7"/>
      <c r="U544" s="7"/>
      <c r="V544" s="7"/>
      <c r="W544" s="7"/>
      <c r="X544" s="7"/>
      <c r="Y544" s="7"/>
      <c r="Z544" s="7"/>
      <c r="AA544" s="7"/>
      <c r="AB544" s="7"/>
      <c r="AC544" s="7"/>
      <c r="AD544" s="7"/>
      <c r="AE544" s="7"/>
      <c r="AF544" s="7"/>
      <c r="AG544" s="7"/>
      <c r="AH544" s="7"/>
      <c r="AI544" s="7"/>
    </row>
    <row r="545" spans="12:35">
      <c r="L545" s="7">
        <v>20</v>
      </c>
      <c r="M545" s="7">
        <v>55</v>
      </c>
      <c r="N545" s="7" t="b">
        <f>AND($N$5,$N$7,9&lt;=$M$5,4&lt;=$M$7)</f>
        <v>0</v>
      </c>
      <c r="O545" s="7">
        <f>(P20-N20)*(O55-O20)-(Q20-O20)*(N55-N20)</f>
        <v>0</v>
      </c>
      <c r="P545" s="7">
        <f>(P20-N20)*(Q55-O20)-(Q20-O20)*(P55-N20)</f>
        <v>0</v>
      </c>
      <c r="Q545" s="7">
        <f>(P55-N55)*(O20-O55)-(Q55-O55)*(N20-N55)</f>
        <v>0</v>
      </c>
      <c r="R545" s="7">
        <f>(P55-N55)*(Q20-O55)-(Q55-O55)*(P20-N55)</f>
        <v>0</v>
      </c>
      <c r="S545" s="7">
        <f>IF(N545,IF(AND(O545*P545&lt;=0,Q545*R545&lt;=0,MAX(MIN(N20,P20),MIN(N55,P55))&lt;=MIN(MAX(N20,P20),MAX(N55,P55)),MAX(MIN(O20,Q20),MIN(O55,Q55))&lt;=MIN(MAX(O20,Q20),MAX(O55,Q55))),1,0),0)</f>
        <v>0</v>
      </c>
      <c r="T545" s="7"/>
      <c r="U545" s="7"/>
      <c r="V545" s="7"/>
      <c r="W545" s="7"/>
      <c r="X545" s="7"/>
      <c r="Y545" s="7"/>
      <c r="Z545" s="7"/>
      <c r="AA545" s="7"/>
      <c r="AB545" s="7"/>
      <c r="AC545" s="7"/>
      <c r="AD545" s="7"/>
      <c r="AE545" s="7"/>
      <c r="AF545" s="7"/>
      <c r="AG545" s="7"/>
      <c r="AH545" s="7"/>
      <c r="AI545" s="7"/>
    </row>
    <row r="546" spans="12:35">
      <c r="L546" s="7">
        <v>20</v>
      </c>
      <c r="M546" s="7">
        <v>56</v>
      </c>
      <c r="N546" s="7" t="b">
        <f>AND($N$5,$N$7,9&lt;=$M$5,5&lt;=$M$7)</f>
        <v>0</v>
      </c>
      <c r="O546" s="7">
        <f>(P20-N20)*(O56-O20)-(Q20-O20)*(N56-N20)</f>
        <v>0</v>
      </c>
      <c r="P546" s="7">
        <f>(P20-N20)*(Q56-O20)-(Q20-O20)*(P56-N20)</f>
        <v>0</v>
      </c>
      <c r="Q546" s="7">
        <f>(P56-N56)*(O20-O56)-(Q56-O56)*(N20-N56)</f>
        <v>0</v>
      </c>
      <c r="R546" s="7">
        <f>(P56-N56)*(Q20-O56)-(Q56-O56)*(P20-N56)</f>
        <v>0</v>
      </c>
      <c r="S546" s="7">
        <f>IF(N546,IF(AND(O546*P546&lt;=0,Q546*R546&lt;=0,MAX(MIN(N20,P20),MIN(N56,P56))&lt;=MIN(MAX(N20,P20),MAX(N56,P56)),MAX(MIN(O20,Q20),MIN(O56,Q56))&lt;=MIN(MAX(O20,Q20),MAX(O56,Q56))),1,0),0)</f>
        <v>0</v>
      </c>
      <c r="T546" s="7"/>
      <c r="U546" s="7"/>
      <c r="V546" s="7"/>
      <c r="W546" s="7"/>
      <c r="X546" s="7"/>
      <c r="Y546" s="7"/>
      <c r="Z546" s="7"/>
      <c r="AA546" s="7"/>
      <c r="AB546" s="7"/>
      <c r="AC546" s="7"/>
      <c r="AD546" s="7"/>
      <c r="AE546" s="7"/>
      <c r="AF546" s="7"/>
      <c r="AG546" s="7"/>
      <c r="AH546" s="7"/>
      <c r="AI546" s="7"/>
    </row>
    <row r="547" spans="12:35">
      <c r="L547" s="7">
        <v>20</v>
      </c>
      <c r="M547" s="7">
        <v>57</v>
      </c>
      <c r="N547" s="7" t="b">
        <f>AND($N$5,$N$7,9&lt;=$M$5,6&lt;=$M$7)</f>
        <v>0</v>
      </c>
      <c r="O547" s="7">
        <f>(P20-N20)*(O57-O20)-(Q20-O20)*(N57-N20)</f>
        <v>0</v>
      </c>
      <c r="P547" s="7">
        <f>(P20-N20)*(Q57-O20)-(Q20-O20)*(P57-N20)</f>
        <v>0</v>
      </c>
      <c r="Q547" s="7">
        <f>(P57-N57)*(O20-O57)-(Q57-O57)*(N20-N57)</f>
        <v>0</v>
      </c>
      <c r="R547" s="7">
        <f>(P57-N57)*(Q20-O57)-(Q57-O57)*(P20-N57)</f>
        <v>0</v>
      </c>
      <c r="S547" s="7">
        <f>IF(N547,IF(AND(O547*P547&lt;=0,Q547*R547&lt;=0,MAX(MIN(N20,P20),MIN(N57,P57))&lt;=MIN(MAX(N20,P20),MAX(N57,P57)),MAX(MIN(O20,Q20),MIN(O57,Q57))&lt;=MIN(MAX(O20,Q20),MAX(O57,Q57))),1,0),0)</f>
        <v>0</v>
      </c>
      <c r="T547" s="7"/>
      <c r="U547" s="7"/>
      <c r="V547" s="7"/>
      <c r="W547" s="7"/>
      <c r="X547" s="7"/>
      <c r="Y547" s="7"/>
      <c r="Z547" s="7"/>
      <c r="AA547" s="7"/>
      <c r="AB547" s="7"/>
      <c r="AC547" s="7"/>
      <c r="AD547" s="7"/>
      <c r="AE547" s="7"/>
      <c r="AF547" s="7"/>
      <c r="AG547" s="7"/>
      <c r="AH547" s="7"/>
      <c r="AI547" s="7"/>
    </row>
    <row r="548" spans="12:35">
      <c r="L548" s="7">
        <v>20</v>
      </c>
      <c r="M548" s="7">
        <v>58</v>
      </c>
      <c r="N548" s="7" t="b">
        <f>AND($N$5,$N$7,9&lt;=$M$5,7&lt;=$M$7)</f>
        <v>0</v>
      </c>
      <c r="O548" s="7">
        <f>(P20-N20)*(O58-O20)-(Q20-O20)*(N58-N20)</f>
        <v>0</v>
      </c>
      <c r="P548" s="7">
        <f>(P20-N20)*(Q58-O20)-(Q20-O20)*(P58-N20)</f>
        <v>0</v>
      </c>
      <c r="Q548" s="7">
        <f>(P58-N58)*(O20-O58)-(Q58-O58)*(N20-N58)</f>
        <v>0</v>
      </c>
      <c r="R548" s="7">
        <f>(P58-N58)*(Q20-O58)-(Q58-O58)*(P20-N58)</f>
        <v>0</v>
      </c>
      <c r="S548" s="7">
        <f>IF(N548,IF(AND(O548*P548&lt;=0,Q548*R548&lt;=0,MAX(MIN(N20,P20),MIN(N58,P58))&lt;=MIN(MAX(N20,P20),MAX(N58,P58)),MAX(MIN(O20,Q20),MIN(O58,Q58))&lt;=MIN(MAX(O20,Q20),MAX(O58,Q58))),1,0),0)</f>
        <v>0</v>
      </c>
      <c r="T548" s="7"/>
      <c r="U548" s="7"/>
      <c r="V548" s="7"/>
      <c r="W548" s="7"/>
      <c r="X548" s="7"/>
      <c r="Y548" s="7"/>
      <c r="Z548" s="7"/>
      <c r="AA548" s="7"/>
      <c r="AB548" s="7"/>
      <c r="AC548" s="7"/>
      <c r="AD548" s="7"/>
      <c r="AE548" s="7"/>
      <c r="AF548" s="7"/>
      <c r="AG548" s="7"/>
      <c r="AH548" s="7"/>
      <c r="AI548" s="7"/>
    </row>
    <row r="549" spans="12:35">
      <c r="L549" s="7">
        <v>20</v>
      </c>
      <c r="M549" s="7">
        <v>59</v>
      </c>
      <c r="N549" s="7" t="b">
        <f>AND($N$5,$N$7,9&lt;=$M$5,8&lt;=$M$7)</f>
        <v>0</v>
      </c>
      <c r="O549" s="7">
        <f>(P20-N20)*(O59-O20)-(Q20-O20)*(N59-N20)</f>
        <v>0</v>
      </c>
      <c r="P549" s="7">
        <f>(P20-N20)*(Q59-O20)-(Q20-O20)*(P59-N20)</f>
        <v>0</v>
      </c>
      <c r="Q549" s="7">
        <f>(P59-N59)*(O20-O59)-(Q59-O59)*(N20-N59)</f>
        <v>0</v>
      </c>
      <c r="R549" s="7">
        <f>(P59-N59)*(Q20-O59)-(Q59-O59)*(P20-N59)</f>
        <v>0</v>
      </c>
      <c r="S549" s="7">
        <f>IF(N549,IF(AND(O549*P549&lt;=0,Q549*R549&lt;=0,MAX(MIN(N20,P20),MIN(N59,P59))&lt;=MIN(MAX(N20,P20),MAX(N59,P59)),MAX(MIN(O20,Q20),MIN(O59,Q59))&lt;=MIN(MAX(O20,Q20),MAX(O59,Q59))),1,0),0)</f>
        <v>0</v>
      </c>
      <c r="T549" s="7"/>
      <c r="U549" s="7"/>
      <c r="V549" s="7"/>
      <c r="W549" s="7"/>
      <c r="X549" s="7"/>
      <c r="Y549" s="7"/>
      <c r="Z549" s="7"/>
      <c r="AA549" s="7"/>
      <c r="AB549" s="7"/>
      <c r="AC549" s="7"/>
      <c r="AD549" s="7"/>
      <c r="AE549" s="7"/>
      <c r="AF549" s="7"/>
      <c r="AG549" s="7"/>
      <c r="AH549" s="7"/>
      <c r="AI549" s="7"/>
    </row>
    <row r="550" spans="12:35">
      <c r="L550" s="7">
        <v>20</v>
      </c>
      <c r="M550" s="7">
        <v>60</v>
      </c>
      <c r="N550" s="7" t="b">
        <f>AND($N$5,$N$7,9&lt;=$M$5,9&lt;=$M$7)</f>
        <v>0</v>
      </c>
      <c r="O550" s="7">
        <f>(P20-N20)*(O60-O20)-(Q20-O20)*(N60-N20)</f>
        <v>0</v>
      </c>
      <c r="P550" s="7">
        <f>(P20-N20)*(Q60-O20)-(Q20-O20)*(P60-N20)</f>
        <v>0</v>
      </c>
      <c r="Q550" s="7">
        <f>(P60-N60)*(O20-O60)-(Q60-O60)*(N20-N60)</f>
        <v>0</v>
      </c>
      <c r="R550" s="7">
        <f>(P60-N60)*(Q20-O60)-(Q60-O60)*(P20-N60)</f>
        <v>0</v>
      </c>
      <c r="S550" s="7">
        <f>IF(N550,IF(AND(O550*P550&lt;=0,Q550*R550&lt;=0,MAX(MIN(N20,P20),MIN(N60,P60))&lt;=MIN(MAX(N20,P20),MAX(N60,P60)),MAX(MIN(O20,Q20),MIN(O60,Q60))&lt;=MIN(MAX(O20,Q20),MAX(O60,Q60))),1,0),0)</f>
        <v>0</v>
      </c>
      <c r="T550" s="7"/>
      <c r="U550" s="7"/>
      <c r="V550" s="7"/>
      <c r="W550" s="7"/>
      <c r="X550" s="7"/>
      <c r="Y550" s="7"/>
      <c r="Z550" s="7"/>
      <c r="AA550" s="7"/>
      <c r="AB550" s="7"/>
      <c r="AC550" s="7"/>
      <c r="AD550" s="7"/>
      <c r="AE550" s="7"/>
      <c r="AF550" s="7"/>
      <c r="AG550" s="7"/>
      <c r="AH550" s="7"/>
      <c r="AI550" s="7"/>
    </row>
    <row r="551" spans="12:35">
      <c r="L551" s="7">
        <v>20</v>
      </c>
      <c r="M551" s="7">
        <v>61</v>
      </c>
      <c r="N551" s="7" t="b">
        <f>AND($N$5,$N$7,9&lt;=$M$5,10&lt;=$M$7)</f>
        <v>0</v>
      </c>
      <c r="O551" s="7">
        <f>(P20-N20)*(O61-O20)-(Q20-O20)*(N61-N20)</f>
        <v>0</v>
      </c>
      <c r="P551" s="7">
        <f>(P20-N20)*(Q61-O20)-(Q20-O20)*(P61-N20)</f>
        <v>0</v>
      </c>
      <c r="Q551" s="7">
        <f>(P61-N61)*(O20-O61)-(Q61-O61)*(N20-N61)</f>
        <v>0</v>
      </c>
      <c r="R551" s="7">
        <f>(P61-N61)*(Q20-O61)-(Q61-O61)*(P20-N61)</f>
        <v>0</v>
      </c>
      <c r="S551" s="7">
        <f>IF(N551,IF(AND(O551*P551&lt;=0,Q551*R551&lt;=0,MAX(MIN(N20,P20),MIN(N61,P61))&lt;=MIN(MAX(N20,P20),MAX(N61,P61)),MAX(MIN(O20,Q20),MIN(O61,Q61))&lt;=MIN(MAX(O20,Q20),MAX(O61,Q61))),1,0),0)</f>
        <v>0</v>
      </c>
      <c r="T551" s="7"/>
      <c r="U551" s="7"/>
      <c r="V551" s="7"/>
      <c r="W551" s="7"/>
      <c r="X551" s="7"/>
      <c r="Y551" s="7"/>
      <c r="Z551" s="7"/>
      <c r="AA551" s="7"/>
      <c r="AB551" s="7"/>
      <c r="AC551" s="7"/>
      <c r="AD551" s="7"/>
      <c r="AE551" s="7"/>
      <c r="AF551" s="7"/>
      <c r="AG551" s="7"/>
      <c r="AH551" s="7"/>
      <c r="AI551" s="7"/>
    </row>
    <row r="552" spans="12:35">
      <c r="L552" s="7">
        <v>20</v>
      </c>
      <c r="M552" s="7">
        <v>62</v>
      </c>
      <c r="N552" s="7" t="b">
        <f>AND($N$5,$N$7,9&lt;=$M$5,11&lt;=$M$7)</f>
        <v>0</v>
      </c>
      <c r="O552" s="7">
        <f>(P20-N20)*(O62-O20)-(Q20-O20)*(N62-N20)</f>
        <v>0</v>
      </c>
      <c r="P552" s="7">
        <f>(P20-N20)*(Q62-O20)-(Q20-O20)*(P62-N20)</f>
        <v>0</v>
      </c>
      <c r="Q552" s="7">
        <f>(P62-N62)*(O20-O62)-(Q62-O62)*(N20-N62)</f>
        <v>0</v>
      </c>
      <c r="R552" s="7">
        <f>(P62-N62)*(Q20-O62)-(Q62-O62)*(P20-N62)</f>
        <v>0</v>
      </c>
      <c r="S552" s="7">
        <f>IF(N552,IF(AND(O552*P552&lt;=0,Q552*R552&lt;=0,MAX(MIN(N20,P20),MIN(N62,P62))&lt;=MIN(MAX(N20,P20),MAX(N62,P62)),MAX(MIN(O20,Q20),MIN(O62,Q62))&lt;=MIN(MAX(O20,Q20),MAX(O62,Q62))),1,0),0)</f>
        <v>0</v>
      </c>
      <c r="T552" s="7"/>
      <c r="U552" s="7"/>
      <c r="V552" s="7"/>
      <c r="W552" s="7"/>
      <c r="X552" s="7"/>
      <c r="Y552" s="7"/>
      <c r="Z552" s="7"/>
      <c r="AA552" s="7"/>
      <c r="AB552" s="7"/>
      <c r="AC552" s="7"/>
      <c r="AD552" s="7"/>
      <c r="AE552" s="7"/>
      <c r="AF552" s="7"/>
      <c r="AG552" s="7"/>
      <c r="AH552" s="7"/>
      <c r="AI552" s="7"/>
    </row>
    <row r="553" spans="12:35">
      <c r="L553" s="7">
        <v>20</v>
      </c>
      <c r="M553" s="7">
        <v>63</v>
      </c>
      <c r="N553" s="7" t="b">
        <f>AND($N$5,$N$7,9&lt;=$M$5,12&lt;=$M$7)</f>
        <v>0</v>
      </c>
      <c r="O553" s="7">
        <f>(P20-N20)*(O63-O20)-(Q20-O20)*(N63-N20)</f>
        <v>0</v>
      </c>
      <c r="P553" s="7">
        <f>(P20-N20)*(Q63-O20)-(Q20-O20)*(P63-N20)</f>
        <v>0</v>
      </c>
      <c r="Q553" s="7">
        <f>(P63-N63)*(O20-O63)-(Q63-O63)*(N20-N63)</f>
        <v>0</v>
      </c>
      <c r="R553" s="7">
        <f>(P63-N63)*(Q20-O63)-(Q63-O63)*(P20-N63)</f>
        <v>0</v>
      </c>
      <c r="S553" s="7">
        <f>IF(N553,IF(AND(O553*P553&lt;=0,Q553*R553&lt;=0,MAX(MIN(N20,P20),MIN(N63,P63))&lt;=MIN(MAX(N20,P20),MAX(N63,P63)),MAX(MIN(O20,Q20),MIN(O63,Q63))&lt;=MIN(MAX(O20,Q20),MAX(O63,Q63))),1,0),0)</f>
        <v>0</v>
      </c>
      <c r="T553" s="7"/>
      <c r="U553" s="7"/>
      <c r="V553" s="7"/>
      <c r="W553" s="7"/>
      <c r="X553" s="7"/>
      <c r="Y553" s="7"/>
      <c r="Z553" s="7"/>
      <c r="AA553" s="7"/>
      <c r="AB553" s="7"/>
      <c r="AC553" s="7"/>
      <c r="AD553" s="7"/>
      <c r="AE553" s="7"/>
      <c r="AF553" s="7"/>
      <c r="AG553" s="7"/>
      <c r="AH553" s="7"/>
      <c r="AI553" s="7"/>
    </row>
    <row r="554" spans="12:35">
      <c r="L554" s="7">
        <v>20</v>
      </c>
      <c r="M554" s="7">
        <v>64</v>
      </c>
      <c r="N554" s="7" t="b">
        <f>AND($N$5,$N$7,9&lt;=$M$5,13&lt;=$M$7)</f>
        <v>0</v>
      </c>
      <c r="O554" s="7">
        <f>(P20-N20)*(O64-O20)-(Q20-O20)*(N64-N20)</f>
        <v>0</v>
      </c>
      <c r="P554" s="7">
        <f>(P20-N20)*(Q64-O20)-(Q20-O20)*(P64-N20)</f>
        <v>0</v>
      </c>
      <c r="Q554" s="7">
        <f>(P64-N64)*(O20-O64)-(Q64-O64)*(N20-N64)</f>
        <v>0</v>
      </c>
      <c r="R554" s="7">
        <f>(P64-N64)*(Q20-O64)-(Q64-O64)*(P20-N64)</f>
        <v>0</v>
      </c>
      <c r="S554" s="7">
        <f>IF(N554,IF(AND(O554*P554&lt;=0,Q554*R554&lt;=0,MAX(MIN(N20,P20),MIN(N64,P64))&lt;=MIN(MAX(N20,P20),MAX(N64,P64)),MAX(MIN(O20,Q20),MIN(O64,Q64))&lt;=MIN(MAX(O20,Q20),MAX(O64,Q64))),1,0),0)</f>
        <v>0</v>
      </c>
      <c r="T554" s="7"/>
      <c r="U554" s="7"/>
      <c r="V554" s="7"/>
      <c r="W554" s="7"/>
      <c r="X554" s="7"/>
      <c r="Y554" s="7"/>
      <c r="Z554" s="7"/>
      <c r="AA554" s="7"/>
      <c r="AB554" s="7"/>
      <c r="AC554" s="7"/>
      <c r="AD554" s="7"/>
      <c r="AE554" s="7"/>
      <c r="AF554" s="7"/>
      <c r="AG554" s="7"/>
      <c r="AH554" s="7"/>
      <c r="AI554" s="7"/>
    </row>
    <row r="555" spans="12:35">
      <c r="L555" s="7">
        <v>20</v>
      </c>
      <c r="M555" s="7">
        <v>65</v>
      </c>
      <c r="N555" s="7" t="b">
        <f>AND($N$5,$N$7,9&lt;=$M$5,14&lt;=$M$7)</f>
        <v>0</v>
      </c>
      <c r="O555" s="7">
        <f>(P20-N20)*(O65-O20)-(Q20-O20)*(N65-N20)</f>
        <v>0</v>
      </c>
      <c r="P555" s="7">
        <f>(P20-N20)*(Q65-O20)-(Q20-O20)*(P65-N20)</f>
        <v>0</v>
      </c>
      <c r="Q555" s="7">
        <f>(P65-N65)*(O20-O65)-(Q65-O65)*(N20-N65)</f>
        <v>0</v>
      </c>
      <c r="R555" s="7">
        <f>(P65-N65)*(Q20-O65)-(Q65-O65)*(P20-N65)</f>
        <v>0</v>
      </c>
      <c r="S555" s="7">
        <f>IF(N555,IF(AND(O555*P555&lt;=0,Q555*R555&lt;=0,MAX(MIN(N20,P20),MIN(N65,P65))&lt;=MIN(MAX(N20,P20),MAX(N65,P65)),MAX(MIN(O20,Q20),MIN(O65,Q65))&lt;=MIN(MAX(O20,Q20),MAX(O65,Q65))),1,0),0)</f>
        <v>0</v>
      </c>
      <c r="T555" s="7"/>
      <c r="U555" s="7"/>
      <c r="V555" s="7"/>
      <c r="W555" s="7"/>
      <c r="X555" s="7"/>
      <c r="Y555" s="7"/>
      <c r="Z555" s="7"/>
      <c r="AA555" s="7"/>
      <c r="AB555" s="7"/>
      <c r="AC555" s="7"/>
      <c r="AD555" s="7"/>
      <c r="AE555" s="7"/>
      <c r="AF555" s="7"/>
      <c r="AG555" s="7"/>
      <c r="AH555" s="7"/>
      <c r="AI555" s="7"/>
    </row>
    <row r="556" spans="12:35">
      <c r="L556" s="7">
        <v>20</v>
      </c>
      <c r="M556" s="7">
        <v>66</v>
      </c>
      <c r="N556" s="7" t="b">
        <f>AND($N$5,$N$7,9&lt;=$M$5,15&lt;=$M$7)</f>
        <v>0</v>
      </c>
      <c r="O556" s="7">
        <f>(P20-N20)*(O66-O20)-(Q20-O20)*(N66-N20)</f>
        <v>0</v>
      </c>
      <c r="P556" s="7">
        <f>(P20-N20)*(Q66-O20)-(Q20-O20)*(P66-N20)</f>
        <v>0</v>
      </c>
      <c r="Q556" s="7">
        <f>(P66-N66)*(O20-O66)-(Q66-O66)*(N20-N66)</f>
        <v>0</v>
      </c>
      <c r="R556" s="7">
        <f>(P66-N66)*(Q20-O66)-(Q66-O66)*(P20-N66)</f>
        <v>0</v>
      </c>
      <c r="S556" s="7">
        <f>IF(N556,IF(AND(O556*P556&lt;=0,Q556*R556&lt;=0,MAX(MIN(N20,P20),MIN(N66,P66))&lt;=MIN(MAX(N20,P20),MAX(N66,P66)),MAX(MIN(O20,Q20),MIN(O66,Q66))&lt;=MIN(MAX(O20,Q20),MAX(O66,Q66))),1,0),0)</f>
        <v>0</v>
      </c>
      <c r="T556" s="7"/>
      <c r="U556" s="7"/>
      <c r="V556" s="7"/>
      <c r="W556" s="7"/>
      <c r="X556" s="7"/>
      <c r="Y556" s="7"/>
      <c r="Z556" s="7"/>
      <c r="AA556" s="7"/>
      <c r="AB556" s="7"/>
      <c r="AC556" s="7"/>
      <c r="AD556" s="7"/>
      <c r="AE556" s="7"/>
      <c r="AF556" s="7"/>
      <c r="AG556" s="7"/>
      <c r="AH556" s="7"/>
      <c r="AI556" s="7"/>
    </row>
    <row r="557" spans="12:35">
      <c r="L557" s="7">
        <v>20</v>
      </c>
      <c r="M557" s="7">
        <v>67</v>
      </c>
      <c r="N557" s="7" t="b">
        <f>AND($N$5,$N$7,9&lt;=$M$5,16&lt;=$M$7)</f>
        <v>0</v>
      </c>
      <c r="O557" s="7">
        <f>(P20-N20)*(O67-O20)-(Q20-O20)*(N67-N20)</f>
        <v>0</v>
      </c>
      <c r="P557" s="7">
        <f>(P20-N20)*(Q67-O20)-(Q20-O20)*(P67-N20)</f>
        <v>0</v>
      </c>
      <c r="Q557" s="7">
        <f>(P67-N67)*(O20-O67)-(Q67-O67)*(N20-N67)</f>
        <v>0</v>
      </c>
      <c r="R557" s="7">
        <f>(P67-N67)*(Q20-O67)-(Q67-O67)*(P20-N67)</f>
        <v>0</v>
      </c>
      <c r="S557" s="7">
        <f>IF(N557,IF(AND(O557*P557&lt;=0,Q557*R557&lt;=0,MAX(MIN(N20,P20),MIN(N67,P67))&lt;=MIN(MAX(N20,P20),MAX(N67,P67)),MAX(MIN(O20,Q20),MIN(O67,Q67))&lt;=MIN(MAX(O20,Q20),MAX(O67,Q67))),1,0),0)</f>
        <v>0</v>
      </c>
      <c r="T557" s="7"/>
      <c r="U557" s="7"/>
      <c r="V557" s="7"/>
      <c r="W557" s="7"/>
      <c r="X557" s="7"/>
      <c r="Y557" s="7"/>
      <c r="Z557" s="7"/>
      <c r="AA557" s="7"/>
      <c r="AB557" s="7"/>
      <c r="AC557" s="7"/>
      <c r="AD557" s="7"/>
      <c r="AE557" s="7"/>
      <c r="AF557" s="7"/>
      <c r="AG557" s="7"/>
      <c r="AH557" s="7"/>
      <c r="AI557" s="7"/>
    </row>
    <row r="558" spans="12:35">
      <c r="L558" s="7">
        <v>20</v>
      </c>
      <c r="M558" s="7">
        <v>68</v>
      </c>
      <c r="N558" s="7" t="b">
        <f>AND($N$5,$N$7,9&lt;=$M$5,17&lt;=$M$7)</f>
        <v>0</v>
      </c>
      <c r="O558" s="7">
        <f>(P20-N20)*(O68-O20)-(Q20-O20)*(N68-N20)</f>
        <v>0</v>
      </c>
      <c r="P558" s="7">
        <f>(P20-N20)*(Q68-O20)-(Q20-O20)*(P68-N20)</f>
        <v>0</v>
      </c>
      <c r="Q558" s="7">
        <f>(P68-N68)*(O20-O68)-(Q68-O68)*(N20-N68)</f>
        <v>0</v>
      </c>
      <c r="R558" s="7">
        <f>(P68-N68)*(Q20-O68)-(Q68-O68)*(P20-N68)</f>
        <v>0</v>
      </c>
      <c r="S558" s="7">
        <f>IF(N558,IF(AND(O558*P558&lt;=0,Q558*R558&lt;=0,MAX(MIN(N20,P20),MIN(N68,P68))&lt;=MIN(MAX(N20,P20),MAX(N68,P68)),MAX(MIN(O20,Q20),MIN(O68,Q68))&lt;=MIN(MAX(O20,Q20),MAX(O68,Q68))),1,0),0)</f>
        <v>0</v>
      </c>
      <c r="T558" s="7"/>
      <c r="U558" s="7"/>
      <c r="V558" s="7"/>
      <c r="W558" s="7"/>
      <c r="X558" s="7"/>
      <c r="Y558" s="7"/>
      <c r="Z558" s="7"/>
      <c r="AA558" s="7"/>
      <c r="AB558" s="7"/>
      <c r="AC558" s="7"/>
      <c r="AD558" s="7"/>
      <c r="AE558" s="7"/>
      <c r="AF558" s="7"/>
      <c r="AG558" s="7"/>
      <c r="AH558" s="7"/>
      <c r="AI558" s="7"/>
    </row>
    <row r="559" spans="12:35">
      <c r="L559" s="7">
        <v>20</v>
      </c>
      <c r="M559" s="7">
        <v>69</v>
      </c>
      <c r="N559" s="7" t="b">
        <f>AND($N$5,$N$7,9&lt;=$M$5,18&lt;=$M$7)</f>
        <v>0</v>
      </c>
      <c r="O559" s="7">
        <f>(P20-N20)*(O69-O20)-(Q20-O20)*(N69-N20)</f>
        <v>0</v>
      </c>
      <c r="P559" s="7">
        <f>(P20-N20)*(Q69-O20)-(Q20-O20)*(P69-N20)</f>
        <v>0</v>
      </c>
      <c r="Q559" s="7">
        <f>(P69-N69)*(O20-O69)-(Q69-O69)*(N20-N69)</f>
        <v>0</v>
      </c>
      <c r="R559" s="7">
        <f>(P69-N69)*(Q20-O69)-(Q69-O69)*(P20-N69)</f>
        <v>0</v>
      </c>
      <c r="S559" s="7">
        <f>IF(N559,IF(AND(O559*P559&lt;=0,Q559*R559&lt;=0,MAX(MIN(N20,P20),MIN(N69,P69))&lt;=MIN(MAX(N20,P20),MAX(N69,P69)),MAX(MIN(O20,Q20),MIN(O69,Q69))&lt;=MIN(MAX(O20,Q20),MAX(O69,Q69))),1,0),0)</f>
        <v>0</v>
      </c>
      <c r="T559" s="7"/>
      <c r="U559" s="7"/>
      <c r="V559" s="7"/>
      <c r="W559" s="7"/>
      <c r="X559" s="7"/>
      <c r="Y559" s="7"/>
      <c r="Z559" s="7"/>
      <c r="AA559" s="7"/>
      <c r="AB559" s="7"/>
      <c r="AC559" s="7"/>
      <c r="AD559" s="7"/>
      <c r="AE559" s="7"/>
      <c r="AF559" s="7"/>
      <c r="AG559" s="7"/>
      <c r="AH559" s="7"/>
      <c r="AI559" s="7"/>
    </row>
    <row r="560" spans="12:35">
      <c r="L560" s="7">
        <v>20</v>
      </c>
      <c r="M560" s="7">
        <v>70</v>
      </c>
      <c r="N560" s="7" t="b">
        <f>AND($N$5,$N$7,9&lt;=$M$5,19&lt;=$M$7)</f>
        <v>0</v>
      </c>
      <c r="O560" s="7">
        <f>(P20-N20)*(O70-O20)-(Q20-O20)*(N70-N20)</f>
        <v>0</v>
      </c>
      <c r="P560" s="7">
        <f>(P20-N20)*(Q70-O20)-(Q20-O20)*(P70-N20)</f>
        <v>0</v>
      </c>
      <c r="Q560" s="7">
        <f>(P70-N70)*(O20-O70)-(Q70-O70)*(N20-N70)</f>
        <v>0</v>
      </c>
      <c r="R560" s="7">
        <f>(P70-N70)*(Q20-O70)-(Q70-O70)*(P20-N70)</f>
        <v>0</v>
      </c>
      <c r="S560" s="7">
        <f>IF(N560,IF(AND(O560*P560&lt;=0,Q560*R560&lt;=0,MAX(MIN(N20,P20),MIN(N70,P70))&lt;=MIN(MAX(N20,P20),MAX(N70,P70)),MAX(MIN(O20,Q20),MIN(O70,Q70))&lt;=MIN(MAX(O20,Q20),MAX(O70,Q70))),1,0),0)</f>
        <v>0</v>
      </c>
      <c r="T560" s="7"/>
      <c r="U560" s="7"/>
      <c r="V560" s="7"/>
      <c r="W560" s="7"/>
      <c r="X560" s="7"/>
      <c r="Y560" s="7"/>
      <c r="Z560" s="7"/>
      <c r="AA560" s="7"/>
      <c r="AB560" s="7"/>
      <c r="AC560" s="7"/>
      <c r="AD560" s="7"/>
      <c r="AE560" s="7"/>
      <c r="AF560" s="7"/>
      <c r="AG560" s="7"/>
      <c r="AH560" s="7"/>
      <c r="AI560" s="7"/>
    </row>
    <row r="561" spans="12:35">
      <c r="L561" s="7">
        <v>20</v>
      </c>
      <c r="M561" s="7">
        <v>71</v>
      </c>
      <c r="N561" s="7" t="b">
        <f>AND($N$5,$N$7,9&lt;=$M$5,20&lt;=$M$7)</f>
        <v>0</v>
      </c>
      <c r="O561" s="7">
        <f>(P20-N20)*(O71-O20)-(Q20-O20)*(N71-N20)</f>
        <v>0</v>
      </c>
      <c r="P561" s="7">
        <f>(P20-N20)*(Q71-O20)-(Q20-O20)*(P71-N20)</f>
        <v>0</v>
      </c>
      <c r="Q561" s="7">
        <f>(P71-N71)*(O20-O71)-(Q71-O71)*(N20-N71)</f>
        <v>0</v>
      </c>
      <c r="R561" s="7">
        <f>(P71-N71)*(Q20-O71)-(Q71-O71)*(P20-N71)</f>
        <v>0</v>
      </c>
      <c r="S561" s="7">
        <f>IF(N561,IF(AND(O561*P561&lt;=0,Q561*R561&lt;=0,MAX(MIN(N20,P20),MIN(N71,P71))&lt;=MIN(MAX(N20,P20),MAX(N71,P71)),MAX(MIN(O20,Q20),MIN(O71,Q71))&lt;=MIN(MAX(O20,Q20),MAX(O71,Q71))),1,0),0)</f>
        <v>0</v>
      </c>
      <c r="T561" s="7"/>
      <c r="U561" s="7"/>
      <c r="V561" s="7"/>
      <c r="W561" s="7"/>
      <c r="X561" s="7"/>
      <c r="Y561" s="7"/>
      <c r="Z561" s="7"/>
      <c r="AA561" s="7"/>
      <c r="AB561" s="7"/>
      <c r="AC561" s="7"/>
      <c r="AD561" s="7"/>
      <c r="AE561" s="7"/>
      <c r="AF561" s="7"/>
      <c r="AG561" s="7"/>
      <c r="AH561" s="7"/>
      <c r="AI561" s="7"/>
    </row>
    <row r="562" spans="12:35">
      <c r="L562" s="7">
        <v>21</v>
      </c>
      <c r="M562" s="7">
        <v>23</v>
      </c>
      <c r="N562" s="7" t="b">
        <f>AND($N$5,$N$5,10&lt;=$M$5,12&lt;=$M$5)</f>
        <v>0</v>
      </c>
      <c r="O562" s="7">
        <f>(P21-N21)*(O23-O21)-(Q21-O21)*(N23-N21)</f>
        <v>0</v>
      </c>
      <c r="P562" s="7">
        <f>(P21-N21)*(Q23-O21)-(Q21-O21)*(P23-N21)</f>
        <v>0</v>
      </c>
      <c r="Q562" s="7">
        <f>(P23-N23)*(O21-O23)-(Q23-O23)*(N21-N23)</f>
        <v>0</v>
      </c>
      <c r="R562" s="7">
        <f>(P23-N23)*(Q21-O23)-(Q23-O23)*(P21-N23)</f>
        <v>0</v>
      </c>
      <c r="S562" s="7">
        <f>IF(N562,IF(AND(O562*P562&lt;=0,Q562*R562&lt;=0,MAX(MIN(N21,P21),MIN(N23,P23))&lt;=MIN(MAX(N21,P21),MAX(N23,P23)),MAX(MIN(O21,Q21),MIN(O23,Q23))&lt;=MIN(MAX(O21,Q21),MAX(O23,Q23))),1,0),0)</f>
        <v>0</v>
      </c>
      <c r="T562" s="7"/>
      <c r="U562" s="7"/>
      <c r="V562" s="7"/>
      <c r="W562" s="7"/>
      <c r="X562" s="7"/>
      <c r="Y562" s="7"/>
      <c r="Z562" s="7"/>
      <c r="AA562" s="7"/>
      <c r="AB562" s="7"/>
      <c r="AC562" s="7"/>
      <c r="AD562" s="7"/>
      <c r="AE562" s="7"/>
      <c r="AF562" s="7"/>
      <c r="AG562" s="7"/>
      <c r="AH562" s="7"/>
      <c r="AI562" s="7"/>
    </row>
    <row r="563" spans="12:35">
      <c r="L563" s="7">
        <v>21</v>
      </c>
      <c r="M563" s="7">
        <v>24</v>
      </c>
      <c r="N563" s="7" t="b">
        <f>AND($N$5,$N$5,10&lt;=$M$5,13&lt;=$M$5)</f>
        <v>0</v>
      </c>
      <c r="O563" s="7">
        <f>(P21-N21)*(O24-O21)-(Q21-O21)*(N24-N21)</f>
        <v>0</v>
      </c>
      <c r="P563" s="7">
        <f>(P21-N21)*(Q24-O21)-(Q21-O21)*(P24-N21)</f>
        <v>0</v>
      </c>
      <c r="Q563" s="7">
        <f>(P24-N24)*(O21-O24)-(Q24-O24)*(N21-N24)</f>
        <v>0</v>
      </c>
      <c r="R563" s="7">
        <f>(P24-N24)*(Q21-O24)-(Q24-O24)*(P21-N24)</f>
        <v>0</v>
      </c>
      <c r="S563" s="7">
        <f>IF(N563,IF(AND(O563*P563&lt;=0,Q563*R563&lt;=0,MAX(MIN(N21,P21),MIN(N24,P24))&lt;=MIN(MAX(N21,P21),MAX(N24,P24)),MAX(MIN(O21,Q21),MIN(O24,Q24))&lt;=MIN(MAX(O21,Q21),MAX(O24,Q24))),1,0),0)</f>
        <v>0</v>
      </c>
      <c r="T563" s="7"/>
      <c r="U563" s="7"/>
      <c r="V563" s="7"/>
      <c r="W563" s="7"/>
      <c r="X563" s="7"/>
      <c r="Y563" s="7"/>
      <c r="Z563" s="7"/>
      <c r="AA563" s="7"/>
      <c r="AB563" s="7"/>
      <c r="AC563" s="7"/>
      <c r="AD563" s="7"/>
      <c r="AE563" s="7"/>
      <c r="AF563" s="7"/>
      <c r="AG563" s="7"/>
      <c r="AH563" s="7"/>
      <c r="AI563" s="7"/>
    </row>
    <row r="564" spans="12:35">
      <c r="L564" s="7">
        <v>21</v>
      </c>
      <c r="M564" s="7">
        <v>25</v>
      </c>
      <c r="N564" s="7" t="b">
        <f>AND($N$5,$N$5,10&lt;=$M$5,14&lt;=$M$5)</f>
        <v>0</v>
      </c>
      <c r="O564" s="7">
        <f>(P21-N21)*(O25-O21)-(Q21-O21)*(N25-N21)</f>
        <v>0</v>
      </c>
      <c r="P564" s="7">
        <f>(P21-N21)*(Q25-O21)-(Q21-O21)*(P25-N21)</f>
        <v>0</v>
      </c>
      <c r="Q564" s="7">
        <f>(P25-N25)*(O21-O25)-(Q25-O25)*(N21-N25)</f>
        <v>0</v>
      </c>
      <c r="R564" s="7">
        <f>(P25-N25)*(Q21-O25)-(Q25-O25)*(P21-N25)</f>
        <v>0</v>
      </c>
      <c r="S564" s="7">
        <f>IF(N564,IF(AND(O564*P564&lt;=0,Q564*R564&lt;=0,MAX(MIN(N21,P21),MIN(N25,P25))&lt;=MIN(MAX(N21,P21),MAX(N25,P25)),MAX(MIN(O21,Q21),MIN(O25,Q25))&lt;=MIN(MAX(O21,Q21),MAX(O25,Q25))),1,0),0)</f>
        <v>0</v>
      </c>
      <c r="T564" s="7"/>
      <c r="U564" s="7"/>
      <c r="V564" s="7"/>
      <c r="W564" s="7"/>
      <c r="X564" s="7"/>
      <c r="Y564" s="7"/>
      <c r="Z564" s="7"/>
      <c r="AA564" s="7"/>
      <c r="AB564" s="7"/>
      <c r="AC564" s="7"/>
      <c r="AD564" s="7"/>
      <c r="AE564" s="7"/>
      <c r="AF564" s="7"/>
      <c r="AG564" s="7"/>
      <c r="AH564" s="7"/>
      <c r="AI564" s="7"/>
    </row>
    <row r="565" spans="12:35">
      <c r="L565" s="7">
        <v>21</v>
      </c>
      <c r="M565" s="7">
        <v>26</v>
      </c>
      <c r="N565" s="7" t="b">
        <f>AND($N$5,$N$5,10&lt;=$M$5,15&lt;=$M$5)</f>
        <v>0</v>
      </c>
      <c r="O565" s="7">
        <f>(P21-N21)*(O26-O21)-(Q21-O21)*(N26-N21)</f>
        <v>0</v>
      </c>
      <c r="P565" s="7">
        <f>(P21-N21)*(Q26-O21)-(Q21-O21)*(P26-N21)</f>
        <v>0</v>
      </c>
      <c r="Q565" s="7">
        <f>(P26-N26)*(O21-O26)-(Q26-O26)*(N21-N26)</f>
        <v>0</v>
      </c>
      <c r="R565" s="7">
        <f>(P26-N26)*(Q21-O26)-(Q26-O26)*(P21-N26)</f>
        <v>0</v>
      </c>
      <c r="S565" s="7">
        <f>IF(N565,IF(AND(O565*P565&lt;=0,Q565*R565&lt;=0,MAX(MIN(N21,P21),MIN(N26,P26))&lt;=MIN(MAX(N21,P21),MAX(N26,P26)),MAX(MIN(O21,Q21),MIN(O26,Q26))&lt;=MIN(MAX(O21,Q21),MAX(O26,Q26))),1,0),0)</f>
        <v>0</v>
      </c>
      <c r="T565" s="7"/>
      <c r="U565" s="7"/>
      <c r="V565" s="7"/>
      <c r="W565" s="7"/>
      <c r="X565" s="7"/>
      <c r="Y565" s="7"/>
      <c r="Z565" s="7"/>
      <c r="AA565" s="7"/>
      <c r="AB565" s="7"/>
      <c r="AC565" s="7"/>
      <c r="AD565" s="7"/>
      <c r="AE565" s="7"/>
      <c r="AF565" s="7"/>
      <c r="AG565" s="7"/>
      <c r="AH565" s="7"/>
      <c r="AI565" s="7"/>
    </row>
    <row r="566" spans="12:35">
      <c r="L566" s="7">
        <v>21</v>
      </c>
      <c r="M566" s="7">
        <v>27</v>
      </c>
      <c r="N566" s="7" t="b">
        <f>AND($N$5,$N$5,10&lt;=$M$5,16&lt;=$M$5)</f>
        <v>0</v>
      </c>
      <c r="O566" s="7">
        <f>(P21-N21)*(O27-O21)-(Q21-O21)*(N27-N21)</f>
        <v>0</v>
      </c>
      <c r="P566" s="7">
        <f>(P21-N21)*(Q27-O21)-(Q21-O21)*(P27-N21)</f>
        <v>0</v>
      </c>
      <c r="Q566" s="7">
        <f>(P27-N27)*(O21-O27)-(Q27-O27)*(N21-N27)</f>
        <v>0</v>
      </c>
      <c r="R566" s="7">
        <f>(P27-N27)*(Q21-O27)-(Q27-O27)*(P21-N27)</f>
        <v>0</v>
      </c>
      <c r="S566" s="7">
        <f>IF(N566,IF(AND(O566*P566&lt;=0,Q566*R566&lt;=0,MAX(MIN(N21,P21),MIN(N27,P27))&lt;=MIN(MAX(N21,P21),MAX(N27,P27)),MAX(MIN(O21,Q21),MIN(O27,Q27))&lt;=MIN(MAX(O21,Q21),MAX(O27,Q27))),1,0),0)</f>
        <v>0</v>
      </c>
      <c r="T566" s="7"/>
      <c r="U566" s="7"/>
      <c r="V566" s="7"/>
      <c r="W566" s="7"/>
      <c r="X566" s="7"/>
      <c r="Y566" s="7"/>
      <c r="Z566" s="7"/>
      <c r="AA566" s="7"/>
      <c r="AB566" s="7"/>
      <c r="AC566" s="7"/>
      <c r="AD566" s="7"/>
      <c r="AE566" s="7"/>
      <c r="AF566" s="7"/>
      <c r="AG566" s="7"/>
      <c r="AH566" s="7"/>
      <c r="AI566" s="7"/>
    </row>
    <row r="567" spans="12:35">
      <c r="L567" s="7">
        <v>21</v>
      </c>
      <c r="M567" s="7">
        <v>28</v>
      </c>
      <c r="N567" s="7" t="b">
        <f>AND($N$5,$N$5,10&lt;=$M$5,17&lt;=$M$5)</f>
        <v>0</v>
      </c>
      <c r="O567" s="7">
        <f>(P21-N21)*(O28-O21)-(Q21-O21)*(N28-N21)</f>
        <v>0</v>
      </c>
      <c r="P567" s="7">
        <f>(P21-N21)*(Q28-O21)-(Q21-O21)*(P28-N21)</f>
        <v>0</v>
      </c>
      <c r="Q567" s="7">
        <f>(P28-N28)*(O21-O28)-(Q28-O28)*(N21-N28)</f>
        <v>0</v>
      </c>
      <c r="R567" s="7">
        <f>(P28-N28)*(Q21-O28)-(Q28-O28)*(P21-N28)</f>
        <v>0</v>
      </c>
      <c r="S567" s="7">
        <f>IF(N567,IF(AND(O567*P567&lt;=0,Q567*R567&lt;=0,MAX(MIN(N21,P21),MIN(N28,P28))&lt;=MIN(MAX(N21,P21),MAX(N28,P28)),MAX(MIN(O21,Q21),MIN(O28,Q28))&lt;=MIN(MAX(O21,Q21),MAX(O28,Q28))),1,0),0)</f>
        <v>0</v>
      </c>
      <c r="T567" s="7"/>
      <c r="U567" s="7"/>
      <c r="V567" s="7"/>
      <c r="W567" s="7"/>
      <c r="X567" s="7"/>
      <c r="Y567" s="7"/>
      <c r="Z567" s="7"/>
      <c r="AA567" s="7"/>
      <c r="AB567" s="7"/>
      <c r="AC567" s="7"/>
      <c r="AD567" s="7"/>
      <c r="AE567" s="7"/>
      <c r="AF567" s="7"/>
      <c r="AG567" s="7"/>
      <c r="AH567" s="7"/>
      <c r="AI567" s="7"/>
    </row>
    <row r="568" spans="12:35">
      <c r="L568" s="7">
        <v>21</v>
      </c>
      <c r="M568" s="7">
        <v>29</v>
      </c>
      <c r="N568" s="7" t="b">
        <f>AND($N$5,$N$5,10&lt;=$M$5,18&lt;=$M$5)</f>
        <v>0</v>
      </c>
      <c r="O568" s="7">
        <f>(P21-N21)*(O29-O21)-(Q21-O21)*(N29-N21)</f>
        <v>0</v>
      </c>
      <c r="P568" s="7">
        <f>(P21-N21)*(Q29-O21)-(Q21-O21)*(P29-N21)</f>
        <v>0</v>
      </c>
      <c r="Q568" s="7">
        <f>(P29-N29)*(O21-O29)-(Q29-O29)*(N21-N29)</f>
        <v>0</v>
      </c>
      <c r="R568" s="7">
        <f>(P29-N29)*(Q21-O29)-(Q29-O29)*(P21-N29)</f>
        <v>0</v>
      </c>
      <c r="S568" s="7">
        <f>IF(N568,IF(AND(O568*P568&lt;=0,Q568*R568&lt;=0,MAX(MIN(N21,P21),MIN(N29,P29))&lt;=MIN(MAX(N21,P21),MAX(N29,P29)),MAX(MIN(O21,Q21),MIN(O29,Q29))&lt;=MIN(MAX(O21,Q21),MAX(O29,Q29))),1,0),0)</f>
        <v>0</v>
      </c>
      <c r="T568" s="7"/>
      <c r="U568" s="7"/>
      <c r="V568" s="7"/>
      <c r="W568" s="7"/>
      <c r="X568" s="7"/>
      <c r="Y568" s="7"/>
      <c r="Z568" s="7"/>
      <c r="AA568" s="7"/>
      <c r="AB568" s="7"/>
      <c r="AC568" s="7"/>
      <c r="AD568" s="7"/>
      <c r="AE568" s="7"/>
      <c r="AF568" s="7"/>
      <c r="AG568" s="7"/>
      <c r="AH568" s="7"/>
      <c r="AI568" s="7"/>
    </row>
    <row r="569" spans="12:35">
      <c r="L569" s="7">
        <v>21</v>
      </c>
      <c r="M569" s="7">
        <v>30</v>
      </c>
      <c r="N569" s="7" t="b">
        <f>AND($N$5,$N$5,10&lt;=$M$5,19&lt;=$M$5)</f>
        <v>0</v>
      </c>
      <c r="O569" s="7">
        <f>(P21-N21)*(O30-O21)-(Q21-O21)*(N30-N21)</f>
        <v>0</v>
      </c>
      <c r="P569" s="7">
        <f>(P21-N21)*(Q30-O21)-(Q21-O21)*(P30-N21)</f>
        <v>0</v>
      </c>
      <c r="Q569" s="7">
        <f>(P30-N30)*(O21-O30)-(Q30-O30)*(N21-N30)</f>
        <v>0</v>
      </c>
      <c r="R569" s="7">
        <f>(P30-N30)*(Q21-O30)-(Q30-O30)*(P21-N30)</f>
        <v>0</v>
      </c>
      <c r="S569" s="7">
        <f>IF(N569,IF(AND(O569*P569&lt;=0,Q569*R569&lt;=0,MAX(MIN(N21,P21),MIN(N30,P30))&lt;=MIN(MAX(N21,P21),MAX(N30,P30)),MAX(MIN(O21,Q21),MIN(O30,Q30))&lt;=MIN(MAX(O21,Q21),MAX(O30,Q30))),1,0),0)</f>
        <v>0</v>
      </c>
      <c r="T569" s="7"/>
      <c r="U569" s="7"/>
      <c r="V569" s="7"/>
      <c r="W569" s="7"/>
      <c r="X569" s="7"/>
      <c r="Y569" s="7"/>
      <c r="Z569" s="7"/>
      <c r="AA569" s="7"/>
      <c r="AB569" s="7"/>
      <c r="AC569" s="7"/>
      <c r="AD569" s="7"/>
      <c r="AE569" s="7"/>
      <c r="AF569" s="7"/>
      <c r="AG569" s="7"/>
      <c r="AH569" s="7"/>
      <c r="AI569" s="7"/>
    </row>
    <row r="570" spans="12:35">
      <c r="L570" s="7">
        <v>21</v>
      </c>
      <c r="M570" s="7">
        <v>31</v>
      </c>
      <c r="N570" s="7" t="b">
        <f>AND($N$5,$N$5,10&lt;=$M$5,20&lt;=$M$5)</f>
        <v>0</v>
      </c>
      <c r="O570" s="7">
        <f>(P21-N21)*(O31-O21)-(Q21-O21)*(N31-N21)</f>
        <v>0</v>
      </c>
      <c r="P570" s="7">
        <f>(P21-N21)*(Q31-O21)-(Q21-O21)*(P31-N21)</f>
        <v>0</v>
      </c>
      <c r="Q570" s="7">
        <f>(P31-N31)*(O21-O31)-(Q31-O31)*(N21-N31)</f>
        <v>0</v>
      </c>
      <c r="R570" s="7">
        <f>(P31-N31)*(Q21-O31)-(Q31-O31)*(P21-N31)</f>
        <v>0</v>
      </c>
      <c r="S570" s="7">
        <f>IF(N570,IF(AND(O570*P570&lt;=0,Q570*R570&lt;=0,MAX(MIN(N21,P21),MIN(N31,P31))&lt;=MIN(MAX(N21,P21),MAX(N31,P31)),MAX(MIN(O21,Q21),MIN(O31,Q31))&lt;=MIN(MAX(O21,Q21),MAX(O31,Q31))),1,0),0)</f>
        <v>0</v>
      </c>
      <c r="T570" s="7"/>
      <c r="U570" s="7"/>
      <c r="V570" s="7"/>
      <c r="W570" s="7"/>
      <c r="X570" s="7"/>
      <c r="Y570" s="7"/>
      <c r="Z570" s="7"/>
      <c r="AA570" s="7"/>
      <c r="AB570" s="7"/>
      <c r="AC570" s="7"/>
      <c r="AD570" s="7"/>
      <c r="AE570" s="7"/>
      <c r="AF570" s="7"/>
      <c r="AG570" s="7"/>
      <c r="AH570" s="7"/>
      <c r="AI570" s="7"/>
    </row>
    <row r="571" spans="12:35">
      <c r="L571" s="7">
        <v>21</v>
      </c>
      <c r="M571" s="7">
        <v>32</v>
      </c>
      <c r="N571" s="7" t="b">
        <f>AND($N$5,$N$6,10&lt;=$M$5,1&lt;=$M$6)</f>
        <v>0</v>
      </c>
      <c r="O571" s="7">
        <f>(P21-N21)*(O32-O21)-(Q21-O21)*(N32-N21)</f>
        <v>0</v>
      </c>
      <c r="P571" s="7">
        <f>(P21-N21)*(Q32-O21)-(Q21-O21)*(P32-N21)</f>
        <v>0</v>
      </c>
      <c r="Q571" s="7">
        <f>(P32-N32)*(O21-O32)-(Q32-O32)*(N21-N32)</f>
        <v>0</v>
      </c>
      <c r="R571" s="7">
        <f>(P32-N32)*(Q21-O32)-(Q32-O32)*(P21-N32)</f>
        <v>0</v>
      </c>
      <c r="S571" s="7">
        <f>IF(N571,IF(AND(O571*P571&lt;=0,Q571*R571&lt;=0,MAX(MIN(N21,P21),MIN(N32,P32))&lt;=MIN(MAX(N21,P21),MAX(N32,P32)),MAX(MIN(O21,Q21),MIN(O32,Q32))&lt;=MIN(MAX(O21,Q21),MAX(O32,Q32))),1,0),0)</f>
        <v>0</v>
      </c>
      <c r="T571" s="7"/>
      <c r="U571" s="7"/>
      <c r="V571" s="7"/>
      <c r="W571" s="7"/>
      <c r="X571" s="7"/>
      <c r="Y571" s="7"/>
      <c r="Z571" s="7"/>
      <c r="AA571" s="7"/>
      <c r="AB571" s="7"/>
      <c r="AC571" s="7"/>
      <c r="AD571" s="7"/>
      <c r="AE571" s="7"/>
      <c r="AF571" s="7"/>
      <c r="AG571" s="7"/>
      <c r="AH571" s="7"/>
      <c r="AI571" s="7"/>
    </row>
    <row r="572" spans="12:35">
      <c r="L572" s="7">
        <v>21</v>
      </c>
      <c r="M572" s="7">
        <v>33</v>
      </c>
      <c r="N572" s="7" t="b">
        <f>AND($N$5,$N$6,10&lt;=$M$5,2&lt;=$M$6)</f>
        <v>0</v>
      </c>
      <c r="O572" s="7">
        <f>(P21-N21)*(O33-O21)-(Q21-O21)*(N33-N21)</f>
        <v>0</v>
      </c>
      <c r="P572" s="7">
        <f>(P21-N21)*(Q33-O21)-(Q21-O21)*(P33-N21)</f>
        <v>0</v>
      </c>
      <c r="Q572" s="7">
        <f>(P33-N33)*(O21-O33)-(Q33-O33)*(N21-N33)</f>
        <v>0</v>
      </c>
      <c r="R572" s="7">
        <f>(P33-N33)*(Q21-O33)-(Q33-O33)*(P21-N33)</f>
        <v>0</v>
      </c>
      <c r="S572" s="7">
        <f>IF(N572,IF(AND(O572*P572&lt;=0,Q572*R572&lt;=0,MAX(MIN(N21,P21),MIN(N33,P33))&lt;=MIN(MAX(N21,P21),MAX(N33,P33)),MAX(MIN(O21,Q21),MIN(O33,Q33))&lt;=MIN(MAX(O21,Q21),MAX(O33,Q33))),1,0),0)</f>
        <v>0</v>
      </c>
      <c r="T572" s="7"/>
      <c r="U572" s="7"/>
      <c r="V572" s="7"/>
      <c r="W572" s="7"/>
      <c r="X572" s="7"/>
      <c r="Y572" s="7"/>
      <c r="Z572" s="7"/>
      <c r="AA572" s="7"/>
      <c r="AB572" s="7"/>
      <c r="AC572" s="7"/>
      <c r="AD572" s="7"/>
      <c r="AE572" s="7"/>
      <c r="AF572" s="7"/>
      <c r="AG572" s="7"/>
      <c r="AH572" s="7"/>
      <c r="AI572" s="7"/>
    </row>
    <row r="573" spans="12:35">
      <c r="L573" s="7">
        <v>21</v>
      </c>
      <c r="M573" s="7">
        <v>34</v>
      </c>
      <c r="N573" s="7" t="b">
        <f>AND($N$5,$N$6,10&lt;=$M$5,3&lt;=$M$6)</f>
        <v>0</v>
      </c>
      <c r="O573" s="7">
        <f>(P21-N21)*(O34-O21)-(Q21-O21)*(N34-N21)</f>
        <v>0</v>
      </c>
      <c r="P573" s="7">
        <f>(P21-N21)*(Q34-O21)-(Q21-O21)*(P34-N21)</f>
        <v>0</v>
      </c>
      <c r="Q573" s="7">
        <f>(P34-N34)*(O21-O34)-(Q34-O34)*(N21-N34)</f>
        <v>0</v>
      </c>
      <c r="R573" s="7">
        <f>(P34-N34)*(Q21-O34)-(Q34-O34)*(P21-N34)</f>
        <v>0</v>
      </c>
      <c r="S573" s="7">
        <f>IF(N573,IF(AND(O573*P573&lt;=0,Q573*R573&lt;=0,MAX(MIN(N21,P21),MIN(N34,P34))&lt;=MIN(MAX(N21,P21),MAX(N34,P34)),MAX(MIN(O21,Q21),MIN(O34,Q34))&lt;=MIN(MAX(O21,Q21),MAX(O34,Q34))),1,0),0)</f>
        <v>0</v>
      </c>
      <c r="T573" s="7"/>
      <c r="U573" s="7"/>
      <c r="V573" s="7"/>
      <c r="W573" s="7"/>
      <c r="X573" s="7"/>
      <c r="Y573" s="7"/>
      <c r="Z573" s="7"/>
      <c r="AA573" s="7"/>
      <c r="AB573" s="7"/>
      <c r="AC573" s="7"/>
      <c r="AD573" s="7"/>
      <c r="AE573" s="7"/>
      <c r="AF573" s="7"/>
      <c r="AG573" s="7"/>
      <c r="AH573" s="7"/>
      <c r="AI573" s="7"/>
    </row>
    <row r="574" spans="12:35">
      <c r="L574" s="7">
        <v>21</v>
      </c>
      <c r="M574" s="7">
        <v>35</v>
      </c>
      <c r="N574" s="7" t="b">
        <f>AND($N$5,$N$6,10&lt;=$M$5,4&lt;=$M$6)</f>
        <v>0</v>
      </c>
      <c r="O574" s="7">
        <f>(P21-N21)*(O35-O21)-(Q21-O21)*(N35-N21)</f>
        <v>0</v>
      </c>
      <c r="P574" s="7">
        <f>(P21-N21)*(Q35-O21)-(Q21-O21)*(P35-N21)</f>
        <v>0</v>
      </c>
      <c r="Q574" s="7">
        <f>(P35-N35)*(O21-O35)-(Q35-O35)*(N21-N35)</f>
        <v>0</v>
      </c>
      <c r="R574" s="7">
        <f>(P35-N35)*(Q21-O35)-(Q35-O35)*(P21-N35)</f>
        <v>0</v>
      </c>
      <c r="S574" s="7">
        <f>IF(N574,IF(AND(O574*P574&lt;=0,Q574*R574&lt;=0,MAX(MIN(N21,P21),MIN(N35,P35))&lt;=MIN(MAX(N21,P21),MAX(N35,P35)),MAX(MIN(O21,Q21),MIN(O35,Q35))&lt;=MIN(MAX(O21,Q21),MAX(O35,Q35))),1,0),0)</f>
        <v>0</v>
      </c>
      <c r="T574" s="7"/>
      <c r="U574" s="7"/>
      <c r="V574" s="7"/>
      <c r="W574" s="7"/>
      <c r="X574" s="7"/>
      <c r="Y574" s="7"/>
      <c r="Z574" s="7"/>
      <c r="AA574" s="7"/>
      <c r="AB574" s="7"/>
      <c r="AC574" s="7"/>
      <c r="AD574" s="7"/>
      <c r="AE574" s="7"/>
      <c r="AF574" s="7"/>
      <c r="AG574" s="7"/>
      <c r="AH574" s="7"/>
      <c r="AI574" s="7"/>
    </row>
    <row r="575" spans="12:35">
      <c r="L575" s="7">
        <v>21</v>
      </c>
      <c r="M575" s="7">
        <v>36</v>
      </c>
      <c r="N575" s="7" t="b">
        <f>AND($N$5,$N$6,10&lt;=$M$5,5&lt;=$M$6)</f>
        <v>0</v>
      </c>
      <c r="O575" s="7">
        <f>(P21-N21)*(O36-O21)-(Q21-O21)*(N36-N21)</f>
        <v>0</v>
      </c>
      <c r="P575" s="7">
        <f>(P21-N21)*(Q36-O21)-(Q21-O21)*(P36-N21)</f>
        <v>0</v>
      </c>
      <c r="Q575" s="7">
        <f>(P36-N36)*(O21-O36)-(Q36-O36)*(N21-N36)</f>
        <v>0</v>
      </c>
      <c r="R575" s="7">
        <f>(P36-N36)*(Q21-O36)-(Q36-O36)*(P21-N36)</f>
        <v>0</v>
      </c>
      <c r="S575" s="7">
        <f>IF(N575,IF(AND(O575*P575&lt;=0,Q575*R575&lt;=0,MAX(MIN(N21,P21),MIN(N36,P36))&lt;=MIN(MAX(N21,P21),MAX(N36,P36)),MAX(MIN(O21,Q21),MIN(O36,Q36))&lt;=MIN(MAX(O21,Q21),MAX(O36,Q36))),1,0),0)</f>
        <v>0</v>
      </c>
      <c r="T575" s="7"/>
      <c r="U575" s="7"/>
      <c r="V575" s="7"/>
      <c r="W575" s="7"/>
      <c r="X575" s="7"/>
      <c r="Y575" s="7"/>
      <c r="Z575" s="7"/>
      <c r="AA575" s="7"/>
      <c r="AB575" s="7"/>
      <c r="AC575" s="7"/>
      <c r="AD575" s="7"/>
      <c r="AE575" s="7"/>
      <c r="AF575" s="7"/>
      <c r="AG575" s="7"/>
      <c r="AH575" s="7"/>
      <c r="AI575" s="7"/>
    </row>
    <row r="576" spans="12:35">
      <c r="L576" s="7">
        <v>21</v>
      </c>
      <c r="M576" s="7">
        <v>37</v>
      </c>
      <c r="N576" s="7" t="b">
        <f>AND($N$5,$N$6,10&lt;=$M$5,6&lt;=$M$6)</f>
        <v>0</v>
      </c>
      <c r="O576" s="7">
        <f>(P21-N21)*(O37-O21)-(Q21-O21)*(N37-N21)</f>
        <v>0</v>
      </c>
      <c r="P576" s="7">
        <f>(P21-N21)*(Q37-O21)-(Q21-O21)*(P37-N21)</f>
        <v>0</v>
      </c>
      <c r="Q576" s="7">
        <f>(P37-N37)*(O21-O37)-(Q37-O37)*(N21-N37)</f>
        <v>0</v>
      </c>
      <c r="R576" s="7">
        <f>(P37-N37)*(Q21-O37)-(Q37-O37)*(P21-N37)</f>
        <v>0</v>
      </c>
      <c r="S576" s="7">
        <f>IF(N576,IF(AND(O576*P576&lt;=0,Q576*R576&lt;=0,MAX(MIN(N21,P21),MIN(N37,P37))&lt;=MIN(MAX(N21,P21),MAX(N37,P37)),MAX(MIN(O21,Q21),MIN(O37,Q37))&lt;=MIN(MAX(O21,Q21),MAX(O37,Q37))),1,0),0)</f>
        <v>0</v>
      </c>
      <c r="T576" s="7"/>
      <c r="U576" s="7"/>
      <c r="V576" s="7"/>
      <c r="W576" s="7"/>
      <c r="X576" s="7"/>
      <c r="Y576" s="7"/>
      <c r="Z576" s="7"/>
      <c r="AA576" s="7"/>
      <c r="AB576" s="7"/>
      <c r="AC576" s="7"/>
      <c r="AD576" s="7"/>
      <c r="AE576" s="7"/>
      <c r="AF576" s="7"/>
      <c r="AG576" s="7"/>
      <c r="AH576" s="7"/>
      <c r="AI576" s="7"/>
    </row>
    <row r="577" spans="12:35">
      <c r="L577" s="7">
        <v>21</v>
      </c>
      <c r="M577" s="7">
        <v>38</v>
      </c>
      <c r="N577" s="7" t="b">
        <f>AND($N$5,$N$6,10&lt;=$M$5,7&lt;=$M$6)</f>
        <v>0</v>
      </c>
      <c r="O577" s="7">
        <f>(P21-N21)*(O38-O21)-(Q21-O21)*(N38-N21)</f>
        <v>0</v>
      </c>
      <c r="P577" s="7">
        <f>(P21-N21)*(Q38-O21)-(Q21-O21)*(P38-N21)</f>
        <v>0</v>
      </c>
      <c r="Q577" s="7">
        <f>(P38-N38)*(O21-O38)-(Q38-O38)*(N21-N38)</f>
        <v>0</v>
      </c>
      <c r="R577" s="7">
        <f>(P38-N38)*(Q21-O38)-(Q38-O38)*(P21-N38)</f>
        <v>0</v>
      </c>
      <c r="S577" s="7">
        <f>IF(N577,IF(AND(O577*P577&lt;=0,Q577*R577&lt;=0,MAX(MIN(N21,P21),MIN(N38,P38))&lt;=MIN(MAX(N21,P21),MAX(N38,P38)),MAX(MIN(O21,Q21),MIN(O38,Q38))&lt;=MIN(MAX(O21,Q21),MAX(O38,Q38))),1,0),0)</f>
        <v>0</v>
      </c>
      <c r="T577" s="7"/>
      <c r="U577" s="7"/>
      <c r="V577" s="7"/>
      <c r="W577" s="7"/>
      <c r="X577" s="7"/>
      <c r="Y577" s="7"/>
      <c r="Z577" s="7"/>
      <c r="AA577" s="7"/>
      <c r="AB577" s="7"/>
      <c r="AC577" s="7"/>
      <c r="AD577" s="7"/>
      <c r="AE577" s="7"/>
      <c r="AF577" s="7"/>
      <c r="AG577" s="7"/>
      <c r="AH577" s="7"/>
      <c r="AI577" s="7"/>
    </row>
    <row r="578" spans="12:35">
      <c r="L578" s="7">
        <v>21</v>
      </c>
      <c r="M578" s="7">
        <v>39</v>
      </c>
      <c r="N578" s="7" t="b">
        <f>AND($N$5,$N$6,10&lt;=$M$5,8&lt;=$M$6)</f>
        <v>0</v>
      </c>
      <c r="O578" s="7">
        <f>(P21-N21)*(O39-O21)-(Q21-O21)*(N39-N21)</f>
        <v>0</v>
      </c>
      <c r="P578" s="7">
        <f>(P21-N21)*(Q39-O21)-(Q21-O21)*(P39-N21)</f>
        <v>0</v>
      </c>
      <c r="Q578" s="7">
        <f>(P39-N39)*(O21-O39)-(Q39-O39)*(N21-N39)</f>
        <v>0</v>
      </c>
      <c r="R578" s="7">
        <f>(P39-N39)*(Q21-O39)-(Q39-O39)*(P21-N39)</f>
        <v>0</v>
      </c>
      <c r="S578" s="7">
        <f>IF(N578,IF(AND(O578*P578&lt;=0,Q578*R578&lt;=0,MAX(MIN(N21,P21),MIN(N39,P39))&lt;=MIN(MAX(N21,P21),MAX(N39,P39)),MAX(MIN(O21,Q21),MIN(O39,Q39))&lt;=MIN(MAX(O21,Q21),MAX(O39,Q39))),1,0),0)</f>
        <v>0</v>
      </c>
      <c r="T578" s="7"/>
      <c r="U578" s="7"/>
      <c r="V578" s="7"/>
      <c r="W578" s="7"/>
      <c r="X578" s="7"/>
      <c r="Y578" s="7"/>
      <c r="Z578" s="7"/>
      <c r="AA578" s="7"/>
      <c r="AB578" s="7"/>
      <c r="AC578" s="7"/>
      <c r="AD578" s="7"/>
      <c r="AE578" s="7"/>
      <c r="AF578" s="7"/>
      <c r="AG578" s="7"/>
      <c r="AH578" s="7"/>
      <c r="AI578" s="7"/>
    </row>
    <row r="579" spans="12:35">
      <c r="L579" s="7">
        <v>21</v>
      </c>
      <c r="M579" s="7">
        <v>40</v>
      </c>
      <c r="N579" s="7" t="b">
        <f>AND($N$5,$N$6,10&lt;=$M$5,9&lt;=$M$6)</f>
        <v>0</v>
      </c>
      <c r="O579" s="7">
        <f>(P21-N21)*(O40-O21)-(Q21-O21)*(N40-N21)</f>
        <v>0</v>
      </c>
      <c r="P579" s="7">
        <f>(P21-N21)*(Q40-O21)-(Q21-O21)*(P40-N21)</f>
        <v>0</v>
      </c>
      <c r="Q579" s="7">
        <f>(P40-N40)*(O21-O40)-(Q40-O40)*(N21-N40)</f>
        <v>0</v>
      </c>
      <c r="R579" s="7">
        <f>(P40-N40)*(Q21-O40)-(Q40-O40)*(P21-N40)</f>
        <v>0</v>
      </c>
      <c r="S579" s="7">
        <f>IF(N579,IF(AND(O579*P579&lt;=0,Q579*R579&lt;=0,MAX(MIN(N21,P21),MIN(N40,P40))&lt;=MIN(MAX(N21,P21),MAX(N40,P40)),MAX(MIN(O21,Q21),MIN(O40,Q40))&lt;=MIN(MAX(O21,Q21),MAX(O40,Q40))),1,0),0)</f>
        <v>0</v>
      </c>
      <c r="T579" s="7"/>
      <c r="U579" s="7"/>
      <c r="V579" s="7"/>
      <c r="W579" s="7"/>
      <c r="X579" s="7"/>
      <c r="Y579" s="7"/>
      <c r="Z579" s="7"/>
      <c r="AA579" s="7"/>
      <c r="AB579" s="7"/>
      <c r="AC579" s="7"/>
      <c r="AD579" s="7"/>
      <c r="AE579" s="7"/>
      <c r="AF579" s="7"/>
      <c r="AG579" s="7"/>
      <c r="AH579" s="7"/>
      <c r="AI579" s="7"/>
    </row>
    <row r="580" spans="12:35">
      <c r="L580" s="7">
        <v>21</v>
      </c>
      <c r="M580" s="7">
        <v>41</v>
      </c>
      <c r="N580" s="7" t="b">
        <f>AND($N$5,$N$6,10&lt;=$M$5,10&lt;=$M$6)</f>
        <v>0</v>
      </c>
      <c r="O580" s="7">
        <f>(P21-N21)*(O41-O21)-(Q21-O21)*(N41-N21)</f>
        <v>0</v>
      </c>
      <c r="P580" s="7">
        <f>(P21-N21)*(Q41-O21)-(Q21-O21)*(P41-N21)</f>
        <v>0</v>
      </c>
      <c r="Q580" s="7">
        <f>(P41-N41)*(O21-O41)-(Q41-O41)*(N21-N41)</f>
        <v>0</v>
      </c>
      <c r="R580" s="7">
        <f>(P41-N41)*(Q21-O41)-(Q41-O41)*(P21-N41)</f>
        <v>0</v>
      </c>
      <c r="S580" s="7">
        <f>IF(N580,IF(AND(O580*P580&lt;=0,Q580*R580&lt;=0,MAX(MIN(N21,P21),MIN(N41,P41))&lt;=MIN(MAX(N21,P21),MAX(N41,P41)),MAX(MIN(O21,Q21),MIN(O41,Q41))&lt;=MIN(MAX(O21,Q21),MAX(O41,Q41))),1,0),0)</f>
        <v>0</v>
      </c>
      <c r="T580" s="7"/>
      <c r="U580" s="7"/>
      <c r="V580" s="7"/>
      <c r="W580" s="7"/>
      <c r="X580" s="7"/>
      <c r="Y580" s="7"/>
      <c r="Z580" s="7"/>
      <c r="AA580" s="7"/>
      <c r="AB580" s="7"/>
      <c r="AC580" s="7"/>
      <c r="AD580" s="7"/>
      <c r="AE580" s="7"/>
      <c r="AF580" s="7"/>
      <c r="AG580" s="7"/>
      <c r="AH580" s="7"/>
      <c r="AI580" s="7"/>
    </row>
    <row r="581" spans="12:35">
      <c r="L581" s="7">
        <v>21</v>
      </c>
      <c r="M581" s="7">
        <v>42</v>
      </c>
      <c r="N581" s="7" t="b">
        <f>AND($N$5,$N$6,10&lt;=$M$5,11&lt;=$M$6)</f>
        <v>0</v>
      </c>
      <c r="O581" s="7">
        <f>(P21-N21)*(O42-O21)-(Q21-O21)*(N42-N21)</f>
        <v>0</v>
      </c>
      <c r="P581" s="7">
        <f>(P21-N21)*(Q42-O21)-(Q21-O21)*(P42-N21)</f>
        <v>0</v>
      </c>
      <c r="Q581" s="7">
        <f>(P42-N42)*(O21-O42)-(Q42-O42)*(N21-N42)</f>
        <v>0</v>
      </c>
      <c r="R581" s="7">
        <f>(P42-N42)*(Q21-O42)-(Q42-O42)*(P21-N42)</f>
        <v>0</v>
      </c>
      <c r="S581" s="7">
        <f>IF(N581,IF(AND(O581*P581&lt;=0,Q581*R581&lt;=0,MAX(MIN(N21,P21),MIN(N42,P42))&lt;=MIN(MAX(N21,P21),MAX(N42,P42)),MAX(MIN(O21,Q21),MIN(O42,Q42))&lt;=MIN(MAX(O21,Q21),MAX(O42,Q42))),1,0),0)</f>
        <v>0</v>
      </c>
      <c r="T581" s="7"/>
      <c r="U581" s="7"/>
      <c r="V581" s="7"/>
      <c r="W581" s="7"/>
      <c r="X581" s="7"/>
      <c r="Y581" s="7"/>
      <c r="Z581" s="7"/>
      <c r="AA581" s="7"/>
      <c r="AB581" s="7"/>
      <c r="AC581" s="7"/>
      <c r="AD581" s="7"/>
      <c r="AE581" s="7"/>
      <c r="AF581" s="7"/>
      <c r="AG581" s="7"/>
      <c r="AH581" s="7"/>
      <c r="AI581" s="7"/>
    </row>
    <row r="582" spans="12:35">
      <c r="L582" s="7">
        <v>21</v>
      </c>
      <c r="M582" s="7">
        <v>43</v>
      </c>
      <c r="N582" s="7" t="b">
        <f>AND($N$5,$N$6,10&lt;=$M$5,12&lt;=$M$6)</f>
        <v>0</v>
      </c>
      <c r="O582" s="7">
        <f>(P21-N21)*(O43-O21)-(Q21-O21)*(N43-N21)</f>
        <v>0</v>
      </c>
      <c r="P582" s="7">
        <f>(P21-N21)*(Q43-O21)-(Q21-O21)*(P43-N21)</f>
        <v>0</v>
      </c>
      <c r="Q582" s="7">
        <f>(P43-N43)*(O21-O43)-(Q43-O43)*(N21-N43)</f>
        <v>0</v>
      </c>
      <c r="R582" s="7">
        <f>(P43-N43)*(Q21-O43)-(Q43-O43)*(P21-N43)</f>
        <v>0</v>
      </c>
      <c r="S582" s="7">
        <f>IF(N582,IF(AND(O582*P582&lt;=0,Q582*R582&lt;=0,MAX(MIN(N21,P21),MIN(N43,P43))&lt;=MIN(MAX(N21,P21),MAX(N43,P43)),MAX(MIN(O21,Q21),MIN(O43,Q43))&lt;=MIN(MAX(O21,Q21),MAX(O43,Q43))),1,0),0)</f>
        <v>0</v>
      </c>
      <c r="T582" s="7"/>
      <c r="U582" s="7"/>
      <c r="V582" s="7"/>
      <c r="W582" s="7"/>
      <c r="X582" s="7"/>
      <c r="Y582" s="7"/>
      <c r="Z582" s="7"/>
      <c r="AA582" s="7"/>
      <c r="AB582" s="7"/>
      <c r="AC582" s="7"/>
      <c r="AD582" s="7"/>
      <c r="AE582" s="7"/>
      <c r="AF582" s="7"/>
      <c r="AG582" s="7"/>
      <c r="AH582" s="7"/>
      <c r="AI582" s="7"/>
    </row>
    <row r="583" spans="12:35">
      <c r="L583" s="7">
        <v>21</v>
      </c>
      <c r="M583" s="7">
        <v>44</v>
      </c>
      <c r="N583" s="7" t="b">
        <f>AND($N$5,$N$6,10&lt;=$M$5,13&lt;=$M$6)</f>
        <v>0</v>
      </c>
      <c r="O583" s="7">
        <f>(P21-N21)*(O44-O21)-(Q21-O21)*(N44-N21)</f>
        <v>0</v>
      </c>
      <c r="P583" s="7">
        <f>(P21-N21)*(Q44-O21)-(Q21-O21)*(P44-N21)</f>
        <v>0</v>
      </c>
      <c r="Q583" s="7">
        <f>(P44-N44)*(O21-O44)-(Q44-O44)*(N21-N44)</f>
        <v>0</v>
      </c>
      <c r="R583" s="7">
        <f>(P44-N44)*(Q21-O44)-(Q44-O44)*(P21-N44)</f>
        <v>0</v>
      </c>
      <c r="S583" s="7">
        <f>IF(N583,IF(AND(O583*P583&lt;=0,Q583*R583&lt;=0,MAX(MIN(N21,P21),MIN(N44,P44))&lt;=MIN(MAX(N21,P21),MAX(N44,P44)),MAX(MIN(O21,Q21),MIN(O44,Q44))&lt;=MIN(MAX(O21,Q21),MAX(O44,Q44))),1,0),0)</f>
        <v>0</v>
      </c>
      <c r="T583" s="7"/>
      <c r="U583" s="7"/>
      <c r="V583" s="7"/>
      <c r="W583" s="7"/>
      <c r="X583" s="7"/>
      <c r="Y583" s="7"/>
      <c r="Z583" s="7"/>
      <c r="AA583" s="7"/>
      <c r="AB583" s="7"/>
      <c r="AC583" s="7"/>
      <c r="AD583" s="7"/>
      <c r="AE583" s="7"/>
      <c r="AF583" s="7"/>
      <c r="AG583" s="7"/>
      <c r="AH583" s="7"/>
      <c r="AI583" s="7"/>
    </row>
    <row r="584" spans="12:35">
      <c r="L584" s="7">
        <v>21</v>
      </c>
      <c r="M584" s="7">
        <v>45</v>
      </c>
      <c r="N584" s="7" t="b">
        <f>AND($N$5,$N$6,10&lt;=$M$5,14&lt;=$M$6)</f>
        <v>0</v>
      </c>
      <c r="O584" s="7">
        <f>(P21-N21)*(O45-O21)-(Q21-O21)*(N45-N21)</f>
        <v>0</v>
      </c>
      <c r="P584" s="7">
        <f>(P21-N21)*(Q45-O21)-(Q21-O21)*(P45-N21)</f>
        <v>0</v>
      </c>
      <c r="Q584" s="7">
        <f>(P45-N45)*(O21-O45)-(Q45-O45)*(N21-N45)</f>
        <v>0</v>
      </c>
      <c r="R584" s="7">
        <f>(P45-N45)*(Q21-O45)-(Q45-O45)*(P21-N45)</f>
        <v>0</v>
      </c>
      <c r="S584" s="7">
        <f>IF(N584,IF(AND(O584*P584&lt;=0,Q584*R584&lt;=0,MAX(MIN(N21,P21),MIN(N45,P45))&lt;=MIN(MAX(N21,P21),MAX(N45,P45)),MAX(MIN(O21,Q21),MIN(O45,Q45))&lt;=MIN(MAX(O21,Q21),MAX(O45,Q45))),1,0),0)</f>
        <v>0</v>
      </c>
      <c r="T584" s="7"/>
      <c r="U584" s="7"/>
      <c r="V584" s="7"/>
      <c r="W584" s="7"/>
      <c r="X584" s="7"/>
      <c r="Y584" s="7"/>
      <c r="Z584" s="7"/>
      <c r="AA584" s="7"/>
      <c r="AB584" s="7"/>
      <c r="AC584" s="7"/>
      <c r="AD584" s="7"/>
      <c r="AE584" s="7"/>
      <c r="AF584" s="7"/>
      <c r="AG584" s="7"/>
      <c r="AH584" s="7"/>
      <c r="AI584" s="7"/>
    </row>
    <row r="585" spans="12:35">
      <c r="L585" s="7">
        <v>21</v>
      </c>
      <c r="M585" s="7">
        <v>46</v>
      </c>
      <c r="N585" s="7" t="b">
        <f>AND($N$5,$N$6,10&lt;=$M$5,15&lt;=$M$6)</f>
        <v>0</v>
      </c>
      <c r="O585" s="7">
        <f>(P21-N21)*(O46-O21)-(Q21-O21)*(N46-N21)</f>
        <v>0</v>
      </c>
      <c r="P585" s="7">
        <f>(P21-N21)*(Q46-O21)-(Q21-O21)*(P46-N21)</f>
        <v>0</v>
      </c>
      <c r="Q585" s="7">
        <f>(P46-N46)*(O21-O46)-(Q46-O46)*(N21-N46)</f>
        <v>0</v>
      </c>
      <c r="R585" s="7">
        <f>(P46-N46)*(Q21-O46)-(Q46-O46)*(P21-N46)</f>
        <v>0</v>
      </c>
      <c r="S585" s="7">
        <f>IF(N585,IF(AND(O585*P585&lt;=0,Q585*R585&lt;=0,MAX(MIN(N21,P21),MIN(N46,P46))&lt;=MIN(MAX(N21,P21),MAX(N46,P46)),MAX(MIN(O21,Q21),MIN(O46,Q46))&lt;=MIN(MAX(O21,Q21),MAX(O46,Q46))),1,0),0)</f>
        <v>0</v>
      </c>
      <c r="T585" s="7"/>
      <c r="U585" s="7"/>
      <c r="V585" s="7"/>
      <c r="W585" s="7"/>
      <c r="X585" s="7"/>
      <c r="Y585" s="7"/>
      <c r="Z585" s="7"/>
      <c r="AA585" s="7"/>
      <c r="AB585" s="7"/>
      <c r="AC585" s="7"/>
      <c r="AD585" s="7"/>
      <c r="AE585" s="7"/>
      <c r="AF585" s="7"/>
      <c r="AG585" s="7"/>
      <c r="AH585" s="7"/>
      <c r="AI585" s="7"/>
    </row>
    <row r="586" spans="12:35">
      <c r="L586" s="7">
        <v>21</v>
      </c>
      <c r="M586" s="7">
        <v>47</v>
      </c>
      <c r="N586" s="7" t="b">
        <f>AND($N$5,$N$6,10&lt;=$M$5,16&lt;=$M$6)</f>
        <v>0</v>
      </c>
      <c r="O586" s="7">
        <f>(P21-N21)*(O47-O21)-(Q21-O21)*(N47-N21)</f>
        <v>0</v>
      </c>
      <c r="P586" s="7">
        <f>(P21-N21)*(Q47-O21)-(Q21-O21)*(P47-N21)</f>
        <v>0</v>
      </c>
      <c r="Q586" s="7">
        <f>(P47-N47)*(O21-O47)-(Q47-O47)*(N21-N47)</f>
        <v>0</v>
      </c>
      <c r="R586" s="7">
        <f>(P47-N47)*(Q21-O47)-(Q47-O47)*(P21-N47)</f>
        <v>0</v>
      </c>
      <c r="S586" s="7">
        <f>IF(N586,IF(AND(O586*P586&lt;=0,Q586*R586&lt;=0,MAX(MIN(N21,P21),MIN(N47,P47))&lt;=MIN(MAX(N21,P21),MAX(N47,P47)),MAX(MIN(O21,Q21),MIN(O47,Q47))&lt;=MIN(MAX(O21,Q21),MAX(O47,Q47))),1,0),0)</f>
        <v>0</v>
      </c>
      <c r="T586" s="7"/>
      <c r="U586" s="7"/>
      <c r="V586" s="7"/>
      <c r="W586" s="7"/>
      <c r="X586" s="7"/>
      <c r="Y586" s="7"/>
      <c r="Z586" s="7"/>
      <c r="AA586" s="7"/>
      <c r="AB586" s="7"/>
      <c r="AC586" s="7"/>
      <c r="AD586" s="7"/>
      <c r="AE586" s="7"/>
      <c r="AF586" s="7"/>
      <c r="AG586" s="7"/>
      <c r="AH586" s="7"/>
      <c r="AI586" s="7"/>
    </row>
    <row r="587" spans="12:35">
      <c r="L587" s="7">
        <v>21</v>
      </c>
      <c r="M587" s="7">
        <v>48</v>
      </c>
      <c r="N587" s="7" t="b">
        <f>AND($N$5,$N$6,10&lt;=$M$5,17&lt;=$M$6)</f>
        <v>0</v>
      </c>
      <c r="O587" s="7">
        <f>(P21-N21)*(O48-O21)-(Q21-O21)*(N48-N21)</f>
        <v>0</v>
      </c>
      <c r="P587" s="7">
        <f>(P21-N21)*(Q48-O21)-(Q21-O21)*(P48-N21)</f>
        <v>0</v>
      </c>
      <c r="Q587" s="7">
        <f>(P48-N48)*(O21-O48)-(Q48-O48)*(N21-N48)</f>
        <v>0</v>
      </c>
      <c r="R587" s="7">
        <f>(P48-N48)*(Q21-O48)-(Q48-O48)*(P21-N48)</f>
        <v>0</v>
      </c>
      <c r="S587" s="7">
        <f>IF(N587,IF(AND(O587*P587&lt;=0,Q587*R587&lt;=0,MAX(MIN(N21,P21),MIN(N48,P48))&lt;=MIN(MAX(N21,P21),MAX(N48,P48)),MAX(MIN(O21,Q21),MIN(O48,Q48))&lt;=MIN(MAX(O21,Q21),MAX(O48,Q48))),1,0),0)</f>
        <v>0</v>
      </c>
      <c r="T587" s="7"/>
      <c r="U587" s="7"/>
      <c r="V587" s="7"/>
      <c r="W587" s="7"/>
      <c r="X587" s="7"/>
      <c r="Y587" s="7"/>
      <c r="Z587" s="7"/>
      <c r="AA587" s="7"/>
      <c r="AB587" s="7"/>
      <c r="AC587" s="7"/>
      <c r="AD587" s="7"/>
      <c r="AE587" s="7"/>
      <c r="AF587" s="7"/>
      <c r="AG587" s="7"/>
      <c r="AH587" s="7"/>
      <c r="AI587" s="7"/>
    </row>
    <row r="588" spans="12:35">
      <c r="L588" s="7">
        <v>21</v>
      </c>
      <c r="M588" s="7">
        <v>49</v>
      </c>
      <c r="N588" s="7" t="b">
        <f>AND($N$5,$N$6,10&lt;=$M$5,18&lt;=$M$6)</f>
        <v>0</v>
      </c>
      <c r="O588" s="7">
        <f>(P21-N21)*(O49-O21)-(Q21-O21)*(N49-N21)</f>
        <v>0</v>
      </c>
      <c r="P588" s="7">
        <f>(P21-N21)*(Q49-O21)-(Q21-O21)*(P49-N21)</f>
        <v>0</v>
      </c>
      <c r="Q588" s="7">
        <f>(P49-N49)*(O21-O49)-(Q49-O49)*(N21-N49)</f>
        <v>0</v>
      </c>
      <c r="R588" s="7">
        <f>(P49-N49)*(Q21-O49)-(Q49-O49)*(P21-N49)</f>
        <v>0</v>
      </c>
      <c r="S588" s="7">
        <f>IF(N588,IF(AND(O588*P588&lt;=0,Q588*R588&lt;=0,MAX(MIN(N21,P21),MIN(N49,P49))&lt;=MIN(MAX(N21,P21),MAX(N49,P49)),MAX(MIN(O21,Q21),MIN(O49,Q49))&lt;=MIN(MAX(O21,Q21),MAX(O49,Q49))),1,0),0)</f>
        <v>0</v>
      </c>
      <c r="T588" s="7"/>
      <c r="U588" s="7"/>
      <c r="V588" s="7"/>
      <c r="W588" s="7"/>
      <c r="X588" s="7"/>
      <c r="Y588" s="7"/>
      <c r="Z588" s="7"/>
      <c r="AA588" s="7"/>
      <c r="AB588" s="7"/>
      <c r="AC588" s="7"/>
      <c r="AD588" s="7"/>
      <c r="AE588" s="7"/>
      <c r="AF588" s="7"/>
      <c r="AG588" s="7"/>
      <c r="AH588" s="7"/>
      <c r="AI588" s="7"/>
    </row>
    <row r="589" spans="12:35">
      <c r="L589" s="7">
        <v>21</v>
      </c>
      <c r="M589" s="7">
        <v>50</v>
      </c>
      <c r="N589" s="7" t="b">
        <f>AND($N$5,$N$6,10&lt;=$M$5,19&lt;=$M$6)</f>
        <v>0</v>
      </c>
      <c r="O589" s="7">
        <f>(P21-N21)*(O50-O21)-(Q21-O21)*(N50-N21)</f>
        <v>0</v>
      </c>
      <c r="P589" s="7">
        <f>(P21-N21)*(Q50-O21)-(Q21-O21)*(P50-N21)</f>
        <v>0</v>
      </c>
      <c r="Q589" s="7">
        <f>(P50-N50)*(O21-O50)-(Q50-O50)*(N21-N50)</f>
        <v>0</v>
      </c>
      <c r="R589" s="7">
        <f>(P50-N50)*(Q21-O50)-(Q50-O50)*(P21-N50)</f>
        <v>0</v>
      </c>
      <c r="S589" s="7">
        <f>IF(N589,IF(AND(O589*P589&lt;=0,Q589*R589&lt;=0,MAX(MIN(N21,P21),MIN(N50,P50))&lt;=MIN(MAX(N21,P21),MAX(N50,P50)),MAX(MIN(O21,Q21),MIN(O50,Q50))&lt;=MIN(MAX(O21,Q21),MAX(O50,Q50))),1,0),0)</f>
        <v>0</v>
      </c>
      <c r="T589" s="7"/>
      <c r="U589" s="7"/>
      <c r="V589" s="7"/>
      <c r="W589" s="7"/>
      <c r="X589" s="7"/>
      <c r="Y589" s="7"/>
      <c r="Z589" s="7"/>
      <c r="AA589" s="7"/>
      <c r="AB589" s="7"/>
      <c r="AC589" s="7"/>
      <c r="AD589" s="7"/>
      <c r="AE589" s="7"/>
      <c r="AF589" s="7"/>
      <c r="AG589" s="7"/>
      <c r="AH589" s="7"/>
      <c r="AI589" s="7"/>
    </row>
    <row r="590" spans="12:35">
      <c r="L590" s="7">
        <v>21</v>
      </c>
      <c r="M590" s="7">
        <v>51</v>
      </c>
      <c r="N590" s="7" t="b">
        <f>AND($N$5,$N$6,10&lt;=$M$5,20&lt;=$M$6)</f>
        <v>0</v>
      </c>
      <c r="O590" s="7">
        <f>(P21-N21)*(O51-O21)-(Q21-O21)*(N51-N21)</f>
        <v>0</v>
      </c>
      <c r="P590" s="7">
        <f>(P21-N21)*(Q51-O21)-(Q21-O21)*(P51-N21)</f>
        <v>0</v>
      </c>
      <c r="Q590" s="7">
        <f>(P51-N51)*(O21-O51)-(Q51-O51)*(N21-N51)</f>
        <v>0</v>
      </c>
      <c r="R590" s="7">
        <f>(P51-N51)*(Q21-O51)-(Q51-O51)*(P21-N51)</f>
        <v>0</v>
      </c>
      <c r="S590" s="7">
        <f>IF(N590,IF(AND(O590*P590&lt;=0,Q590*R590&lt;=0,MAX(MIN(N21,P21),MIN(N51,P51))&lt;=MIN(MAX(N21,P21),MAX(N51,P51)),MAX(MIN(O21,Q21),MIN(O51,Q51))&lt;=MIN(MAX(O21,Q21),MAX(O51,Q51))),1,0),0)</f>
        <v>0</v>
      </c>
      <c r="T590" s="7"/>
      <c r="U590" s="7"/>
      <c r="V590" s="7"/>
      <c r="W590" s="7"/>
      <c r="X590" s="7"/>
      <c r="Y590" s="7"/>
      <c r="Z590" s="7"/>
      <c r="AA590" s="7"/>
      <c r="AB590" s="7"/>
      <c r="AC590" s="7"/>
      <c r="AD590" s="7"/>
      <c r="AE590" s="7"/>
      <c r="AF590" s="7"/>
      <c r="AG590" s="7"/>
      <c r="AH590" s="7"/>
      <c r="AI590" s="7"/>
    </row>
    <row r="591" spans="12:35">
      <c r="L591" s="7">
        <v>21</v>
      </c>
      <c r="M591" s="7">
        <v>52</v>
      </c>
      <c r="N591" s="7" t="b">
        <f>AND($N$5,$N$7,10&lt;=$M$5,1&lt;=$M$7)</f>
        <v>0</v>
      </c>
      <c r="O591" s="7">
        <f>(P21-N21)*(O52-O21)-(Q21-O21)*(N52-N21)</f>
        <v>0</v>
      </c>
      <c r="P591" s="7">
        <f>(P21-N21)*(Q52-O21)-(Q21-O21)*(P52-N21)</f>
        <v>0</v>
      </c>
      <c r="Q591" s="7">
        <f>(P52-N52)*(O21-O52)-(Q52-O52)*(N21-N52)</f>
        <v>0</v>
      </c>
      <c r="R591" s="7">
        <f>(P52-N52)*(Q21-O52)-(Q52-O52)*(P21-N52)</f>
        <v>0</v>
      </c>
      <c r="S591" s="7">
        <f>IF(N591,IF(AND(O591*P591&lt;=0,Q591*R591&lt;=0,MAX(MIN(N21,P21),MIN(N52,P52))&lt;=MIN(MAX(N21,P21),MAX(N52,P52)),MAX(MIN(O21,Q21),MIN(O52,Q52))&lt;=MIN(MAX(O21,Q21),MAX(O52,Q52))),1,0),0)</f>
        <v>0</v>
      </c>
      <c r="T591" s="7"/>
      <c r="U591" s="7"/>
      <c r="V591" s="7"/>
      <c r="W591" s="7"/>
      <c r="X591" s="7"/>
      <c r="Y591" s="7"/>
      <c r="Z591" s="7"/>
      <c r="AA591" s="7"/>
      <c r="AB591" s="7"/>
      <c r="AC591" s="7"/>
      <c r="AD591" s="7"/>
      <c r="AE591" s="7"/>
      <c r="AF591" s="7"/>
      <c r="AG591" s="7"/>
      <c r="AH591" s="7"/>
      <c r="AI591" s="7"/>
    </row>
    <row r="592" spans="12:35">
      <c r="L592" s="7">
        <v>21</v>
      </c>
      <c r="M592" s="7">
        <v>53</v>
      </c>
      <c r="N592" s="7" t="b">
        <f>AND($N$5,$N$7,10&lt;=$M$5,2&lt;=$M$7)</f>
        <v>0</v>
      </c>
      <c r="O592" s="7">
        <f>(P21-N21)*(O53-O21)-(Q21-O21)*(N53-N21)</f>
        <v>0</v>
      </c>
      <c r="P592" s="7">
        <f>(P21-N21)*(Q53-O21)-(Q21-O21)*(P53-N21)</f>
        <v>0</v>
      </c>
      <c r="Q592" s="7">
        <f>(P53-N53)*(O21-O53)-(Q53-O53)*(N21-N53)</f>
        <v>0</v>
      </c>
      <c r="R592" s="7">
        <f>(P53-N53)*(Q21-O53)-(Q53-O53)*(P21-N53)</f>
        <v>0</v>
      </c>
      <c r="S592" s="7">
        <f>IF(N592,IF(AND(O592*P592&lt;=0,Q592*R592&lt;=0,MAX(MIN(N21,P21),MIN(N53,P53))&lt;=MIN(MAX(N21,P21),MAX(N53,P53)),MAX(MIN(O21,Q21),MIN(O53,Q53))&lt;=MIN(MAX(O21,Q21),MAX(O53,Q53))),1,0),0)</f>
        <v>0</v>
      </c>
      <c r="T592" s="7"/>
      <c r="U592" s="7"/>
      <c r="V592" s="7"/>
      <c r="W592" s="7"/>
      <c r="X592" s="7"/>
      <c r="Y592" s="7"/>
      <c r="Z592" s="7"/>
      <c r="AA592" s="7"/>
      <c r="AB592" s="7"/>
      <c r="AC592" s="7"/>
      <c r="AD592" s="7"/>
      <c r="AE592" s="7"/>
      <c r="AF592" s="7"/>
      <c r="AG592" s="7"/>
      <c r="AH592" s="7"/>
      <c r="AI592" s="7"/>
    </row>
    <row r="593" spans="12:35">
      <c r="L593" s="7">
        <v>21</v>
      </c>
      <c r="M593" s="7">
        <v>54</v>
      </c>
      <c r="N593" s="7" t="b">
        <f>AND($N$5,$N$7,10&lt;=$M$5,3&lt;=$M$7)</f>
        <v>0</v>
      </c>
      <c r="O593" s="7">
        <f>(P21-N21)*(O54-O21)-(Q21-O21)*(N54-N21)</f>
        <v>0</v>
      </c>
      <c r="P593" s="7">
        <f>(P21-N21)*(Q54-O21)-(Q21-O21)*(P54-N21)</f>
        <v>0</v>
      </c>
      <c r="Q593" s="7">
        <f>(P54-N54)*(O21-O54)-(Q54-O54)*(N21-N54)</f>
        <v>0</v>
      </c>
      <c r="R593" s="7">
        <f>(P54-N54)*(Q21-O54)-(Q54-O54)*(P21-N54)</f>
        <v>0</v>
      </c>
      <c r="S593" s="7">
        <f>IF(N593,IF(AND(O593*P593&lt;=0,Q593*R593&lt;=0,MAX(MIN(N21,P21),MIN(N54,P54))&lt;=MIN(MAX(N21,P21),MAX(N54,P54)),MAX(MIN(O21,Q21),MIN(O54,Q54))&lt;=MIN(MAX(O21,Q21),MAX(O54,Q54))),1,0),0)</f>
        <v>0</v>
      </c>
      <c r="T593" s="7"/>
      <c r="U593" s="7"/>
      <c r="V593" s="7"/>
      <c r="W593" s="7"/>
      <c r="X593" s="7"/>
      <c r="Y593" s="7"/>
      <c r="Z593" s="7"/>
      <c r="AA593" s="7"/>
      <c r="AB593" s="7"/>
      <c r="AC593" s="7"/>
      <c r="AD593" s="7"/>
      <c r="AE593" s="7"/>
      <c r="AF593" s="7"/>
      <c r="AG593" s="7"/>
      <c r="AH593" s="7"/>
      <c r="AI593" s="7"/>
    </row>
    <row r="594" spans="12:35">
      <c r="L594" s="7">
        <v>21</v>
      </c>
      <c r="M594" s="7">
        <v>55</v>
      </c>
      <c r="N594" s="7" t="b">
        <f>AND($N$5,$N$7,10&lt;=$M$5,4&lt;=$M$7)</f>
        <v>0</v>
      </c>
      <c r="O594" s="7">
        <f>(P21-N21)*(O55-O21)-(Q21-O21)*(N55-N21)</f>
        <v>0</v>
      </c>
      <c r="P594" s="7">
        <f>(P21-N21)*(Q55-O21)-(Q21-O21)*(P55-N21)</f>
        <v>0</v>
      </c>
      <c r="Q594" s="7">
        <f>(P55-N55)*(O21-O55)-(Q55-O55)*(N21-N55)</f>
        <v>0</v>
      </c>
      <c r="R594" s="7">
        <f>(P55-N55)*(Q21-O55)-(Q55-O55)*(P21-N55)</f>
        <v>0</v>
      </c>
      <c r="S594" s="7">
        <f>IF(N594,IF(AND(O594*P594&lt;=0,Q594*R594&lt;=0,MAX(MIN(N21,P21),MIN(N55,P55))&lt;=MIN(MAX(N21,P21),MAX(N55,P55)),MAX(MIN(O21,Q21),MIN(O55,Q55))&lt;=MIN(MAX(O21,Q21),MAX(O55,Q55))),1,0),0)</f>
        <v>0</v>
      </c>
      <c r="T594" s="7"/>
      <c r="U594" s="7"/>
      <c r="V594" s="7"/>
      <c r="W594" s="7"/>
      <c r="X594" s="7"/>
      <c r="Y594" s="7"/>
      <c r="Z594" s="7"/>
      <c r="AA594" s="7"/>
      <c r="AB594" s="7"/>
      <c r="AC594" s="7"/>
      <c r="AD594" s="7"/>
      <c r="AE594" s="7"/>
      <c r="AF594" s="7"/>
      <c r="AG594" s="7"/>
      <c r="AH594" s="7"/>
      <c r="AI594" s="7"/>
    </row>
    <row r="595" spans="12:35">
      <c r="L595" s="7">
        <v>21</v>
      </c>
      <c r="M595" s="7">
        <v>56</v>
      </c>
      <c r="N595" s="7" t="b">
        <f>AND($N$5,$N$7,10&lt;=$M$5,5&lt;=$M$7)</f>
        <v>0</v>
      </c>
      <c r="O595" s="7">
        <f>(P21-N21)*(O56-O21)-(Q21-O21)*(N56-N21)</f>
        <v>0</v>
      </c>
      <c r="P595" s="7">
        <f>(P21-N21)*(Q56-O21)-(Q21-O21)*(P56-N21)</f>
        <v>0</v>
      </c>
      <c r="Q595" s="7">
        <f>(P56-N56)*(O21-O56)-(Q56-O56)*(N21-N56)</f>
        <v>0</v>
      </c>
      <c r="R595" s="7">
        <f>(P56-N56)*(Q21-O56)-(Q56-O56)*(P21-N56)</f>
        <v>0</v>
      </c>
      <c r="S595" s="7">
        <f>IF(N595,IF(AND(O595*P595&lt;=0,Q595*R595&lt;=0,MAX(MIN(N21,P21),MIN(N56,P56))&lt;=MIN(MAX(N21,P21),MAX(N56,P56)),MAX(MIN(O21,Q21),MIN(O56,Q56))&lt;=MIN(MAX(O21,Q21),MAX(O56,Q56))),1,0),0)</f>
        <v>0</v>
      </c>
      <c r="T595" s="7"/>
      <c r="U595" s="7"/>
      <c r="V595" s="7"/>
      <c r="W595" s="7"/>
      <c r="X595" s="7"/>
      <c r="Y595" s="7"/>
      <c r="Z595" s="7"/>
      <c r="AA595" s="7"/>
      <c r="AB595" s="7"/>
      <c r="AC595" s="7"/>
      <c r="AD595" s="7"/>
      <c r="AE595" s="7"/>
      <c r="AF595" s="7"/>
      <c r="AG595" s="7"/>
      <c r="AH595" s="7"/>
      <c r="AI595" s="7"/>
    </row>
    <row r="596" spans="12:35">
      <c r="L596" s="7">
        <v>21</v>
      </c>
      <c r="M596" s="7">
        <v>57</v>
      </c>
      <c r="N596" s="7" t="b">
        <f>AND($N$5,$N$7,10&lt;=$M$5,6&lt;=$M$7)</f>
        <v>0</v>
      </c>
      <c r="O596" s="7">
        <f>(P21-N21)*(O57-O21)-(Q21-O21)*(N57-N21)</f>
        <v>0</v>
      </c>
      <c r="P596" s="7">
        <f>(P21-N21)*(Q57-O21)-(Q21-O21)*(P57-N21)</f>
        <v>0</v>
      </c>
      <c r="Q596" s="7">
        <f>(P57-N57)*(O21-O57)-(Q57-O57)*(N21-N57)</f>
        <v>0</v>
      </c>
      <c r="R596" s="7">
        <f>(P57-N57)*(Q21-O57)-(Q57-O57)*(P21-N57)</f>
        <v>0</v>
      </c>
      <c r="S596" s="7">
        <f>IF(N596,IF(AND(O596*P596&lt;=0,Q596*R596&lt;=0,MAX(MIN(N21,P21),MIN(N57,P57))&lt;=MIN(MAX(N21,P21),MAX(N57,P57)),MAX(MIN(O21,Q21),MIN(O57,Q57))&lt;=MIN(MAX(O21,Q21),MAX(O57,Q57))),1,0),0)</f>
        <v>0</v>
      </c>
      <c r="T596" s="7"/>
      <c r="U596" s="7"/>
      <c r="V596" s="7"/>
      <c r="W596" s="7"/>
      <c r="X596" s="7"/>
      <c r="Y596" s="7"/>
      <c r="Z596" s="7"/>
      <c r="AA596" s="7"/>
      <c r="AB596" s="7"/>
      <c r="AC596" s="7"/>
      <c r="AD596" s="7"/>
      <c r="AE596" s="7"/>
      <c r="AF596" s="7"/>
      <c r="AG596" s="7"/>
      <c r="AH596" s="7"/>
      <c r="AI596" s="7"/>
    </row>
    <row r="597" spans="12:35">
      <c r="L597" s="7">
        <v>21</v>
      </c>
      <c r="M597" s="7">
        <v>58</v>
      </c>
      <c r="N597" s="7" t="b">
        <f>AND($N$5,$N$7,10&lt;=$M$5,7&lt;=$M$7)</f>
        <v>0</v>
      </c>
      <c r="O597" s="7">
        <f>(P21-N21)*(O58-O21)-(Q21-O21)*(N58-N21)</f>
        <v>0</v>
      </c>
      <c r="P597" s="7">
        <f>(P21-N21)*(Q58-O21)-(Q21-O21)*(P58-N21)</f>
        <v>0</v>
      </c>
      <c r="Q597" s="7">
        <f>(P58-N58)*(O21-O58)-(Q58-O58)*(N21-N58)</f>
        <v>0</v>
      </c>
      <c r="R597" s="7">
        <f>(P58-N58)*(Q21-O58)-(Q58-O58)*(P21-N58)</f>
        <v>0</v>
      </c>
      <c r="S597" s="7">
        <f>IF(N597,IF(AND(O597*P597&lt;=0,Q597*R597&lt;=0,MAX(MIN(N21,P21),MIN(N58,P58))&lt;=MIN(MAX(N21,P21),MAX(N58,P58)),MAX(MIN(O21,Q21),MIN(O58,Q58))&lt;=MIN(MAX(O21,Q21),MAX(O58,Q58))),1,0),0)</f>
        <v>0</v>
      </c>
      <c r="T597" s="7"/>
      <c r="U597" s="7"/>
      <c r="V597" s="7"/>
      <c r="W597" s="7"/>
      <c r="X597" s="7"/>
      <c r="Y597" s="7"/>
      <c r="Z597" s="7"/>
      <c r="AA597" s="7"/>
      <c r="AB597" s="7"/>
      <c r="AC597" s="7"/>
      <c r="AD597" s="7"/>
      <c r="AE597" s="7"/>
      <c r="AF597" s="7"/>
      <c r="AG597" s="7"/>
      <c r="AH597" s="7"/>
      <c r="AI597" s="7"/>
    </row>
    <row r="598" spans="12:35">
      <c r="L598" s="7">
        <v>21</v>
      </c>
      <c r="M598" s="7">
        <v>59</v>
      </c>
      <c r="N598" s="7" t="b">
        <f>AND($N$5,$N$7,10&lt;=$M$5,8&lt;=$M$7)</f>
        <v>0</v>
      </c>
      <c r="O598" s="7">
        <f>(P21-N21)*(O59-O21)-(Q21-O21)*(N59-N21)</f>
        <v>0</v>
      </c>
      <c r="P598" s="7">
        <f>(P21-N21)*(Q59-O21)-(Q21-O21)*(P59-N21)</f>
        <v>0</v>
      </c>
      <c r="Q598" s="7">
        <f>(P59-N59)*(O21-O59)-(Q59-O59)*(N21-N59)</f>
        <v>0</v>
      </c>
      <c r="R598" s="7">
        <f>(P59-N59)*(Q21-O59)-(Q59-O59)*(P21-N59)</f>
        <v>0</v>
      </c>
      <c r="S598" s="7">
        <f>IF(N598,IF(AND(O598*P598&lt;=0,Q598*R598&lt;=0,MAX(MIN(N21,P21),MIN(N59,P59))&lt;=MIN(MAX(N21,P21),MAX(N59,P59)),MAX(MIN(O21,Q21),MIN(O59,Q59))&lt;=MIN(MAX(O21,Q21),MAX(O59,Q59))),1,0),0)</f>
        <v>0</v>
      </c>
      <c r="T598" s="7"/>
      <c r="U598" s="7"/>
      <c r="V598" s="7"/>
      <c r="W598" s="7"/>
      <c r="X598" s="7"/>
      <c r="Y598" s="7"/>
      <c r="Z598" s="7"/>
      <c r="AA598" s="7"/>
      <c r="AB598" s="7"/>
      <c r="AC598" s="7"/>
      <c r="AD598" s="7"/>
      <c r="AE598" s="7"/>
      <c r="AF598" s="7"/>
      <c r="AG598" s="7"/>
      <c r="AH598" s="7"/>
      <c r="AI598" s="7"/>
    </row>
    <row r="599" spans="12:35">
      <c r="L599" s="7">
        <v>21</v>
      </c>
      <c r="M599" s="7">
        <v>60</v>
      </c>
      <c r="N599" s="7" t="b">
        <f>AND($N$5,$N$7,10&lt;=$M$5,9&lt;=$M$7)</f>
        <v>0</v>
      </c>
      <c r="O599" s="7">
        <f>(P21-N21)*(O60-O21)-(Q21-O21)*(N60-N21)</f>
        <v>0</v>
      </c>
      <c r="P599" s="7">
        <f>(P21-N21)*(Q60-O21)-(Q21-O21)*(P60-N21)</f>
        <v>0</v>
      </c>
      <c r="Q599" s="7">
        <f>(P60-N60)*(O21-O60)-(Q60-O60)*(N21-N60)</f>
        <v>0</v>
      </c>
      <c r="R599" s="7">
        <f>(P60-N60)*(Q21-O60)-(Q60-O60)*(P21-N60)</f>
        <v>0</v>
      </c>
      <c r="S599" s="7">
        <f>IF(N599,IF(AND(O599*P599&lt;=0,Q599*R599&lt;=0,MAX(MIN(N21,P21),MIN(N60,P60))&lt;=MIN(MAX(N21,P21),MAX(N60,P60)),MAX(MIN(O21,Q21),MIN(O60,Q60))&lt;=MIN(MAX(O21,Q21),MAX(O60,Q60))),1,0),0)</f>
        <v>0</v>
      </c>
      <c r="T599" s="7"/>
      <c r="U599" s="7"/>
      <c r="V599" s="7"/>
      <c r="W599" s="7"/>
      <c r="X599" s="7"/>
      <c r="Y599" s="7"/>
      <c r="Z599" s="7"/>
      <c r="AA599" s="7"/>
      <c r="AB599" s="7"/>
      <c r="AC599" s="7"/>
      <c r="AD599" s="7"/>
      <c r="AE599" s="7"/>
      <c r="AF599" s="7"/>
      <c r="AG599" s="7"/>
      <c r="AH599" s="7"/>
      <c r="AI599" s="7"/>
    </row>
    <row r="600" spans="12:35">
      <c r="L600" s="7">
        <v>21</v>
      </c>
      <c r="M600" s="7">
        <v>61</v>
      </c>
      <c r="N600" s="7" t="b">
        <f>AND($N$5,$N$7,10&lt;=$M$5,10&lt;=$M$7)</f>
        <v>0</v>
      </c>
      <c r="O600" s="7">
        <f>(P21-N21)*(O61-O21)-(Q21-O21)*(N61-N21)</f>
        <v>0</v>
      </c>
      <c r="P600" s="7">
        <f>(P21-N21)*(Q61-O21)-(Q21-O21)*(P61-N21)</f>
        <v>0</v>
      </c>
      <c r="Q600" s="7">
        <f>(P61-N61)*(O21-O61)-(Q61-O61)*(N21-N61)</f>
        <v>0</v>
      </c>
      <c r="R600" s="7">
        <f>(P61-N61)*(Q21-O61)-(Q61-O61)*(P21-N61)</f>
        <v>0</v>
      </c>
      <c r="S600" s="7">
        <f>IF(N600,IF(AND(O600*P600&lt;=0,Q600*R600&lt;=0,MAX(MIN(N21,P21),MIN(N61,P61))&lt;=MIN(MAX(N21,P21),MAX(N61,P61)),MAX(MIN(O21,Q21),MIN(O61,Q61))&lt;=MIN(MAX(O21,Q21),MAX(O61,Q61))),1,0),0)</f>
        <v>0</v>
      </c>
      <c r="T600" s="7"/>
      <c r="U600" s="7"/>
      <c r="V600" s="7"/>
      <c r="W600" s="7"/>
      <c r="X600" s="7"/>
      <c r="Y600" s="7"/>
      <c r="Z600" s="7"/>
      <c r="AA600" s="7"/>
      <c r="AB600" s="7"/>
      <c r="AC600" s="7"/>
      <c r="AD600" s="7"/>
      <c r="AE600" s="7"/>
      <c r="AF600" s="7"/>
      <c r="AG600" s="7"/>
      <c r="AH600" s="7"/>
      <c r="AI600" s="7"/>
    </row>
    <row r="601" spans="12:35">
      <c r="L601" s="7">
        <v>21</v>
      </c>
      <c r="M601" s="7">
        <v>62</v>
      </c>
      <c r="N601" s="7" t="b">
        <f>AND($N$5,$N$7,10&lt;=$M$5,11&lt;=$M$7)</f>
        <v>0</v>
      </c>
      <c r="O601" s="7">
        <f>(P21-N21)*(O62-O21)-(Q21-O21)*(N62-N21)</f>
        <v>0</v>
      </c>
      <c r="P601" s="7">
        <f>(P21-N21)*(Q62-O21)-(Q21-O21)*(P62-N21)</f>
        <v>0</v>
      </c>
      <c r="Q601" s="7">
        <f>(P62-N62)*(O21-O62)-(Q62-O62)*(N21-N62)</f>
        <v>0</v>
      </c>
      <c r="R601" s="7">
        <f>(P62-N62)*(Q21-O62)-(Q62-O62)*(P21-N62)</f>
        <v>0</v>
      </c>
      <c r="S601" s="7">
        <f>IF(N601,IF(AND(O601*P601&lt;=0,Q601*R601&lt;=0,MAX(MIN(N21,P21),MIN(N62,P62))&lt;=MIN(MAX(N21,P21),MAX(N62,P62)),MAX(MIN(O21,Q21),MIN(O62,Q62))&lt;=MIN(MAX(O21,Q21),MAX(O62,Q62))),1,0),0)</f>
        <v>0</v>
      </c>
      <c r="T601" s="7"/>
      <c r="U601" s="7"/>
      <c r="V601" s="7"/>
      <c r="W601" s="7"/>
      <c r="X601" s="7"/>
      <c r="Y601" s="7"/>
      <c r="Z601" s="7"/>
      <c r="AA601" s="7"/>
      <c r="AB601" s="7"/>
      <c r="AC601" s="7"/>
      <c r="AD601" s="7"/>
      <c r="AE601" s="7"/>
      <c r="AF601" s="7"/>
      <c r="AG601" s="7"/>
      <c r="AH601" s="7"/>
      <c r="AI601" s="7"/>
    </row>
    <row r="602" spans="12:35">
      <c r="L602" s="7">
        <v>21</v>
      </c>
      <c r="M602" s="7">
        <v>63</v>
      </c>
      <c r="N602" s="7" t="b">
        <f>AND($N$5,$N$7,10&lt;=$M$5,12&lt;=$M$7)</f>
        <v>0</v>
      </c>
      <c r="O602" s="7">
        <f>(P21-N21)*(O63-O21)-(Q21-O21)*(N63-N21)</f>
        <v>0</v>
      </c>
      <c r="P602" s="7">
        <f>(P21-N21)*(Q63-O21)-(Q21-O21)*(P63-N21)</f>
        <v>0</v>
      </c>
      <c r="Q602" s="7">
        <f>(P63-N63)*(O21-O63)-(Q63-O63)*(N21-N63)</f>
        <v>0</v>
      </c>
      <c r="R602" s="7">
        <f>(P63-N63)*(Q21-O63)-(Q63-O63)*(P21-N63)</f>
        <v>0</v>
      </c>
      <c r="S602" s="7">
        <f>IF(N602,IF(AND(O602*P602&lt;=0,Q602*R602&lt;=0,MAX(MIN(N21,P21),MIN(N63,P63))&lt;=MIN(MAX(N21,P21),MAX(N63,P63)),MAX(MIN(O21,Q21),MIN(O63,Q63))&lt;=MIN(MAX(O21,Q21),MAX(O63,Q63))),1,0),0)</f>
        <v>0</v>
      </c>
      <c r="T602" s="7"/>
      <c r="U602" s="7"/>
      <c r="V602" s="7"/>
      <c r="W602" s="7"/>
      <c r="X602" s="7"/>
      <c r="Y602" s="7"/>
      <c r="Z602" s="7"/>
      <c r="AA602" s="7"/>
      <c r="AB602" s="7"/>
      <c r="AC602" s="7"/>
      <c r="AD602" s="7"/>
      <c r="AE602" s="7"/>
      <c r="AF602" s="7"/>
      <c r="AG602" s="7"/>
      <c r="AH602" s="7"/>
      <c r="AI602" s="7"/>
    </row>
    <row r="603" spans="12:35">
      <c r="L603" s="7">
        <v>21</v>
      </c>
      <c r="M603" s="7">
        <v>64</v>
      </c>
      <c r="N603" s="7" t="b">
        <f>AND($N$5,$N$7,10&lt;=$M$5,13&lt;=$M$7)</f>
        <v>0</v>
      </c>
      <c r="O603" s="7">
        <f>(P21-N21)*(O64-O21)-(Q21-O21)*(N64-N21)</f>
        <v>0</v>
      </c>
      <c r="P603" s="7">
        <f>(P21-N21)*(Q64-O21)-(Q21-O21)*(P64-N21)</f>
        <v>0</v>
      </c>
      <c r="Q603" s="7">
        <f>(P64-N64)*(O21-O64)-(Q64-O64)*(N21-N64)</f>
        <v>0</v>
      </c>
      <c r="R603" s="7">
        <f>(P64-N64)*(Q21-O64)-(Q64-O64)*(P21-N64)</f>
        <v>0</v>
      </c>
      <c r="S603" s="7">
        <f>IF(N603,IF(AND(O603*P603&lt;=0,Q603*R603&lt;=0,MAX(MIN(N21,P21),MIN(N64,P64))&lt;=MIN(MAX(N21,P21),MAX(N64,P64)),MAX(MIN(O21,Q21),MIN(O64,Q64))&lt;=MIN(MAX(O21,Q21),MAX(O64,Q64))),1,0),0)</f>
        <v>0</v>
      </c>
      <c r="T603" s="7"/>
      <c r="U603" s="7"/>
      <c r="V603" s="7"/>
      <c r="W603" s="7"/>
      <c r="X603" s="7"/>
      <c r="Y603" s="7"/>
      <c r="Z603" s="7"/>
      <c r="AA603" s="7"/>
      <c r="AB603" s="7"/>
      <c r="AC603" s="7"/>
      <c r="AD603" s="7"/>
      <c r="AE603" s="7"/>
      <c r="AF603" s="7"/>
      <c r="AG603" s="7"/>
      <c r="AH603" s="7"/>
      <c r="AI603" s="7"/>
    </row>
    <row r="604" spans="12:35">
      <c r="L604" s="7">
        <v>21</v>
      </c>
      <c r="M604" s="7">
        <v>65</v>
      </c>
      <c r="N604" s="7" t="b">
        <f>AND($N$5,$N$7,10&lt;=$M$5,14&lt;=$M$7)</f>
        <v>0</v>
      </c>
      <c r="O604" s="7">
        <f>(P21-N21)*(O65-O21)-(Q21-O21)*(N65-N21)</f>
        <v>0</v>
      </c>
      <c r="P604" s="7">
        <f>(P21-N21)*(Q65-O21)-(Q21-O21)*(P65-N21)</f>
        <v>0</v>
      </c>
      <c r="Q604" s="7">
        <f>(P65-N65)*(O21-O65)-(Q65-O65)*(N21-N65)</f>
        <v>0</v>
      </c>
      <c r="R604" s="7">
        <f>(P65-N65)*(Q21-O65)-(Q65-O65)*(P21-N65)</f>
        <v>0</v>
      </c>
      <c r="S604" s="7">
        <f>IF(N604,IF(AND(O604*P604&lt;=0,Q604*R604&lt;=0,MAX(MIN(N21,P21),MIN(N65,P65))&lt;=MIN(MAX(N21,P21),MAX(N65,P65)),MAX(MIN(O21,Q21),MIN(O65,Q65))&lt;=MIN(MAX(O21,Q21),MAX(O65,Q65))),1,0),0)</f>
        <v>0</v>
      </c>
      <c r="T604" s="7"/>
      <c r="U604" s="7"/>
      <c r="V604" s="7"/>
      <c r="W604" s="7"/>
      <c r="X604" s="7"/>
      <c r="Y604" s="7"/>
      <c r="Z604" s="7"/>
      <c r="AA604" s="7"/>
      <c r="AB604" s="7"/>
      <c r="AC604" s="7"/>
      <c r="AD604" s="7"/>
      <c r="AE604" s="7"/>
      <c r="AF604" s="7"/>
      <c r="AG604" s="7"/>
      <c r="AH604" s="7"/>
      <c r="AI604" s="7"/>
    </row>
    <row r="605" spans="12:35">
      <c r="L605" s="7">
        <v>21</v>
      </c>
      <c r="M605" s="7">
        <v>66</v>
      </c>
      <c r="N605" s="7" t="b">
        <f>AND($N$5,$N$7,10&lt;=$M$5,15&lt;=$M$7)</f>
        <v>0</v>
      </c>
      <c r="O605" s="7">
        <f>(P21-N21)*(O66-O21)-(Q21-O21)*(N66-N21)</f>
        <v>0</v>
      </c>
      <c r="P605" s="7">
        <f>(P21-N21)*(Q66-O21)-(Q21-O21)*(P66-N21)</f>
        <v>0</v>
      </c>
      <c r="Q605" s="7">
        <f>(P66-N66)*(O21-O66)-(Q66-O66)*(N21-N66)</f>
        <v>0</v>
      </c>
      <c r="R605" s="7">
        <f>(P66-N66)*(Q21-O66)-(Q66-O66)*(P21-N66)</f>
        <v>0</v>
      </c>
      <c r="S605" s="7">
        <f>IF(N605,IF(AND(O605*P605&lt;=0,Q605*R605&lt;=0,MAX(MIN(N21,P21),MIN(N66,P66))&lt;=MIN(MAX(N21,P21),MAX(N66,P66)),MAX(MIN(O21,Q21),MIN(O66,Q66))&lt;=MIN(MAX(O21,Q21),MAX(O66,Q66))),1,0),0)</f>
        <v>0</v>
      </c>
      <c r="T605" s="7"/>
      <c r="U605" s="7"/>
      <c r="V605" s="7"/>
      <c r="W605" s="7"/>
      <c r="X605" s="7"/>
      <c r="Y605" s="7"/>
      <c r="Z605" s="7"/>
      <c r="AA605" s="7"/>
      <c r="AB605" s="7"/>
      <c r="AC605" s="7"/>
      <c r="AD605" s="7"/>
      <c r="AE605" s="7"/>
      <c r="AF605" s="7"/>
      <c r="AG605" s="7"/>
      <c r="AH605" s="7"/>
      <c r="AI605" s="7"/>
    </row>
    <row r="606" spans="12:35">
      <c r="L606" s="7">
        <v>21</v>
      </c>
      <c r="M606" s="7">
        <v>67</v>
      </c>
      <c r="N606" s="7" t="b">
        <f>AND($N$5,$N$7,10&lt;=$M$5,16&lt;=$M$7)</f>
        <v>0</v>
      </c>
      <c r="O606" s="7">
        <f>(P21-N21)*(O67-O21)-(Q21-O21)*(N67-N21)</f>
        <v>0</v>
      </c>
      <c r="P606" s="7">
        <f>(P21-N21)*(Q67-O21)-(Q21-O21)*(P67-N21)</f>
        <v>0</v>
      </c>
      <c r="Q606" s="7">
        <f>(P67-N67)*(O21-O67)-(Q67-O67)*(N21-N67)</f>
        <v>0</v>
      </c>
      <c r="R606" s="7">
        <f>(P67-N67)*(Q21-O67)-(Q67-O67)*(P21-N67)</f>
        <v>0</v>
      </c>
      <c r="S606" s="7">
        <f>IF(N606,IF(AND(O606*P606&lt;=0,Q606*R606&lt;=0,MAX(MIN(N21,P21),MIN(N67,P67))&lt;=MIN(MAX(N21,P21),MAX(N67,P67)),MAX(MIN(O21,Q21),MIN(O67,Q67))&lt;=MIN(MAX(O21,Q21),MAX(O67,Q67))),1,0),0)</f>
        <v>0</v>
      </c>
      <c r="T606" s="7"/>
      <c r="U606" s="7"/>
      <c r="V606" s="7"/>
      <c r="W606" s="7"/>
      <c r="X606" s="7"/>
      <c r="Y606" s="7"/>
      <c r="Z606" s="7"/>
      <c r="AA606" s="7"/>
      <c r="AB606" s="7"/>
      <c r="AC606" s="7"/>
      <c r="AD606" s="7"/>
      <c r="AE606" s="7"/>
      <c r="AF606" s="7"/>
      <c r="AG606" s="7"/>
      <c r="AH606" s="7"/>
      <c r="AI606" s="7"/>
    </row>
    <row r="607" spans="12:35">
      <c r="L607" s="7">
        <v>21</v>
      </c>
      <c r="M607" s="7">
        <v>68</v>
      </c>
      <c r="N607" s="7" t="b">
        <f>AND($N$5,$N$7,10&lt;=$M$5,17&lt;=$M$7)</f>
        <v>0</v>
      </c>
      <c r="O607" s="7">
        <f>(P21-N21)*(O68-O21)-(Q21-O21)*(N68-N21)</f>
        <v>0</v>
      </c>
      <c r="P607" s="7">
        <f>(P21-N21)*(Q68-O21)-(Q21-O21)*(P68-N21)</f>
        <v>0</v>
      </c>
      <c r="Q607" s="7">
        <f>(P68-N68)*(O21-O68)-(Q68-O68)*(N21-N68)</f>
        <v>0</v>
      </c>
      <c r="R607" s="7">
        <f>(P68-N68)*(Q21-O68)-(Q68-O68)*(P21-N68)</f>
        <v>0</v>
      </c>
      <c r="S607" s="7">
        <f>IF(N607,IF(AND(O607*P607&lt;=0,Q607*R607&lt;=0,MAX(MIN(N21,P21),MIN(N68,P68))&lt;=MIN(MAX(N21,P21),MAX(N68,P68)),MAX(MIN(O21,Q21),MIN(O68,Q68))&lt;=MIN(MAX(O21,Q21),MAX(O68,Q68))),1,0),0)</f>
        <v>0</v>
      </c>
      <c r="T607" s="7"/>
      <c r="U607" s="7"/>
      <c r="V607" s="7"/>
      <c r="W607" s="7"/>
      <c r="X607" s="7"/>
      <c r="Y607" s="7"/>
      <c r="Z607" s="7"/>
      <c r="AA607" s="7"/>
      <c r="AB607" s="7"/>
      <c r="AC607" s="7"/>
      <c r="AD607" s="7"/>
      <c r="AE607" s="7"/>
      <c r="AF607" s="7"/>
      <c r="AG607" s="7"/>
      <c r="AH607" s="7"/>
      <c r="AI607" s="7"/>
    </row>
    <row r="608" spans="12:35">
      <c r="L608" s="7">
        <v>21</v>
      </c>
      <c r="M608" s="7">
        <v>69</v>
      </c>
      <c r="N608" s="7" t="b">
        <f>AND($N$5,$N$7,10&lt;=$M$5,18&lt;=$M$7)</f>
        <v>0</v>
      </c>
      <c r="O608" s="7">
        <f>(P21-N21)*(O69-O21)-(Q21-O21)*(N69-N21)</f>
        <v>0</v>
      </c>
      <c r="P608" s="7">
        <f>(P21-N21)*(Q69-O21)-(Q21-O21)*(P69-N21)</f>
        <v>0</v>
      </c>
      <c r="Q608" s="7">
        <f>(P69-N69)*(O21-O69)-(Q69-O69)*(N21-N69)</f>
        <v>0</v>
      </c>
      <c r="R608" s="7">
        <f>(P69-N69)*(Q21-O69)-(Q69-O69)*(P21-N69)</f>
        <v>0</v>
      </c>
      <c r="S608" s="7">
        <f>IF(N608,IF(AND(O608*P608&lt;=0,Q608*R608&lt;=0,MAX(MIN(N21,P21),MIN(N69,P69))&lt;=MIN(MAX(N21,P21),MAX(N69,P69)),MAX(MIN(O21,Q21),MIN(O69,Q69))&lt;=MIN(MAX(O21,Q21),MAX(O69,Q69))),1,0),0)</f>
        <v>0</v>
      </c>
      <c r="T608" s="7"/>
      <c r="U608" s="7"/>
      <c r="V608" s="7"/>
      <c r="W608" s="7"/>
      <c r="X608" s="7"/>
      <c r="Y608" s="7"/>
      <c r="Z608" s="7"/>
      <c r="AA608" s="7"/>
      <c r="AB608" s="7"/>
      <c r="AC608" s="7"/>
      <c r="AD608" s="7"/>
      <c r="AE608" s="7"/>
      <c r="AF608" s="7"/>
      <c r="AG608" s="7"/>
      <c r="AH608" s="7"/>
      <c r="AI608" s="7"/>
    </row>
    <row r="609" spans="12:35">
      <c r="L609" s="7">
        <v>21</v>
      </c>
      <c r="M609" s="7">
        <v>70</v>
      </c>
      <c r="N609" s="7" t="b">
        <f>AND($N$5,$N$7,10&lt;=$M$5,19&lt;=$M$7)</f>
        <v>0</v>
      </c>
      <c r="O609" s="7">
        <f>(P21-N21)*(O70-O21)-(Q21-O21)*(N70-N21)</f>
        <v>0</v>
      </c>
      <c r="P609" s="7">
        <f>(P21-N21)*(Q70-O21)-(Q21-O21)*(P70-N21)</f>
        <v>0</v>
      </c>
      <c r="Q609" s="7">
        <f>(P70-N70)*(O21-O70)-(Q70-O70)*(N21-N70)</f>
        <v>0</v>
      </c>
      <c r="R609" s="7">
        <f>(P70-N70)*(Q21-O70)-(Q70-O70)*(P21-N70)</f>
        <v>0</v>
      </c>
      <c r="S609" s="7">
        <f>IF(N609,IF(AND(O609*P609&lt;=0,Q609*R609&lt;=0,MAX(MIN(N21,P21),MIN(N70,P70))&lt;=MIN(MAX(N21,P21),MAX(N70,P70)),MAX(MIN(O21,Q21),MIN(O70,Q70))&lt;=MIN(MAX(O21,Q21),MAX(O70,Q70))),1,0),0)</f>
        <v>0</v>
      </c>
      <c r="T609" s="7"/>
      <c r="U609" s="7"/>
      <c r="V609" s="7"/>
      <c r="W609" s="7"/>
      <c r="X609" s="7"/>
      <c r="Y609" s="7"/>
      <c r="Z609" s="7"/>
      <c r="AA609" s="7"/>
      <c r="AB609" s="7"/>
      <c r="AC609" s="7"/>
      <c r="AD609" s="7"/>
      <c r="AE609" s="7"/>
      <c r="AF609" s="7"/>
      <c r="AG609" s="7"/>
      <c r="AH609" s="7"/>
      <c r="AI609" s="7"/>
    </row>
    <row r="610" spans="12:35">
      <c r="L610" s="7">
        <v>21</v>
      </c>
      <c r="M610" s="7">
        <v>71</v>
      </c>
      <c r="N610" s="7" t="b">
        <f>AND($N$5,$N$7,10&lt;=$M$5,20&lt;=$M$7)</f>
        <v>0</v>
      </c>
      <c r="O610" s="7">
        <f>(P21-N21)*(O71-O21)-(Q21-O21)*(N71-N21)</f>
        <v>0</v>
      </c>
      <c r="P610" s="7">
        <f>(P21-N21)*(Q71-O21)-(Q21-O21)*(P71-N21)</f>
        <v>0</v>
      </c>
      <c r="Q610" s="7">
        <f>(P71-N71)*(O21-O71)-(Q71-O71)*(N21-N71)</f>
        <v>0</v>
      </c>
      <c r="R610" s="7">
        <f>(P71-N71)*(Q21-O71)-(Q71-O71)*(P21-N71)</f>
        <v>0</v>
      </c>
      <c r="S610" s="7">
        <f>IF(N610,IF(AND(O610*P610&lt;=0,Q610*R610&lt;=0,MAX(MIN(N21,P21),MIN(N71,P71))&lt;=MIN(MAX(N21,P21),MAX(N71,P71)),MAX(MIN(O21,Q21),MIN(O71,Q71))&lt;=MIN(MAX(O21,Q21),MAX(O71,Q71))),1,0),0)</f>
        <v>0</v>
      </c>
      <c r="T610" s="7"/>
      <c r="U610" s="7"/>
      <c r="V610" s="7"/>
      <c r="W610" s="7"/>
      <c r="X610" s="7"/>
      <c r="Y610" s="7"/>
      <c r="Z610" s="7"/>
      <c r="AA610" s="7"/>
      <c r="AB610" s="7"/>
      <c r="AC610" s="7"/>
      <c r="AD610" s="7"/>
      <c r="AE610" s="7"/>
      <c r="AF610" s="7"/>
      <c r="AG610" s="7"/>
      <c r="AH610" s="7"/>
      <c r="AI610" s="7"/>
    </row>
    <row r="611" spans="12:35">
      <c r="L611" s="7">
        <v>22</v>
      </c>
      <c r="M611" s="7">
        <v>24</v>
      </c>
      <c r="N611" s="7" t="b">
        <f>AND($N$5,$N$5,11&lt;=$M$5,13&lt;=$M$5)</f>
        <v>0</v>
      </c>
      <c r="O611" s="7">
        <f>(P22-N22)*(O24-O22)-(Q22-O22)*(N24-N22)</f>
        <v>0</v>
      </c>
      <c r="P611" s="7">
        <f>(P22-N22)*(Q24-O22)-(Q22-O22)*(P24-N22)</f>
        <v>0</v>
      </c>
      <c r="Q611" s="7">
        <f>(P24-N24)*(O22-O24)-(Q24-O24)*(N22-N24)</f>
        <v>0</v>
      </c>
      <c r="R611" s="7">
        <f>(P24-N24)*(Q22-O24)-(Q24-O24)*(P22-N24)</f>
        <v>0</v>
      </c>
      <c r="S611" s="7">
        <f>IF(N611,IF(AND(O611*P611&lt;=0,Q611*R611&lt;=0,MAX(MIN(N22,P22),MIN(N24,P24))&lt;=MIN(MAX(N22,P22),MAX(N24,P24)),MAX(MIN(O22,Q22),MIN(O24,Q24))&lt;=MIN(MAX(O22,Q22),MAX(O24,Q24))),1,0),0)</f>
        <v>0</v>
      </c>
      <c r="T611" s="7"/>
      <c r="U611" s="7"/>
      <c r="V611" s="7"/>
      <c r="W611" s="7"/>
      <c r="X611" s="7"/>
      <c r="Y611" s="7"/>
      <c r="Z611" s="7"/>
      <c r="AA611" s="7"/>
      <c r="AB611" s="7"/>
      <c r="AC611" s="7"/>
      <c r="AD611" s="7"/>
      <c r="AE611" s="7"/>
      <c r="AF611" s="7"/>
      <c r="AG611" s="7"/>
      <c r="AH611" s="7"/>
      <c r="AI611" s="7"/>
    </row>
    <row r="612" spans="12:35">
      <c r="L612" s="7">
        <v>22</v>
      </c>
      <c r="M612" s="7">
        <v>25</v>
      </c>
      <c r="N612" s="7" t="b">
        <f>AND($N$5,$N$5,11&lt;=$M$5,14&lt;=$M$5)</f>
        <v>0</v>
      </c>
      <c r="O612" s="7">
        <f>(P22-N22)*(O25-O22)-(Q22-O22)*(N25-N22)</f>
        <v>0</v>
      </c>
      <c r="P612" s="7">
        <f>(P22-N22)*(Q25-O22)-(Q22-O22)*(P25-N22)</f>
        <v>0</v>
      </c>
      <c r="Q612" s="7">
        <f>(P25-N25)*(O22-O25)-(Q25-O25)*(N22-N25)</f>
        <v>0</v>
      </c>
      <c r="R612" s="7">
        <f>(P25-N25)*(Q22-O25)-(Q25-O25)*(P22-N25)</f>
        <v>0</v>
      </c>
      <c r="S612" s="7">
        <f>IF(N612,IF(AND(O612*P612&lt;=0,Q612*R612&lt;=0,MAX(MIN(N22,P22),MIN(N25,P25))&lt;=MIN(MAX(N22,P22),MAX(N25,P25)),MAX(MIN(O22,Q22),MIN(O25,Q25))&lt;=MIN(MAX(O22,Q22),MAX(O25,Q25))),1,0),0)</f>
        <v>0</v>
      </c>
      <c r="T612" s="7"/>
      <c r="U612" s="7"/>
      <c r="V612" s="7"/>
      <c r="W612" s="7"/>
      <c r="X612" s="7"/>
      <c r="Y612" s="7"/>
      <c r="Z612" s="7"/>
      <c r="AA612" s="7"/>
      <c r="AB612" s="7"/>
      <c r="AC612" s="7"/>
      <c r="AD612" s="7"/>
      <c r="AE612" s="7"/>
      <c r="AF612" s="7"/>
      <c r="AG612" s="7"/>
      <c r="AH612" s="7"/>
      <c r="AI612" s="7"/>
    </row>
    <row r="613" spans="12:35">
      <c r="L613" s="7">
        <v>22</v>
      </c>
      <c r="M613" s="7">
        <v>26</v>
      </c>
      <c r="N613" s="7" t="b">
        <f>AND($N$5,$N$5,11&lt;=$M$5,15&lt;=$M$5)</f>
        <v>0</v>
      </c>
      <c r="O613" s="7">
        <f>(P22-N22)*(O26-O22)-(Q22-O22)*(N26-N22)</f>
        <v>0</v>
      </c>
      <c r="P613" s="7">
        <f>(P22-N22)*(Q26-O22)-(Q22-O22)*(P26-N22)</f>
        <v>0</v>
      </c>
      <c r="Q613" s="7">
        <f>(P26-N26)*(O22-O26)-(Q26-O26)*(N22-N26)</f>
        <v>0</v>
      </c>
      <c r="R613" s="7">
        <f>(P26-N26)*(Q22-O26)-(Q26-O26)*(P22-N26)</f>
        <v>0</v>
      </c>
      <c r="S613" s="7">
        <f>IF(N613,IF(AND(O613*P613&lt;=0,Q613*R613&lt;=0,MAX(MIN(N22,P22),MIN(N26,P26))&lt;=MIN(MAX(N22,P22),MAX(N26,P26)),MAX(MIN(O22,Q22),MIN(O26,Q26))&lt;=MIN(MAX(O22,Q22),MAX(O26,Q26))),1,0),0)</f>
        <v>0</v>
      </c>
      <c r="T613" s="7"/>
      <c r="U613" s="7"/>
      <c r="V613" s="7"/>
      <c r="W613" s="7"/>
      <c r="X613" s="7"/>
      <c r="Y613" s="7"/>
      <c r="Z613" s="7"/>
      <c r="AA613" s="7"/>
      <c r="AB613" s="7"/>
      <c r="AC613" s="7"/>
      <c r="AD613" s="7"/>
      <c r="AE613" s="7"/>
      <c r="AF613" s="7"/>
      <c r="AG613" s="7"/>
      <c r="AH613" s="7"/>
      <c r="AI613" s="7"/>
    </row>
    <row r="614" spans="12:35">
      <c r="L614" s="7">
        <v>22</v>
      </c>
      <c r="M614" s="7">
        <v>27</v>
      </c>
      <c r="N614" s="7" t="b">
        <f>AND($N$5,$N$5,11&lt;=$M$5,16&lt;=$M$5)</f>
        <v>0</v>
      </c>
      <c r="O614" s="7">
        <f>(P22-N22)*(O27-O22)-(Q22-O22)*(N27-N22)</f>
        <v>0</v>
      </c>
      <c r="P614" s="7">
        <f>(P22-N22)*(Q27-O22)-(Q22-O22)*(P27-N22)</f>
        <v>0</v>
      </c>
      <c r="Q614" s="7">
        <f>(P27-N27)*(O22-O27)-(Q27-O27)*(N22-N27)</f>
        <v>0</v>
      </c>
      <c r="R614" s="7">
        <f>(P27-N27)*(Q22-O27)-(Q27-O27)*(P22-N27)</f>
        <v>0</v>
      </c>
      <c r="S614" s="7">
        <f>IF(N614,IF(AND(O614*P614&lt;=0,Q614*R614&lt;=0,MAX(MIN(N22,P22),MIN(N27,P27))&lt;=MIN(MAX(N22,P22),MAX(N27,P27)),MAX(MIN(O22,Q22),MIN(O27,Q27))&lt;=MIN(MAX(O22,Q22),MAX(O27,Q27))),1,0),0)</f>
        <v>0</v>
      </c>
      <c r="T614" s="7"/>
      <c r="U614" s="7"/>
      <c r="V614" s="7"/>
      <c r="W614" s="7"/>
      <c r="X614" s="7"/>
      <c r="Y614" s="7"/>
      <c r="Z614" s="7"/>
      <c r="AA614" s="7"/>
      <c r="AB614" s="7"/>
      <c r="AC614" s="7"/>
      <c r="AD614" s="7"/>
      <c r="AE614" s="7"/>
      <c r="AF614" s="7"/>
      <c r="AG614" s="7"/>
      <c r="AH614" s="7"/>
      <c r="AI614" s="7"/>
    </row>
    <row r="615" spans="12:35">
      <c r="L615" s="7">
        <v>22</v>
      </c>
      <c r="M615" s="7">
        <v>28</v>
      </c>
      <c r="N615" s="7" t="b">
        <f>AND($N$5,$N$5,11&lt;=$M$5,17&lt;=$M$5)</f>
        <v>0</v>
      </c>
      <c r="O615" s="7">
        <f>(P22-N22)*(O28-O22)-(Q22-O22)*(N28-N22)</f>
        <v>0</v>
      </c>
      <c r="P615" s="7">
        <f>(P22-N22)*(Q28-O22)-(Q22-O22)*(P28-N22)</f>
        <v>0</v>
      </c>
      <c r="Q615" s="7">
        <f>(P28-N28)*(O22-O28)-(Q28-O28)*(N22-N28)</f>
        <v>0</v>
      </c>
      <c r="R615" s="7">
        <f>(P28-N28)*(Q22-O28)-(Q28-O28)*(P22-N28)</f>
        <v>0</v>
      </c>
      <c r="S615" s="7">
        <f>IF(N615,IF(AND(O615*P615&lt;=0,Q615*R615&lt;=0,MAX(MIN(N22,P22),MIN(N28,P28))&lt;=MIN(MAX(N22,P22),MAX(N28,P28)),MAX(MIN(O22,Q22),MIN(O28,Q28))&lt;=MIN(MAX(O22,Q22),MAX(O28,Q28))),1,0),0)</f>
        <v>0</v>
      </c>
      <c r="T615" s="7"/>
      <c r="U615" s="7"/>
      <c r="V615" s="7"/>
      <c r="W615" s="7"/>
      <c r="X615" s="7"/>
      <c r="Y615" s="7"/>
      <c r="Z615" s="7"/>
      <c r="AA615" s="7"/>
      <c r="AB615" s="7"/>
      <c r="AC615" s="7"/>
      <c r="AD615" s="7"/>
      <c r="AE615" s="7"/>
      <c r="AF615" s="7"/>
      <c r="AG615" s="7"/>
      <c r="AH615" s="7"/>
      <c r="AI615" s="7"/>
    </row>
    <row r="616" spans="12:35">
      <c r="L616" s="7">
        <v>22</v>
      </c>
      <c r="M616" s="7">
        <v>29</v>
      </c>
      <c r="N616" s="7" t="b">
        <f>AND($N$5,$N$5,11&lt;=$M$5,18&lt;=$M$5)</f>
        <v>0</v>
      </c>
      <c r="O616" s="7">
        <f>(P22-N22)*(O29-O22)-(Q22-O22)*(N29-N22)</f>
        <v>0</v>
      </c>
      <c r="P616" s="7">
        <f>(P22-N22)*(Q29-O22)-(Q22-O22)*(P29-N22)</f>
        <v>0</v>
      </c>
      <c r="Q616" s="7">
        <f>(P29-N29)*(O22-O29)-(Q29-O29)*(N22-N29)</f>
        <v>0</v>
      </c>
      <c r="R616" s="7">
        <f>(P29-N29)*(Q22-O29)-(Q29-O29)*(P22-N29)</f>
        <v>0</v>
      </c>
      <c r="S616" s="7">
        <f>IF(N616,IF(AND(O616*P616&lt;=0,Q616*R616&lt;=0,MAX(MIN(N22,P22),MIN(N29,P29))&lt;=MIN(MAX(N22,P22),MAX(N29,P29)),MAX(MIN(O22,Q22),MIN(O29,Q29))&lt;=MIN(MAX(O22,Q22),MAX(O29,Q29))),1,0),0)</f>
        <v>0</v>
      </c>
      <c r="T616" s="7"/>
      <c r="U616" s="7"/>
      <c r="V616" s="7"/>
      <c r="W616" s="7"/>
      <c r="X616" s="7"/>
      <c r="Y616" s="7"/>
      <c r="Z616" s="7"/>
      <c r="AA616" s="7"/>
      <c r="AB616" s="7"/>
      <c r="AC616" s="7"/>
      <c r="AD616" s="7"/>
      <c r="AE616" s="7"/>
      <c r="AF616" s="7"/>
      <c r="AG616" s="7"/>
      <c r="AH616" s="7"/>
      <c r="AI616" s="7"/>
    </row>
    <row r="617" spans="12:35">
      <c r="L617" s="7">
        <v>22</v>
      </c>
      <c r="M617" s="7">
        <v>30</v>
      </c>
      <c r="N617" s="7" t="b">
        <f>AND($N$5,$N$5,11&lt;=$M$5,19&lt;=$M$5)</f>
        <v>0</v>
      </c>
      <c r="O617" s="7">
        <f>(P22-N22)*(O30-O22)-(Q22-O22)*(N30-N22)</f>
        <v>0</v>
      </c>
      <c r="P617" s="7">
        <f>(P22-N22)*(Q30-O22)-(Q22-O22)*(P30-N22)</f>
        <v>0</v>
      </c>
      <c r="Q617" s="7">
        <f>(P30-N30)*(O22-O30)-(Q30-O30)*(N22-N30)</f>
        <v>0</v>
      </c>
      <c r="R617" s="7">
        <f>(P30-N30)*(Q22-O30)-(Q30-O30)*(P22-N30)</f>
        <v>0</v>
      </c>
      <c r="S617" s="7">
        <f>IF(N617,IF(AND(O617*P617&lt;=0,Q617*R617&lt;=0,MAX(MIN(N22,P22),MIN(N30,P30))&lt;=MIN(MAX(N22,P22),MAX(N30,P30)),MAX(MIN(O22,Q22),MIN(O30,Q30))&lt;=MIN(MAX(O22,Q22),MAX(O30,Q30))),1,0),0)</f>
        <v>0</v>
      </c>
      <c r="T617" s="7"/>
      <c r="U617" s="7"/>
      <c r="V617" s="7"/>
      <c r="W617" s="7"/>
      <c r="X617" s="7"/>
      <c r="Y617" s="7"/>
      <c r="Z617" s="7"/>
      <c r="AA617" s="7"/>
      <c r="AB617" s="7"/>
      <c r="AC617" s="7"/>
      <c r="AD617" s="7"/>
      <c r="AE617" s="7"/>
      <c r="AF617" s="7"/>
      <c r="AG617" s="7"/>
      <c r="AH617" s="7"/>
      <c r="AI617" s="7"/>
    </row>
    <row r="618" spans="12:35">
      <c r="L618" s="7">
        <v>22</v>
      </c>
      <c r="M618" s="7">
        <v>31</v>
      </c>
      <c r="N618" s="7" t="b">
        <f>AND($N$5,$N$5,11&lt;=$M$5,20&lt;=$M$5)</f>
        <v>0</v>
      </c>
      <c r="O618" s="7">
        <f>(P22-N22)*(O31-O22)-(Q22-O22)*(N31-N22)</f>
        <v>0</v>
      </c>
      <c r="P618" s="7">
        <f>(P22-N22)*(Q31-O22)-(Q22-O22)*(P31-N22)</f>
        <v>0</v>
      </c>
      <c r="Q618" s="7">
        <f>(P31-N31)*(O22-O31)-(Q31-O31)*(N22-N31)</f>
        <v>0</v>
      </c>
      <c r="R618" s="7">
        <f>(P31-N31)*(Q22-O31)-(Q31-O31)*(P22-N31)</f>
        <v>0</v>
      </c>
      <c r="S618" s="7">
        <f>IF(N618,IF(AND(O618*P618&lt;=0,Q618*R618&lt;=0,MAX(MIN(N22,P22),MIN(N31,P31))&lt;=MIN(MAX(N22,P22),MAX(N31,P31)),MAX(MIN(O22,Q22),MIN(O31,Q31))&lt;=MIN(MAX(O22,Q22),MAX(O31,Q31))),1,0),0)</f>
        <v>0</v>
      </c>
      <c r="T618" s="7"/>
      <c r="U618" s="7"/>
      <c r="V618" s="7"/>
      <c r="W618" s="7"/>
      <c r="X618" s="7"/>
      <c r="Y618" s="7"/>
      <c r="Z618" s="7"/>
      <c r="AA618" s="7"/>
      <c r="AB618" s="7"/>
      <c r="AC618" s="7"/>
      <c r="AD618" s="7"/>
      <c r="AE618" s="7"/>
      <c r="AF618" s="7"/>
      <c r="AG618" s="7"/>
      <c r="AH618" s="7"/>
      <c r="AI618" s="7"/>
    </row>
    <row r="619" spans="12:35">
      <c r="L619" s="7">
        <v>22</v>
      </c>
      <c r="M619" s="7">
        <v>32</v>
      </c>
      <c r="N619" s="7" t="b">
        <f>AND($N$5,$N$6,11&lt;=$M$5,1&lt;=$M$6)</f>
        <v>0</v>
      </c>
      <c r="O619" s="7">
        <f>(P22-N22)*(O32-O22)-(Q22-O22)*(N32-N22)</f>
        <v>0</v>
      </c>
      <c r="P619" s="7">
        <f>(P22-N22)*(Q32-O22)-(Q22-O22)*(P32-N22)</f>
        <v>0</v>
      </c>
      <c r="Q619" s="7">
        <f>(P32-N32)*(O22-O32)-(Q32-O32)*(N22-N32)</f>
        <v>0</v>
      </c>
      <c r="R619" s="7">
        <f>(P32-N32)*(Q22-O32)-(Q32-O32)*(P22-N32)</f>
        <v>0</v>
      </c>
      <c r="S619" s="7">
        <f>IF(N619,IF(AND(O619*P619&lt;=0,Q619*R619&lt;=0,MAX(MIN(N22,P22),MIN(N32,P32))&lt;=MIN(MAX(N22,P22),MAX(N32,P32)),MAX(MIN(O22,Q22),MIN(O32,Q32))&lt;=MIN(MAX(O22,Q22),MAX(O32,Q32))),1,0),0)</f>
        <v>0</v>
      </c>
      <c r="T619" s="7"/>
      <c r="U619" s="7"/>
      <c r="V619" s="7"/>
      <c r="W619" s="7"/>
      <c r="X619" s="7"/>
      <c r="Y619" s="7"/>
      <c r="Z619" s="7"/>
      <c r="AA619" s="7"/>
      <c r="AB619" s="7"/>
      <c r="AC619" s="7"/>
      <c r="AD619" s="7"/>
      <c r="AE619" s="7"/>
      <c r="AF619" s="7"/>
      <c r="AG619" s="7"/>
      <c r="AH619" s="7"/>
      <c r="AI619" s="7"/>
    </row>
    <row r="620" spans="12:35">
      <c r="L620" s="7">
        <v>22</v>
      </c>
      <c r="M620" s="7">
        <v>33</v>
      </c>
      <c r="N620" s="7" t="b">
        <f>AND($N$5,$N$6,11&lt;=$M$5,2&lt;=$M$6)</f>
        <v>0</v>
      </c>
      <c r="O620" s="7">
        <f>(P22-N22)*(O33-O22)-(Q22-O22)*(N33-N22)</f>
        <v>0</v>
      </c>
      <c r="P620" s="7">
        <f>(P22-N22)*(Q33-O22)-(Q22-O22)*(P33-N22)</f>
        <v>0</v>
      </c>
      <c r="Q620" s="7">
        <f>(P33-N33)*(O22-O33)-(Q33-O33)*(N22-N33)</f>
        <v>0</v>
      </c>
      <c r="R620" s="7">
        <f>(P33-N33)*(Q22-O33)-(Q33-O33)*(P22-N33)</f>
        <v>0</v>
      </c>
      <c r="S620" s="7">
        <f>IF(N620,IF(AND(O620*P620&lt;=0,Q620*R620&lt;=0,MAX(MIN(N22,P22),MIN(N33,P33))&lt;=MIN(MAX(N22,P22),MAX(N33,P33)),MAX(MIN(O22,Q22),MIN(O33,Q33))&lt;=MIN(MAX(O22,Q22),MAX(O33,Q33))),1,0),0)</f>
        <v>0</v>
      </c>
      <c r="T620" s="7"/>
      <c r="U620" s="7"/>
      <c r="V620" s="7"/>
      <c r="W620" s="7"/>
      <c r="X620" s="7"/>
      <c r="Y620" s="7"/>
      <c r="Z620" s="7"/>
      <c r="AA620" s="7"/>
      <c r="AB620" s="7"/>
      <c r="AC620" s="7"/>
      <c r="AD620" s="7"/>
      <c r="AE620" s="7"/>
      <c r="AF620" s="7"/>
      <c r="AG620" s="7"/>
      <c r="AH620" s="7"/>
      <c r="AI620" s="7"/>
    </row>
    <row r="621" spans="12:35">
      <c r="L621" s="7">
        <v>22</v>
      </c>
      <c r="M621" s="7">
        <v>34</v>
      </c>
      <c r="N621" s="7" t="b">
        <f>AND($N$5,$N$6,11&lt;=$M$5,3&lt;=$M$6)</f>
        <v>0</v>
      </c>
      <c r="O621" s="7">
        <f>(P22-N22)*(O34-O22)-(Q22-O22)*(N34-N22)</f>
        <v>0</v>
      </c>
      <c r="P621" s="7">
        <f>(P22-N22)*(Q34-O22)-(Q22-O22)*(P34-N22)</f>
        <v>0</v>
      </c>
      <c r="Q621" s="7">
        <f>(P34-N34)*(O22-O34)-(Q34-O34)*(N22-N34)</f>
        <v>0</v>
      </c>
      <c r="R621" s="7">
        <f>(P34-N34)*(Q22-O34)-(Q34-O34)*(P22-N34)</f>
        <v>0</v>
      </c>
      <c r="S621" s="7">
        <f>IF(N621,IF(AND(O621*P621&lt;=0,Q621*R621&lt;=0,MAX(MIN(N22,P22),MIN(N34,P34))&lt;=MIN(MAX(N22,P22),MAX(N34,P34)),MAX(MIN(O22,Q22),MIN(O34,Q34))&lt;=MIN(MAX(O22,Q22),MAX(O34,Q34))),1,0),0)</f>
        <v>0</v>
      </c>
      <c r="T621" s="7"/>
      <c r="U621" s="7"/>
      <c r="V621" s="7"/>
      <c r="W621" s="7"/>
      <c r="X621" s="7"/>
      <c r="Y621" s="7"/>
      <c r="Z621" s="7"/>
      <c r="AA621" s="7"/>
      <c r="AB621" s="7"/>
      <c r="AC621" s="7"/>
      <c r="AD621" s="7"/>
      <c r="AE621" s="7"/>
      <c r="AF621" s="7"/>
      <c r="AG621" s="7"/>
      <c r="AH621" s="7"/>
      <c r="AI621" s="7"/>
    </row>
    <row r="622" spans="12:35">
      <c r="L622" s="7">
        <v>22</v>
      </c>
      <c r="M622" s="7">
        <v>35</v>
      </c>
      <c r="N622" s="7" t="b">
        <f>AND($N$5,$N$6,11&lt;=$M$5,4&lt;=$M$6)</f>
        <v>0</v>
      </c>
      <c r="O622" s="7">
        <f>(P22-N22)*(O35-O22)-(Q22-O22)*(N35-N22)</f>
        <v>0</v>
      </c>
      <c r="P622" s="7">
        <f>(P22-N22)*(Q35-O22)-(Q22-O22)*(P35-N22)</f>
        <v>0</v>
      </c>
      <c r="Q622" s="7">
        <f>(P35-N35)*(O22-O35)-(Q35-O35)*(N22-N35)</f>
        <v>0</v>
      </c>
      <c r="R622" s="7">
        <f>(P35-N35)*(Q22-O35)-(Q35-O35)*(P22-N35)</f>
        <v>0</v>
      </c>
      <c r="S622" s="7">
        <f>IF(N622,IF(AND(O622*P622&lt;=0,Q622*R622&lt;=0,MAX(MIN(N22,P22),MIN(N35,P35))&lt;=MIN(MAX(N22,P22),MAX(N35,P35)),MAX(MIN(O22,Q22),MIN(O35,Q35))&lt;=MIN(MAX(O22,Q22),MAX(O35,Q35))),1,0),0)</f>
        <v>0</v>
      </c>
      <c r="T622" s="7"/>
      <c r="U622" s="7"/>
      <c r="V622" s="7"/>
      <c r="W622" s="7"/>
      <c r="X622" s="7"/>
      <c r="Y622" s="7"/>
      <c r="Z622" s="7"/>
      <c r="AA622" s="7"/>
      <c r="AB622" s="7"/>
      <c r="AC622" s="7"/>
      <c r="AD622" s="7"/>
      <c r="AE622" s="7"/>
      <c r="AF622" s="7"/>
      <c r="AG622" s="7"/>
      <c r="AH622" s="7"/>
      <c r="AI622" s="7"/>
    </row>
    <row r="623" spans="12:35">
      <c r="L623" s="7">
        <v>22</v>
      </c>
      <c r="M623" s="7">
        <v>36</v>
      </c>
      <c r="N623" s="7" t="b">
        <f>AND($N$5,$N$6,11&lt;=$M$5,5&lt;=$M$6)</f>
        <v>0</v>
      </c>
      <c r="O623" s="7">
        <f>(P22-N22)*(O36-O22)-(Q22-O22)*(N36-N22)</f>
        <v>0</v>
      </c>
      <c r="P623" s="7">
        <f>(P22-N22)*(Q36-O22)-(Q22-O22)*(P36-N22)</f>
        <v>0</v>
      </c>
      <c r="Q623" s="7">
        <f>(P36-N36)*(O22-O36)-(Q36-O36)*(N22-N36)</f>
        <v>0</v>
      </c>
      <c r="R623" s="7">
        <f>(P36-N36)*(Q22-O36)-(Q36-O36)*(P22-N36)</f>
        <v>0</v>
      </c>
      <c r="S623" s="7">
        <f>IF(N623,IF(AND(O623*P623&lt;=0,Q623*R623&lt;=0,MAX(MIN(N22,P22),MIN(N36,P36))&lt;=MIN(MAX(N22,P22),MAX(N36,P36)),MAX(MIN(O22,Q22),MIN(O36,Q36))&lt;=MIN(MAX(O22,Q22),MAX(O36,Q36))),1,0),0)</f>
        <v>0</v>
      </c>
      <c r="T623" s="7"/>
      <c r="U623" s="7"/>
      <c r="V623" s="7"/>
      <c r="W623" s="7"/>
      <c r="X623" s="7"/>
      <c r="Y623" s="7"/>
      <c r="Z623" s="7"/>
      <c r="AA623" s="7"/>
      <c r="AB623" s="7"/>
      <c r="AC623" s="7"/>
      <c r="AD623" s="7"/>
      <c r="AE623" s="7"/>
      <c r="AF623" s="7"/>
      <c r="AG623" s="7"/>
      <c r="AH623" s="7"/>
      <c r="AI623" s="7"/>
    </row>
    <row r="624" spans="12:35">
      <c r="L624" s="7">
        <v>22</v>
      </c>
      <c r="M624" s="7">
        <v>37</v>
      </c>
      <c r="N624" s="7" t="b">
        <f>AND($N$5,$N$6,11&lt;=$M$5,6&lt;=$M$6)</f>
        <v>0</v>
      </c>
      <c r="O624" s="7">
        <f>(P22-N22)*(O37-O22)-(Q22-O22)*(N37-N22)</f>
        <v>0</v>
      </c>
      <c r="P624" s="7">
        <f>(P22-N22)*(Q37-O22)-(Q22-O22)*(P37-N22)</f>
        <v>0</v>
      </c>
      <c r="Q624" s="7">
        <f>(P37-N37)*(O22-O37)-(Q37-O37)*(N22-N37)</f>
        <v>0</v>
      </c>
      <c r="R624" s="7">
        <f>(P37-N37)*(Q22-O37)-(Q37-O37)*(P22-N37)</f>
        <v>0</v>
      </c>
      <c r="S624" s="7">
        <f>IF(N624,IF(AND(O624*P624&lt;=0,Q624*R624&lt;=0,MAX(MIN(N22,P22),MIN(N37,P37))&lt;=MIN(MAX(N22,P22),MAX(N37,P37)),MAX(MIN(O22,Q22),MIN(O37,Q37))&lt;=MIN(MAX(O22,Q22),MAX(O37,Q37))),1,0),0)</f>
        <v>0</v>
      </c>
      <c r="T624" s="7"/>
      <c r="U624" s="7"/>
      <c r="V624" s="7"/>
      <c r="W624" s="7"/>
      <c r="X624" s="7"/>
      <c r="Y624" s="7"/>
      <c r="Z624" s="7"/>
      <c r="AA624" s="7"/>
      <c r="AB624" s="7"/>
      <c r="AC624" s="7"/>
      <c r="AD624" s="7"/>
      <c r="AE624" s="7"/>
      <c r="AF624" s="7"/>
      <c r="AG624" s="7"/>
      <c r="AH624" s="7"/>
      <c r="AI624" s="7"/>
    </row>
    <row r="625" spans="12:35">
      <c r="L625" s="7">
        <v>22</v>
      </c>
      <c r="M625" s="7">
        <v>38</v>
      </c>
      <c r="N625" s="7" t="b">
        <f>AND($N$5,$N$6,11&lt;=$M$5,7&lt;=$M$6)</f>
        <v>0</v>
      </c>
      <c r="O625" s="7">
        <f>(P22-N22)*(O38-O22)-(Q22-O22)*(N38-N22)</f>
        <v>0</v>
      </c>
      <c r="P625" s="7">
        <f>(P22-N22)*(Q38-O22)-(Q22-O22)*(P38-N22)</f>
        <v>0</v>
      </c>
      <c r="Q625" s="7">
        <f>(P38-N38)*(O22-O38)-(Q38-O38)*(N22-N38)</f>
        <v>0</v>
      </c>
      <c r="R625" s="7">
        <f>(P38-N38)*(Q22-O38)-(Q38-O38)*(P22-N38)</f>
        <v>0</v>
      </c>
      <c r="S625" s="7">
        <f>IF(N625,IF(AND(O625*P625&lt;=0,Q625*R625&lt;=0,MAX(MIN(N22,P22),MIN(N38,P38))&lt;=MIN(MAX(N22,P22),MAX(N38,P38)),MAX(MIN(O22,Q22),MIN(O38,Q38))&lt;=MIN(MAX(O22,Q22),MAX(O38,Q38))),1,0),0)</f>
        <v>0</v>
      </c>
      <c r="T625" s="7"/>
      <c r="U625" s="7"/>
      <c r="V625" s="7"/>
      <c r="W625" s="7"/>
      <c r="X625" s="7"/>
      <c r="Y625" s="7"/>
      <c r="Z625" s="7"/>
      <c r="AA625" s="7"/>
      <c r="AB625" s="7"/>
      <c r="AC625" s="7"/>
      <c r="AD625" s="7"/>
      <c r="AE625" s="7"/>
      <c r="AF625" s="7"/>
      <c r="AG625" s="7"/>
      <c r="AH625" s="7"/>
      <c r="AI625" s="7"/>
    </row>
    <row r="626" spans="12:35">
      <c r="L626" s="7">
        <v>22</v>
      </c>
      <c r="M626" s="7">
        <v>39</v>
      </c>
      <c r="N626" s="7" t="b">
        <f>AND($N$5,$N$6,11&lt;=$M$5,8&lt;=$M$6)</f>
        <v>0</v>
      </c>
      <c r="O626" s="7">
        <f>(P22-N22)*(O39-O22)-(Q22-O22)*(N39-N22)</f>
        <v>0</v>
      </c>
      <c r="P626" s="7">
        <f>(P22-N22)*(Q39-O22)-(Q22-O22)*(P39-N22)</f>
        <v>0</v>
      </c>
      <c r="Q626" s="7">
        <f>(P39-N39)*(O22-O39)-(Q39-O39)*(N22-N39)</f>
        <v>0</v>
      </c>
      <c r="R626" s="7">
        <f>(P39-N39)*(Q22-O39)-(Q39-O39)*(P22-N39)</f>
        <v>0</v>
      </c>
      <c r="S626" s="7">
        <f>IF(N626,IF(AND(O626*P626&lt;=0,Q626*R626&lt;=0,MAX(MIN(N22,P22),MIN(N39,P39))&lt;=MIN(MAX(N22,P22),MAX(N39,P39)),MAX(MIN(O22,Q22),MIN(O39,Q39))&lt;=MIN(MAX(O22,Q22),MAX(O39,Q39))),1,0),0)</f>
        <v>0</v>
      </c>
      <c r="T626" s="7"/>
      <c r="U626" s="7"/>
      <c r="V626" s="7"/>
      <c r="W626" s="7"/>
      <c r="X626" s="7"/>
      <c r="Y626" s="7"/>
      <c r="Z626" s="7"/>
      <c r="AA626" s="7"/>
      <c r="AB626" s="7"/>
      <c r="AC626" s="7"/>
      <c r="AD626" s="7"/>
      <c r="AE626" s="7"/>
      <c r="AF626" s="7"/>
      <c r="AG626" s="7"/>
      <c r="AH626" s="7"/>
      <c r="AI626" s="7"/>
    </row>
    <row r="627" spans="12:35">
      <c r="L627" s="7">
        <v>22</v>
      </c>
      <c r="M627" s="7">
        <v>40</v>
      </c>
      <c r="N627" s="7" t="b">
        <f>AND($N$5,$N$6,11&lt;=$M$5,9&lt;=$M$6)</f>
        <v>0</v>
      </c>
      <c r="O627" s="7">
        <f>(P22-N22)*(O40-O22)-(Q22-O22)*(N40-N22)</f>
        <v>0</v>
      </c>
      <c r="P627" s="7">
        <f>(P22-N22)*(Q40-O22)-(Q22-O22)*(P40-N22)</f>
        <v>0</v>
      </c>
      <c r="Q627" s="7">
        <f>(P40-N40)*(O22-O40)-(Q40-O40)*(N22-N40)</f>
        <v>0</v>
      </c>
      <c r="R627" s="7">
        <f>(P40-N40)*(Q22-O40)-(Q40-O40)*(P22-N40)</f>
        <v>0</v>
      </c>
      <c r="S627" s="7">
        <f>IF(N627,IF(AND(O627*P627&lt;=0,Q627*R627&lt;=0,MAX(MIN(N22,P22),MIN(N40,P40))&lt;=MIN(MAX(N22,P22),MAX(N40,P40)),MAX(MIN(O22,Q22),MIN(O40,Q40))&lt;=MIN(MAX(O22,Q22),MAX(O40,Q40))),1,0),0)</f>
        <v>0</v>
      </c>
      <c r="T627" s="7"/>
      <c r="U627" s="7"/>
      <c r="V627" s="7"/>
      <c r="W627" s="7"/>
      <c r="X627" s="7"/>
      <c r="Y627" s="7"/>
      <c r="Z627" s="7"/>
      <c r="AA627" s="7"/>
      <c r="AB627" s="7"/>
      <c r="AC627" s="7"/>
      <c r="AD627" s="7"/>
      <c r="AE627" s="7"/>
      <c r="AF627" s="7"/>
      <c r="AG627" s="7"/>
      <c r="AH627" s="7"/>
      <c r="AI627" s="7"/>
    </row>
    <row r="628" spans="12:35">
      <c r="L628" s="7">
        <v>22</v>
      </c>
      <c r="M628" s="7">
        <v>41</v>
      </c>
      <c r="N628" s="7" t="b">
        <f>AND($N$5,$N$6,11&lt;=$M$5,10&lt;=$M$6)</f>
        <v>0</v>
      </c>
      <c r="O628" s="7">
        <f>(P22-N22)*(O41-O22)-(Q22-O22)*(N41-N22)</f>
        <v>0</v>
      </c>
      <c r="P628" s="7">
        <f>(P22-N22)*(Q41-O22)-(Q22-O22)*(P41-N22)</f>
        <v>0</v>
      </c>
      <c r="Q628" s="7">
        <f>(P41-N41)*(O22-O41)-(Q41-O41)*(N22-N41)</f>
        <v>0</v>
      </c>
      <c r="R628" s="7">
        <f>(P41-N41)*(Q22-O41)-(Q41-O41)*(P22-N41)</f>
        <v>0</v>
      </c>
      <c r="S628" s="7">
        <f>IF(N628,IF(AND(O628*P628&lt;=0,Q628*R628&lt;=0,MAX(MIN(N22,P22),MIN(N41,P41))&lt;=MIN(MAX(N22,P22),MAX(N41,P41)),MAX(MIN(O22,Q22),MIN(O41,Q41))&lt;=MIN(MAX(O22,Q22),MAX(O41,Q41))),1,0),0)</f>
        <v>0</v>
      </c>
      <c r="T628" s="7"/>
      <c r="U628" s="7"/>
      <c r="V628" s="7"/>
      <c r="W628" s="7"/>
      <c r="X628" s="7"/>
      <c r="Y628" s="7"/>
      <c r="Z628" s="7"/>
      <c r="AA628" s="7"/>
      <c r="AB628" s="7"/>
      <c r="AC628" s="7"/>
      <c r="AD628" s="7"/>
      <c r="AE628" s="7"/>
      <c r="AF628" s="7"/>
      <c r="AG628" s="7"/>
      <c r="AH628" s="7"/>
      <c r="AI628" s="7"/>
    </row>
    <row r="629" spans="12:35">
      <c r="L629" s="7">
        <v>22</v>
      </c>
      <c r="M629" s="7">
        <v>42</v>
      </c>
      <c r="N629" s="7" t="b">
        <f>AND($N$5,$N$6,11&lt;=$M$5,11&lt;=$M$6)</f>
        <v>0</v>
      </c>
      <c r="O629" s="7">
        <f>(P22-N22)*(O42-O22)-(Q22-O22)*(N42-N22)</f>
        <v>0</v>
      </c>
      <c r="P629" s="7">
        <f>(P22-N22)*(Q42-O22)-(Q22-O22)*(P42-N22)</f>
        <v>0</v>
      </c>
      <c r="Q629" s="7">
        <f>(P42-N42)*(O22-O42)-(Q42-O42)*(N22-N42)</f>
        <v>0</v>
      </c>
      <c r="R629" s="7">
        <f>(P42-N42)*(Q22-O42)-(Q42-O42)*(P22-N42)</f>
        <v>0</v>
      </c>
      <c r="S629" s="7">
        <f>IF(N629,IF(AND(O629*P629&lt;=0,Q629*R629&lt;=0,MAX(MIN(N22,P22),MIN(N42,P42))&lt;=MIN(MAX(N22,P22),MAX(N42,P42)),MAX(MIN(O22,Q22),MIN(O42,Q42))&lt;=MIN(MAX(O22,Q22),MAX(O42,Q42))),1,0),0)</f>
        <v>0</v>
      </c>
      <c r="T629" s="7"/>
      <c r="U629" s="7"/>
      <c r="V629" s="7"/>
      <c r="W629" s="7"/>
      <c r="X629" s="7"/>
      <c r="Y629" s="7"/>
      <c r="Z629" s="7"/>
      <c r="AA629" s="7"/>
      <c r="AB629" s="7"/>
      <c r="AC629" s="7"/>
      <c r="AD629" s="7"/>
      <c r="AE629" s="7"/>
      <c r="AF629" s="7"/>
      <c r="AG629" s="7"/>
      <c r="AH629" s="7"/>
      <c r="AI629" s="7"/>
    </row>
    <row r="630" spans="12:35">
      <c r="L630" s="7">
        <v>22</v>
      </c>
      <c r="M630" s="7">
        <v>43</v>
      </c>
      <c r="N630" s="7" t="b">
        <f>AND($N$5,$N$6,11&lt;=$M$5,12&lt;=$M$6)</f>
        <v>0</v>
      </c>
      <c r="O630" s="7">
        <f>(P22-N22)*(O43-O22)-(Q22-O22)*(N43-N22)</f>
        <v>0</v>
      </c>
      <c r="P630" s="7">
        <f>(P22-N22)*(Q43-O22)-(Q22-O22)*(P43-N22)</f>
        <v>0</v>
      </c>
      <c r="Q630" s="7">
        <f>(P43-N43)*(O22-O43)-(Q43-O43)*(N22-N43)</f>
        <v>0</v>
      </c>
      <c r="R630" s="7">
        <f>(P43-N43)*(Q22-O43)-(Q43-O43)*(P22-N43)</f>
        <v>0</v>
      </c>
      <c r="S630" s="7">
        <f>IF(N630,IF(AND(O630*P630&lt;=0,Q630*R630&lt;=0,MAX(MIN(N22,P22),MIN(N43,P43))&lt;=MIN(MAX(N22,P22),MAX(N43,P43)),MAX(MIN(O22,Q22),MIN(O43,Q43))&lt;=MIN(MAX(O22,Q22),MAX(O43,Q43))),1,0),0)</f>
        <v>0</v>
      </c>
      <c r="T630" s="7"/>
      <c r="U630" s="7"/>
      <c r="V630" s="7"/>
      <c r="W630" s="7"/>
      <c r="X630" s="7"/>
      <c r="Y630" s="7"/>
      <c r="Z630" s="7"/>
      <c r="AA630" s="7"/>
      <c r="AB630" s="7"/>
      <c r="AC630" s="7"/>
      <c r="AD630" s="7"/>
      <c r="AE630" s="7"/>
      <c r="AF630" s="7"/>
      <c r="AG630" s="7"/>
      <c r="AH630" s="7"/>
      <c r="AI630" s="7"/>
    </row>
    <row r="631" spans="12:35">
      <c r="L631" s="7">
        <v>22</v>
      </c>
      <c r="M631" s="7">
        <v>44</v>
      </c>
      <c r="N631" s="7" t="b">
        <f>AND($N$5,$N$6,11&lt;=$M$5,13&lt;=$M$6)</f>
        <v>0</v>
      </c>
      <c r="O631" s="7">
        <f>(P22-N22)*(O44-O22)-(Q22-O22)*(N44-N22)</f>
        <v>0</v>
      </c>
      <c r="P631" s="7">
        <f>(P22-N22)*(Q44-O22)-(Q22-O22)*(P44-N22)</f>
        <v>0</v>
      </c>
      <c r="Q631" s="7">
        <f>(P44-N44)*(O22-O44)-(Q44-O44)*(N22-N44)</f>
        <v>0</v>
      </c>
      <c r="R631" s="7">
        <f>(P44-N44)*(Q22-O44)-(Q44-O44)*(P22-N44)</f>
        <v>0</v>
      </c>
      <c r="S631" s="7">
        <f>IF(N631,IF(AND(O631*P631&lt;=0,Q631*R631&lt;=0,MAX(MIN(N22,P22),MIN(N44,P44))&lt;=MIN(MAX(N22,P22),MAX(N44,P44)),MAX(MIN(O22,Q22),MIN(O44,Q44))&lt;=MIN(MAX(O22,Q22),MAX(O44,Q44))),1,0),0)</f>
        <v>0</v>
      </c>
      <c r="T631" s="7"/>
      <c r="U631" s="7"/>
      <c r="V631" s="7"/>
      <c r="W631" s="7"/>
      <c r="X631" s="7"/>
      <c r="Y631" s="7"/>
      <c r="Z631" s="7"/>
      <c r="AA631" s="7"/>
      <c r="AB631" s="7"/>
      <c r="AC631" s="7"/>
      <c r="AD631" s="7"/>
      <c r="AE631" s="7"/>
      <c r="AF631" s="7"/>
      <c r="AG631" s="7"/>
      <c r="AH631" s="7"/>
      <c r="AI631" s="7"/>
    </row>
    <row r="632" spans="12:35">
      <c r="L632" s="7">
        <v>22</v>
      </c>
      <c r="M632" s="7">
        <v>45</v>
      </c>
      <c r="N632" s="7" t="b">
        <f>AND($N$5,$N$6,11&lt;=$M$5,14&lt;=$M$6)</f>
        <v>0</v>
      </c>
      <c r="O632" s="7">
        <f>(P22-N22)*(O45-O22)-(Q22-O22)*(N45-N22)</f>
        <v>0</v>
      </c>
      <c r="P632" s="7">
        <f>(P22-N22)*(Q45-O22)-(Q22-O22)*(P45-N22)</f>
        <v>0</v>
      </c>
      <c r="Q632" s="7">
        <f>(P45-N45)*(O22-O45)-(Q45-O45)*(N22-N45)</f>
        <v>0</v>
      </c>
      <c r="R632" s="7">
        <f>(P45-N45)*(Q22-O45)-(Q45-O45)*(P22-N45)</f>
        <v>0</v>
      </c>
      <c r="S632" s="7">
        <f>IF(N632,IF(AND(O632*P632&lt;=0,Q632*R632&lt;=0,MAX(MIN(N22,P22),MIN(N45,P45))&lt;=MIN(MAX(N22,P22),MAX(N45,P45)),MAX(MIN(O22,Q22),MIN(O45,Q45))&lt;=MIN(MAX(O22,Q22),MAX(O45,Q45))),1,0),0)</f>
        <v>0</v>
      </c>
      <c r="T632" s="7"/>
      <c r="U632" s="7"/>
      <c r="V632" s="7"/>
      <c r="W632" s="7"/>
      <c r="X632" s="7"/>
      <c r="Y632" s="7"/>
      <c r="Z632" s="7"/>
      <c r="AA632" s="7"/>
      <c r="AB632" s="7"/>
      <c r="AC632" s="7"/>
      <c r="AD632" s="7"/>
      <c r="AE632" s="7"/>
      <c r="AF632" s="7"/>
      <c r="AG632" s="7"/>
      <c r="AH632" s="7"/>
      <c r="AI632" s="7"/>
    </row>
    <row r="633" spans="12:35">
      <c r="L633" s="7">
        <v>22</v>
      </c>
      <c r="M633" s="7">
        <v>46</v>
      </c>
      <c r="N633" s="7" t="b">
        <f>AND($N$5,$N$6,11&lt;=$M$5,15&lt;=$M$6)</f>
        <v>0</v>
      </c>
      <c r="O633" s="7">
        <f>(P22-N22)*(O46-O22)-(Q22-O22)*(N46-N22)</f>
        <v>0</v>
      </c>
      <c r="P633" s="7">
        <f>(P22-N22)*(Q46-O22)-(Q22-O22)*(P46-N22)</f>
        <v>0</v>
      </c>
      <c r="Q633" s="7">
        <f>(P46-N46)*(O22-O46)-(Q46-O46)*(N22-N46)</f>
        <v>0</v>
      </c>
      <c r="R633" s="7">
        <f>(P46-N46)*(Q22-O46)-(Q46-O46)*(P22-N46)</f>
        <v>0</v>
      </c>
      <c r="S633" s="7">
        <f>IF(N633,IF(AND(O633*P633&lt;=0,Q633*R633&lt;=0,MAX(MIN(N22,P22),MIN(N46,P46))&lt;=MIN(MAX(N22,P22),MAX(N46,P46)),MAX(MIN(O22,Q22),MIN(O46,Q46))&lt;=MIN(MAX(O22,Q22),MAX(O46,Q46))),1,0),0)</f>
        <v>0</v>
      </c>
      <c r="T633" s="7"/>
      <c r="U633" s="7"/>
      <c r="V633" s="7"/>
      <c r="W633" s="7"/>
      <c r="X633" s="7"/>
      <c r="Y633" s="7"/>
      <c r="Z633" s="7"/>
      <c r="AA633" s="7"/>
      <c r="AB633" s="7"/>
      <c r="AC633" s="7"/>
      <c r="AD633" s="7"/>
      <c r="AE633" s="7"/>
      <c r="AF633" s="7"/>
      <c r="AG633" s="7"/>
      <c r="AH633" s="7"/>
      <c r="AI633" s="7"/>
    </row>
    <row r="634" spans="12:35">
      <c r="L634" s="7">
        <v>22</v>
      </c>
      <c r="M634" s="7">
        <v>47</v>
      </c>
      <c r="N634" s="7" t="b">
        <f>AND($N$5,$N$6,11&lt;=$M$5,16&lt;=$M$6)</f>
        <v>0</v>
      </c>
      <c r="O634" s="7">
        <f>(P22-N22)*(O47-O22)-(Q22-O22)*(N47-N22)</f>
        <v>0</v>
      </c>
      <c r="P634" s="7">
        <f>(P22-N22)*(Q47-O22)-(Q22-O22)*(P47-N22)</f>
        <v>0</v>
      </c>
      <c r="Q634" s="7">
        <f>(P47-N47)*(O22-O47)-(Q47-O47)*(N22-N47)</f>
        <v>0</v>
      </c>
      <c r="R634" s="7">
        <f>(P47-N47)*(Q22-O47)-(Q47-O47)*(P22-N47)</f>
        <v>0</v>
      </c>
      <c r="S634" s="7">
        <f>IF(N634,IF(AND(O634*P634&lt;=0,Q634*R634&lt;=0,MAX(MIN(N22,P22),MIN(N47,P47))&lt;=MIN(MAX(N22,P22),MAX(N47,P47)),MAX(MIN(O22,Q22),MIN(O47,Q47))&lt;=MIN(MAX(O22,Q22),MAX(O47,Q47))),1,0),0)</f>
        <v>0</v>
      </c>
      <c r="T634" s="7"/>
      <c r="U634" s="7"/>
      <c r="V634" s="7"/>
      <c r="W634" s="7"/>
      <c r="X634" s="7"/>
      <c r="Y634" s="7"/>
      <c r="Z634" s="7"/>
      <c r="AA634" s="7"/>
      <c r="AB634" s="7"/>
      <c r="AC634" s="7"/>
      <c r="AD634" s="7"/>
      <c r="AE634" s="7"/>
      <c r="AF634" s="7"/>
      <c r="AG634" s="7"/>
      <c r="AH634" s="7"/>
      <c r="AI634" s="7"/>
    </row>
    <row r="635" spans="12:35">
      <c r="L635" s="7">
        <v>22</v>
      </c>
      <c r="M635" s="7">
        <v>48</v>
      </c>
      <c r="N635" s="7" t="b">
        <f>AND($N$5,$N$6,11&lt;=$M$5,17&lt;=$M$6)</f>
        <v>0</v>
      </c>
      <c r="O635" s="7">
        <f>(P22-N22)*(O48-O22)-(Q22-O22)*(N48-N22)</f>
        <v>0</v>
      </c>
      <c r="P635" s="7">
        <f>(P22-N22)*(Q48-O22)-(Q22-O22)*(P48-N22)</f>
        <v>0</v>
      </c>
      <c r="Q635" s="7">
        <f>(P48-N48)*(O22-O48)-(Q48-O48)*(N22-N48)</f>
        <v>0</v>
      </c>
      <c r="R635" s="7">
        <f>(P48-N48)*(Q22-O48)-(Q48-O48)*(P22-N48)</f>
        <v>0</v>
      </c>
      <c r="S635" s="7">
        <f>IF(N635,IF(AND(O635*P635&lt;=0,Q635*R635&lt;=0,MAX(MIN(N22,P22),MIN(N48,P48))&lt;=MIN(MAX(N22,P22),MAX(N48,P48)),MAX(MIN(O22,Q22),MIN(O48,Q48))&lt;=MIN(MAX(O22,Q22),MAX(O48,Q48))),1,0),0)</f>
        <v>0</v>
      </c>
      <c r="T635" s="7"/>
      <c r="U635" s="7"/>
      <c r="V635" s="7"/>
      <c r="W635" s="7"/>
      <c r="X635" s="7"/>
      <c r="Y635" s="7"/>
      <c r="Z635" s="7"/>
      <c r="AA635" s="7"/>
      <c r="AB635" s="7"/>
      <c r="AC635" s="7"/>
      <c r="AD635" s="7"/>
      <c r="AE635" s="7"/>
      <c r="AF635" s="7"/>
      <c r="AG635" s="7"/>
      <c r="AH635" s="7"/>
      <c r="AI635" s="7"/>
    </row>
    <row r="636" spans="12:35">
      <c r="L636" s="7">
        <v>22</v>
      </c>
      <c r="M636" s="7">
        <v>49</v>
      </c>
      <c r="N636" s="7" t="b">
        <f>AND($N$5,$N$6,11&lt;=$M$5,18&lt;=$M$6)</f>
        <v>0</v>
      </c>
      <c r="O636" s="7">
        <f>(P22-N22)*(O49-O22)-(Q22-O22)*(N49-N22)</f>
        <v>0</v>
      </c>
      <c r="P636" s="7">
        <f>(P22-N22)*(Q49-O22)-(Q22-O22)*(P49-N22)</f>
        <v>0</v>
      </c>
      <c r="Q636" s="7">
        <f>(P49-N49)*(O22-O49)-(Q49-O49)*(N22-N49)</f>
        <v>0</v>
      </c>
      <c r="R636" s="7">
        <f>(P49-N49)*(Q22-O49)-(Q49-O49)*(P22-N49)</f>
        <v>0</v>
      </c>
      <c r="S636" s="7">
        <f>IF(N636,IF(AND(O636*P636&lt;=0,Q636*R636&lt;=0,MAX(MIN(N22,P22),MIN(N49,P49))&lt;=MIN(MAX(N22,P22),MAX(N49,P49)),MAX(MIN(O22,Q22),MIN(O49,Q49))&lt;=MIN(MAX(O22,Q22),MAX(O49,Q49))),1,0),0)</f>
        <v>0</v>
      </c>
      <c r="T636" s="7"/>
      <c r="U636" s="7"/>
      <c r="V636" s="7"/>
      <c r="W636" s="7"/>
      <c r="X636" s="7"/>
      <c r="Y636" s="7"/>
      <c r="Z636" s="7"/>
      <c r="AA636" s="7"/>
      <c r="AB636" s="7"/>
      <c r="AC636" s="7"/>
      <c r="AD636" s="7"/>
      <c r="AE636" s="7"/>
      <c r="AF636" s="7"/>
      <c r="AG636" s="7"/>
      <c r="AH636" s="7"/>
      <c r="AI636" s="7"/>
    </row>
    <row r="637" spans="12:35">
      <c r="L637" s="7">
        <v>22</v>
      </c>
      <c r="M637" s="7">
        <v>50</v>
      </c>
      <c r="N637" s="7" t="b">
        <f>AND($N$5,$N$6,11&lt;=$M$5,19&lt;=$M$6)</f>
        <v>0</v>
      </c>
      <c r="O637" s="7">
        <f>(P22-N22)*(O50-O22)-(Q22-O22)*(N50-N22)</f>
        <v>0</v>
      </c>
      <c r="P637" s="7">
        <f>(P22-N22)*(Q50-O22)-(Q22-O22)*(P50-N22)</f>
        <v>0</v>
      </c>
      <c r="Q637" s="7">
        <f>(P50-N50)*(O22-O50)-(Q50-O50)*(N22-N50)</f>
        <v>0</v>
      </c>
      <c r="R637" s="7">
        <f>(P50-N50)*(Q22-O50)-(Q50-O50)*(P22-N50)</f>
        <v>0</v>
      </c>
      <c r="S637" s="7">
        <f>IF(N637,IF(AND(O637*P637&lt;=0,Q637*R637&lt;=0,MAX(MIN(N22,P22),MIN(N50,P50))&lt;=MIN(MAX(N22,P22),MAX(N50,P50)),MAX(MIN(O22,Q22),MIN(O50,Q50))&lt;=MIN(MAX(O22,Q22),MAX(O50,Q50))),1,0),0)</f>
        <v>0</v>
      </c>
      <c r="T637" s="7"/>
      <c r="U637" s="7"/>
      <c r="V637" s="7"/>
      <c r="W637" s="7"/>
      <c r="X637" s="7"/>
      <c r="Y637" s="7"/>
      <c r="Z637" s="7"/>
      <c r="AA637" s="7"/>
      <c r="AB637" s="7"/>
      <c r="AC637" s="7"/>
      <c r="AD637" s="7"/>
      <c r="AE637" s="7"/>
      <c r="AF637" s="7"/>
      <c r="AG637" s="7"/>
      <c r="AH637" s="7"/>
      <c r="AI637" s="7"/>
    </row>
    <row r="638" spans="12:35">
      <c r="L638" s="7">
        <v>22</v>
      </c>
      <c r="M638" s="7">
        <v>51</v>
      </c>
      <c r="N638" s="7" t="b">
        <f>AND($N$5,$N$6,11&lt;=$M$5,20&lt;=$M$6)</f>
        <v>0</v>
      </c>
      <c r="O638" s="7">
        <f>(P22-N22)*(O51-O22)-(Q22-O22)*(N51-N22)</f>
        <v>0</v>
      </c>
      <c r="P638" s="7">
        <f>(P22-N22)*(Q51-O22)-(Q22-O22)*(P51-N22)</f>
        <v>0</v>
      </c>
      <c r="Q638" s="7">
        <f>(P51-N51)*(O22-O51)-(Q51-O51)*(N22-N51)</f>
        <v>0</v>
      </c>
      <c r="R638" s="7">
        <f>(P51-N51)*(Q22-O51)-(Q51-O51)*(P22-N51)</f>
        <v>0</v>
      </c>
      <c r="S638" s="7">
        <f>IF(N638,IF(AND(O638*P638&lt;=0,Q638*R638&lt;=0,MAX(MIN(N22,P22),MIN(N51,P51))&lt;=MIN(MAX(N22,P22),MAX(N51,P51)),MAX(MIN(O22,Q22),MIN(O51,Q51))&lt;=MIN(MAX(O22,Q22),MAX(O51,Q51))),1,0),0)</f>
        <v>0</v>
      </c>
      <c r="T638" s="7"/>
      <c r="U638" s="7"/>
      <c r="V638" s="7"/>
      <c r="W638" s="7"/>
      <c r="X638" s="7"/>
      <c r="Y638" s="7"/>
      <c r="Z638" s="7"/>
      <c r="AA638" s="7"/>
      <c r="AB638" s="7"/>
      <c r="AC638" s="7"/>
      <c r="AD638" s="7"/>
      <c r="AE638" s="7"/>
      <c r="AF638" s="7"/>
      <c r="AG638" s="7"/>
      <c r="AH638" s="7"/>
      <c r="AI638" s="7"/>
    </row>
    <row r="639" spans="12:35">
      <c r="L639" s="7">
        <v>22</v>
      </c>
      <c r="M639" s="7">
        <v>52</v>
      </c>
      <c r="N639" s="7" t="b">
        <f>AND($N$5,$N$7,11&lt;=$M$5,1&lt;=$M$7)</f>
        <v>0</v>
      </c>
      <c r="O639" s="7">
        <f>(P22-N22)*(O52-O22)-(Q22-O22)*(N52-N22)</f>
        <v>0</v>
      </c>
      <c r="P639" s="7">
        <f>(P22-N22)*(Q52-O22)-(Q22-O22)*(P52-N22)</f>
        <v>0</v>
      </c>
      <c r="Q639" s="7">
        <f>(P52-N52)*(O22-O52)-(Q52-O52)*(N22-N52)</f>
        <v>0</v>
      </c>
      <c r="R639" s="7">
        <f>(P52-N52)*(Q22-O52)-(Q52-O52)*(P22-N52)</f>
        <v>0</v>
      </c>
      <c r="S639" s="7">
        <f>IF(N639,IF(AND(O639*P639&lt;=0,Q639*R639&lt;=0,MAX(MIN(N22,P22),MIN(N52,P52))&lt;=MIN(MAX(N22,P22),MAX(N52,P52)),MAX(MIN(O22,Q22),MIN(O52,Q52))&lt;=MIN(MAX(O22,Q22),MAX(O52,Q52))),1,0),0)</f>
        <v>0</v>
      </c>
      <c r="T639" s="7"/>
      <c r="U639" s="7"/>
      <c r="V639" s="7"/>
      <c r="W639" s="7"/>
      <c r="X639" s="7"/>
      <c r="Y639" s="7"/>
      <c r="Z639" s="7"/>
      <c r="AA639" s="7"/>
      <c r="AB639" s="7"/>
      <c r="AC639" s="7"/>
      <c r="AD639" s="7"/>
      <c r="AE639" s="7"/>
      <c r="AF639" s="7"/>
      <c r="AG639" s="7"/>
      <c r="AH639" s="7"/>
      <c r="AI639" s="7"/>
    </row>
    <row r="640" spans="12:35">
      <c r="L640" s="7">
        <v>22</v>
      </c>
      <c r="M640" s="7">
        <v>53</v>
      </c>
      <c r="N640" s="7" t="b">
        <f>AND($N$5,$N$7,11&lt;=$M$5,2&lt;=$M$7)</f>
        <v>0</v>
      </c>
      <c r="O640" s="7">
        <f>(P22-N22)*(O53-O22)-(Q22-O22)*(N53-N22)</f>
        <v>0</v>
      </c>
      <c r="P640" s="7">
        <f>(P22-N22)*(Q53-O22)-(Q22-O22)*(P53-N22)</f>
        <v>0</v>
      </c>
      <c r="Q640" s="7">
        <f>(P53-N53)*(O22-O53)-(Q53-O53)*(N22-N53)</f>
        <v>0</v>
      </c>
      <c r="R640" s="7">
        <f>(P53-N53)*(Q22-O53)-(Q53-O53)*(P22-N53)</f>
        <v>0</v>
      </c>
      <c r="S640" s="7">
        <f>IF(N640,IF(AND(O640*P640&lt;=0,Q640*R640&lt;=0,MAX(MIN(N22,P22),MIN(N53,P53))&lt;=MIN(MAX(N22,P22),MAX(N53,P53)),MAX(MIN(O22,Q22),MIN(O53,Q53))&lt;=MIN(MAX(O22,Q22),MAX(O53,Q53))),1,0),0)</f>
        <v>0</v>
      </c>
      <c r="T640" s="7"/>
      <c r="U640" s="7"/>
      <c r="V640" s="7"/>
      <c r="W640" s="7"/>
      <c r="X640" s="7"/>
      <c r="Y640" s="7"/>
      <c r="Z640" s="7"/>
      <c r="AA640" s="7"/>
      <c r="AB640" s="7"/>
      <c r="AC640" s="7"/>
      <c r="AD640" s="7"/>
      <c r="AE640" s="7"/>
      <c r="AF640" s="7"/>
      <c r="AG640" s="7"/>
      <c r="AH640" s="7"/>
      <c r="AI640" s="7"/>
    </row>
    <row r="641" spans="12:35">
      <c r="L641" s="7">
        <v>22</v>
      </c>
      <c r="M641" s="7">
        <v>54</v>
      </c>
      <c r="N641" s="7" t="b">
        <f>AND($N$5,$N$7,11&lt;=$M$5,3&lt;=$M$7)</f>
        <v>0</v>
      </c>
      <c r="O641" s="7">
        <f>(P22-N22)*(O54-O22)-(Q22-O22)*(N54-N22)</f>
        <v>0</v>
      </c>
      <c r="P641" s="7">
        <f>(P22-N22)*(Q54-O22)-(Q22-O22)*(P54-N22)</f>
        <v>0</v>
      </c>
      <c r="Q641" s="7">
        <f>(P54-N54)*(O22-O54)-(Q54-O54)*(N22-N54)</f>
        <v>0</v>
      </c>
      <c r="R641" s="7">
        <f>(P54-N54)*(Q22-O54)-(Q54-O54)*(P22-N54)</f>
        <v>0</v>
      </c>
      <c r="S641" s="7">
        <f>IF(N641,IF(AND(O641*P641&lt;=0,Q641*R641&lt;=0,MAX(MIN(N22,P22),MIN(N54,P54))&lt;=MIN(MAX(N22,P22),MAX(N54,P54)),MAX(MIN(O22,Q22),MIN(O54,Q54))&lt;=MIN(MAX(O22,Q22),MAX(O54,Q54))),1,0),0)</f>
        <v>0</v>
      </c>
      <c r="T641" s="7"/>
      <c r="U641" s="7"/>
      <c r="V641" s="7"/>
      <c r="W641" s="7"/>
      <c r="X641" s="7"/>
      <c r="Y641" s="7"/>
      <c r="Z641" s="7"/>
      <c r="AA641" s="7"/>
      <c r="AB641" s="7"/>
      <c r="AC641" s="7"/>
      <c r="AD641" s="7"/>
      <c r="AE641" s="7"/>
      <c r="AF641" s="7"/>
      <c r="AG641" s="7"/>
      <c r="AH641" s="7"/>
      <c r="AI641" s="7"/>
    </row>
    <row r="642" spans="12:35">
      <c r="L642" s="7">
        <v>22</v>
      </c>
      <c r="M642" s="7">
        <v>55</v>
      </c>
      <c r="N642" s="7" t="b">
        <f>AND($N$5,$N$7,11&lt;=$M$5,4&lt;=$M$7)</f>
        <v>0</v>
      </c>
      <c r="O642" s="7">
        <f>(P22-N22)*(O55-O22)-(Q22-O22)*(N55-N22)</f>
        <v>0</v>
      </c>
      <c r="P642" s="7">
        <f>(P22-N22)*(Q55-O22)-(Q22-O22)*(P55-N22)</f>
        <v>0</v>
      </c>
      <c r="Q642" s="7">
        <f>(P55-N55)*(O22-O55)-(Q55-O55)*(N22-N55)</f>
        <v>0</v>
      </c>
      <c r="R642" s="7">
        <f>(P55-N55)*(Q22-O55)-(Q55-O55)*(P22-N55)</f>
        <v>0</v>
      </c>
      <c r="S642" s="7">
        <f>IF(N642,IF(AND(O642*P642&lt;=0,Q642*R642&lt;=0,MAX(MIN(N22,P22),MIN(N55,P55))&lt;=MIN(MAX(N22,P22),MAX(N55,P55)),MAX(MIN(O22,Q22),MIN(O55,Q55))&lt;=MIN(MAX(O22,Q22),MAX(O55,Q55))),1,0),0)</f>
        <v>0</v>
      </c>
      <c r="T642" s="7"/>
      <c r="U642" s="7"/>
      <c r="V642" s="7"/>
      <c r="W642" s="7"/>
      <c r="X642" s="7"/>
      <c r="Y642" s="7"/>
      <c r="Z642" s="7"/>
      <c r="AA642" s="7"/>
      <c r="AB642" s="7"/>
      <c r="AC642" s="7"/>
      <c r="AD642" s="7"/>
      <c r="AE642" s="7"/>
      <c r="AF642" s="7"/>
      <c r="AG642" s="7"/>
      <c r="AH642" s="7"/>
      <c r="AI642" s="7"/>
    </row>
    <row r="643" spans="12:35">
      <c r="L643" s="7">
        <v>22</v>
      </c>
      <c r="M643" s="7">
        <v>56</v>
      </c>
      <c r="N643" s="7" t="b">
        <f>AND($N$5,$N$7,11&lt;=$M$5,5&lt;=$M$7)</f>
        <v>0</v>
      </c>
      <c r="O643" s="7">
        <f>(P22-N22)*(O56-O22)-(Q22-O22)*(N56-N22)</f>
        <v>0</v>
      </c>
      <c r="P643" s="7">
        <f>(P22-N22)*(Q56-O22)-(Q22-O22)*(P56-N22)</f>
        <v>0</v>
      </c>
      <c r="Q643" s="7">
        <f>(P56-N56)*(O22-O56)-(Q56-O56)*(N22-N56)</f>
        <v>0</v>
      </c>
      <c r="R643" s="7">
        <f>(P56-N56)*(Q22-O56)-(Q56-O56)*(P22-N56)</f>
        <v>0</v>
      </c>
      <c r="S643" s="7">
        <f>IF(N643,IF(AND(O643*P643&lt;=0,Q643*R643&lt;=0,MAX(MIN(N22,P22),MIN(N56,P56))&lt;=MIN(MAX(N22,P22),MAX(N56,P56)),MAX(MIN(O22,Q22),MIN(O56,Q56))&lt;=MIN(MAX(O22,Q22),MAX(O56,Q56))),1,0),0)</f>
        <v>0</v>
      </c>
      <c r="T643" s="7"/>
      <c r="U643" s="7"/>
      <c r="V643" s="7"/>
      <c r="W643" s="7"/>
      <c r="X643" s="7"/>
      <c r="Y643" s="7"/>
      <c r="Z643" s="7"/>
      <c r="AA643" s="7"/>
      <c r="AB643" s="7"/>
      <c r="AC643" s="7"/>
      <c r="AD643" s="7"/>
      <c r="AE643" s="7"/>
      <c r="AF643" s="7"/>
      <c r="AG643" s="7"/>
      <c r="AH643" s="7"/>
      <c r="AI643" s="7"/>
    </row>
    <row r="644" spans="12:35">
      <c r="L644" s="7">
        <v>22</v>
      </c>
      <c r="M644" s="7">
        <v>57</v>
      </c>
      <c r="N644" s="7" t="b">
        <f>AND($N$5,$N$7,11&lt;=$M$5,6&lt;=$M$7)</f>
        <v>0</v>
      </c>
      <c r="O644" s="7">
        <f>(P22-N22)*(O57-O22)-(Q22-O22)*(N57-N22)</f>
        <v>0</v>
      </c>
      <c r="P644" s="7">
        <f>(P22-N22)*(Q57-O22)-(Q22-O22)*(P57-N22)</f>
        <v>0</v>
      </c>
      <c r="Q644" s="7">
        <f>(P57-N57)*(O22-O57)-(Q57-O57)*(N22-N57)</f>
        <v>0</v>
      </c>
      <c r="R644" s="7">
        <f>(P57-N57)*(Q22-O57)-(Q57-O57)*(P22-N57)</f>
        <v>0</v>
      </c>
      <c r="S644" s="7">
        <f>IF(N644,IF(AND(O644*P644&lt;=0,Q644*R644&lt;=0,MAX(MIN(N22,P22),MIN(N57,P57))&lt;=MIN(MAX(N22,P22),MAX(N57,P57)),MAX(MIN(O22,Q22),MIN(O57,Q57))&lt;=MIN(MAX(O22,Q22),MAX(O57,Q57))),1,0),0)</f>
        <v>0</v>
      </c>
      <c r="T644" s="7"/>
      <c r="U644" s="7"/>
      <c r="V644" s="7"/>
      <c r="W644" s="7"/>
      <c r="X644" s="7"/>
      <c r="Y644" s="7"/>
      <c r="Z644" s="7"/>
      <c r="AA644" s="7"/>
      <c r="AB644" s="7"/>
      <c r="AC644" s="7"/>
      <c r="AD644" s="7"/>
      <c r="AE644" s="7"/>
      <c r="AF644" s="7"/>
      <c r="AG644" s="7"/>
      <c r="AH644" s="7"/>
      <c r="AI644" s="7"/>
    </row>
    <row r="645" spans="12:35">
      <c r="L645" s="7">
        <v>22</v>
      </c>
      <c r="M645" s="7">
        <v>58</v>
      </c>
      <c r="N645" s="7" t="b">
        <f>AND($N$5,$N$7,11&lt;=$M$5,7&lt;=$M$7)</f>
        <v>0</v>
      </c>
      <c r="O645" s="7">
        <f>(P22-N22)*(O58-O22)-(Q22-O22)*(N58-N22)</f>
        <v>0</v>
      </c>
      <c r="P645" s="7">
        <f>(P22-N22)*(Q58-O22)-(Q22-O22)*(P58-N22)</f>
        <v>0</v>
      </c>
      <c r="Q645" s="7">
        <f>(P58-N58)*(O22-O58)-(Q58-O58)*(N22-N58)</f>
        <v>0</v>
      </c>
      <c r="R645" s="7">
        <f>(P58-N58)*(Q22-O58)-(Q58-O58)*(P22-N58)</f>
        <v>0</v>
      </c>
      <c r="S645" s="7">
        <f>IF(N645,IF(AND(O645*P645&lt;=0,Q645*R645&lt;=0,MAX(MIN(N22,P22),MIN(N58,P58))&lt;=MIN(MAX(N22,P22),MAX(N58,P58)),MAX(MIN(O22,Q22),MIN(O58,Q58))&lt;=MIN(MAX(O22,Q22),MAX(O58,Q58))),1,0),0)</f>
        <v>0</v>
      </c>
      <c r="T645" s="7"/>
      <c r="U645" s="7"/>
      <c r="V645" s="7"/>
      <c r="W645" s="7"/>
      <c r="X645" s="7"/>
      <c r="Y645" s="7"/>
      <c r="Z645" s="7"/>
      <c r="AA645" s="7"/>
      <c r="AB645" s="7"/>
      <c r="AC645" s="7"/>
      <c r="AD645" s="7"/>
      <c r="AE645" s="7"/>
      <c r="AF645" s="7"/>
      <c r="AG645" s="7"/>
      <c r="AH645" s="7"/>
      <c r="AI645" s="7"/>
    </row>
    <row r="646" spans="12:35">
      <c r="L646" s="7">
        <v>22</v>
      </c>
      <c r="M646" s="7">
        <v>59</v>
      </c>
      <c r="N646" s="7" t="b">
        <f>AND($N$5,$N$7,11&lt;=$M$5,8&lt;=$M$7)</f>
        <v>0</v>
      </c>
      <c r="O646" s="7">
        <f>(P22-N22)*(O59-O22)-(Q22-O22)*(N59-N22)</f>
        <v>0</v>
      </c>
      <c r="P646" s="7">
        <f>(P22-N22)*(Q59-O22)-(Q22-O22)*(P59-N22)</f>
        <v>0</v>
      </c>
      <c r="Q646" s="7">
        <f>(P59-N59)*(O22-O59)-(Q59-O59)*(N22-N59)</f>
        <v>0</v>
      </c>
      <c r="R646" s="7">
        <f>(P59-N59)*(Q22-O59)-(Q59-O59)*(P22-N59)</f>
        <v>0</v>
      </c>
      <c r="S646" s="7">
        <f>IF(N646,IF(AND(O646*P646&lt;=0,Q646*R646&lt;=0,MAX(MIN(N22,P22),MIN(N59,P59))&lt;=MIN(MAX(N22,P22),MAX(N59,P59)),MAX(MIN(O22,Q22),MIN(O59,Q59))&lt;=MIN(MAX(O22,Q22),MAX(O59,Q59))),1,0),0)</f>
        <v>0</v>
      </c>
      <c r="T646" s="7"/>
      <c r="U646" s="7"/>
      <c r="V646" s="7"/>
      <c r="W646" s="7"/>
      <c r="X646" s="7"/>
      <c r="Y646" s="7"/>
      <c r="Z646" s="7"/>
      <c r="AA646" s="7"/>
      <c r="AB646" s="7"/>
      <c r="AC646" s="7"/>
      <c r="AD646" s="7"/>
      <c r="AE646" s="7"/>
      <c r="AF646" s="7"/>
      <c r="AG646" s="7"/>
      <c r="AH646" s="7"/>
      <c r="AI646" s="7"/>
    </row>
    <row r="647" spans="12:35">
      <c r="L647" s="7">
        <v>22</v>
      </c>
      <c r="M647" s="7">
        <v>60</v>
      </c>
      <c r="N647" s="7" t="b">
        <f>AND($N$5,$N$7,11&lt;=$M$5,9&lt;=$M$7)</f>
        <v>0</v>
      </c>
      <c r="O647" s="7">
        <f>(P22-N22)*(O60-O22)-(Q22-O22)*(N60-N22)</f>
        <v>0</v>
      </c>
      <c r="P647" s="7">
        <f>(P22-N22)*(Q60-O22)-(Q22-O22)*(P60-N22)</f>
        <v>0</v>
      </c>
      <c r="Q647" s="7">
        <f>(P60-N60)*(O22-O60)-(Q60-O60)*(N22-N60)</f>
        <v>0</v>
      </c>
      <c r="R647" s="7">
        <f>(P60-N60)*(Q22-O60)-(Q60-O60)*(P22-N60)</f>
        <v>0</v>
      </c>
      <c r="S647" s="7">
        <f>IF(N647,IF(AND(O647*P647&lt;=0,Q647*R647&lt;=0,MAX(MIN(N22,P22),MIN(N60,P60))&lt;=MIN(MAX(N22,P22),MAX(N60,P60)),MAX(MIN(O22,Q22),MIN(O60,Q60))&lt;=MIN(MAX(O22,Q22),MAX(O60,Q60))),1,0),0)</f>
        <v>0</v>
      </c>
      <c r="T647" s="7"/>
      <c r="U647" s="7"/>
      <c r="V647" s="7"/>
      <c r="W647" s="7"/>
      <c r="X647" s="7"/>
      <c r="Y647" s="7"/>
      <c r="Z647" s="7"/>
      <c r="AA647" s="7"/>
      <c r="AB647" s="7"/>
      <c r="AC647" s="7"/>
      <c r="AD647" s="7"/>
      <c r="AE647" s="7"/>
      <c r="AF647" s="7"/>
      <c r="AG647" s="7"/>
      <c r="AH647" s="7"/>
      <c r="AI647" s="7"/>
    </row>
    <row r="648" spans="12:35">
      <c r="L648" s="7">
        <v>22</v>
      </c>
      <c r="M648" s="7">
        <v>61</v>
      </c>
      <c r="N648" s="7" t="b">
        <f>AND($N$5,$N$7,11&lt;=$M$5,10&lt;=$M$7)</f>
        <v>0</v>
      </c>
      <c r="O648" s="7">
        <f>(P22-N22)*(O61-O22)-(Q22-O22)*(N61-N22)</f>
        <v>0</v>
      </c>
      <c r="P648" s="7">
        <f>(P22-N22)*(Q61-O22)-(Q22-O22)*(P61-N22)</f>
        <v>0</v>
      </c>
      <c r="Q648" s="7">
        <f>(P61-N61)*(O22-O61)-(Q61-O61)*(N22-N61)</f>
        <v>0</v>
      </c>
      <c r="R648" s="7">
        <f>(P61-N61)*(Q22-O61)-(Q61-O61)*(P22-N61)</f>
        <v>0</v>
      </c>
      <c r="S648" s="7">
        <f>IF(N648,IF(AND(O648*P648&lt;=0,Q648*R648&lt;=0,MAX(MIN(N22,P22),MIN(N61,P61))&lt;=MIN(MAX(N22,P22),MAX(N61,P61)),MAX(MIN(O22,Q22),MIN(O61,Q61))&lt;=MIN(MAX(O22,Q22),MAX(O61,Q61))),1,0),0)</f>
        <v>0</v>
      </c>
      <c r="T648" s="7"/>
      <c r="U648" s="7"/>
      <c r="V648" s="7"/>
      <c r="W648" s="7"/>
      <c r="X648" s="7"/>
      <c r="Y648" s="7"/>
      <c r="Z648" s="7"/>
      <c r="AA648" s="7"/>
      <c r="AB648" s="7"/>
      <c r="AC648" s="7"/>
      <c r="AD648" s="7"/>
      <c r="AE648" s="7"/>
      <c r="AF648" s="7"/>
      <c r="AG648" s="7"/>
      <c r="AH648" s="7"/>
      <c r="AI648" s="7"/>
    </row>
    <row r="649" spans="12:35">
      <c r="L649" s="7">
        <v>22</v>
      </c>
      <c r="M649" s="7">
        <v>62</v>
      </c>
      <c r="N649" s="7" t="b">
        <f>AND($N$5,$N$7,11&lt;=$M$5,11&lt;=$M$7)</f>
        <v>0</v>
      </c>
      <c r="O649" s="7">
        <f>(P22-N22)*(O62-O22)-(Q22-O22)*(N62-N22)</f>
        <v>0</v>
      </c>
      <c r="P649" s="7">
        <f>(P22-N22)*(Q62-O22)-(Q22-O22)*(P62-N22)</f>
        <v>0</v>
      </c>
      <c r="Q649" s="7">
        <f>(P62-N62)*(O22-O62)-(Q62-O62)*(N22-N62)</f>
        <v>0</v>
      </c>
      <c r="R649" s="7">
        <f>(P62-N62)*(Q22-O62)-(Q62-O62)*(P22-N62)</f>
        <v>0</v>
      </c>
      <c r="S649" s="7">
        <f>IF(N649,IF(AND(O649*P649&lt;=0,Q649*R649&lt;=0,MAX(MIN(N22,P22),MIN(N62,P62))&lt;=MIN(MAX(N22,P22),MAX(N62,P62)),MAX(MIN(O22,Q22),MIN(O62,Q62))&lt;=MIN(MAX(O22,Q22),MAX(O62,Q62))),1,0),0)</f>
        <v>0</v>
      </c>
      <c r="T649" s="7"/>
      <c r="U649" s="7"/>
      <c r="V649" s="7"/>
      <c r="W649" s="7"/>
      <c r="X649" s="7"/>
      <c r="Y649" s="7"/>
      <c r="Z649" s="7"/>
      <c r="AA649" s="7"/>
      <c r="AB649" s="7"/>
      <c r="AC649" s="7"/>
      <c r="AD649" s="7"/>
      <c r="AE649" s="7"/>
      <c r="AF649" s="7"/>
      <c r="AG649" s="7"/>
      <c r="AH649" s="7"/>
      <c r="AI649" s="7"/>
    </row>
    <row r="650" spans="12:35">
      <c r="L650" s="7">
        <v>22</v>
      </c>
      <c r="M650" s="7">
        <v>63</v>
      </c>
      <c r="N650" s="7" t="b">
        <f>AND($N$5,$N$7,11&lt;=$M$5,12&lt;=$M$7)</f>
        <v>0</v>
      </c>
      <c r="O650" s="7">
        <f>(P22-N22)*(O63-O22)-(Q22-O22)*(N63-N22)</f>
        <v>0</v>
      </c>
      <c r="P650" s="7">
        <f>(P22-N22)*(Q63-O22)-(Q22-O22)*(P63-N22)</f>
        <v>0</v>
      </c>
      <c r="Q650" s="7">
        <f>(P63-N63)*(O22-O63)-(Q63-O63)*(N22-N63)</f>
        <v>0</v>
      </c>
      <c r="R650" s="7">
        <f>(P63-N63)*(Q22-O63)-(Q63-O63)*(P22-N63)</f>
        <v>0</v>
      </c>
      <c r="S650" s="7">
        <f>IF(N650,IF(AND(O650*P650&lt;=0,Q650*R650&lt;=0,MAX(MIN(N22,P22),MIN(N63,P63))&lt;=MIN(MAX(N22,P22),MAX(N63,P63)),MAX(MIN(O22,Q22),MIN(O63,Q63))&lt;=MIN(MAX(O22,Q22),MAX(O63,Q63))),1,0),0)</f>
        <v>0</v>
      </c>
      <c r="T650" s="7"/>
      <c r="U650" s="7"/>
      <c r="V650" s="7"/>
      <c r="W650" s="7"/>
      <c r="X650" s="7"/>
      <c r="Y650" s="7"/>
      <c r="Z650" s="7"/>
      <c r="AA650" s="7"/>
      <c r="AB650" s="7"/>
      <c r="AC650" s="7"/>
      <c r="AD650" s="7"/>
      <c r="AE650" s="7"/>
      <c r="AF650" s="7"/>
      <c r="AG650" s="7"/>
      <c r="AH650" s="7"/>
      <c r="AI650" s="7"/>
    </row>
    <row r="651" spans="12:35">
      <c r="L651" s="7">
        <v>22</v>
      </c>
      <c r="M651" s="7">
        <v>64</v>
      </c>
      <c r="N651" s="7" t="b">
        <f>AND($N$5,$N$7,11&lt;=$M$5,13&lt;=$M$7)</f>
        <v>0</v>
      </c>
      <c r="O651" s="7">
        <f>(P22-N22)*(O64-O22)-(Q22-O22)*(N64-N22)</f>
        <v>0</v>
      </c>
      <c r="P651" s="7">
        <f>(P22-N22)*(Q64-O22)-(Q22-O22)*(P64-N22)</f>
        <v>0</v>
      </c>
      <c r="Q651" s="7">
        <f>(P64-N64)*(O22-O64)-(Q64-O64)*(N22-N64)</f>
        <v>0</v>
      </c>
      <c r="R651" s="7">
        <f>(P64-N64)*(Q22-O64)-(Q64-O64)*(P22-N64)</f>
        <v>0</v>
      </c>
      <c r="S651" s="7">
        <f>IF(N651,IF(AND(O651*P651&lt;=0,Q651*R651&lt;=0,MAX(MIN(N22,P22),MIN(N64,P64))&lt;=MIN(MAX(N22,P22),MAX(N64,P64)),MAX(MIN(O22,Q22),MIN(O64,Q64))&lt;=MIN(MAX(O22,Q22),MAX(O64,Q64))),1,0),0)</f>
        <v>0</v>
      </c>
      <c r="T651" s="7"/>
      <c r="U651" s="7"/>
      <c r="V651" s="7"/>
      <c r="W651" s="7"/>
      <c r="X651" s="7"/>
      <c r="Y651" s="7"/>
      <c r="Z651" s="7"/>
      <c r="AA651" s="7"/>
      <c r="AB651" s="7"/>
      <c r="AC651" s="7"/>
      <c r="AD651" s="7"/>
      <c r="AE651" s="7"/>
      <c r="AF651" s="7"/>
      <c r="AG651" s="7"/>
      <c r="AH651" s="7"/>
      <c r="AI651" s="7"/>
    </row>
    <row r="652" spans="12:35">
      <c r="L652" s="7">
        <v>22</v>
      </c>
      <c r="M652" s="7">
        <v>65</v>
      </c>
      <c r="N652" s="7" t="b">
        <f>AND($N$5,$N$7,11&lt;=$M$5,14&lt;=$M$7)</f>
        <v>0</v>
      </c>
      <c r="O652" s="7">
        <f>(P22-N22)*(O65-O22)-(Q22-O22)*(N65-N22)</f>
        <v>0</v>
      </c>
      <c r="P652" s="7">
        <f>(P22-N22)*(Q65-O22)-(Q22-O22)*(P65-N22)</f>
        <v>0</v>
      </c>
      <c r="Q652" s="7">
        <f>(P65-N65)*(O22-O65)-(Q65-O65)*(N22-N65)</f>
        <v>0</v>
      </c>
      <c r="R652" s="7">
        <f>(P65-N65)*(Q22-O65)-(Q65-O65)*(P22-N65)</f>
        <v>0</v>
      </c>
      <c r="S652" s="7">
        <f>IF(N652,IF(AND(O652*P652&lt;=0,Q652*R652&lt;=0,MAX(MIN(N22,P22),MIN(N65,P65))&lt;=MIN(MAX(N22,P22),MAX(N65,P65)),MAX(MIN(O22,Q22),MIN(O65,Q65))&lt;=MIN(MAX(O22,Q22),MAX(O65,Q65))),1,0),0)</f>
        <v>0</v>
      </c>
      <c r="T652" s="7"/>
      <c r="U652" s="7"/>
      <c r="V652" s="7"/>
      <c r="W652" s="7"/>
      <c r="X652" s="7"/>
      <c r="Y652" s="7"/>
      <c r="Z652" s="7"/>
      <c r="AA652" s="7"/>
      <c r="AB652" s="7"/>
      <c r="AC652" s="7"/>
      <c r="AD652" s="7"/>
      <c r="AE652" s="7"/>
      <c r="AF652" s="7"/>
      <c r="AG652" s="7"/>
      <c r="AH652" s="7"/>
      <c r="AI652" s="7"/>
    </row>
    <row r="653" spans="12:35">
      <c r="L653" s="7">
        <v>22</v>
      </c>
      <c r="M653" s="7">
        <v>66</v>
      </c>
      <c r="N653" s="7" t="b">
        <f>AND($N$5,$N$7,11&lt;=$M$5,15&lt;=$M$7)</f>
        <v>0</v>
      </c>
      <c r="O653" s="7">
        <f>(P22-N22)*(O66-O22)-(Q22-O22)*(N66-N22)</f>
        <v>0</v>
      </c>
      <c r="P653" s="7">
        <f>(P22-N22)*(Q66-O22)-(Q22-O22)*(P66-N22)</f>
        <v>0</v>
      </c>
      <c r="Q653" s="7">
        <f>(P66-N66)*(O22-O66)-(Q66-O66)*(N22-N66)</f>
        <v>0</v>
      </c>
      <c r="R653" s="7">
        <f>(P66-N66)*(Q22-O66)-(Q66-O66)*(P22-N66)</f>
        <v>0</v>
      </c>
      <c r="S653" s="7">
        <f>IF(N653,IF(AND(O653*P653&lt;=0,Q653*R653&lt;=0,MAX(MIN(N22,P22),MIN(N66,P66))&lt;=MIN(MAX(N22,P22),MAX(N66,P66)),MAX(MIN(O22,Q22),MIN(O66,Q66))&lt;=MIN(MAX(O22,Q22),MAX(O66,Q66))),1,0),0)</f>
        <v>0</v>
      </c>
      <c r="T653" s="7"/>
      <c r="U653" s="7"/>
      <c r="V653" s="7"/>
      <c r="W653" s="7"/>
      <c r="X653" s="7"/>
      <c r="Y653" s="7"/>
      <c r="Z653" s="7"/>
      <c r="AA653" s="7"/>
      <c r="AB653" s="7"/>
      <c r="AC653" s="7"/>
      <c r="AD653" s="7"/>
      <c r="AE653" s="7"/>
      <c r="AF653" s="7"/>
      <c r="AG653" s="7"/>
      <c r="AH653" s="7"/>
      <c r="AI653" s="7"/>
    </row>
    <row r="654" spans="12:35">
      <c r="L654" s="7">
        <v>22</v>
      </c>
      <c r="M654" s="7">
        <v>67</v>
      </c>
      <c r="N654" s="7" t="b">
        <f>AND($N$5,$N$7,11&lt;=$M$5,16&lt;=$M$7)</f>
        <v>0</v>
      </c>
      <c r="O654" s="7">
        <f>(P22-N22)*(O67-O22)-(Q22-O22)*(N67-N22)</f>
        <v>0</v>
      </c>
      <c r="P654" s="7">
        <f>(P22-N22)*(Q67-O22)-(Q22-O22)*(P67-N22)</f>
        <v>0</v>
      </c>
      <c r="Q654" s="7">
        <f>(P67-N67)*(O22-O67)-(Q67-O67)*(N22-N67)</f>
        <v>0</v>
      </c>
      <c r="R654" s="7">
        <f>(P67-N67)*(Q22-O67)-(Q67-O67)*(P22-N67)</f>
        <v>0</v>
      </c>
      <c r="S654" s="7">
        <f>IF(N654,IF(AND(O654*P654&lt;=0,Q654*R654&lt;=0,MAX(MIN(N22,P22),MIN(N67,P67))&lt;=MIN(MAX(N22,P22),MAX(N67,P67)),MAX(MIN(O22,Q22),MIN(O67,Q67))&lt;=MIN(MAX(O22,Q22),MAX(O67,Q67))),1,0),0)</f>
        <v>0</v>
      </c>
      <c r="T654" s="7"/>
      <c r="U654" s="7"/>
      <c r="V654" s="7"/>
      <c r="W654" s="7"/>
      <c r="X654" s="7"/>
      <c r="Y654" s="7"/>
      <c r="Z654" s="7"/>
      <c r="AA654" s="7"/>
      <c r="AB654" s="7"/>
      <c r="AC654" s="7"/>
      <c r="AD654" s="7"/>
      <c r="AE654" s="7"/>
      <c r="AF654" s="7"/>
      <c r="AG654" s="7"/>
      <c r="AH654" s="7"/>
      <c r="AI654" s="7"/>
    </row>
    <row r="655" spans="12:35">
      <c r="L655" s="7">
        <v>22</v>
      </c>
      <c r="M655" s="7">
        <v>68</v>
      </c>
      <c r="N655" s="7" t="b">
        <f>AND($N$5,$N$7,11&lt;=$M$5,17&lt;=$M$7)</f>
        <v>0</v>
      </c>
      <c r="O655" s="7">
        <f>(P22-N22)*(O68-O22)-(Q22-O22)*(N68-N22)</f>
        <v>0</v>
      </c>
      <c r="P655" s="7">
        <f>(P22-N22)*(Q68-O22)-(Q22-O22)*(P68-N22)</f>
        <v>0</v>
      </c>
      <c r="Q655" s="7">
        <f>(P68-N68)*(O22-O68)-(Q68-O68)*(N22-N68)</f>
        <v>0</v>
      </c>
      <c r="R655" s="7">
        <f>(P68-N68)*(Q22-O68)-(Q68-O68)*(P22-N68)</f>
        <v>0</v>
      </c>
      <c r="S655" s="7">
        <f>IF(N655,IF(AND(O655*P655&lt;=0,Q655*R655&lt;=0,MAX(MIN(N22,P22),MIN(N68,P68))&lt;=MIN(MAX(N22,P22),MAX(N68,P68)),MAX(MIN(O22,Q22),MIN(O68,Q68))&lt;=MIN(MAX(O22,Q22),MAX(O68,Q68))),1,0),0)</f>
        <v>0</v>
      </c>
      <c r="T655" s="7"/>
      <c r="U655" s="7"/>
      <c r="V655" s="7"/>
      <c r="W655" s="7"/>
      <c r="X655" s="7"/>
      <c r="Y655" s="7"/>
      <c r="Z655" s="7"/>
      <c r="AA655" s="7"/>
      <c r="AB655" s="7"/>
      <c r="AC655" s="7"/>
      <c r="AD655" s="7"/>
      <c r="AE655" s="7"/>
      <c r="AF655" s="7"/>
      <c r="AG655" s="7"/>
      <c r="AH655" s="7"/>
      <c r="AI655" s="7"/>
    </row>
    <row r="656" spans="12:35">
      <c r="L656" s="7">
        <v>22</v>
      </c>
      <c r="M656" s="7">
        <v>69</v>
      </c>
      <c r="N656" s="7" t="b">
        <f>AND($N$5,$N$7,11&lt;=$M$5,18&lt;=$M$7)</f>
        <v>0</v>
      </c>
      <c r="O656" s="7">
        <f>(P22-N22)*(O69-O22)-(Q22-O22)*(N69-N22)</f>
        <v>0</v>
      </c>
      <c r="P656" s="7">
        <f>(P22-N22)*(Q69-O22)-(Q22-O22)*(P69-N22)</f>
        <v>0</v>
      </c>
      <c r="Q656" s="7">
        <f>(P69-N69)*(O22-O69)-(Q69-O69)*(N22-N69)</f>
        <v>0</v>
      </c>
      <c r="R656" s="7">
        <f>(P69-N69)*(Q22-O69)-(Q69-O69)*(P22-N69)</f>
        <v>0</v>
      </c>
      <c r="S656" s="7">
        <f>IF(N656,IF(AND(O656*P656&lt;=0,Q656*R656&lt;=0,MAX(MIN(N22,P22),MIN(N69,P69))&lt;=MIN(MAX(N22,P22),MAX(N69,P69)),MAX(MIN(O22,Q22),MIN(O69,Q69))&lt;=MIN(MAX(O22,Q22),MAX(O69,Q69))),1,0),0)</f>
        <v>0</v>
      </c>
      <c r="T656" s="7"/>
      <c r="U656" s="7"/>
      <c r="V656" s="7"/>
      <c r="W656" s="7"/>
      <c r="X656" s="7"/>
      <c r="Y656" s="7"/>
      <c r="Z656" s="7"/>
      <c r="AA656" s="7"/>
      <c r="AB656" s="7"/>
      <c r="AC656" s="7"/>
      <c r="AD656" s="7"/>
      <c r="AE656" s="7"/>
      <c r="AF656" s="7"/>
      <c r="AG656" s="7"/>
      <c r="AH656" s="7"/>
      <c r="AI656" s="7"/>
    </row>
    <row r="657" spans="12:35">
      <c r="L657" s="7">
        <v>22</v>
      </c>
      <c r="M657" s="7">
        <v>70</v>
      </c>
      <c r="N657" s="7" t="b">
        <f>AND($N$5,$N$7,11&lt;=$M$5,19&lt;=$M$7)</f>
        <v>0</v>
      </c>
      <c r="O657" s="7">
        <f>(P22-N22)*(O70-O22)-(Q22-O22)*(N70-N22)</f>
        <v>0</v>
      </c>
      <c r="P657" s="7">
        <f>(P22-N22)*(Q70-O22)-(Q22-O22)*(P70-N22)</f>
        <v>0</v>
      </c>
      <c r="Q657" s="7">
        <f>(P70-N70)*(O22-O70)-(Q70-O70)*(N22-N70)</f>
        <v>0</v>
      </c>
      <c r="R657" s="7">
        <f>(P70-N70)*(Q22-O70)-(Q70-O70)*(P22-N70)</f>
        <v>0</v>
      </c>
      <c r="S657" s="7">
        <f>IF(N657,IF(AND(O657*P657&lt;=0,Q657*R657&lt;=0,MAX(MIN(N22,P22),MIN(N70,P70))&lt;=MIN(MAX(N22,P22),MAX(N70,P70)),MAX(MIN(O22,Q22),MIN(O70,Q70))&lt;=MIN(MAX(O22,Q22),MAX(O70,Q70))),1,0),0)</f>
        <v>0</v>
      </c>
      <c r="T657" s="7"/>
      <c r="U657" s="7"/>
      <c r="V657" s="7"/>
      <c r="W657" s="7"/>
      <c r="X657" s="7"/>
      <c r="Y657" s="7"/>
      <c r="Z657" s="7"/>
      <c r="AA657" s="7"/>
      <c r="AB657" s="7"/>
      <c r="AC657" s="7"/>
      <c r="AD657" s="7"/>
      <c r="AE657" s="7"/>
      <c r="AF657" s="7"/>
      <c r="AG657" s="7"/>
      <c r="AH657" s="7"/>
      <c r="AI657" s="7"/>
    </row>
    <row r="658" spans="12:35">
      <c r="L658" s="7">
        <v>22</v>
      </c>
      <c r="M658" s="7">
        <v>71</v>
      </c>
      <c r="N658" s="7" t="b">
        <f>AND($N$5,$N$7,11&lt;=$M$5,20&lt;=$M$7)</f>
        <v>0</v>
      </c>
      <c r="O658" s="7">
        <f>(P22-N22)*(O71-O22)-(Q22-O22)*(N71-N22)</f>
        <v>0</v>
      </c>
      <c r="P658" s="7">
        <f>(P22-N22)*(Q71-O22)-(Q22-O22)*(P71-N22)</f>
        <v>0</v>
      </c>
      <c r="Q658" s="7">
        <f>(P71-N71)*(O22-O71)-(Q71-O71)*(N22-N71)</f>
        <v>0</v>
      </c>
      <c r="R658" s="7">
        <f>(P71-N71)*(Q22-O71)-(Q71-O71)*(P22-N71)</f>
        <v>0</v>
      </c>
      <c r="S658" s="7">
        <f>IF(N658,IF(AND(O658*P658&lt;=0,Q658*R658&lt;=0,MAX(MIN(N22,P22),MIN(N71,P71))&lt;=MIN(MAX(N22,P22),MAX(N71,P71)),MAX(MIN(O22,Q22),MIN(O71,Q71))&lt;=MIN(MAX(O22,Q22),MAX(O71,Q71))),1,0),0)</f>
        <v>0</v>
      </c>
      <c r="T658" s="7"/>
      <c r="U658" s="7"/>
      <c r="V658" s="7"/>
      <c r="W658" s="7"/>
      <c r="X658" s="7"/>
      <c r="Y658" s="7"/>
      <c r="Z658" s="7"/>
      <c r="AA658" s="7"/>
      <c r="AB658" s="7"/>
      <c r="AC658" s="7"/>
      <c r="AD658" s="7"/>
      <c r="AE658" s="7"/>
      <c r="AF658" s="7"/>
      <c r="AG658" s="7"/>
      <c r="AH658" s="7"/>
      <c r="AI658" s="7"/>
    </row>
    <row r="659" spans="12:35">
      <c r="L659" s="7">
        <v>23</v>
      </c>
      <c r="M659" s="7">
        <v>25</v>
      </c>
      <c r="N659" s="7" t="b">
        <f>AND($N$5,$N$5,12&lt;=$M$5,14&lt;=$M$5)</f>
        <v>0</v>
      </c>
      <c r="O659" s="7">
        <f>(P23-N23)*(O25-O23)-(Q23-O23)*(N25-N23)</f>
        <v>0</v>
      </c>
      <c r="P659" s="7">
        <f>(P23-N23)*(Q25-O23)-(Q23-O23)*(P25-N23)</f>
        <v>0</v>
      </c>
      <c r="Q659" s="7">
        <f>(P25-N25)*(O23-O25)-(Q25-O25)*(N23-N25)</f>
        <v>0</v>
      </c>
      <c r="R659" s="7">
        <f>(P25-N25)*(Q23-O25)-(Q25-O25)*(P23-N25)</f>
        <v>0</v>
      </c>
      <c r="S659" s="7">
        <f>IF(N659,IF(AND(O659*P659&lt;=0,Q659*R659&lt;=0,MAX(MIN(N23,P23),MIN(N25,P25))&lt;=MIN(MAX(N23,P23),MAX(N25,P25)),MAX(MIN(O23,Q23),MIN(O25,Q25))&lt;=MIN(MAX(O23,Q23),MAX(O25,Q25))),1,0),0)</f>
        <v>0</v>
      </c>
      <c r="T659" s="7"/>
      <c r="U659" s="7"/>
      <c r="V659" s="7"/>
      <c r="W659" s="7"/>
      <c r="X659" s="7"/>
      <c r="Y659" s="7"/>
      <c r="Z659" s="7"/>
      <c r="AA659" s="7"/>
      <c r="AB659" s="7"/>
      <c r="AC659" s="7"/>
      <c r="AD659" s="7"/>
      <c r="AE659" s="7"/>
      <c r="AF659" s="7"/>
      <c r="AG659" s="7"/>
      <c r="AH659" s="7"/>
      <c r="AI659" s="7"/>
    </row>
    <row r="660" spans="12:35">
      <c r="L660" s="7">
        <v>23</v>
      </c>
      <c r="M660" s="7">
        <v>26</v>
      </c>
      <c r="N660" s="7" t="b">
        <f>AND($N$5,$N$5,12&lt;=$M$5,15&lt;=$M$5)</f>
        <v>0</v>
      </c>
      <c r="O660" s="7">
        <f>(P23-N23)*(O26-O23)-(Q23-O23)*(N26-N23)</f>
        <v>0</v>
      </c>
      <c r="P660" s="7">
        <f>(P23-N23)*(Q26-O23)-(Q23-O23)*(P26-N23)</f>
        <v>0</v>
      </c>
      <c r="Q660" s="7">
        <f>(P26-N26)*(O23-O26)-(Q26-O26)*(N23-N26)</f>
        <v>0</v>
      </c>
      <c r="R660" s="7">
        <f>(P26-N26)*(Q23-O26)-(Q26-O26)*(P23-N26)</f>
        <v>0</v>
      </c>
      <c r="S660" s="7">
        <f>IF(N660,IF(AND(O660*P660&lt;=0,Q660*R660&lt;=0,MAX(MIN(N23,P23),MIN(N26,P26))&lt;=MIN(MAX(N23,P23),MAX(N26,P26)),MAX(MIN(O23,Q23),MIN(O26,Q26))&lt;=MIN(MAX(O23,Q23),MAX(O26,Q26))),1,0),0)</f>
        <v>0</v>
      </c>
      <c r="T660" s="7"/>
      <c r="U660" s="7"/>
      <c r="V660" s="7"/>
      <c r="W660" s="7"/>
      <c r="X660" s="7"/>
      <c r="Y660" s="7"/>
      <c r="Z660" s="7"/>
      <c r="AA660" s="7"/>
      <c r="AB660" s="7"/>
      <c r="AC660" s="7"/>
      <c r="AD660" s="7"/>
      <c r="AE660" s="7"/>
      <c r="AF660" s="7"/>
      <c r="AG660" s="7"/>
      <c r="AH660" s="7"/>
      <c r="AI660" s="7"/>
    </row>
    <row r="661" spans="12:35">
      <c r="L661" s="7">
        <v>23</v>
      </c>
      <c r="M661" s="7">
        <v>27</v>
      </c>
      <c r="N661" s="7" t="b">
        <f>AND($N$5,$N$5,12&lt;=$M$5,16&lt;=$M$5)</f>
        <v>0</v>
      </c>
      <c r="O661" s="7">
        <f>(P23-N23)*(O27-O23)-(Q23-O23)*(N27-N23)</f>
        <v>0</v>
      </c>
      <c r="P661" s="7">
        <f>(P23-N23)*(Q27-O23)-(Q23-O23)*(P27-N23)</f>
        <v>0</v>
      </c>
      <c r="Q661" s="7">
        <f>(P27-N27)*(O23-O27)-(Q27-O27)*(N23-N27)</f>
        <v>0</v>
      </c>
      <c r="R661" s="7">
        <f>(P27-N27)*(Q23-O27)-(Q27-O27)*(P23-N27)</f>
        <v>0</v>
      </c>
      <c r="S661" s="7">
        <f>IF(N661,IF(AND(O661*P661&lt;=0,Q661*R661&lt;=0,MAX(MIN(N23,P23),MIN(N27,P27))&lt;=MIN(MAX(N23,P23),MAX(N27,P27)),MAX(MIN(O23,Q23),MIN(O27,Q27))&lt;=MIN(MAX(O23,Q23),MAX(O27,Q27))),1,0),0)</f>
        <v>0</v>
      </c>
      <c r="T661" s="7"/>
      <c r="U661" s="7"/>
      <c r="V661" s="7"/>
      <c r="W661" s="7"/>
      <c r="X661" s="7"/>
      <c r="Y661" s="7"/>
      <c r="Z661" s="7"/>
      <c r="AA661" s="7"/>
      <c r="AB661" s="7"/>
      <c r="AC661" s="7"/>
      <c r="AD661" s="7"/>
      <c r="AE661" s="7"/>
      <c r="AF661" s="7"/>
      <c r="AG661" s="7"/>
      <c r="AH661" s="7"/>
      <c r="AI661" s="7"/>
    </row>
    <row r="662" spans="12:35">
      <c r="L662" s="7">
        <v>23</v>
      </c>
      <c r="M662" s="7">
        <v>28</v>
      </c>
      <c r="N662" s="7" t="b">
        <f>AND($N$5,$N$5,12&lt;=$M$5,17&lt;=$M$5)</f>
        <v>0</v>
      </c>
      <c r="O662" s="7">
        <f>(P23-N23)*(O28-O23)-(Q23-O23)*(N28-N23)</f>
        <v>0</v>
      </c>
      <c r="P662" s="7">
        <f>(P23-N23)*(Q28-O23)-(Q23-O23)*(P28-N23)</f>
        <v>0</v>
      </c>
      <c r="Q662" s="7">
        <f>(P28-N28)*(O23-O28)-(Q28-O28)*(N23-N28)</f>
        <v>0</v>
      </c>
      <c r="R662" s="7">
        <f>(P28-N28)*(Q23-O28)-(Q28-O28)*(P23-N28)</f>
        <v>0</v>
      </c>
      <c r="S662" s="7">
        <f>IF(N662,IF(AND(O662*P662&lt;=0,Q662*R662&lt;=0,MAX(MIN(N23,P23),MIN(N28,P28))&lt;=MIN(MAX(N23,P23),MAX(N28,P28)),MAX(MIN(O23,Q23),MIN(O28,Q28))&lt;=MIN(MAX(O23,Q23),MAX(O28,Q28))),1,0),0)</f>
        <v>0</v>
      </c>
      <c r="T662" s="7"/>
      <c r="U662" s="7"/>
      <c r="V662" s="7"/>
      <c r="W662" s="7"/>
      <c r="X662" s="7"/>
      <c r="Y662" s="7"/>
      <c r="Z662" s="7"/>
      <c r="AA662" s="7"/>
      <c r="AB662" s="7"/>
      <c r="AC662" s="7"/>
      <c r="AD662" s="7"/>
      <c r="AE662" s="7"/>
      <c r="AF662" s="7"/>
      <c r="AG662" s="7"/>
      <c r="AH662" s="7"/>
      <c r="AI662" s="7"/>
    </row>
    <row r="663" spans="12:35">
      <c r="L663" s="7">
        <v>23</v>
      </c>
      <c r="M663" s="7">
        <v>29</v>
      </c>
      <c r="N663" s="7" t="b">
        <f>AND($N$5,$N$5,12&lt;=$M$5,18&lt;=$M$5)</f>
        <v>0</v>
      </c>
      <c r="O663" s="7">
        <f>(P23-N23)*(O29-O23)-(Q23-O23)*(N29-N23)</f>
        <v>0</v>
      </c>
      <c r="P663" s="7">
        <f>(P23-N23)*(Q29-O23)-(Q23-O23)*(P29-N23)</f>
        <v>0</v>
      </c>
      <c r="Q663" s="7">
        <f>(P29-N29)*(O23-O29)-(Q29-O29)*(N23-N29)</f>
        <v>0</v>
      </c>
      <c r="R663" s="7">
        <f>(P29-N29)*(Q23-O29)-(Q29-O29)*(P23-N29)</f>
        <v>0</v>
      </c>
      <c r="S663" s="7">
        <f>IF(N663,IF(AND(O663*P663&lt;=0,Q663*R663&lt;=0,MAX(MIN(N23,P23),MIN(N29,P29))&lt;=MIN(MAX(N23,P23),MAX(N29,P29)),MAX(MIN(O23,Q23),MIN(O29,Q29))&lt;=MIN(MAX(O23,Q23),MAX(O29,Q29))),1,0),0)</f>
        <v>0</v>
      </c>
      <c r="T663" s="7"/>
      <c r="U663" s="7"/>
      <c r="V663" s="7"/>
      <c r="W663" s="7"/>
      <c r="X663" s="7"/>
      <c r="Y663" s="7"/>
      <c r="Z663" s="7"/>
      <c r="AA663" s="7"/>
      <c r="AB663" s="7"/>
      <c r="AC663" s="7"/>
      <c r="AD663" s="7"/>
      <c r="AE663" s="7"/>
      <c r="AF663" s="7"/>
      <c r="AG663" s="7"/>
      <c r="AH663" s="7"/>
      <c r="AI663" s="7"/>
    </row>
    <row r="664" spans="12:35">
      <c r="L664" s="7">
        <v>23</v>
      </c>
      <c r="M664" s="7">
        <v>30</v>
      </c>
      <c r="N664" s="7" t="b">
        <f>AND($N$5,$N$5,12&lt;=$M$5,19&lt;=$M$5)</f>
        <v>0</v>
      </c>
      <c r="O664" s="7">
        <f>(P23-N23)*(O30-O23)-(Q23-O23)*(N30-N23)</f>
        <v>0</v>
      </c>
      <c r="P664" s="7">
        <f>(P23-N23)*(Q30-O23)-(Q23-O23)*(P30-N23)</f>
        <v>0</v>
      </c>
      <c r="Q664" s="7">
        <f>(P30-N30)*(O23-O30)-(Q30-O30)*(N23-N30)</f>
        <v>0</v>
      </c>
      <c r="R664" s="7">
        <f>(P30-N30)*(Q23-O30)-(Q30-O30)*(P23-N30)</f>
        <v>0</v>
      </c>
      <c r="S664" s="7">
        <f>IF(N664,IF(AND(O664*P664&lt;=0,Q664*R664&lt;=0,MAX(MIN(N23,P23),MIN(N30,P30))&lt;=MIN(MAX(N23,P23),MAX(N30,P30)),MAX(MIN(O23,Q23),MIN(O30,Q30))&lt;=MIN(MAX(O23,Q23),MAX(O30,Q30))),1,0),0)</f>
        <v>0</v>
      </c>
      <c r="T664" s="7"/>
      <c r="U664" s="7"/>
      <c r="V664" s="7"/>
      <c r="W664" s="7"/>
      <c r="X664" s="7"/>
      <c r="Y664" s="7"/>
      <c r="Z664" s="7"/>
      <c r="AA664" s="7"/>
      <c r="AB664" s="7"/>
      <c r="AC664" s="7"/>
      <c r="AD664" s="7"/>
      <c r="AE664" s="7"/>
      <c r="AF664" s="7"/>
      <c r="AG664" s="7"/>
      <c r="AH664" s="7"/>
      <c r="AI664" s="7"/>
    </row>
    <row r="665" spans="12:35">
      <c r="L665" s="7">
        <v>23</v>
      </c>
      <c r="M665" s="7">
        <v>31</v>
      </c>
      <c r="N665" s="7" t="b">
        <f>AND($N$5,$N$5,12&lt;=$M$5,20&lt;=$M$5)</f>
        <v>0</v>
      </c>
      <c r="O665" s="7">
        <f>(P23-N23)*(O31-O23)-(Q23-O23)*(N31-N23)</f>
        <v>0</v>
      </c>
      <c r="P665" s="7">
        <f>(P23-N23)*(Q31-O23)-(Q23-O23)*(P31-N23)</f>
        <v>0</v>
      </c>
      <c r="Q665" s="7">
        <f>(P31-N31)*(O23-O31)-(Q31-O31)*(N23-N31)</f>
        <v>0</v>
      </c>
      <c r="R665" s="7">
        <f>(P31-N31)*(Q23-O31)-(Q31-O31)*(P23-N31)</f>
        <v>0</v>
      </c>
      <c r="S665" s="7">
        <f>IF(N665,IF(AND(O665*P665&lt;=0,Q665*R665&lt;=0,MAX(MIN(N23,P23),MIN(N31,P31))&lt;=MIN(MAX(N23,P23),MAX(N31,P31)),MAX(MIN(O23,Q23),MIN(O31,Q31))&lt;=MIN(MAX(O23,Q23),MAX(O31,Q31))),1,0),0)</f>
        <v>0</v>
      </c>
      <c r="T665" s="7"/>
      <c r="U665" s="7"/>
      <c r="V665" s="7"/>
      <c r="W665" s="7"/>
      <c r="X665" s="7"/>
      <c r="Y665" s="7"/>
      <c r="Z665" s="7"/>
      <c r="AA665" s="7"/>
      <c r="AB665" s="7"/>
      <c r="AC665" s="7"/>
      <c r="AD665" s="7"/>
      <c r="AE665" s="7"/>
      <c r="AF665" s="7"/>
      <c r="AG665" s="7"/>
      <c r="AH665" s="7"/>
      <c r="AI665" s="7"/>
    </row>
    <row r="666" spans="12:35">
      <c r="L666" s="7">
        <v>23</v>
      </c>
      <c r="M666" s="7">
        <v>32</v>
      </c>
      <c r="N666" s="7" t="b">
        <f>AND($N$5,$N$6,12&lt;=$M$5,1&lt;=$M$6)</f>
        <v>0</v>
      </c>
      <c r="O666" s="7">
        <f>(P23-N23)*(O32-O23)-(Q23-O23)*(N32-N23)</f>
        <v>0</v>
      </c>
      <c r="P666" s="7">
        <f>(P23-N23)*(Q32-O23)-(Q23-O23)*(P32-N23)</f>
        <v>0</v>
      </c>
      <c r="Q666" s="7">
        <f>(P32-N32)*(O23-O32)-(Q32-O32)*(N23-N32)</f>
        <v>0</v>
      </c>
      <c r="R666" s="7">
        <f>(P32-N32)*(Q23-O32)-(Q32-O32)*(P23-N32)</f>
        <v>0</v>
      </c>
      <c r="S666" s="7">
        <f>IF(N666,IF(AND(O666*P666&lt;=0,Q666*R666&lt;=0,MAX(MIN(N23,P23),MIN(N32,P32))&lt;=MIN(MAX(N23,P23),MAX(N32,P32)),MAX(MIN(O23,Q23),MIN(O32,Q32))&lt;=MIN(MAX(O23,Q23),MAX(O32,Q32))),1,0),0)</f>
        <v>0</v>
      </c>
      <c r="T666" s="7"/>
      <c r="U666" s="7"/>
      <c r="V666" s="7"/>
      <c r="W666" s="7"/>
      <c r="X666" s="7"/>
      <c r="Y666" s="7"/>
      <c r="Z666" s="7"/>
      <c r="AA666" s="7"/>
      <c r="AB666" s="7"/>
      <c r="AC666" s="7"/>
      <c r="AD666" s="7"/>
      <c r="AE666" s="7"/>
      <c r="AF666" s="7"/>
      <c r="AG666" s="7"/>
      <c r="AH666" s="7"/>
      <c r="AI666" s="7"/>
    </row>
    <row r="667" spans="12:35">
      <c r="L667" s="7">
        <v>23</v>
      </c>
      <c r="M667" s="7">
        <v>33</v>
      </c>
      <c r="N667" s="7" t="b">
        <f>AND($N$5,$N$6,12&lt;=$M$5,2&lt;=$M$6)</f>
        <v>0</v>
      </c>
      <c r="O667" s="7">
        <f>(P23-N23)*(O33-O23)-(Q23-O23)*(N33-N23)</f>
        <v>0</v>
      </c>
      <c r="P667" s="7">
        <f>(P23-N23)*(Q33-O23)-(Q23-O23)*(P33-N23)</f>
        <v>0</v>
      </c>
      <c r="Q667" s="7">
        <f>(P33-N33)*(O23-O33)-(Q33-O33)*(N23-N33)</f>
        <v>0</v>
      </c>
      <c r="R667" s="7">
        <f>(P33-N33)*(Q23-O33)-(Q33-O33)*(P23-N33)</f>
        <v>0</v>
      </c>
      <c r="S667" s="7">
        <f>IF(N667,IF(AND(O667*P667&lt;=0,Q667*R667&lt;=0,MAX(MIN(N23,P23),MIN(N33,P33))&lt;=MIN(MAX(N23,P23),MAX(N33,P33)),MAX(MIN(O23,Q23),MIN(O33,Q33))&lt;=MIN(MAX(O23,Q23),MAX(O33,Q33))),1,0),0)</f>
        <v>0</v>
      </c>
      <c r="T667" s="7"/>
      <c r="U667" s="7"/>
      <c r="V667" s="7"/>
      <c r="W667" s="7"/>
      <c r="X667" s="7"/>
      <c r="Y667" s="7"/>
      <c r="Z667" s="7"/>
      <c r="AA667" s="7"/>
      <c r="AB667" s="7"/>
      <c r="AC667" s="7"/>
      <c r="AD667" s="7"/>
      <c r="AE667" s="7"/>
      <c r="AF667" s="7"/>
      <c r="AG667" s="7"/>
      <c r="AH667" s="7"/>
      <c r="AI667" s="7"/>
    </row>
    <row r="668" spans="12:35">
      <c r="L668" s="7">
        <v>23</v>
      </c>
      <c r="M668" s="7">
        <v>34</v>
      </c>
      <c r="N668" s="7" t="b">
        <f>AND($N$5,$N$6,12&lt;=$M$5,3&lt;=$M$6)</f>
        <v>0</v>
      </c>
      <c r="O668" s="7">
        <f>(P23-N23)*(O34-O23)-(Q23-O23)*(N34-N23)</f>
        <v>0</v>
      </c>
      <c r="P668" s="7">
        <f>(P23-N23)*(Q34-O23)-(Q23-O23)*(P34-N23)</f>
        <v>0</v>
      </c>
      <c r="Q668" s="7">
        <f>(P34-N34)*(O23-O34)-(Q34-O34)*(N23-N34)</f>
        <v>0</v>
      </c>
      <c r="R668" s="7">
        <f>(P34-N34)*(Q23-O34)-(Q34-O34)*(P23-N34)</f>
        <v>0</v>
      </c>
      <c r="S668" s="7">
        <f>IF(N668,IF(AND(O668*P668&lt;=0,Q668*R668&lt;=0,MAX(MIN(N23,P23),MIN(N34,P34))&lt;=MIN(MAX(N23,P23),MAX(N34,P34)),MAX(MIN(O23,Q23),MIN(O34,Q34))&lt;=MIN(MAX(O23,Q23),MAX(O34,Q34))),1,0),0)</f>
        <v>0</v>
      </c>
      <c r="T668" s="7"/>
      <c r="U668" s="7"/>
      <c r="V668" s="7"/>
      <c r="W668" s="7"/>
      <c r="X668" s="7"/>
      <c r="Y668" s="7"/>
      <c r="Z668" s="7"/>
      <c r="AA668" s="7"/>
      <c r="AB668" s="7"/>
      <c r="AC668" s="7"/>
      <c r="AD668" s="7"/>
      <c r="AE668" s="7"/>
      <c r="AF668" s="7"/>
      <c r="AG668" s="7"/>
      <c r="AH668" s="7"/>
      <c r="AI668" s="7"/>
    </row>
    <row r="669" spans="12:35">
      <c r="L669" s="7">
        <v>23</v>
      </c>
      <c r="M669" s="7">
        <v>35</v>
      </c>
      <c r="N669" s="7" t="b">
        <f>AND($N$5,$N$6,12&lt;=$M$5,4&lt;=$M$6)</f>
        <v>0</v>
      </c>
      <c r="O669" s="7">
        <f>(P23-N23)*(O35-O23)-(Q23-O23)*(N35-N23)</f>
        <v>0</v>
      </c>
      <c r="P669" s="7">
        <f>(P23-N23)*(Q35-O23)-(Q23-O23)*(P35-N23)</f>
        <v>0</v>
      </c>
      <c r="Q669" s="7">
        <f>(P35-N35)*(O23-O35)-(Q35-O35)*(N23-N35)</f>
        <v>0</v>
      </c>
      <c r="R669" s="7">
        <f>(P35-N35)*(Q23-O35)-(Q35-O35)*(P23-N35)</f>
        <v>0</v>
      </c>
      <c r="S669" s="7">
        <f>IF(N669,IF(AND(O669*P669&lt;=0,Q669*R669&lt;=0,MAX(MIN(N23,P23),MIN(N35,P35))&lt;=MIN(MAX(N23,P23),MAX(N35,P35)),MAX(MIN(O23,Q23),MIN(O35,Q35))&lt;=MIN(MAX(O23,Q23),MAX(O35,Q35))),1,0),0)</f>
        <v>0</v>
      </c>
      <c r="T669" s="7"/>
      <c r="U669" s="7"/>
      <c r="V669" s="7"/>
      <c r="W669" s="7"/>
      <c r="X669" s="7"/>
      <c r="Y669" s="7"/>
      <c r="Z669" s="7"/>
      <c r="AA669" s="7"/>
      <c r="AB669" s="7"/>
      <c r="AC669" s="7"/>
      <c r="AD669" s="7"/>
      <c r="AE669" s="7"/>
      <c r="AF669" s="7"/>
      <c r="AG669" s="7"/>
      <c r="AH669" s="7"/>
      <c r="AI669" s="7"/>
    </row>
    <row r="670" spans="12:35">
      <c r="L670" s="7">
        <v>23</v>
      </c>
      <c r="M670" s="7">
        <v>36</v>
      </c>
      <c r="N670" s="7" t="b">
        <f>AND($N$5,$N$6,12&lt;=$M$5,5&lt;=$M$6)</f>
        <v>0</v>
      </c>
      <c r="O670" s="7">
        <f>(P23-N23)*(O36-O23)-(Q23-O23)*(N36-N23)</f>
        <v>0</v>
      </c>
      <c r="P670" s="7">
        <f>(P23-N23)*(Q36-O23)-(Q23-O23)*(P36-N23)</f>
        <v>0</v>
      </c>
      <c r="Q670" s="7">
        <f>(P36-N36)*(O23-O36)-(Q36-O36)*(N23-N36)</f>
        <v>0</v>
      </c>
      <c r="R670" s="7">
        <f>(P36-N36)*(Q23-O36)-(Q36-O36)*(P23-N36)</f>
        <v>0</v>
      </c>
      <c r="S670" s="7">
        <f>IF(N670,IF(AND(O670*P670&lt;=0,Q670*R670&lt;=0,MAX(MIN(N23,P23),MIN(N36,P36))&lt;=MIN(MAX(N23,P23),MAX(N36,P36)),MAX(MIN(O23,Q23),MIN(O36,Q36))&lt;=MIN(MAX(O23,Q23),MAX(O36,Q36))),1,0),0)</f>
        <v>0</v>
      </c>
      <c r="T670" s="7"/>
      <c r="U670" s="7"/>
      <c r="V670" s="7"/>
      <c r="W670" s="7"/>
      <c r="X670" s="7"/>
      <c r="Y670" s="7"/>
      <c r="Z670" s="7"/>
      <c r="AA670" s="7"/>
      <c r="AB670" s="7"/>
      <c r="AC670" s="7"/>
      <c r="AD670" s="7"/>
      <c r="AE670" s="7"/>
      <c r="AF670" s="7"/>
      <c r="AG670" s="7"/>
      <c r="AH670" s="7"/>
      <c r="AI670" s="7"/>
    </row>
    <row r="671" spans="12:35">
      <c r="L671" s="7">
        <v>23</v>
      </c>
      <c r="M671" s="7">
        <v>37</v>
      </c>
      <c r="N671" s="7" t="b">
        <f>AND($N$5,$N$6,12&lt;=$M$5,6&lt;=$M$6)</f>
        <v>0</v>
      </c>
      <c r="O671" s="7">
        <f>(P23-N23)*(O37-O23)-(Q23-O23)*(N37-N23)</f>
        <v>0</v>
      </c>
      <c r="P671" s="7">
        <f>(P23-N23)*(Q37-O23)-(Q23-O23)*(P37-N23)</f>
        <v>0</v>
      </c>
      <c r="Q671" s="7">
        <f>(P37-N37)*(O23-O37)-(Q37-O37)*(N23-N37)</f>
        <v>0</v>
      </c>
      <c r="R671" s="7">
        <f>(P37-N37)*(Q23-O37)-(Q37-O37)*(P23-N37)</f>
        <v>0</v>
      </c>
      <c r="S671" s="7">
        <f>IF(N671,IF(AND(O671*P671&lt;=0,Q671*R671&lt;=0,MAX(MIN(N23,P23),MIN(N37,P37))&lt;=MIN(MAX(N23,P23),MAX(N37,P37)),MAX(MIN(O23,Q23),MIN(O37,Q37))&lt;=MIN(MAX(O23,Q23),MAX(O37,Q37))),1,0),0)</f>
        <v>0</v>
      </c>
      <c r="T671" s="7"/>
      <c r="U671" s="7"/>
      <c r="V671" s="7"/>
      <c r="W671" s="7"/>
      <c r="X671" s="7"/>
      <c r="Y671" s="7"/>
      <c r="Z671" s="7"/>
      <c r="AA671" s="7"/>
      <c r="AB671" s="7"/>
      <c r="AC671" s="7"/>
      <c r="AD671" s="7"/>
      <c r="AE671" s="7"/>
      <c r="AF671" s="7"/>
      <c r="AG671" s="7"/>
      <c r="AH671" s="7"/>
      <c r="AI671" s="7"/>
    </row>
    <row r="672" spans="12:35">
      <c r="L672" s="7">
        <v>23</v>
      </c>
      <c r="M672" s="7">
        <v>38</v>
      </c>
      <c r="N672" s="7" t="b">
        <f>AND($N$5,$N$6,12&lt;=$M$5,7&lt;=$M$6)</f>
        <v>0</v>
      </c>
      <c r="O672" s="7">
        <f>(P23-N23)*(O38-O23)-(Q23-O23)*(N38-N23)</f>
        <v>0</v>
      </c>
      <c r="P672" s="7">
        <f>(P23-N23)*(Q38-O23)-(Q23-O23)*(P38-N23)</f>
        <v>0</v>
      </c>
      <c r="Q672" s="7">
        <f>(P38-N38)*(O23-O38)-(Q38-O38)*(N23-N38)</f>
        <v>0</v>
      </c>
      <c r="R672" s="7">
        <f>(P38-N38)*(Q23-O38)-(Q38-O38)*(P23-N38)</f>
        <v>0</v>
      </c>
      <c r="S672" s="7">
        <f>IF(N672,IF(AND(O672*P672&lt;=0,Q672*R672&lt;=0,MAX(MIN(N23,P23),MIN(N38,P38))&lt;=MIN(MAX(N23,P23),MAX(N38,P38)),MAX(MIN(O23,Q23),MIN(O38,Q38))&lt;=MIN(MAX(O23,Q23),MAX(O38,Q38))),1,0),0)</f>
        <v>0</v>
      </c>
      <c r="T672" s="7"/>
      <c r="U672" s="7"/>
      <c r="V672" s="7"/>
      <c r="W672" s="7"/>
      <c r="X672" s="7"/>
      <c r="Y672" s="7"/>
      <c r="Z672" s="7"/>
      <c r="AA672" s="7"/>
      <c r="AB672" s="7"/>
      <c r="AC672" s="7"/>
      <c r="AD672" s="7"/>
      <c r="AE672" s="7"/>
      <c r="AF672" s="7"/>
      <c r="AG672" s="7"/>
      <c r="AH672" s="7"/>
      <c r="AI672" s="7"/>
    </row>
    <row r="673" spans="12:35">
      <c r="L673" s="7">
        <v>23</v>
      </c>
      <c r="M673" s="7">
        <v>39</v>
      </c>
      <c r="N673" s="7" t="b">
        <f>AND($N$5,$N$6,12&lt;=$M$5,8&lt;=$M$6)</f>
        <v>0</v>
      </c>
      <c r="O673" s="7">
        <f>(P23-N23)*(O39-O23)-(Q23-O23)*(N39-N23)</f>
        <v>0</v>
      </c>
      <c r="P673" s="7">
        <f>(P23-N23)*(Q39-O23)-(Q23-O23)*(P39-N23)</f>
        <v>0</v>
      </c>
      <c r="Q673" s="7">
        <f>(P39-N39)*(O23-O39)-(Q39-O39)*(N23-N39)</f>
        <v>0</v>
      </c>
      <c r="R673" s="7">
        <f>(P39-N39)*(Q23-O39)-(Q39-O39)*(P23-N39)</f>
        <v>0</v>
      </c>
      <c r="S673" s="7">
        <f>IF(N673,IF(AND(O673*P673&lt;=0,Q673*R673&lt;=0,MAX(MIN(N23,P23),MIN(N39,P39))&lt;=MIN(MAX(N23,P23),MAX(N39,P39)),MAX(MIN(O23,Q23),MIN(O39,Q39))&lt;=MIN(MAX(O23,Q23),MAX(O39,Q39))),1,0),0)</f>
        <v>0</v>
      </c>
      <c r="T673" s="7"/>
      <c r="U673" s="7"/>
      <c r="V673" s="7"/>
      <c r="W673" s="7"/>
      <c r="X673" s="7"/>
      <c r="Y673" s="7"/>
      <c r="Z673" s="7"/>
      <c r="AA673" s="7"/>
      <c r="AB673" s="7"/>
      <c r="AC673" s="7"/>
      <c r="AD673" s="7"/>
      <c r="AE673" s="7"/>
      <c r="AF673" s="7"/>
      <c r="AG673" s="7"/>
      <c r="AH673" s="7"/>
      <c r="AI673" s="7"/>
    </row>
    <row r="674" spans="12:35">
      <c r="L674" s="7">
        <v>23</v>
      </c>
      <c r="M674" s="7">
        <v>40</v>
      </c>
      <c r="N674" s="7" t="b">
        <f>AND($N$5,$N$6,12&lt;=$M$5,9&lt;=$M$6)</f>
        <v>0</v>
      </c>
      <c r="O674" s="7">
        <f>(P23-N23)*(O40-O23)-(Q23-O23)*(N40-N23)</f>
        <v>0</v>
      </c>
      <c r="P674" s="7">
        <f>(P23-N23)*(Q40-O23)-(Q23-O23)*(P40-N23)</f>
        <v>0</v>
      </c>
      <c r="Q674" s="7">
        <f>(P40-N40)*(O23-O40)-(Q40-O40)*(N23-N40)</f>
        <v>0</v>
      </c>
      <c r="R674" s="7">
        <f>(P40-N40)*(Q23-O40)-(Q40-O40)*(P23-N40)</f>
        <v>0</v>
      </c>
      <c r="S674" s="7">
        <f>IF(N674,IF(AND(O674*P674&lt;=0,Q674*R674&lt;=0,MAX(MIN(N23,P23),MIN(N40,P40))&lt;=MIN(MAX(N23,P23),MAX(N40,P40)),MAX(MIN(O23,Q23),MIN(O40,Q40))&lt;=MIN(MAX(O23,Q23),MAX(O40,Q40))),1,0),0)</f>
        <v>0</v>
      </c>
      <c r="T674" s="7"/>
      <c r="U674" s="7"/>
      <c r="V674" s="7"/>
      <c r="W674" s="7"/>
      <c r="X674" s="7"/>
      <c r="Y674" s="7"/>
      <c r="Z674" s="7"/>
      <c r="AA674" s="7"/>
      <c r="AB674" s="7"/>
      <c r="AC674" s="7"/>
      <c r="AD674" s="7"/>
      <c r="AE674" s="7"/>
      <c r="AF674" s="7"/>
      <c r="AG674" s="7"/>
      <c r="AH674" s="7"/>
      <c r="AI674" s="7"/>
    </row>
    <row r="675" spans="12:35">
      <c r="L675" s="7">
        <v>23</v>
      </c>
      <c r="M675" s="7">
        <v>41</v>
      </c>
      <c r="N675" s="7" t="b">
        <f>AND($N$5,$N$6,12&lt;=$M$5,10&lt;=$M$6)</f>
        <v>0</v>
      </c>
      <c r="O675" s="7">
        <f>(P23-N23)*(O41-O23)-(Q23-O23)*(N41-N23)</f>
        <v>0</v>
      </c>
      <c r="P675" s="7">
        <f>(P23-N23)*(Q41-O23)-(Q23-O23)*(P41-N23)</f>
        <v>0</v>
      </c>
      <c r="Q675" s="7">
        <f>(P41-N41)*(O23-O41)-(Q41-O41)*(N23-N41)</f>
        <v>0</v>
      </c>
      <c r="R675" s="7">
        <f>(P41-N41)*(Q23-O41)-(Q41-O41)*(P23-N41)</f>
        <v>0</v>
      </c>
      <c r="S675" s="7">
        <f>IF(N675,IF(AND(O675*P675&lt;=0,Q675*R675&lt;=0,MAX(MIN(N23,P23),MIN(N41,P41))&lt;=MIN(MAX(N23,P23),MAX(N41,P41)),MAX(MIN(O23,Q23),MIN(O41,Q41))&lt;=MIN(MAX(O23,Q23),MAX(O41,Q41))),1,0),0)</f>
        <v>0</v>
      </c>
      <c r="T675" s="7"/>
      <c r="U675" s="7"/>
      <c r="V675" s="7"/>
      <c r="W675" s="7"/>
      <c r="X675" s="7"/>
      <c r="Y675" s="7"/>
      <c r="Z675" s="7"/>
      <c r="AA675" s="7"/>
      <c r="AB675" s="7"/>
      <c r="AC675" s="7"/>
      <c r="AD675" s="7"/>
      <c r="AE675" s="7"/>
      <c r="AF675" s="7"/>
      <c r="AG675" s="7"/>
      <c r="AH675" s="7"/>
      <c r="AI675" s="7"/>
    </row>
    <row r="676" spans="12:35">
      <c r="L676" s="7">
        <v>23</v>
      </c>
      <c r="M676" s="7">
        <v>42</v>
      </c>
      <c r="N676" s="7" t="b">
        <f>AND($N$5,$N$6,12&lt;=$M$5,11&lt;=$M$6)</f>
        <v>0</v>
      </c>
      <c r="O676" s="7">
        <f>(P23-N23)*(O42-O23)-(Q23-O23)*(N42-N23)</f>
        <v>0</v>
      </c>
      <c r="P676" s="7">
        <f>(P23-N23)*(Q42-O23)-(Q23-O23)*(P42-N23)</f>
        <v>0</v>
      </c>
      <c r="Q676" s="7">
        <f>(P42-N42)*(O23-O42)-(Q42-O42)*(N23-N42)</f>
        <v>0</v>
      </c>
      <c r="R676" s="7">
        <f>(P42-N42)*(Q23-O42)-(Q42-O42)*(P23-N42)</f>
        <v>0</v>
      </c>
      <c r="S676" s="7">
        <f>IF(N676,IF(AND(O676*P676&lt;=0,Q676*R676&lt;=0,MAX(MIN(N23,P23),MIN(N42,P42))&lt;=MIN(MAX(N23,P23),MAX(N42,P42)),MAX(MIN(O23,Q23),MIN(O42,Q42))&lt;=MIN(MAX(O23,Q23),MAX(O42,Q42))),1,0),0)</f>
        <v>0</v>
      </c>
      <c r="T676" s="7"/>
      <c r="U676" s="7"/>
      <c r="V676" s="7"/>
      <c r="W676" s="7"/>
      <c r="X676" s="7"/>
      <c r="Y676" s="7"/>
      <c r="Z676" s="7"/>
      <c r="AA676" s="7"/>
      <c r="AB676" s="7"/>
      <c r="AC676" s="7"/>
      <c r="AD676" s="7"/>
      <c r="AE676" s="7"/>
      <c r="AF676" s="7"/>
      <c r="AG676" s="7"/>
      <c r="AH676" s="7"/>
      <c r="AI676" s="7"/>
    </row>
    <row r="677" spans="12:35">
      <c r="L677" s="7">
        <v>23</v>
      </c>
      <c r="M677" s="7">
        <v>43</v>
      </c>
      <c r="N677" s="7" t="b">
        <f>AND($N$5,$N$6,12&lt;=$M$5,12&lt;=$M$6)</f>
        <v>0</v>
      </c>
      <c r="O677" s="7">
        <f>(P23-N23)*(O43-O23)-(Q23-O23)*(N43-N23)</f>
        <v>0</v>
      </c>
      <c r="P677" s="7">
        <f>(P23-N23)*(Q43-O23)-(Q23-O23)*(P43-N23)</f>
        <v>0</v>
      </c>
      <c r="Q677" s="7">
        <f>(P43-N43)*(O23-O43)-(Q43-O43)*(N23-N43)</f>
        <v>0</v>
      </c>
      <c r="R677" s="7">
        <f>(P43-N43)*(Q23-O43)-(Q43-O43)*(P23-N43)</f>
        <v>0</v>
      </c>
      <c r="S677" s="7">
        <f>IF(N677,IF(AND(O677*P677&lt;=0,Q677*R677&lt;=0,MAX(MIN(N23,P23),MIN(N43,P43))&lt;=MIN(MAX(N23,P23),MAX(N43,P43)),MAX(MIN(O23,Q23),MIN(O43,Q43))&lt;=MIN(MAX(O23,Q23),MAX(O43,Q43))),1,0),0)</f>
        <v>0</v>
      </c>
      <c r="T677" s="7"/>
      <c r="U677" s="7"/>
      <c r="V677" s="7"/>
      <c r="W677" s="7"/>
      <c r="X677" s="7"/>
      <c r="Y677" s="7"/>
      <c r="Z677" s="7"/>
      <c r="AA677" s="7"/>
      <c r="AB677" s="7"/>
      <c r="AC677" s="7"/>
      <c r="AD677" s="7"/>
      <c r="AE677" s="7"/>
      <c r="AF677" s="7"/>
      <c r="AG677" s="7"/>
      <c r="AH677" s="7"/>
      <c r="AI677" s="7"/>
    </row>
    <row r="678" spans="12:35">
      <c r="L678" s="7">
        <v>23</v>
      </c>
      <c r="M678" s="7">
        <v>44</v>
      </c>
      <c r="N678" s="7" t="b">
        <f>AND($N$5,$N$6,12&lt;=$M$5,13&lt;=$M$6)</f>
        <v>0</v>
      </c>
      <c r="O678" s="7">
        <f>(P23-N23)*(O44-O23)-(Q23-O23)*(N44-N23)</f>
        <v>0</v>
      </c>
      <c r="P678" s="7">
        <f>(P23-N23)*(Q44-O23)-(Q23-O23)*(P44-N23)</f>
        <v>0</v>
      </c>
      <c r="Q678" s="7">
        <f>(P44-N44)*(O23-O44)-(Q44-O44)*(N23-N44)</f>
        <v>0</v>
      </c>
      <c r="R678" s="7">
        <f>(P44-N44)*(Q23-O44)-(Q44-O44)*(P23-N44)</f>
        <v>0</v>
      </c>
      <c r="S678" s="7">
        <f>IF(N678,IF(AND(O678*P678&lt;=0,Q678*R678&lt;=0,MAX(MIN(N23,P23),MIN(N44,P44))&lt;=MIN(MAX(N23,P23),MAX(N44,P44)),MAX(MIN(O23,Q23),MIN(O44,Q44))&lt;=MIN(MAX(O23,Q23),MAX(O44,Q44))),1,0),0)</f>
        <v>0</v>
      </c>
      <c r="T678" s="7"/>
      <c r="U678" s="7"/>
      <c r="V678" s="7"/>
      <c r="W678" s="7"/>
      <c r="X678" s="7"/>
      <c r="Y678" s="7"/>
      <c r="Z678" s="7"/>
      <c r="AA678" s="7"/>
      <c r="AB678" s="7"/>
      <c r="AC678" s="7"/>
      <c r="AD678" s="7"/>
      <c r="AE678" s="7"/>
      <c r="AF678" s="7"/>
      <c r="AG678" s="7"/>
      <c r="AH678" s="7"/>
      <c r="AI678" s="7"/>
    </row>
    <row r="679" spans="12:35">
      <c r="L679" s="7">
        <v>23</v>
      </c>
      <c r="M679" s="7">
        <v>45</v>
      </c>
      <c r="N679" s="7" t="b">
        <f>AND($N$5,$N$6,12&lt;=$M$5,14&lt;=$M$6)</f>
        <v>0</v>
      </c>
      <c r="O679" s="7">
        <f>(P23-N23)*(O45-O23)-(Q23-O23)*(N45-N23)</f>
        <v>0</v>
      </c>
      <c r="P679" s="7">
        <f>(P23-N23)*(Q45-O23)-(Q23-O23)*(P45-N23)</f>
        <v>0</v>
      </c>
      <c r="Q679" s="7">
        <f>(P45-N45)*(O23-O45)-(Q45-O45)*(N23-N45)</f>
        <v>0</v>
      </c>
      <c r="R679" s="7">
        <f>(P45-N45)*(Q23-O45)-(Q45-O45)*(P23-N45)</f>
        <v>0</v>
      </c>
      <c r="S679" s="7">
        <f>IF(N679,IF(AND(O679*P679&lt;=0,Q679*R679&lt;=0,MAX(MIN(N23,P23),MIN(N45,P45))&lt;=MIN(MAX(N23,P23),MAX(N45,P45)),MAX(MIN(O23,Q23),MIN(O45,Q45))&lt;=MIN(MAX(O23,Q23),MAX(O45,Q45))),1,0),0)</f>
        <v>0</v>
      </c>
      <c r="T679" s="7"/>
      <c r="U679" s="7"/>
      <c r="V679" s="7"/>
      <c r="W679" s="7"/>
      <c r="X679" s="7"/>
      <c r="Y679" s="7"/>
      <c r="Z679" s="7"/>
      <c r="AA679" s="7"/>
      <c r="AB679" s="7"/>
      <c r="AC679" s="7"/>
      <c r="AD679" s="7"/>
      <c r="AE679" s="7"/>
      <c r="AF679" s="7"/>
      <c r="AG679" s="7"/>
      <c r="AH679" s="7"/>
      <c r="AI679" s="7"/>
    </row>
    <row r="680" spans="12:35">
      <c r="L680" s="7">
        <v>23</v>
      </c>
      <c r="M680" s="7">
        <v>46</v>
      </c>
      <c r="N680" s="7" t="b">
        <f>AND($N$5,$N$6,12&lt;=$M$5,15&lt;=$M$6)</f>
        <v>0</v>
      </c>
      <c r="O680" s="7">
        <f>(P23-N23)*(O46-O23)-(Q23-O23)*(N46-N23)</f>
        <v>0</v>
      </c>
      <c r="P680" s="7">
        <f>(P23-N23)*(Q46-O23)-(Q23-O23)*(P46-N23)</f>
        <v>0</v>
      </c>
      <c r="Q680" s="7">
        <f>(P46-N46)*(O23-O46)-(Q46-O46)*(N23-N46)</f>
        <v>0</v>
      </c>
      <c r="R680" s="7">
        <f>(P46-N46)*(Q23-O46)-(Q46-O46)*(P23-N46)</f>
        <v>0</v>
      </c>
      <c r="S680" s="7">
        <f>IF(N680,IF(AND(O680*P680&lt;=0,Q680*R680&lt;=0,MAX(MIN(N23,P23),MIN(N46,P46))&lt;=MIN(MAX(N23,P23),MAX(N46,P46)),MAX(MIN(O23,Q23),MIN(O46,Q46))&lt;=MIN(MAX(O23,Q23),MAX(O46,Q46))),1,0),0)</f>
        <v>0</v>
      </c>
      <c r="T680" s="7"/>
      <c r="U680" s="7"/>
      <c r="V680" s="7"/>
      <c r="W680" s="7"/>
      <c r="X680" s="7"/>
      <c r="Y680" s="7"/>
      <c r="Z680" s="7"/>
      <c r="AA680" s="7"/>
      <c r="AB680" s="7"/>
      <c r="AC680" s="7"/>
      <c r="AD680" s="7"/>
      <c r="AE680" s="7"/>
      <c r="AF680" s="7"/>
      <c r="AG680" s="7"/>
      <c r="AH680" s="7"/>
      <c r="AI680" s="7"/>
    </row>
    <row r="681" spans="12:35">
      <c r="L681" s="7">
        <v>23</v>
      </c>
      <c r="M681" s="7">
        <v>47</v>
      </c>
      <c r="N681" s="7" t="b">
        <f>AND($N$5,$N$6,12&lt;=$M$5,16&lt;=$M$6)</f>
        <v>0</v>
      </c>
      <c r="O681" s="7">
        <f>(P23-N23)*(O47-O23)-(Q23-O23)*(N47-N23)</f>
        <v>0</v>
      </c>
      <c r="P681" s="7">
        <f>(P23-N23)*(Q47-O23)-(Q23-O23)*(P47-N23)</f>
        <v>0</v>
      </c>
      <c r="Q681" s="7">
        <f>(P47-N47)*(O23-O47)-(Q47-O47)*(N23-N47)</f>
        <v>0</v>
      </c>
      <c r="R681" s="7">
        <f>(P47-N47)*(Q23-O47)-(Q47-O47)*(P23-N47)</f>
        <v>0</v>
      </c>
      <c r="S681" s="7">
        <f>IF(N681,IF(AND(O681*P681&lt;=0,Q681*R681&lt;=0,MAX(MIN(N23,P23),MIN(N47,P47))&lt;=MIN(MAX(N23,P23),MAX(N47,P47)),MAX(MIN(O23,Q23),MIN(O47,Q47))&lt;=MIN(MAX(O23,Q23),MAX(O47,Q47))),1,0),0)</f>
        <v>0</v>
      </c>
      <c r="T681" s="7"/>
      <c r="U681" s="7"/>
      <c r="V681" s="7"/>
      <c r="W681" s="7"/>
      <c r="X681" s="7"/>
      <c r="Y681" s="7"/>
      <c r="Z681" s="7"/>
      <c r="AA681" s="7"/>
      <c r="AB681" s="7"/>
      <c r="AC681" s="7"/>
      <c r="AD681" s="7"/>
      <c r="AE681" s="7"/>
      <c r="AF681" s="7"/>
      <c r="AG681" s="7"/>
      <c r="AH681" s="7"/>
      <c r="AI681" s="7"/>
    </row>
    <row r="682" spans="12:35">
      <c r="L682" s="7">
        <v>23</v>
      </c>
      <c r="M682" s="7">
        <v>48</v>
      </c>
      <c r="N682" s="7" t="b">
        <f>AND($N$5,$N$6,12&lt;=$M$5,17&lt;=$M$6)</f>
        <v>0</v>
      </c>
      <c r="O682" s="7">
        <f>(P23-N23)*(O48-O23)-(Q23-O23)*(N48-N23)</f>
        <v>0</v>
      </c>
      <c r="P682" s="7">
        <f>(P23-N23)*(Q48-O23)-(Q23-O23)*(P48-N23)</f>
        <v>0</v>
      </c>
      <c r="Q682" s="7">
        <f>(P48-N48)*(O23-O48)-(Q48-O48)*(N23-N48)</f>
        <v>0</v>
      </c>
      <c r="R682" s="7">
        <f>(P48-N48)*(Q23-O48)-(Q48-O48)*(P23-N48)</f>
        <v>0</v>
      </c>
      <c r="S682" s="7">
        <f>IF(N682,IF(AND(O682*P682&lt;=0,Q682*R682&lt;=0,MAX(MIN(N23,P23),MIN(N48,P48))&lt;=MIN(MAX(N23,P23),MAX(N48,P48)),MAX(MIN(O23,Q23),MIN(O48,Q48))&lt;=MIN(MAX(O23,Q23),MAX(O48,Q48))),1,0),0)</f>
        <v>0</v>
      </c>
      <c r="T682" s="7"/>
      <c r="U682" s="7"/>
      <c r="V682" s="7"/>
      <c r="W682" s="7"/>
      <c r="X682" s="7"/>
      <c r="Y682" s="7"/>
      <c r="Z682" s="7"/>
      <c r="AA682" s="7"/>
      <c r="AB682" s="7"/>
      <c r="AC682" s="7"/>
      <c r="AD682" s="7"/>
      <c r="AE682" s="7"/>
      <c r="AF682" s="7"/>
      <c r="AG682" s="7"/>
      <c r="AH682" s="7"/>
      <c r="AI682" s="7"/>
    </row>
    <row r="683" spans="12:35">
      <c r="L683" s="7">
        <v>23</v>
      </c>
      <c r="M683" s="7">
        <v>49</v>
      </c>
      <c r="N683" s="7" t="b">
        <f>AND($N$5,$N$6,12&lt;=$M$5,18&lt;=$M$6)</f>
        <v>0</v>
      </c>
      <c r="O683" s="7">
        <f>(P23-N23)*(O49-O23)-(Q23-O23)*(N49-N23)</f>
        <v>0</v>
      </c>
      <c r="P683" s="7">
        <f>(P23-N23)*(Q49-O23)-(Q23-O23)*(P49-N23)</f>
        <v>0</v>
      </c>
      <c r="Q683" s="7">
        <f>(P49-N49)*(O23-O49)-(Q49-O49)*(N23-N49)</f>
        <v>0</v>
      </c>
      <c r="R683" s="7">
        <f>(P49-N49)*(Q23-O49)-(Q49-O49)*(P23-N49)</f>
        <v>0</v>
      </c>
      <c r="S683" s="7">
        <f>IF(N683,IF(AND(O683*P683&lt;=0,Q683*R683&lt;=0,MAX(MIN(N23,P23),MIN(N49,P49))&lt;=MIN(MAX(N23,P23),MAX(N49,P49)),MAX(MIN(O23,Q23),MIN(O49,Q49))&lt;=MIN(MAX(O23,Q23),MAX(O49,Q49))),1,0),0)</f>
        <v>0</v>
      </c>
      <c r="T683" s="7"/>
      <c r="U683" s="7"/>
      <c r="V683" s="7"/>
      <c r="W683" s="7"/>
      <c r="X683" s="7"/>
      <c r="Y683" s="7"/>
      <c r="Z683" s="7"/>
      <c r="AA683" s="7"/>
      <c r="AB683" s="7"/>
      <c r="AC683" s="7"/>
      <c r="AD683" s="7"/>
      <c r="AE683" s="7"/>
      <c r="AF683" s="7"/>
      <c r="AG683" s="7"/>
      <c r="AH683" s="7"/>
      <c r="AI683" s="7"/>
    </row>
    <row r="684" spans="12:35">
      <c r="L684" s="7">
        <v>23</v>
      </c>
      <c r="M684" s="7">
        <v>50</v>
      </c>
      <c r="N684" s="7" t="b">
        <f>AND($N$5,$N$6,12&lt;=$M$5,19&lt;=$M$6)</f>
        <v>0</v>
      </c>
      <c r="O684" s="7">
        <f>(P23-N23)*(O50-O23)-(Q23-O23)*(N50-N23)</f>
        <v>0</v>
      </c>
      <c r="P684" s="7">
        <f>(P23-N23)*(Q50-O23)-(Q23-O23)*(P50-N23)</f>
        <v>0</v>
      </c>
      <c r="Q684" s="7">
        <f>(P50-N50)*(O23-O50)-(Q50-O50)*(N23-N50)</f>
        <v>0</v>
      </c>
      <c r="R684" s="7">
        <f>(P50-N50)*(Q23-O50)-(Q50-O50)*(P23-N50)</f>
        <v>0</v>
      </c>
      <c r="S684" s="7">
        <f>IF(N684,IF(AND(O684*P684&lt;=0,Q684*R684&lt;=0,MAX(MIN(N23,P23),MIN(N50,P50))&lt;=MIN(MAX(N23,P23),MAX(N50,P50)),MAX(MIN(O23,Q23),MIN(O50,Q50))&lt;=MIN(MAX(O23,Q23),MAX(O50,Q50))),1,0),0)</f>
        <v>0</v>
      </c>
      <c r="T684" s="7"/>
      <c r="U684" s="7"/>
      <c r="V684" s="7"/>
      <c r="W684" s="7"/>
      <c r="X684" s="7"/>
      <c r="Y684" s="7"/>
      <c r="Z684" s="7"/>
      <c r="AA684" s="7"/>
      <c r="AB684" s="7"/>
      <c r="AC684" s="7"/>
      <c r="AD684" s="7"/>
      <c r="AE684" s="7"/>
      <c r="AF684" s="7"/>
      <c r="AG684" s="7"/>
      <c r="AH684" s="7"/>
      <c r="AI684" s="7"/>
    </row>
    <row r="685" spans="12:35">
      <c r="L685" s="7">
        <v>23</v>
      </c>
      <c r="M685" s="7">
        <v>51</v>
      </c>
      <c r="N685" s="7" t="b">
        <f>AND($N$5,$N$6,12&lt;=$M$5,20&lt;=$M$6)</f>
        <v>0</v>
      </c>
      <c r="O685" s="7">
        <f>(P23-N23)*(O51-O23)-(Q23-O23)*(N51-N23)</f>
        <v>0</v>
      </c>
      <c r="P685" s="7">
        <f>(P23-N23)*(Q51-O23)-(Q23-O23)*(P51-N23)</f>
        <v>0</v>
      </c>
      <c r="Q685" s="7">
        <f>(P51-N51)*(O23-O51)-(Q51-O51)*(N23-N51)</f>
        <v>0</v>
      </c>
      <c r="R685" s="7">
        <f>(P51-N51)*(Q23-O51)-(Q51-O51)*(P23-N51)</f>
        <v>0</v>
      </c>
      <c r="S685" s="7">
        <f>IF(N685,IF(AND(O685*P685&lt;=0,Q685*R685&lt;=0,MAX(MIN(N23,P23),MIN(N51,P51))&lt;=MIN(MAX(N23,P23),MAX(N51,P51)),MAX(MIN(O23,Q23),MIN(O51,Q51))&lt;=MIN(MAX(O23,Q23),MAX(O51,Q51))),1,0),0)</f>
        <v>0</v>
      </c>
      <c r="T685" s="7"/>
      <c r="U685" s="7"/>
      <c r="V685" s="7"/>
      <c r="W685" s="7"/>
      <c r="X685" s="7"/>
      <c r="Y685" s="7"/>
      <c r="Z685" s="7"/>
      <c r="AA685" s="7"/>
      <c r="AB685" s="7"/>
      <c r="AC685" s="7"/>
      <c r="AD685" s="7"/>
      <c r="AE685" s="7"/>
      <c r="AF685" s="7"/>
      <c r="AG685" s="7"/>
      <c r="AH685" s="7"/>
      <c r="AI685" s="7"/>
    </row>
    <row r="686" spans="12:35">
      <c r="L686" s="7">
        <v>23</v>
      </c>
      <c r="M686" s="7">
        <v>52</v>
      </c>
      <c r="N686" s="7" t="b">
        <f>AND($N$5,$N$7,12&lt;=$M$5,1&lt;=$M$7)</f>
        <v>0</v>
      </c>
      <c r="O686" s="7">
        <f>(P23-N23)*(O52-O23)-(Q23-O23)*(N52-N23)</f>
        <v>0</v>
      </c>
      <c r="P686" s="7">
        <f>(P23-N23)*(Q52-O23)-(Q23-O23)*(P52-N23)</f>
        <v>0</v>
      </c>
      <c r="Q686" s="7">
        <f>(P52-N52)*(O23-O52)-(Q52-O52)*(N23-N52)</f>
        <v>0</v>
      </c>
      <c r="R686" s="7">
        <f>(P52-N52)*(Q23-O52)-(Q52-O52)*(P23-N52)</f>
        <v>0</v>
      </c>
      <c r="S686" s="7">
        <f>IF(N686,IF(AND(O686*P686&lt;=0,Q686*R686&lt;=0,MAX(MIN(N23,P23),MIN(N52,P52))&lt;=MIN(MAX(N23,P23),MAX(N52,P52)),MAX(MIN(O23,Q23),MIN(O52,Q52))&lt;=MIN(MAX(O23,Q23),MAX(O52,Q52))),1,0),0)</f>
        <v>0</v>
      </c>
      <c r="T686" s="7"/>
      <c r="U686" s="7"/>
      <c r="V686" s="7"/>
      <c r="W686" s="7"/>
      <c r="X686" s="7"/>
      <c r="Y686" s="7"/>
      <c r="Z686" s="7"/>
      <c r="AA686" s="7"/>
      <c r="AB686" s="7"/>
      <c r="AC686" s="7"/>
      <c r="AD686" s="7"/>
      <c r="AE686" s="7"/>
      <c r="AF686" s="7"/>
      <c r="AG686" s="7"/>
      <c r="AH686" s="7"/>
      <c r="AI686" s="7"/>
    </row>
    <row r="687" spans="12:35">
      <c r="L687" s="7">
        <v>23</v>
      </c>
      <c r="M687" s="7">
        <v>53</v>
      </c>
      <c r="N687" s="7" t="b">
        <f>AND($N$5,$N$7,12&lt;=$M$5,2&lt;=$M$7)</f>
        <v>0</v>
      </c>
      <c r="O687" s="7">
        <f>(P23-N23)*(O53-O23)-(Q23-O23)*(N53-N23)</f>
        <v>0</v>
      </c>
      <c r="P687" s="7">
        <f>(P23-N23)*(Q53-O23)-(Q23-O23)*(P53-N23)</f>
        <v>0</v>
      </c>
      <c r="Q687" s="7">
        <f>(P53-N53)*(O23-O53)-(Q53-O53)*(N23-N53)</f>
        <v>0</v>
      </c>
      <c r="R687" s="7">
        <f>(P53-N53)*(Q23-O53)-(Q53-O53)*(P23-N53)</f>
        <v>0</v>
      </c>
      <c r="S687" s="7">
        <f>IF(N687,IF(AND(O687*P687&lt;=0,Q687*R687&lt;=0,MAX(MIN(N23,P23),MIN(N53,P53))&lt;=MIN(MAX(N23,P23),MAX(N53,P53)),MAX(MIN(O23,Q23),MIN(O53,Q53))&lt;=MIN(MAX(O23,Q23),MAX(O53,Q53))),1,0),0)</f>
        <v>0</v>
      </c>
      <c r="T687" s="7"/>
      <c r="U687" s="7"/>
      <c r="V687" s="7"/>
      <c r="W687" s="7"/>
      <c r="X687" s="7"/>
      <c r="Y687" s="7"/>
      <c r="Z687" s="7"/>
      <c r="AA687" s="7"/>
      <c r="AB687" s="7"/>
      <c r="AC687" s="7"/>
      <c r="AD687" s="7"/>
      <c r="AE687" s="7"/>
      <c r="AF687" s="7"/>
      <c r="AG687" s="7"/>
      <c r="AH687" s="7"/>
      <c r="AI687" s="7"/>
    </row>
    <row r="688" spans="12:35">
      <c r="L688" s="7">
        <v>23</v>
      </c>
      <c r="M688" s="7">
        <v>54</v>
      </c>
      <c r="N688" s="7" t="b">
        <f>AND($N$5,$N$7,12&lt;=$M$5,3&lt;=$M$7)</f>
        <v>0</v>
      </c>
      <c r="O688" s="7">
        <f>(P23-N23)*(O54-O23)-(Q23-O23)*(N54-N23)</f>
        <v>0</v>
      </c>
      <c r="P688" s="7">
        <f>(P23-N23)*(Q54-O23)-(Q23-O23)*(P54-N23)</f>
        <v>0</v>
      </c>
      <c r="Q688" s="7">
        <f>(P54-N54)*(O23-O54)-(Q54-O54)*(N23-N54)</f>
        <v>0</v>
      </c>
      <c r="R688" s="7">
        <f>(P54-N54)*(Q23-O54)-(Q54-O54)*(P23-N54)</f>
        <v>0</v>
      </c>
      <c r="S688" s="7">
        <f>IF(N688,IF(AND(O688*P688&lt;=0,Q688*R688&lt;=0,MAX(MIN(N23,P23),MIN(N54,P54))&lt;=MIN(MAX(N23,P23),MAX(N54,P54)),MAX(MIN(O23,Q23),MIN(O54,Q54))&lt;=MIN(MAX(O23,Q23),MAX(O54,Q54))),1,0),0)</f>
        <v>0</v>
      </c>
      <c r="T688" s="7"/>
      <c r="U688" s="7"/>
      <c r="V688" s="7"/>
      <c r="W688" s="7"/>
      <c r="X688" s="7"/>
      <c r="Y688" s="7"/>
      <c r="Z688" s="7"/>
      <c r="AA688" s="7"/>
      <c r="AB688" s="7"/>
      <c r="AC688" s="7"/>
      <c r="AD688" s="7"/>
      <c r="AE688" s="7"/>
      <c r="AF688" s="7"/>
      <c r="AG688" s="7"/>
      <c r="AH688" s="7"/>
      <c r="AI688" s="7"/>
    </row>
    <row r="689" spans="12:35">
      <c r="L689" s="7">
        <v>23</v>
      </c>
      <c r="M689" s="7">
        <v>55</v>
      </c>
      <c r="N689" s="7" t="b">
        <f>AND($N$5,$N$7,12&lt;=$M$5,4&lt;=$M$7)</f>
        <v>0</v>
      </c>
      <c r="O689" s="7">
        <f>(P23-N23)*(O55-O23)-(Q23-O23)*(N55-N23)</f>
        <v>0</v>
      </c>
      <c r="P689" s="7">
        <f>(P23-N23)*(Q55-O23)-(Q23-O23)*(P55-N23)</f>
        <v>0</v>
      </c>
      <c r="Q689" s="7">
        <f>(P55-N55)*(O23-O55)-(Q55-O55)*(N23-N55)</f>
        <v>0</v>
      </c>
      <c r="R689" s="7">
        <f>(P55-N55)*(Q23-O55)-(Q55-O55)*(P23-N55)</f>
        <v>0</v>
      </c>
      <c r="S689" s="7">
        <f>IF(N689,IF(AND(O689*P689&lt;=0,Q689*R689&lt;=0,MAX(MIN(N23,P23),MIN(N55,P55))&lt;=MIN(MAX(N23,P23),MAX(N55,P55)),MAX(MIN(O23,Q23),MIN(O55,Q55))&lt;=MIN(MAX(O23,Q23),MAX(O55,Q55))),1,0),0)</f>
        <v>0</v>
      </c>
      <c r="T689" s="7"/>
      <c r="U689" s="7"/>
      <c r="V689" s="7"/>
      <c r="W689" s="7"/>
      <c r="X689" s="7"/>
      <c r="Y689" s="7"/>
      <c r="Z689" s="7"/>
      <c r="AA689" s="7"/>
      <c r="AB689" s="7"/>
      <c r="AC689" s="7"/>
      <c r="AD689" s="7"/>
      <c r="AE689" s="7"/>
      <c r="AF689" s="7"/>
      <c r="AG689" s="7"/>
      <c r="AH689" s="7"/>
      <c r="AI689" s="7"/>
    </row>
    <row r="690" spans="12:35">
      <c r="L690" s="7">
        <v>23</v>
      </c>
      <c r="M690" s="7">
        <v>56</v>
      </c>
      <c r="N690" s="7" t="b">
        <f>AND($N$5,$N$7,12&lt;=$M$5,5&lt;=$M$7)</f>
        <v>0</v>
      </c>
      <c r="O690" s="7">
        <f>(P23-N23)*(O56-O23)-(Q23-O23)*(N56-N23)</f>
        <v>0</v>
      </c>
      <c r="P690" s="7">
        <f>(P23-N23)*(Q56-O23)-(Q23-O23)*(P56-N23)</f>
        <v>0</v>
      </c>
      <c r="Q690" s="7">
        <f>(P56-N56)*(O23-O56)-(Q56-O56)*(N23-N56)</f>
        <v>0</v>
      </c>
      <c r="R690" s="7">
        <f>(P56-N56)*(Q23-O56)-(Q56-O56)*(P23-N56)</f>
        <v>0</v>
      </c>
      <c r="S690" s="7">
        <f>IF(N690,IF(AND(O690*P690&lt;=0,Q690*R690&lt;=0,MAX(MIN(N23,P23),MIN(N56,P56))&lt;=MIN(MAX(N23,P23),MAX(N56,P56)),MAX(MIN(O23,Q23),MIN(O56,Q56))&lt;=MIN(MAX(O23,Q23),MAX(O56,Q56))),1,0),0)</f>
        <v>0</v>
      </c>
      <c r="T690" s="7"/>
      <c r="U690" s="7"/>
      <c r="V690" s="7"/>
      <c r="W690" s="7"/>
      <c r="X690" s="7"/>
      <c r="Y690" s="7"/>
      <c r="Z690" s="7"/>
      <c r="AA690" s="7"/>
      <c r="AB690" s="7"/>
      <c r="AC690" s="7"/>
      <c r="AD690" s="7"/>
      <c r="AE690" s="7"/>
      <c r="AF690" s="7"/>
      <c r="AG690" s="7"/>
      <c r="AH690" s="7"/>
      <c r="AI690" s="7"/>
    </row>
    <row r="691" spans="12:35">
      <c r="L691" s="7">
        <v>23</v>
      </c>
      <c r="M691" s="7">
        <v>57</v>
      </c>
      <c r="N691" s="7" t="b">
        <f>AND($N$5,$N$7,12&lt;=$M$5,6&lt;=$M$7)</f>
        <v>0</v>
      </c>
      <c r="O691" s="7">
        <f>(P23-N23)*(O57-O23)-(Q23-O23)*(N57-N23)</f>
        <v>0</v>
      </c>
      <c r="P691" s="7">
        <f>(P23-N23)*(Q57-O23)-(Q23-O23)*(P57-N23)</f>
        <v>0</v>
      </c>
      <c r="Q691" s="7">
        <f>(P57-N57)*(O23-O57)-(Q57-O57)*(N23-N57)</f>
        <v>0</v>
      </c>
      <c r="R691" s="7">
        <f>(P57-N57)*(Q23-O57)-(Q57-O57)*(P23-N57)</f>
        <v>0</v>
      </c>
      <c r="S691" s="7">
        <f>IF(N691,IF(AND(O691*P691&lt;=0,Q691*R691&lt;=0,MAX(MIN(N23,P23),MIN(N57,P57))&lt;=MIN(MAX(N23,P23),MAX(N57,P57)),MAX(MIN(O23,Q23),MIN(O57,Q57))&lt;=MIN(MAX(O23,Q23),MAX(O57,Q57))),1,0),0)</f>
        <v>0</v>
      </c>
      <c r="T691" s="7"/>
      <c r="U691" s="7"/>
      <c r="V691" s="7"/>
      <c r="W691" s="7"/>
      <c r="X691" s="7"/>
      <c r="Y691" s="7"/>
      <c r="Z691" s="7"/>
      <c r="AA691" s="7"/>
      <c r="AB691" s="7"/>
      <c r="AC691" s="7"/>
      <c r="AD691" s="7"/>
      <c r="AE691" s="7"/>
      <c r="AF691" s="7"/>
      <c r="AG691" s="7"/>
      <c r="AH691" s="7"/>
      <c r="AI691" s="7"/>
    </row>
    <row r="692" spans="12:35">
      <c r="L692" s="7">
        <v>23</v>
      </c>
      <c r="M692" s="7">
        <v>58</v>
      </c>
      <c r="N692" s="7" t="b">
        <f>AND($N$5,$N$7,12&lt;=$M$5,7&lt;=$M$7)</f>
        <v>0</v>
      </c>
      <c r="O692" s="7">
        <f>(P23-N23)*(O58-O23)-(Q23-O23)*(N58-N23)</f>
        <v>0</v>
      </c>
      <c r="P692" s="7">
        <f>(P23-N23)*(Q58-O23)-(Q23-O23)*(P58-N23)</f>
        <v>0</v>
      </c>
      <c r="Q692" s="7">
        <f>(P58-N58)*(O23-O58)-(Q58-O58)*(N23-N58)</f>
        <v>0</v>
      </c>
      <c r="R692" s="7">
        <f>(P58-N58)*(Q23-O58)-(Q58-O58)*(P23-N58)</f>
        <v>0</v>
      </c>
      <c r="S692" s="7">
        <f>IF(N692,IF(AND(O692*P692&lt;=0,Q692*R692&lt;=0,MAX(MIN(N23,P23),MIN(N58,P58))&lt;=MIN(MAX(N23,P23),MAX(N58,P58)),MAX(MIN(O23,Q23),MIN(O58,Q58))&lt;=MIN(MAX(O23,Q23),MAX(O58,Q58))),1,0),0)</f>
        <v>0</v>
      </c>
      <c r="T692" s="7"/>
      <c r="U692" s="7"/>
      <c r="V692" s="7"/>
      <c r="W692" s="7"/>
      <c r="X692" s="7"/>
      <c r="Y692" s="7"/>
      <c r="Z692" s="7"/>
      <c r="AA692" s="7"/>
      <c r="AB692" s="7"/>
      <c r="AC692" s="7"/>
      <c r="AD692" s="7"/>
      <c r="AE692" s="7"/>
      <c r="AF692" s="7"/>
      <c r="AG692" s="7"/>
      <c r="AH692" s="7"/>
      <c r="AI692" s="7"/>
    </row>
    <row r="693" spans="12:35">
      <c r="L693" s="7">
        <v>23</v>
      </c>
      <c r="M693" s="7">
        <v>59</v>
      </c>
      <c r="N693" s="7" t="b">
        <f>AND($N$5,$N$7,12&lt;=$M$5,8&lt;=$M$7)</f>
        <v>0</v>
      </c>
      <c r="O693" s="7">
        <f>(P23-N23)*(O59-O23)-(Q23-O23)*(N59-N23)</f>
        <v>0</v>
      </c>
      <c r="P693" s="7">
        <f>(P23-N23)*(Q59-O23)-(Q23-O23)*(P59-N23)</f>
        <v>0</v>
      </c>
      <c r="Q693" s="7">
        <f>(P59-N59)*(O23-O59)-(Q59-O59)*(N23-N59)</f>
        <v>0</v>
      </c>
      <c r="R693" s="7">
        <f>(P59-N59)*(Q23-O59)-(Q59-O59)*(P23-N59)</f>
        <v>0</v>
      </c>
      <c r="S693" s="7">
        <f>IF(N693,IF(AND(O693*P693&lt;=0,Q693*R693&lt;=0,MAX(MIN(N23,P23),MIN(N59,P59))&lt;=MIN(MAX(N23,P23),MAX(N59,P59)),MAX(MIN(O23,Q23),MIN(O59,Q59))&lt;=MIN(MAX(O23,Q23),MAX(O59,Q59))),1,0),0)</f>
        <v>0</v>
      </c>
      <c r="T693" s="7"/>
      <c r="U693" s="7"/>
      <c r="V693" s="7"/>
      <c r="W693" s="7"/>
      <c r="X693" s="7"/>
      <c r="Y693" s="7"/>
      <c r="Z693" s="7"/>
      <c r="AA693" s="7"/>
      <c r="AB693" s="7"/>
      <c r="AC693" s="7"/>
      <c r="AD693" s="7"/>
      <c r="AE693" s="7"/>
      <c r="AF693" s="7"/>
      <c r="AG693" s="7"/>
      <c r="AH693" s="7"/>
      <c r="AI693" s="7"/>
    </row>
    <row r="694" spans="12:35">
      <c r="L694" s="7">
        <v>23</v>
      </c>
      <c r="M694" s="7">
        <v>60</v>
      </c>
      <c r="N694" s="7" t="b">
        <f>AND($N$5,$N$7,12&lt;=$M$5,9&lt;=$M$7)</f>
        <v>0</v>
      </c>
      <c r="O694" s="7">
        <f>(P23-N23)*(O60-O23)-(Q23-O23)*(N60-N23)</f>
        <v>0</v>
      </c>
      <c r="P694" s="7">
        <f>(P23-N23)*(Q60-O23)-(Q23-O23)*(P60-N23)</f>
        <v>0</v>
      </c>
      <c r="Q694" s="7">
        <f>(P60-N60)*(O23-O60)-(Q60-O60)*(N23-N60)</f>
        <v>0</v>
      </c>
      <c r="R694" s="7">
        <f>(P60-N60)*(Q23-O60)-(Q60-O60)*(P23-N60)</f>
        <v>0</v>
      </c>
      <c r="S694" s="7">
        <f>IF(N694,IF(AND(O694*P694&lt;=0,Q694*R694&lt;=0,MAX(MIN(N23,P23),MIN(N60,P60))&lt;=MIN(MAX(N23,P23),MAX(N60,P60)),MAX(MIN(O23,Q23),MIN(O60,Q60))&lt;=MIN(MAX(O23,Q23),MAX(O60,Q60))),1,0),0)</f>
        <v>0</v>
      </c>
      <c r="T694" s="7"/>
      <c r="U694" s="7"/>
      <c r="V694" s="7"/>
      <c r="W694" s="7"/>
      <c r="X694" s="7"/>
      <c r="Y694" s="7"/>
      <c r="Z694" s="7"/>
      <c r="AA694" s="7"/>
      <c r="AB694" s="7"/>
      <c r="AC694" s="7"/>
      <c r="AD694" s="7"/>
      <c r="AE694" s="7"/>
      <c r="AF694" s="7"/>
      <c r="AG694" s="7"/>
      <c r="AH694" s="7"/>
      <c r="AI694" s="7"/>
    </row>
    <row r="695" spans="12:35">
      <c r="L695" s="7">
        <v>23</v>
      </c>
      <c r="M695" s="7">
        <v>61</v>
      </c>
      <c r="N695" s="7" t="b">
        <f>AND($N$5,$N$7,12&lt;=$M$5,10&lt;=$M$7)</f>
        <v>0</v>
      </c>
      <c r="O695" s="7">
        <f>(P23-N23)*(O61-O23)-(Q23-O23)*(N61-N23)</f>
        <v>0</v>
      </c>
      <c r="P695" s="7">
        <f>(P23-N23)*(Q61-O23)-(Q23-O23)*(P61-N23)</f>
        <v>0</v>
      </c>
      <c r="Q695" s="7">
        <f>(P61-N61)*(O23-O61)-(Q61-O61)*(N23-N61)</f>
        <v>0</v>
      </c>
      <c r="R695" s="7">
        <f>(P61-N61)*(Q23-O61)-(Q61-O61)*(P23-N61)</f>
        <v>0</v>
      </c>
      <c r="S695" s="7">
        <f>IF(N695,IF(AND(O695*P695&lt;=0,Q695*R695&lt;=0,MAX(MIN(N23,P23),MIN(N61,P61))&lt;=MIN(MAX(N23,P23),MAX(N61,P61)),MAX(MIN(O23,Q23),MIN(O61,Q61))&lt;=MIN(MAX(O23,Q23),MAX(O61,Q61))),1,0),0)</f>
        <v>0</v>
      </c>
      <c r="T695" s="7"/>
      <c r="U695" s="7"/>
      <c r="V695" s="7"/>
      <c r="W695" s="7"/>
      <c r="X695" s="7"/>
      <c r="Y695" s="7"/>
      <c r="Z695" s="7"/>
      <c r="AA695" s="7"/>
      <c r="AB695" s="7"/>
      <c r="AC695" s="7"/>
      <c r="AD695" s="7"/>
      <c r="AE695" s="7"/>
      <c r="AF695" s="7"/>
      <c r="AG695" s="7"/>
      <c r="AH695" s="7"/>
      <c r="AI695" s="7"/>
    </row>
    <row r="696" spans="12:35">
      <c r="L696" s="7">
        <v>23</v>
      </c>
      <c r="M696" s="7">
        <v>62</v>
      </c>
      <c r="N696" s="7" t="b">
        <f>AND($N$5,$N$7,12&lt;=$M$5,11&lt;=$M$7)</f>
        <v>0</v>
      </c>
      <c r="O696" s="7">
        <f>(P23-N23)*(O62-O23)-(Q23-O23)*(N62-N23)</f>
        <v>0</v>
      </c>
      <c r="P696" s="7">
        <f>(P23-N23)*(Q62-O23)-(Q23-O23)*(P62-N23)</f>
        <v>0</v>
      </c>
      <c r="Q696" s="7">
        <f>(P62-N62)*(O23-O62)-(Q62-O62)*(N23-N62)</f>
        <v>0</v>
      </c>
      <c r="R696" s="7">
        <f>(P62-N62)*(Q23-O62)-(Q62-O62)*(P23-N62)</f>
        <v>0</v>
      </c>
      <c r="S696" s="7">
        <f>IF(N696,IF(AND(O696*P696&lt;=0,Q696*R696&lt;=0,MAX(MIN(N23,P23),MIN(N62,P62))&lt;=MIN(MAX(N23,P23),MAX(N62,P62)),MAX(MIN(O23,Q23),MIN(O62,Q62))&lt;=MIN(MAX(O23,Q23),MAX(O62,Q62))),1,0),0)</f>
        <v>0</v>
      </c>
      <c r="T696" s="7"/>
      <c r="U696" s="7"/>
      <c r="V696" s="7"/>
      <c r="W696" s="7"/>
      <c r="X696" s="7"/>
      <c r="Y696" s="7"/>
      <c r="Z696" s="7"/>
      <c r="AA696" s="7"/>
      <c r="AB696" s="7"/>
      <c r="AC696" s="7"/>
      <c r="AD696" s="7"/>
      <c r="AE696" s="7"/>
      <c r="AF696" s="7"/>
      <c r="AG696" s="7"/>
      <c r="AH696" s="7"/>
      <c r="AI696" s="7"/>
    </row>
    <row r="697" spans="12:35">
      <c r="L697" s="7">
        <v>23</v>
      </c>
      <c r="M697" s="7">
        <v>63</v>
      </c>
      <c r="N697" s="7" t="b">
        <f>AND($N$5,$N$7,12&lt;=$M$5,12&lt;=$M$7)</f>
        <v>0</v>
      </c>
      <c r="O697" s="7">
        <f>(P23-N23)*(O63-O23)-(Q23-O23)*(N63-N23)</f>
        <v>0</v>
      </c>
      <c r="P697" s="7">
        <f>(P23-N23)*(Q63-O23)-(Q23-O23)*(P63-N23)</f>
        <v>0</v>
      </c>
      <c r="Q697" s="7">
        <f>(P63-N63)*(O23-O63)-(Q63-O63)*(N23-N63)</f>
        <v>0</v>
      </c>
      <c r="R697" s="7">
        <f>(P63-N63)*(Q23-O63)-(Q63-O63)*(P23-N63)</f>
        <v>0</v>
      </c>
      <c r="S697" s="7">
        <f>IF(N697,IF(AND(O697*P697&lt;=0,Q697*R697&lt;=0,MAX(MIN(N23,P23),MIN(N63,P63))&lt;=MIN(MAX(N23,P23),MAX(N63,P63)),MAX(MIN(O23,Q23),MIN(O63,Q63))&lt;=MIN(MAX(O23,Q23),MAX(O63,Q63))),1,0),0)</f>
        <v>0</v>
      </c>
      <c r="T697" s="7"/>
      <c r="U697" s="7"/>
      <c r="V697" s="7"/>
      <c r="W697" s="7"/>
      <c r="X697" s="7"/>
      <c r="Y697" s="7"/>
      <c r="Z697" s="7"/>
      <c r="AA697" s="7"/>
      <c r="AB697" s="7"/>
      <c r="AC697" s="7"/>
      <c r="AD697" s="7"/>
      <c r="AE697" s="7"/>
      <c r="AF697" s="7"/>
      <c r="AG697" s="7"/>
      <c r="AH697" s="7"/>
      <c r="AI697" s="7"/>
    </row>
    <row r="698" spans="12:35">
      <c r="L698" s="7">
        <v>23</v>
      </c>
      <c r="M698" s="7">
        <v>64</v>
      </c>
      <c r="N698" s="7" t="b">
        <f>AND($N$5,$N$7,12&lt;=$M$5,13&lt;=$M$7)</f>
        <v>0</v>
      </c>
      <c r="O698" s="7">
        <f>(P23-N23)*(O64-O23)-(Q23-O23)*(N64-N23)</f>
        <v>0</v>
      </c>
      <c r="P698" s="7">
        <f>(P23-N23)*(Q64-O23)-(Q23-O23)*(P64-N23)</f>
        <v>0</v>
      </c>
      <c r="Q698" s="7">
        <f>(P64-N64)*(O23-O64)-(Q64-O64)*(N23-N64)</f>
        <v>0</v>
      </c>
      <c r="R698" s="7">
        <f>(P64-N64)*(Q23-O64)-(Q64-O64)*(P23-N64)</f>
        <v>0</v>
      </c>
      <c r="S698" s="7">
        <f>IF(N698,IF(AND(O698*P698&lt;=0,Q698*R698&lt;=0,MAX(MIN(N23,P23),MIN(N64,P64))&lt;=MIN(MAX(N23,P23),MAX(N64,P64)),MAX(MIN(O23,Q23),MIN(O64,Q64))&lt;=MIN(MAX(O23,Q23),MAX(O64,Q64))),1,0),0)</f>
        <v>0</v>
      </c>
      <c r="T698" s="7"/>
      <c r="U698" s="7"/>
      <c r="V698" s="7"/>
      <c r="W698" s="7"/>
      <c r="X698" s="7"/>
      <c r="Y698" s="7"/>
      <c r="Z698" s="7"/>
      <c r="AA698" s="7"/>
      <c r="AB698" s="7"/>
      <c r="AC698" s="7"/>
      <c r="AD698" s="7"/>
      <c r="AE698" s="7"/>
      <c r="AF698" s="7"/>
      <c r="AG698" s="7"/>
      <c r="AH698" s="7"/>
      <c r="AI698" s="7"/>
    </row>
    <row r="699" spans="12:35">
      <c r="L699" s="7">
        <v>23</v>
      </c>
      <c r="M699" s="7">
        <v>65</v>
      </c>
      <c r="N699" s="7" t="b">
        <f>AND($N$5,$N$7,12&lt;=$M$5,14&lt;=$M$7)</f>
        <v>0</v>
      </c>
      <c r="O699" s="7">
        <f>(P23-N23)*(O65-O23)-(Q23-O23)*(N65-N23)</f>
        <v>0</v>
      </c>
      <c r="P699" s="7">
        <f>(P23-N23)*(Q65-O23)-(Q23-O23)*(P65-N23)</f>
        <v>0</v>
      </c>
      <c r="Q699" s="7">
        <f>(P65-N65)*(O23-O65)-(Q65-O65)*(N23-N65)</f>
        <v>0</v>
      </c>
      <c r="R699" s="7">
        <f>(P65-N65)*(Q23-O65)-(Q65-O65)*(P23-N65)</f>
        <v>0</v>
      </c>
      <c r="S699" s="7">
        <f>IF(N699,IF(AND(O699*P699&lt;=0,Q699*R699&lt;=0,MAX(MIN(N23,P23),MIN(N65,P65))&lt;=MIN(MAX(N23,P23),MAX(N65,P65)),MAX(MIN(O23,Q23),MIN(O65,Q65))&lt;=MIN(MAX(O23,Q23),MAX(O65,Q65))),1,0),0)</f>
        <v>0</v>
      </c>
      <c r="T699" s="7"/>
      <c r="U699" s="7"/>
      <c r="V699" s="7"/>
      <c r="W699" s="7"/>
      <c r="X699" s="7"/>
      <c r="Y699" s="7"/>
      <c r="Z699" s="7"/>
      <c r="AA699" s="7"/>
      <c r="AB699" s="7"/>
      <c r="AC699" s="7"/>
      <c r="AD699" s="7"/>
      <c r="AE699" s="7"/>
      <c r="AF699" s="7"/>
      <c r="AG699" s="7"/>
      <c r="AH699" s="7"/>
      <c r="AI699" s="7"/>
    </row>
    <row r="700" spans="12:35">
      <c r="L700" s="7">
        <v>23</v>
      </c>
      <c r="M700" s="7">
        <v>66</v>
      </c>
      <c r="N700" s="7" t="b">
        <f>AND($N$5,$N$7,12&lt;=$M$5,15&lt;=$M$7)</f>
        <v>0</v>
      </c>
      <c r="O700" s="7">
        <f>(P23-N23)*(O66-O23)-(Q23-O23)*(N66-N23)</f>
        <v>0</v>
      </c>
      <c r="P700" s="7">
        <f>(P23-N23)*(Q66-O23)-(Q23-O23)*(P66-N23)</f>
        <v>0</v>
      </c>
      <c r="Q700" s="7">
        <f>(P66-N66)*(O23-O66)-(Q66-O66)*(N23-N66)</f>
        <v>0</v>
      </c>
      <c r="R700" s="7">
        <f>(P66-N66)*(Q23-O66)-(Q66-O66)*(P23-N66)</f>
        <v>0</v>
      </c>
      <c r="S700" s="7">
        <f>IF(N700,IF(AND(O700*P700&lt;=0,Q700*R700&lt;=0,MAX(MIN(N23,P23),MIN(N66,P66))&lt;=MIN(MAX(N23,P23),MAX(N66,P66)),MAX(MIN(O23,Q23),MIN(O66,Q66))&lt;=MIN(MAX(O23,Q23),MAX(O66,Q66))),1,0),0)</f>
        <v>0</v>
      </c>
      <c r="T700" s="7"/>
      <c r="U700" s="7"/>
      <c r="V700" s="7"/>
      <c r="W700" s="7"/>
      <c r="X700" s="7"/>
      <c r="Y700" s="7"/>
      <c r="Z700" s="7"/>
      <c r="AA700" s="7"/>
      <c r="AB700" s="7"/>
      <c r="AC700" s="7"/>
      <c r="AD700" s="7"/>
      <c r="AE700" s="7"/>
      <c r="AF700" s="7"/>
      <c r="AG700" s="7"/>
      <c r="AH700" s="7"/>
      <c r="AI700" s="7"/>
    </row>
    <row r="701" spans="12:35">
      <c r="L701" s="7">
        <v>23</v>
      </c>
      <c r="M701" s="7">
        <v>67</v>
      </c>
      <c r="N701" s="7" t="b">
        <f>AND($N$5,$N$7,12&lt;=$M$5,16&lt;=$M$7)</f>
        <v>0</v>
      </c>
      <c r="O701" s="7">
        <f>(P23-N23)*(O67-O23)-(Q23-O23)*(N67-N23)</f>
        <v>0</v>
      </c>
      <c r="P701" s="7">
        <f>(P23-N23)*(Q67-O23)-(Q23-O23)*(P67-N23)</f>
        <v>0</v>
      </c>
      <c r="Q701" s="7">
        <f>(P67-N67)*(O23-O67)-(Q67-O67)*(N23-N67)</f>
        <v>0</v>
      </c>
      <c r="R701" s="7">
        <f>(P67-N67)*(Q23-O67)-(Q67-O67)*(P23-N67)</f>
        <v>0</v>
      </c>
      <c r="S701" s="7">
        <f>IF(N701,IF(AND(O701*P701&lt;=0,Q701*R701&lt;=0,MAX(MIN(N23,P23),MIN(N67,P67))&lt;=MIN(MAX(N23,P23),MAX(N67,P67)),MAX(MIN(O23,Q23),MIN(O67,Q67))&lt;=MIN(MAX(O23,Q23),MAX(O67,Q67))),1,0),0)</f>
        <v>0</v>
      </c>
      <c r="T701" s="7"/>
      <c r="U701" s="7"/>
      <c r="V701" s="7"/>
      <c r="W701" s="7"/>
      <c r="X701" s="7"/>
      <c r="Y701" s="7"/>
      <c r="Z701" s="7"/>
      <c r="AA701" s="7"/>
      <c r="AB701" s="7"/>
      <c r="AC701" s="7"/>
      <c r="AD701" s="7"/>
      <c r="AE701" s="7"/>
      <c r="AF701" s="7"/>
      <c r="AG701" s="7"/>
      <c r="AH701" s="7"/>
      <c r="AI701" s="7"/>
    </row>
    <row r="702" spans="12:35">
      <c r="L702" s="7">
        <v>23</v>
      </c>
      <c r="M702" s="7">
        <v>68</v>
      </c>
      <c r="N702" s="7" t="b">
        <f>AND($N$5,$N$7,12&lt;=$M$5,17&lt;=$M$7)</f>
        <v>0</v>
      </c>
      <c r="O702" s="7">
        <f>(P23-N23)*(O68-O23)-(Q23-O23)*(N68-N23)</f>
        <v>0</v>
      </c>
      <c r="P702" s="7">
        <f>(P23-N23)*(Q68-O23)-(Q23-O23)*(P68-N23)</f>
        <v>0</v>
      </c>
      <c r="Q702" s="7">
        <f>(P68-N68)*(O23-O68)-(Q68-O68)*(N23-N68)</f>
        <v>0</v>
      </c>
      <c r="R702" s="7">
        <f>(P68-N68)*(Q23-O68)-(Q68-O68)*(P23-N68)</f>
        <v>0</v>
      </c>
      <c r="S702" s="7">
        <f>IF(N702,IF(AND(O702*P702&lt;=0,Q702*R702&lt;=0,MAX(MIN(N23,P23),MIN(N68,P68))&lt;=MIN(MAX(N23,P23),MAX(N68,P68)),MAX(MIN(O23,Q23),MIN(O68,Q68))&lt;=MIN(MAX(O23,Q23),MAX(O68,Q68))),1,0),0)</f>
        <v>0</v>
      </c>
      <c r="T702" s="7"/>
      <c r="U702" s="7"/>
      <c r="V702" s="7"/>
      <c r="W702" s="7"/>
      <c r="X702" s="7"/>
      <c r="Y702" s="7"/>
      <c r="Z702" s="7"/>
      <c r="AA702" s="7"/>
      <c r="AB702" s="7"/>
      <c r="AC702" s="7"/>
      <c r="AD702" s="7"/>
      <c r="AE702" s="7"/>
      <c r="AF702" s="7"/>
      <c r="AG702" s="7"/>
      <c r="AH702" s="7"/>
      <c r="AI702" s="7"/>
    </row>
    <row r="703" spans="12:35">
      <c r="L703" s="7">
        <v>23</v>
      </c>
      <c r="M703" s="7">
        <v>69</v>
      </c>
      <c r="N703" s="7" t="b">
        <f>AND($N$5,$N$7,12&lt;=$M$5,18&lt;=$M$7)</f>
        <v>0</v>
      </c>
      <c r="O703" s="7">
        <f>(P23-N23)*(O69-O23)-(Q23-O23)*(N69-N23)</f>
        <v>0</v>
      </c>
      <c r="P703" s="7">
        <f>(P23-N23)*(Q69-O23)-(Q23-O23)*(P69-N23)</f>
        <v>0</v>
      </c>
      <c r="Q703" s="7">
        <f>(P69-N69)*(O23-O69)-(Q69-O69)*(N23-N69)</f>
        <v>0</v>
      </c>
      <c r="R703" s="7">
        <f>(P69-N69)*(Q23-O69)-(Q69-O69)*(P23-N69)</f>
        <v>0</v>
      </c>
      <c r="S703" s="7">
        <f>IF(N703,IF(AND(O703*P703&lt;=0,Q703*R703&lt;=0,MAX(MIN(N23,P23),MIN(N69,P69))&lt;=MIN(MAX(N23,P23),MAX(N69,P69)),MAX(MIN(O23,Q23),MIN(O69,Q69))&lt;=MIN(MAX(O23,Q23),MAX(O69,Q69))),1,0),0)</f>
        <v>0</v>
      </c>
      <c r="T703" s="7"/>
      <c r="U703" s="7"/>
      <c r="V703" s="7"/>
      <c r="W703" s="7"/>
      <c r="X703" s="7"/>
      <c r="Y703" s="7"/>
      <c r="Z703" s="7"/>
      <c r="AA703" s="7"/>
      <c r="AB703" s="7"/>
      <c r="AC703" s="7"/>
      <c r="AD703" s="7"/>
      <c r="AE703" s="7"/>
      <c r="AF703" s="7"/>
      <c r="AG703" s="7"/>
      <c r="AH703" s="7"/>
      <c r="AI703" s="7"/>
    </row>
    <row r="704" spans="12:35">
      <c r="L704" s="7">
        <v>23</v>
      </c>
      <c r="M704" s="7">
        <v>70</v>
      </c>
      <c r="N704" s="7" t="b">
        <f>AND($N$5,$N$7,12&lt;=$M$5,19&lt;=$M$7)</f>
        <v>0</v>
      </c>
      <c r="O704" s="7">
        <f>(P23-N23)*(O70-O23)-(Q23-O23)*(N70-N23)</f>
        <v>0</v>
      </c>
      <c r="P704" s="7">
        <f>(P23-N23)*(Q70-O23)-(Q23-O23)*(P70-N23)</f>
        <v>0</v>
      </c>
      <c r="Q704" s="7">
        <f>(P70-N70)*(O23-O70)-(Q70-O70)*(N23-N70)</f>
        <v>0</v>
      </c>
      <c r="R704" s="7">
        <f>(P70-N70)*(Q23-O70)-(Q70-O70)*(P23-N70)</f>
        <v>0</v>
      </c>
      <c r="S704" s="7">
        <f>IF(N704,IF(AND(O704*P704&lt;=0,Q704*R704&lt;=0,MAX(MIN(N23,P23),MIN(N70,P70))&lt;=MIN(MAX(N23,P23),MAX(N70,P70)),MAX(MIN(O23,Q23),MIN(O70,Q70))&lt;=MIN(MAX(O23,Q23),MAX(O70,Q70))),1,0),0)</f>
        <v>0</v>
      </c>
      <c r="T704" s="7"/>
      <c r="U704" s="7"/>
      <c r="V704" s="7"/>
      <c r="W704" s="7"/>
      <c r="X704" s="7"/>
      <c r="Y704" s="7"/>
      <c r="Z704" s="7"/>
      <c r="AA704" s="7"/>
      <c r="AB704" s="7"/>
      <c r="AC704" s="7"/>
      <c r="AD704" s="7"/>
      <c r="AE704" s="7"/>
      <c r="AF704" s="7"/>
      <c r="AG704" s="7"/>
      <c r="AH704" s="7"/>
      <c r="AI704" s="7"/>
    </row>
    <row r="705" spans="12:35">
      <c r="L705" s="7">
        <v>23</v>
      </c>
      <c r="M705" s="7">
        <v>71</v>
      </c>
      <c r="N705" s="7" t="b">
        <f>AND($N$5,$N$7,12&lt;=$M$5,20&lt;=$M$7)</f>
        <v>0</v>
      </c>
      <c r="O705" s="7">
        <f>(P23-N23)*(O71-O23)-(Q23-O23)*(N71-N23)</f>
        <v>0</v>
      </c>
      <c r="P705" s="7">
        <f>(P23-N23)*(Q71-O23)-(Q23-O23)*(P71-N23)</f>
        <v>0</v>
      </c>
      <c r="Q705" s="7">
        <f>(P71-N71)*(O23-O71)-(Q71-O71)*(N23-N71)</f>
        <v>0</v>
      </c>
      <c r="R705" s="7">
        <f>(P71-N71)*(Q23-O71)-(Q71-O71)*(P23-N71)</f>
        <v>0</v>
      </c>
      <c r="S705" s="7">
        <f>IF(N705,IF(AND(O705*P705&lt;=0,Q705*R705&lt;=0,MAX(MIN(N23,P23),MIN(N71,P71))&lt;=MIN(MAX(N23,P23),MAX(N71,P71)),MAX(MIN(O23,Q23),MIN(O71,Q71))&lt;=MIN(MAX(O23,Q23),MAX(O71,Q71))),1,0),0)</f>
        <v>0</v>
      </c>
      <c r="T705" s="7"/>
      <c r="U705" s="7"/>
      <c r="V705" s="7"/>
      <c r="W705" s="7"/>
      <c r="X705" s="7"/>
      <c r="Y705" s="7"/>
      <c r="Z705" s="7"/>
      <c r="AA705" s="7"/>
      <c r="AB705" s="7"/>
      <c r="AC705" s="7"/>
      <c r="AD705" s="7"/>
      <c r="AE705" s="7"/>
      <c r="AF705" s="7"/>
      <c r="AG705" s="7"/>
      <c r="AH705" s="7"/>
      <c r="AI705" s="7"/>
    </row>
    <row r="706" spans="12:35">
      <c r="L706" s="7">
        <v>24</v>
      </c>
      <c r="M706" s="7">
        <v>26</v>
      </c>
      <c r="N706" s="7" t="b">
        <f>AND($N$5,$N$5,13&lt;=$M$5,15&lt;=$M$5)</f>
        <v>0</v>
      </c>
      <c r="O706" s="7">
        <f>(P24-N24)*(O26-O24)-(Q24-O24)*(N26-N24)</f>
        <v>0</v>
      </c>
      <c r="P706" s="7">
        <f>(P24-N24)*(Q26-O24)-(Q24-O24)*(P26-N24)</f>
        <v>0</v>
      </c>
      <c r="Q706" s="7">
        <f>(P26-N26)*(O24-O26)-(Q26-O26)*(N24-N26)</f>
        <v>0</v>
      </c>
      <c r="R706" s="7">
        <f>(P26-N26)*(Q24-O26)-(Q26-O26)*(P24-N26)</f>
        <v>0</v>
      </c>
      <c r="S706" s="7">
        <f>IF(N706,IF(AND(O706*P706&lt;=0,Q706*R706&lt;=0,MAX(MIN(N24,P24),MIN(N26,P26))&lt;=MIN(MAX(N24,P24),MAX(N26,P26)),MAX(MIN(O24,Q24),MIN(O26,Q26))&lt;=MIN(MAX(O24,Q24),MAX(O26,Q26))),1,0),0)</f>
        <v>0</v>
      </c>
      <c r="T706" s="7"/>
      <c r="U706" s="7"/>
      <c r="V706" s="7"/>
      <c r="W706" s="7"/>
      <c r="X706" s="7"/>
      <c r="Y706" s="7"/>
      <c r="Z706" s="7"/>
      <c r="AA706" s="7"/>
      <c r="AB706" s="7"/>
      <c r="AC706" s="7"/>
      <c r="AD706" s="7"/>
      <c r="AE706" s="7"/>
      <c r="AF706" s="7"/>
      <c r="AG706" s="7"/>
      <c r="AH706" s="7"/>
      <c r="AI706" s="7"/>
    </row>
    <row r="707" spans="12:35">
      <c r="L707" s="7">
        <v>24</v>
      </c>
      <c r="M707" s="7">
        <v>27</v>
      </c>
      <c r="N707" s="7" t="b">
        <f>AND($N$5,$N$5,13&lt;=$M$5,16&lt;=$M$5)</f>
        <v>0</v>
      </c>
      <c r="O707" s="7">
        <f>(P24-N24)*(O27-O24)-(Q24-O24)*(N27-N24)</f>
        <v>0</v>
      </c>
      <c r="P707" s="7">
        <f>(P24-N24)*(Q27-O24)-(Q24-O24)*(P27-N24)</f>
        <v>0</v>
      </c>
      <c r="Q707" s="7">
        <f>(P27-N27)*(O24-O27)-(Q27-O27)*(N24-N27)</f>
        <v>0</v>
      </c>
      <c r="R707" s="7">
        <f>(P27-N27)*(Q24-O27)-(Q27-O27)*(P24-N27)</f>
        <v>0</v>
      </c>
      <c r="S707" s="7">
        <f>IF(N707,IF(AND(O707*P707&lt;=0,Q707*R707&lt;=0,MAX(MIN(N24,P24),MIN(N27,P27))&lt;=MIN(MAX(N24,P24),MAX(N27,P27)),MAX(MIN(O24,Q24),MIN(O27,Q27))&lt;=MIN(MAX(O24,Q24),MAX(O27,Q27))),1,0),0)</f>
        <v>0</v>
      </c>
      <c r="T707" s="7"/>
      <c r="U707" s="7"/>
      <c r="V707" s="7"/>
      <c r="W707" s="7"/>
      <c r="X707" s="7"/>
      <c r="Y707" s="7"/>
      <c r="Z707" s="7"/>
      <c r="AA707" s="7"/>
      <c r="AB707" s="7"/>
      <c r="AC707" s="7"/>
      <c r="AD707" s="7"/>
      <c r="AE707" s="7"/>
      <c r="AF707" s="7"/>
      <c r="AG707" s="7"/>
      <c r="AH707" s="7"/>
      <c r="AI707" s="7"/>
    </row>
    <row r="708" spans="12:35">
      <c r="L708" s="7">
        <v>24</v>
      </c>
      <c r="M708" s="7">
        <v>28</v>
      </c>
      <c r="N708" s="7" t="b">
        <f>AND($N$5,$N$5,13&lt;=$M$5,17&lt;=$M$5)</f>
        <v>0</v>
      </c>
      <c r="O708" s="7">
        <f>(P24-N24)*(O28-O24)-(Q24-O24)*(N28-N24)</f>
        <v>0</v>
      </c>
      <c r="P708" s="7">
        <f>(P24-N24)*(Q28-O24)-(Q24-O24)*(P28-N24)</f>
        <v>0</v>
      </c>
      <c r="Q708" s="7">
        <f>(P28-N28)*(O24-O28)-(Q28-O28)*(N24-N28)</f>
        <v>0</v>
      </c>
      <c r="R708" s="7">
        <f>(P28-N28)*(Q24-O28)-(Q28-O28)*(P24-N28)</f>
        <v>0</v>
      </c>
      <c r="S708" s="7">
        <f>IF(N708,IF(AND(O708*P708&lt;=0,Q708*R708&lt;=0,MAX(MIN(N24,P24),MIN(N28,P28))&lt;=MIN(MAX(N24,P24),MAX(N28,P28)),MAX(MIN(O24,Q24),MIN(O28,Q28))&lt;=MIN(MAX(O24,Q24),MAX(O28,Q28))),1,0),0)</f>
        <v>0</v>
      </c>
      <c r="T708" s="7"/>
      <c r="U708" s="7"/>
      <c r="V708" s="7"/>
      <c r="W708" s="7"/>
      <c r="X708" s="7"/>
      <c r="Y708" s="7"/>
      <c r="Z708" s="7"/>
      <c r="AA708" s="7"/>
      <c r="AB708" s="7"/>
      <c r="AC708" s="7"/>
      <c r="AD708" s="7"/>
      <c r="AE708" s="7"/>
      <c r="AF708" s="7"/>
      <c r="AG708" s="7"/>
      <c r="AH708" s="7"/>
      <c r="AI708" s="7"/>
    </row>
    <row r="709" spans="12:35">
      <c r="L709" s="7">
        <v>24</v>
      </c>
      <c r="M709" s="7">
        <v>29</v>
      </c>
      <c r="N709" s="7" t="b">
        <f>AND($N$5,$N$5,13&lt;=$M$5,18&lt;=$M$5)</f>
        <v>0</v>
      </c>
      <c r="O709" s="7">
        <f>(P24-N24)*(O29-O24)-(Q24-O24)*(N29-N24)</f>
        <v>0</v>
      </c>
      <c r="P709" s="7">
        <f>(P24-N24)*(Q29-O24)-(Q24-O24)*(P29-N24)</f>
        <v>0</v>
      </c>
      <c r="Q709" s="7">
        <f>(P29-N29)*(O24-O29)-(Q29-O29)*(N24-N29)</f>
        <v>0</v>
      </c>
      <c r="R709" s="7">
        <f>(P29-N29)*(Q24-O29)-(Q29-O29)*(P24-N29)</f>
        <v>0</v>
      </c>
      <c r="S709" s="7">
        <f>IF(N709,IF(AND(O709*P709&lt;=0,Q709*R709&lt;=0,MAX(MIN(N24,P24),MIN(N29,P29))&lt;=MIN(MAX(N24,P24),MAX(N29,P29)),MAX(MIN(O24,Q24),MIN(O29,Q29))&lt;=MIN(MAX(O24,Q24),MAX(O29,Q29))),1,0),0)</f>
        <v>0</v>
      </c>
      <c r="T709" s="7"/>
      <c r="U709" s="7"/>
      <c r="V709" s="7"/>
      <c r="W709" s="7"/>
      <c r="X709" s="7"/>
      <c r="Y709" s="7"/>
      <c r="Z709" s="7"/>
      <c r="AA709" s="7"/>
      <c r="AB709" s="7"/>
      <c r="AC709" s="7"/>
      <c r="AD709" s="7"/>
      <c r="AE709" s="7"/>
      <c r="AF709" s="7"/>
      <c r="AG709" s="7"/>
      <c r="AH709" s="7"/>
      <c r="AI709" s="7"/>
    </row>
    <row r="710" spans="12:35">
      <c r="L710" s="7">
        <v>24</v>
      </c>
      <c r="M710" s="7">
        <v>30</v>
      </c>
      <c r="N710" s="7" t="b">
        <f>AND($N$5,$N$5,13&lt;=$M$5,19&lt;=$M$5)</f>
        <v>0</v>
      </c>
      <c r="O710" s="7">
        <f>(P24-N24)*(O30-O24)-(Q24-O24)*(N30-N24)</f>
        <v>0</v>
      </c>
      <c r="P710" s="7">
        <f>(P24-N24)*(Q30-O24)-(Q24-O24)*(P30-N24)</f>
        <v>0</v>
      </c>
      <c r="Q710" s="7">
        <f>(P30-N30)*(O24-O30)-(Q30-O30)*(N24-N30)</f>
        <v>0</v>
      </c>
      <c r="R710" s="7">
        <f>(P30-N30)*(Q24-O30)-(Q30-O30)*(P24-N30)</f>
        <v>0</v>
      </c>
      <c r="S710" s="7">
        <f>IF(N710,IF(AND(O710*P710&lt;=0,Q710*R710&lt;=0,MAX(MIN(N24,P24),MIN(N30,P30))&lt;=MIN(MAX(N24,P24),MAX(N30,P30)),MAX(MIN(O24,Q24),MIN(O30,Q30))&lt;=MIN(MAX(O24,Q24),MAX(O30,Q30))),1,0),0)</f>
        <v>0</v>
      </c>
      <c r="T710" s="7"/>
      <c r="U710" s="7"/>
      <c r="V710" s="7"/>
      <c r="W710" s="7"/>
      <c r="X710" s="7"/>
      <c r="Y710" s="7"/>
      <c r="Z710" s="7"/>
      <c r="AA710" s="7"/>
      <c r="AB710" s="7"/>
      <c r="AC710" s="7"/>
      <c r="AD710" s="7"/>
      <c r="AE710" s="7"/>
      <c r="AF710" s="7"/>
      <c r="AG710" s="7"/>
      <c r="AH710" s="7"/>
      <c r="AI710" s="7"/>
    </row>
    <row r="711" spans="12:35">
      <c r="L711" s="7">
        <v>24</v>
      </c>
      <c r="M711" s="7">
        <v>31</v>
      </c>
      <c r="N711" s="7" t="b">
        <f>AND($N$5,$N$5,13&lt;=$M$5,20&lt;=$M$5)</f>
        <v>0</v>
      </c>
      <c r="O711" s="7">
        <f>(P24-N24)*(O31-O24)-(Q24-O24)*(N31-N24)</f>
        <v>0</v>
      </c>
      <c r="P711" s="7">
        <f>(P24-N24)*(Q31-O24)-(Q24-O24)*(P31-N24)</f>
        <v>0</v>
      </c>
      <c r="Q711" s="7">
        <f>(P31-N31)*(O24-O31)-(Q31-O31)*(N24-N31)</f>
        <v>0</v>
      </c>
      <c r="R711" s="7">
        <f>(P31-N31)*(Q24-O31)-(Q31-O31)*(P24-N31)</f>
        <v>0</v>
      </c>
      <c r="S711" s="7">
        <f>IF(N711,IF(AND(O711*P711&lt;=0,Q711*R711&lt;=0,MAX(MIN(N24,P24),MIN(N31,P31))&lt;=MIN(MAX(N24,P24),MAX(N31,P31)),MAX(MIN(O24,Q24),MIN(O31,Q31))&lt;=MIN(MAX(O24,Q24),MAX(O31,Q31))),1,0),0)</f>
        <v>0</v>
      </c>
      <c r="T711" s="7"/>
      <c r="U711" s="7"/>
      <c r="V711" s="7"/>
      <c r="W711" s="7"/>
      <c r="X711" s="7"/>
      <c r="Y711" s="7"/>
      <c r="Z711" s="7"/>
      <c r="AA711" s="7"/>
      <c r="AB711" s="7"/>
      <c r="AC711" s="7"/>
      <c r="AD711" s="7"/>
      <c r="AE711" s="7"/>
      <c r="AF711" s="7"/>
      <c r="AG711" s="7"/>
      <c r="AH711" s="7"/>
      <c r="AI711" s="7"/>
    </row>
    <row r="712" spans="12:35">
      <c r="L712" s="7">
        <v>24</v>
      </c>
      <c r="M712" s="7">
        <v>32</v>
      </c>
      <c r="N712" s="7" t="b">
        <f>AND($N$5,$N$6,13&lt;=$M$5,1&lt;=$M$6)</f>
        <v>0</v>
      </c>
      <c r="O712" s="7">
        <f>(P24-N24)*(O32-O24)-(Q24-O24)*(N32-N24)</f>
        <v>0</v>
      </c>
      <c r="P712" s="7">
        <f>(P24-N24)*(Q32-O24)-(Q24-O24)*(P32-N24)</f>
        <v>0</v>
      </c>
      <c r="Q712" s="7">
        <f>(P32-N32)*(O24-O32)-(Q32-O32)*(N24-N32)</f>
        <v>0</v>
      </c>
      <c r="R712" s="7">
        <f>(P32-N32)*(Q24-O32)-(Q32-O32)*(P24-N32)</f>
        <v>0</v>
      </c>
      <c r="S712" s="7">
        <f>IF(N712,IF(AND(O712*P712&lt;=0,Q712*R712&lt;=0,MAX(MIN(N24,P24),MIN(N32,P32))&lt;=MIN(MAX(N24,P24),MAX(N32,P32)),MAX(MIN(O24,Q24),MIN(O32,Q32))&lt;=MIN(MAX(O24,Q24),MAX(O32,Q32))),1,0),0)</f>
        <v>0</v>
      </c>
      <c r="T712" s="7"/>
      <c r="U712" s="7"/>
      <c r="V712" s="7"/>
      <c r="W712" s="7"/>
      <c r="X712" s="7"/>
      <c r="Y712" s="7"/>
      <c r="Z712" s="7"/>
      <c r="AA712" s="7"/>
      <c r="AB712" s="7"/>
      <c r="AC712" s="7"/>
      <c r="AD712" s="7"/>
      <c r="AE712" s="7"/>
      <c r="AF712" s="7"/>
      <c r="AG712" s="7"/>
      <c r="AH712" s="7"/>
      <c r="AI712" s="7"/>
    </row>
    <row r="713" spans="12:35">
      <c r="L713" s="7">
        <v>24</v>
      </c>
      <c r="M713" s="7">
        <v>33</v>
      </c>
      <c r="N713" s="7" t="b">
        <f>AND($N$5,$N$6,13&lt;=$M$5,2&lt;=$M$6)</f>
        <v>0</v>
      </c>
      <c r="O713" s="7">
        <f>(P24-N24)*(O33-O24)-(Q24-O24)*(N33-N24)</f>
        <v>0</v>
      </c>
      <c r="P713" s="7">
        <f>(P24-N24)*(Q33-O24)-(Q24-O24)*(P33-N24)</f>
        <v>0</v>
      </c>
      <c r="Q713" s="7">
        <f>(P33-N33)*(O24-O33)-(Q33-O33)*(N24-N33)</f>
        <v>0</v>
      </c>
      <c r="R713" s="7">
        <f>(P33-N33)*(Q24-O33)-(Q33-O33)*(P24-N33)</f>
        <v>0</v>
      </c>
      <c r="S713" s="7">
        <f>IF(N713,IF(AND(O713*P713&lt;=0,Q713*R713&lt;=0,MAX(MIN(N24,P24),MIN(N33,P33))&lt;=MIN(MAX(N24,P24),MAX(N33,P33)),MAX(MIN(O24,Q24),MIN(O33,Q33))&lt;=MIN(MAX(O24,Q24),MAX(O33,Q33))),1,0),0)</f>
        <v>0</v>
      </c>
      <c r="T713" s="7"/>
      <c r="U713" s="7"/>
      <c r="V713" s="7"/>
      <c r="W713" s="7"/>
      <c r="X713" s="7"/>
      <c r="Y713" s="7"/>
      <c r="Z713" s="7"/>
      <c r="AA713" s="7"/>
      <c r="AB713" s="7"/>
      <c r="AC713" s="7"/>
      <c r="AD713" s="7"/>
      <c r="AE713" s="7"/>
      <c r="AF713" s="7"/>
      <c r="AG713" s="7"/>
      <c r="AH713" s="7"/>
      <c r="AI713" s="7"/>
    </row>
    <row r="714" spans="12:35">
      <c r="L714" s="7">
        <v>24</v>
      </c>
      <c r="M714" s="7">
        <v>34</v>
      </c>
      <c r="N714" s="7" t="b">
        <f>AND($N$5,$N$6,13&lt;=$M$5,3&lt;=$M$6)</f>
        <v>0</v>
      </c>
      <c r="O714" s="7">
        <f>(P24-N24)*(O34-O24)-(Q24-O24)*(N34-N24)</f>
        <v>0</v>
      </c>
      <c r="P714" s="7">
        <f>(P24-N24)*(Q34-O24)-(Q24-O24)*(P34-N24)</f>
        <v>0</v>
      </c>
      <c r="Q714" s="7">
        <f>(P34-N34)*(O24-O34)-(Q34-O34)*(N24-N34)</f>
        <v>0</v>
      </c>
      <c r="R714" s="7">
        <f>(P34-N34)*(Q24-O34)-(Q34-O34)*(P24-N34)</f>
        <v>0</v>
      </c>
      <c r="S714" s="7">
        <f>IF(N714,IF(AND(O714*P714&lt;=0,Q714*R714&lt;=0,MAX(MIN(N24,P24),MIN(N34,P34))&lt;=MIN(MAX(N24,P24),MAX(N34,P34)),MAX(MIN(O24,Q24),MIN(O34,Q34))&lt;=MIN(MAX(O24,Q24),MAX(O34,Q34))),1,0),0)</f>
        <v>0</v>
      </c>
      <c r="T714" s="7"/>
      <c r="U714" s="7"/>
      <c r="V714" s="7"/>
      <c r="W714" s="7"/>
      <c r="X714" s="7"/>
      <c r="Y714" s="7"/>
      <c r="Z714" s="7"/>
      <c r="AA714" s="7"/>
      <c r="AB714" s="7"/>
      <c r="AC714" s="7"/>
      <c r="AD714" s="7"/>
      <c r="AE714" s="7"/>
      <c r="AF714" s="7"/>
      <c r="AG714" s="7"/>
      <c r="AH714" s="7"/>
      <c r="AI714" s="7"/>
    </row>
    <row r="715" spans="12:35">
      <c r="L715" s="7">
        <v>24</v>
      </c>
      <c r="M715" s="7">
        <v>35</v>
      </c>
      <c r="N715" s="7" t="b">
        <f>AND($N$5,$N$6,13&lt;=$M$5,4&lt;=$M$6)</f>
        <v>0</v>
      </c>
      <c r="O715" s="7">
        <f>(P24-N24)*(O35-O24)-(Q24-O24)*(N35-N24)</f>
        <v>0</v>
      </c>
      <c r="P715" s="7">
        <f>(P24-N24)*(Q35-O24)-(Q24-O24)*(P35-N24)</f>
        <v>0</v>
      </c>
      <c r="Q715" s="7">
        <f>(P35-N35)*(O24-O35)-(Q35-O35)*(N24-N35)</f>
        <v>0</v>
      </c>
      <c r="R715" s="7">
        <f>(P35-N35)*(Q24-O35)-(Q35-O35)*(P24-N35)</f>
        <v>0</v>
      </c>
      <c r="S715" s="7">
        <f>IF(N715,IF(AND(O715*P715&lt;=0,Q715*R715&lt;=0,MAX(MIN(N24,P24),MIN(N35,P35))&lt;=MIN(MAX(N24,P24),MAX(N35,P35)),MAX(MIN(O24,Q24),MIN(O35,Q35))&lt;=MIN(MAX(O24,Q24),MAX(O35,Q35))),1,0),0)</f>
        <v>0</v>
      </c>
      <c r="T715" s="7"/>
      <c r="U715" s="7"/>
      <c r="V715" s="7"/>
      <c r="W715" s="7"/>
      <c r="X715" s="7"/>
      <c r="Y715" s="7"/>
      <c r="Z715" s="7"/>
      <c r="AA715" s="7"/>
      <c r="AB715" s="7"/>
      <c r="AC715" s="7"/>
      <c r="AD715" s="7"/>
      <c r="AE715" s="7"/>
      <c r="AF715" s="7"/>
      <c r="AG715" s="7"/>
      <c r="AH715" s="7"/>
      <c r="AI715" s="7"/>
    </row>
    <row r="716" spans="12:35">
      <c r="L716" s="7">
        <v>24</v>
      </c>
      <c r="M716" s="7">
        <v>36</v>
      </c>
      <c r="N716" s="7" t="b">
        <f>AND($N$5,$N$6,13&lt;=$M$5,5&lt;=$M$6)</f>
        <v>0</v>
      </c>
      <c r="O716" s="7">
        <f>(P24-N24)*(O36-O24)-(Q24-O24)*(N36-N24)</f>
        <v>0</v>
      </c>
      <c r="P716" s="7">
        <f>(P24-N24)*(Q36-O24)-(Q24-O24)*(P36-N24)</f>
        <v>0</v>
      </c>
      <c r="Q716" s="7">
        <f>(P36-N36)*(O24-O36)-(Q36-O36)*(N24-N36)</f>
        <v>0</v>
      </c>
      <c r="R716" s="7">
        <f>(P36-N36)*(Q24-O36)-(Q36-O36)*(P24-N36)</f>
        <v>0</v>
      </c>
      <c r="S716" s="7">
        <f>IF(N716,IF(AND(O716*P716&lt;=0,Q716*R716&lt;=0,MAX(MIN(N24,P24),MIN(N36,P36))&lt;=MIN(MAX(N24,P24),MAX(N36,P36)),MAX(MIN(O24,Q24),MIN(O36,Q36))&lt;=MIN(MAX(O24,Q24),MAX(O36,Q36))),1,0),0)</f>
        <v>0</v>
      </c>
      <c r="T716" s="7"/>
      <c r="U716" s="7"/>
      <c r="V716" s="7"/>
      <c r="W716" s="7"/>
      <c r="X716" s="7"/>
      <c r="Y716" s="7"/>
      <c r="Z716" s="7"/>
      <c r="AA716" s="7"/>
      <c r="AB716" s="7"/>
      <c r="AC716" s="7"/>
      <c r="AD716" s="7"/>
      <c r="AE716" s="7"/>
      <c r="AF716" s="7"/>
      <c r="AG716" s="7"/>
      <c r="AH716" s="7"/>
      <c r="AI716" s="7"/>
    </row>
    <row r="717" spans="12:35">
      <c r="L717" s="7">
        <v>24</v>
      </c>
      <c r="M717" s="7">
        <v>37</v>
      </c>
      <c r="N717" s="7" t="b">
        <f>AND($N$5,$N$6,13&lt;=$M$5,6&lt;=$M$6)</f>
        <v>0</v>
      </c>
      <c r="O717" s="7">
        <f>(P24-N24)*(O37-O24)-(Q24-O24)*(N37-N24)</f>
        <v>0</v>
      </c>
      <c r="P717" s="7">
        <f>(P24-N24)*(Q37-O24)-(Q24-O24)*(P37-N24)</f>
        <v>0</v>
      </c>
      <c r="Q717" s="7">
        <f>(P37-N37)*(O24-O37)-(Q37-O37)*(N24-N37)</f>
        <v>0</v>
      </c>
      <c r="R717" s="7">
        <f>(P37-N37)*(Q24-O37)-(Q37-O37)*(P24-N37)</f>
        <v>0</v>
      </c>
      <c r="S717" s="7">
        <f>IF(N717,IF(AND(O717*P717&lt;=0,Q717*R717&lt;=0,MAX(MIN(N24,P24),MIN(N37,P37))&lt;=MIN(MAX(N24,P24),MAX(N37,P37)),MAX(MIN(O24,Q24),MIN(O37,Q37))&lt;=MIN(MAX(O24,Q24),MAX(O37,Q37))),1,0),0)</f>
        <v>0</v>
      </c>
      <c r="T717" s="7"/>
      <c r="U717" s="7"/>
      <c r="V717" s="7"/>
      <c r="W717" s="7"/>
      <c r="X717" s="7"/>
      <c r="Y717" s="7"/>
      <c r="Z717" s="7"/>
      <c r="AA717" s="7"/>
      <c r="AB717" s="7"/>
      <c r="AC717" s="7"/>
      <c r="AD717" s="7"/>
      <c r="AE717" s="7"/>
      <c r="AF717" s="7"/>
      <c r="AG717" s="7"/>
      <c r="AH717" s="7"/>
      <c r="AI717" s="7"/>
    </row>
    <row r="718" spans="12:35">
      <c r="L718" s="7">
        <v>24</v>
      </c>
      <c r="M718" s="7">
        <v>38</v>
      </c>
      <c r="N718" s="7" t="b">
        <f>AND($N$5,$N$6,13&lt;=$M$5,7&lt;=$M$6)</f>
        <v>0</v>
      </c>
      <c r="O718" s="7">
        <f>(P24-N24)*(O38-O24)-(Q24-O24)*(N38-N24)</f>
        <v>0</v>
      </c>
      <c r="P718" s="7">
        <f>(P24-N24)*(Q38-O24)-(Q24-O24)*(P38-N24)</f>
        <v>0</v>
      </c>
      <c r="Q718" s="7">
        <f>(P38-N38)*(O24-O38)-(Q38-O38)*(N24-N38)</f>
        <v>0</v>
      </c>
      <c r="R718" s="7">
        <f>(P38-N38)*(Q24-O38)-(Q38-O38)*(P24-N38)</f>
        <v>0</v>
      </c>
      <c r="S718" s="7">
        <f>IF(N718,IF(AND(O718*P718&lt;=0,Q718*R718&lt;=0,MAX(MIN(N24,P24),MIN(N38,P38))&lt;=MIN(MAX(N24,P24),MAX(N38,P38)),MAX(MIN(O24,Q24),MIN(O38,Q38))&lt;=MIN(MAX(O24,Q24),MAX(O38,Q38))),1,0),0)</f>
        <v>0</v>
      </c>
      <c r="T718" s="7"/>
      <c r="U718" s="7"/>
      <c r="V718" s="7"/>
      <c r="W718" s="7"/>
      <c r="X718" s="7"/>
      <c r="Y718" s="7"/>
      <c r="Z718" s="7"/>
      <c r="AA718" s="7"/>
      <c r="AB718" s="7"/>
      <c r="AC718" s="7"/>
      <c r="AD718" s="7"/>
      <c r="AE718" s="7"/>
      <c r="AF718" s="7"/>
      <c r="AG718" s="7"/>
      <c r="AH718" s="7"/>
      <c r="AI718" s="7"/>
    </row>
    <row r="719" spans="12:35">
      <c r="L719" s="7">
        <v>24</v>
      </c>
      <c r="M719" s="7">
        <v>39</v>
      </c>
      <c r="N719" s="7" t="b">
        <f>AND($N$5,$N$6,13&lt;=$M$5,8&lt;=$M$6)</f>
        <v>0</v>
      </c>
      <c r="O719" s="7">
        <f>(P24-N24)*(O39-O24)-(Q24-O24)*(N39-N24)</f>
        <v>0</v>
      </c>
      <c r="P719" s="7">
        <f>(P24-N24)*(Q39-O24)-(Q24-O24)*(P39-N24)</f>
        <v>0</v>
      </c>
      <c r="Q719" s="7">
        <f>(P39-N39)*(O24-O39)-(Q39-O39)*(N24-N39)</f>
        <v>0</v>
      </c>
      <c r="R719" s="7">
        <f>(P39-N39)*(Q24-O39)-(Q39-O39)*(P24-N39)</f>
        <v>0</v>
      </c>
      <c r="S719" s="7">
        <f>IF(N719,IF(AND(O719*P719&lt;=0,Q719*R719&lt;=0,MAX(MIN(N24,P24),MIN(N39,P39))&lt;=MIN(MAX(N24,P24),MAX(N39,P39)),MAX(MIN(O24,Q24),MIN(O39,Q39))&lt;=MIN(MAX(O24,Q24),MAX(O39,Q39))),1,0),0)</f>
        <v>0</v>
      </c>
      <c r="T719" s="7"/>
      <c r="U719" s="7"/>
      <c r="V719" s="7"/>
      <c r="W719" s="7"/>
      <c r="X719" s="7"/>
      <c r="Y719" s="7"/>
      <c r="Z719" s="7"/>
      <c r="AA719" s="7"/>
      <c r="AB719" s="7"/>
      <c r="AC719" s="7"/>
      <c r="AD719" s="7"/>
      <c r="AE719" s="7"/>
      <c r="AF719" s="7"/>
      <c r="AG719" s="7"/>
      <c r="AH719" s="7"/>
      <c r="AI719" s="7"/>
    </row>
    <row r="720" spans="12:35">
      <c r="L720" s="7">
        <v>24</v>
      </c>
      <c r="M720" s="7">
        <v>40</v>
      </c>
      <c r="N720" s="7" t="b">
        <f>AND($N$5,$N$6,13&lt;=$M$5,9&lt;=$M$6)</f>
        <v>0</v>
      </c>
      <c r="O720" s="7">
        <f>(P24-N24)*(O40-O24)-(Q24-O24)*(N40-N24)</f>
        <v>0</v>
      </c>
      <c r="P720" s="7">
        <f>(P24-N24)*(Q40-O24)-(Q24-O24)*(P40-N24)</f>
        <v>0</v>
      </c>
      <c r="Q720" s="7">
        <f>(P40-N40)*(O24-O40)-(Q40-O40)*(N24-N40)</f>
        <v>0</v>
      </c>
      <c r="R720" s="7">
        <f>(P40-N40)*(Q24-O40)-(Q40-O40)*(P24-N40)</f>
        <v>0</v>
      </c>
      <c r="S720" s="7">
        <f>IF(N720,IF(AND(O720*P720&lt;=0,Q720*R720&lt;=0,MAX(MIN(N24,P24),MIN(N40,P40))&lt;=MIN(MAX(N24,P24),MAX(N40,P40)),MAX(MIN(O24,Q24),MIN(O40,Q40))&lt;=MIN(MAX(O24,Q24),MAX(O40,Q40))),1,0),0)</f>
        <v>0</v>
      </c>
      <c r="T720" s="7"/>
      <c r="U720" s="7"/>
      <c r="V720" s="7"/>
      <c r="W720" s="7"/>
      <c r="X720" s="7"/>
      <c r="Y720" s="7"/>
      <c r="Z720" s="7"/>
      <c r="AA720" s="7"/>
      <c r="AB720" s="7"/>
      <c r="AC720" s="7"/>
      <c r="AD720" s="7"/>
      <c r="AE720" s="7"/>
      <c r="AF720" s="7"/>
      <c r="AG720" s="7"/>
      <c r="AH720" s="7"/>
      <c r="AI720" s="7"/>
    </row>
    <row r="721" spans="12:35">
      <c r="L721" s="7">
        <v>24</v>
      </c>
      <c r="M721" s="7">
        <v>41</v>
      </c>
      <c r="N721" s="7" t="b">
        <f>AND($N$5,$N$6,13&lt;=$M$5,10&lt;=$M$6)</f>
        <v>0</v>
      </c>
      <c r="O721" s="7">
        <f>(P24-N24)*(O41-O24)-(Q24-O24)*(N41-N24)</f>
        <v>0</v>
      </c>
      <c r="P721" s="7">
        <f>(P24-N24)*(Q41-O24)-(Q24-O24)*(P41-N24)</f>
        <v>0</v>
      </c>
      <c r="Q721" s="7">
        <f>(P41-N41)*(O24-O41)-(Q41-O41)*(N24-N41)</f>
        <v>0</v>
      </c>
      <c r="R721" s="7">
        <f>(P41-N41)*(Q24-O41)-(Q41-O41)*(P24-N41)</f>
        <v>0</v>
      </c>
      <c r="S721" s="7">
        <f>IF(N721,IF(AND(O721*P721&lt;=0,Q721*R721&lt;=0,MAX(MIN(N24,P24),MIN(N41,P41))&lt;=MIN(MAX(N24,P24),MAX(N41,P41)),MAX(MIN(O24,Q24),MIN(O41,Q41))&lt;=MIN(MAX(O24,Q24),MAX(O41,Q41))),1,0),0)</f>
        <v>0</v>
      </c>
      <c r="T721" s="7"/>
      <c r="U721" s="7"/>
      <c r="V721" s="7"/>
      <c r="W721" s="7"/>
      <c r="X721" s="7"/>
      <c r="Y721" s="7"/>
      <c r="Z721" s="7"/>
      <c r="AA721" s="7"/>
      <c r="AB721" s="7"/>
      <c r="AC721" s="7"/>
      <c r="AD721" s="7"/>
      <c r="AE721" s="7"/>
      <c r="AF721" s="7"/>
      <c r="AG721" s="7"/>
      <c r="AH721" s="7"/>
      <c r="AI721" s="7"/>
    </row>
    <row r="722" spans="12:35">
      <c r="L722" s="7">
        <v>24</v>
      </c>
      <c r="M722" s="7">
        <v>42</v>
      </c>
      <c r="N722" s="7" t="b">
        <f>AND($N$5,$N$6,13&lt;=$M$5,11&lt;=$M$6)</f>
        <v>0</v>
      </c>
      <c r="O722" s="7">
        <f>(P24-N24)*(O42-O24)-(Q24-O24)*(N42-N24)</f>
        <v>0</v>
      </c>
      <c r="P722" s="7">
        <f>(P24-N24)*(Q42-O24)-(Q24-O24)*(P42-N24)</f>
        <v>0</v>
      </c>
      <c r="Q722" s="7">
        <f>(P42-N42)*(O24-O42)-(Q42-O42)*(N24-N42)</f>
        <v>0</v>
      </c>
      <c r="R722" s="7">
        <f>(P42-N42)*(Q24-O42)-(Q42-O42)*(P24-N42)</f>
        <v>0</v>
      </c>
      <c r="S722" s="7">
        <f>IF(N722,IF(AND(O722*P722&lt;=0,Q722*R722&lt;=0,MAX(MIN(N24,P24),MIN(N42,P42))&lt;=MIN(MAX(N24,P24),MAX(N42,P42)),MAX(MIN(O24,Q24),MIN(O42,Q42))&lt;=MIN(MAX(O24,Q24),MAX(O42,Q42))),1,0),0)</f>
        <v>0</v>
      </c>
      <c r="T722" s="7"/>
      <c r="U722" s="7"/>
      <c r="V722" s="7"/>
      <c r="W722" s="7"/>
      <c r="X722" s="7"/>
      <c r="Y722" s="7"/>
      <c r="Z722" s="7"/>
      <c r="AA722" s="7"/>
      <c r="AB722" s="7"/>
      <c r="AC722" s="7"/>
      <c r="AD722" s="7"/>
      <c r="AE722" s="7"/>
      <c r="AF722" s="7"/>
      <c r="AG722" s="7"/>
      <c r="AH722" s="7"/>
      <c r="AI722" s="7"/>
    </row>
    <row r="723" spans="12:35">
      <c r="L723" s="7">
        <v>24</v>
      </c>
      <c r="M723" s="7">
        <v>43</v>
      </c>
      <c r="N723" s="7" t="b">
        <f>AND($N$5,$N$6,13&lt;=$M$5,12&lt;=$M$6)</f>
        <v>0</v>
      </c>
      <c r="O723" s="7">
        <f>(P24-N24)*(O43-O24)-(Q24-O24)*(N43-N24)</f>
        <v>0</v>
      </c>
      <c r="P723" s="7">
        <f>(P24-N24)*(Q43-O24)-(Q24-O24)*(P43-N24)</f>
        <v>0</v>
      </c>
      <c r="Q723" s="7">
        <f>(P43-N43)*(O24-O43)-(Q43-O43)*(N24-N43)</f>
        <v>0</v>
      </c>
      <c r="R723" s="7">
        <f>(P43-N43)*(Q24-O43)-(Q43-O43)*(P24-N43)</f>
        <v>0</v>
      </c>
      <c r="S723" s="7">
        <f>IF(N723,IF(AND(O723*P723&lt;=0,Q723*R723&lt;=0,MAX(MIN(N24,P24),MIN(N43,P43))&lt;=MIN(MAX(N24,P24),MAX(N43,P43)),MAX(MIN(O24,Q24),MIN(O43,Q43))&lt;=MIN(MAX(O24,Q24),MAX(O43,Q43))),1,0),0)</f>
        <v>0</v>
      </c>
      <c r="T723" s="7"/>
      <c r="U723" s="7"/>
      <c r="V723" s="7"/>
      <c r="W723" s="7"/>
      <c r="X723" s="7"/>
      <c r="Y723" s="7"/>
      <c r="Z723" s="7"/>
      <c r="AA723" s="7"/>
      <c r="AB723" s="7"/>
      <c r="AC723" s="7"/>
      <c r="AD723" s="7"/>
      <c r="AE723" s="7"/>
      <c r="AF723" s="7"/>
      <c r="AG723" s="7"/>
      <c r="AH723" s="7"/>
      <c r="AI723" s="7"/>
    </row>
    <row r="724" spans="12:35">
      <c r="L724" s="7">
        <v>24</v>
      </c>
      <c r="M724" s="7">
        <v>44</v>
      </c>
      <c r="N724" s="7" t="b">
        <f>AND($N$5,$N$6,13&lt;=$M$5,13&lt;=$M$6)</f>
        <v>0</v>
      </c>
      <c r="O724" s="7">
        <f>(P24-N24)*(O44-O24)-(Q24-O24)*(N44-N24)</f>
        <v>0</v>
      </c>
      <c r="P724" s="7">
        <f>(P24-N24)*(Q44-O24)-(Q24-O24)*(P44-N24)</f>
        <v>0</v>
      </c>
      <c r="Q724" s="7">
        <f>(P44-N44)*(O24-O44)-(Q44-O44)*(N24-N44)</f>
        <v>0</v>
      </c>
      <c r="R724" s="7">
        <f>(P44-N44)*(Q24-O44)-(Q44-O44)*(P24-N44)</f>
        <v>0</v>
      </c>
      <c r="S724" s="7">
        <f>IF(N724,IF(AND(O724*P724&lt;=0,Q724*R724&lt;=0,MAX(MIN(N24,P24),MIN(N44,P44))&lt;=MIN(MAX(N24,P24),MAX(N44,P44)),MAX(MIN(O24,Q24),MIN(O44,Q44))&lt;=MIN(MAX(O24,Q24),MAX(O44,Q44))),1,0),0)</f>
        <v>0</v>
      </c>
      <c r="T724" s="7"/>
      <c r="U724" s="7"/>
      <c r="V724" s="7"/>
      <c r="W724" s="7"/>
      <c r="X724" s="7"/>
      <c r="Y724" s="7"/>
      <c r="Z724" s="7"/>
      <c r="AA724" s="7"/>
      <c r="AB724" s="7"/>
      <c r="AC724" s="7"/>
      <c r="AD724" s="7"/>
      <c r="AE724" s="7"/>
      <c r="AF724" s="7"/>
      <c r="AG724" s="7"/>
      <c r="AH724" s="7"/>
      <c r="AI724" s="7"/>
    </row>
    <row r="725" spans="12:35">
      <c r="L725" s="7">
        <v>24</v>
      </c>
      <c r="M725" s="7">
        <v>45</v>
      </c>
      <c r="N725" s="7" t="b">
        <f>AND($N$5,$N$6,13&lt;=$M$5,14&lt;=$M$6)</f>
        <v>0</v>
      </c>
      <c r="O725" s="7">
        <f>(P24-N24)*(O45-O24)-(Q24-O24)*(N45-N24)</f>
        <v>0</v>
      </c>
      <c r="P725" s="7">
        <f>(P24-N24)*(Q45-O24)-(Q24-O24)*(P45-N24)</f>
        <v>0</v>
      </c>
      <c r="Q725" s="7">
        <f>(P45-N45)*(O24-O45)-(Q45-O45)*(N24-N45)</f>
        <v>0</v>
      </c>
      <c r="R725" s="7">
        <f>(P45-N45)*(Q24-O45)-(Q45-O45)*(P24-N45)</f>
        <v>0</v>
      </c>
      <c r="S725" s="7">
        <f>IF(N725,IF(AND(O725*P725&lt;=0,Q725*R725&lt;=0,MAX(MIN(N24,P24),MIN(N45,P45))&lt;=MIN(MAX(N24,P24),MAX(N45,P45)),MAX(MIN(O24,Q24),MIN(O45,Q45))&lt;=MIN(MAX(O24,Q24),MAX(O45,Q45))),1,0),0)</f>
        <v>0</v>
      </c>
      <c r="T725" s="7"/>
      <c r="U725" s="7"/>
      <c r="V725" s="7"/>
      <c r="W725" s="7"/>
      <c r="X725" s="7"/>
      <c r="Y725" s="7"/>
      <c r="Z725" s="7"/>
      <c r="AA725" s="7"/>
      <c r="AB725" s="7"/>
      <c r="AC725" s="7"/>
      <c r="AD725" s="7"/>
      <c r="AE725" s="7"/>
      <c r="AF725" s="7"/>
      <c r="AG725" s="7"/>
      <c r="AH725" s="7"/>
      <c r="AI725" s="7"/>
    </row>
    <row r="726" spans="12:35">
      <c r="L726" s="7">
        <v>24</v>
      </c>
      <c r="M726" s="7">
        <v>46</v>
      </c>
      <c r="N726" s="7" t="b">
        <f>AND($N$5,$N$6,13&lt;=$M$5,15&lt;=$M$6)</f>
        <v>0</v>
      </c>
      <c r="O726" s="7">
        <f>(P24-N24)*(O46-O24)-(Q24-O24)*(N46-N24)</f>
        <v>0</v>
      </c>
      <c r="P726" s="7">
        <f>(P24-N24)*(Q46-O24)-(Q24-O24)*(P46-N24)</f>
        <v>0</v>
      </c>
      <c r="Q726" s="7">
        <f>(P46-N46)*(O24-O46)-(Q46-O46)*(N24-N46)</f>
        <v>0</v>
      </c>
      <c r="R726" s="7">
        <f>(P46-N46)*(Q24-O46)-(Q46-O46)*(P24-N46)</f>
        <v>0</v>
      </c>
      <c r="S726" s="7">
        <f>IF(N726,IF(AND(O726*P726&lt;=0,Q726*R726&lt;=0,MAX(MIN(N24,P24),MIN(N46,P46))&lt;=MIN(MAX(N24,P24),MAX(N46,P46)),MAX(MIN(O24,Q24),MIN(O46,Q46))&lt;=MIN(MAX(O24,Q24),MAX(O46,Q46))),1,0),0)</f>
        <v>0</v>
      </c>
      <c r="T726" s="7"/>
      <c r="U726" s="7"/>
      <c r="V726" s="7"/>
      <c r="W726" s="7"/>
      <c r="X726" s="7"/>
      <c r="Y726" s="7"/>
      <c r="Z726" s="7"/>
      <c r="AA726" s="7"/>
      <c r="AB726" s="7"/>
      <c r="AC726" s="7"/>
      <c r="AD726" s="7"/>
      <c r="AE726" s="7"/>
      <c r="AF726" s="7"/>
      <c r="AG726" s="7"/>
      <c r="AH726" s="7"/>
      <c r="AI726" s="7"/>
    </row>
    <row r="727" spans="12:35">
      <c r="L727" s="7">
        <v>24</v>
      </c>
      <c r="M727" s="7">
        <v>47</v>
      </c>
      <c r="N727" s="7" t="b">
        <f>AND($N$5,$N$6,13&lt;=$M$5,16&lt;=$M$6)</f>
        <v>0</v>
      </c>
      <c r="O727" s="7">
        <f>(P24-N24)*(O47-O24)-(Q24-O24)*(N47-N24)</f>
        <v>0</v>
      </c>
      <c r="P727" s="7">
        <f>(P24-N24)*(Q47-O24)-(Q24-O24)*(P47-N24)</f>
        <v>0</v>
      </c>
      <c r="Q727" s="7">
        <f>(P47-N47)*(O24-O47)-(Q47-O47)*(N24-N47)</f>
        <v>0</v>
      </c>
      <c r="R727" s="7">
        <f>(P47-N47)*(Q24-O47)-(Q47-O47)*(P24-N47)</f>
        <v>0</v>
      </c>
      <c r="S727" s="7">
        <f>IF(N727,IF(AND(O727*P727&lt;=0,Q727*R727&lt;=0,MAX(MIN(N24,P24),MIN(N47,P47))&lt;=MIN(MAX(N24,P24),MAX(N47,P47)),MAX(MIN(O24,Q24),MIN(O47,Q47))&lt;=MIN(MAX(O24,Q24),MAX(O47,Q47))),1,0),0)</f>
        <v>0</v>
      </c>
      <c r="T727" s="7"/>
      <c r="U727" s="7"/>
      <c r="V727" s="7"/>
      <c r="W727" s="7"/>
      <c r="X727" s="7"/>
      <c r="Y727" s="7"/>
      <c r="Z727" s="7"/>
      <c r="AA727" s="7"/>
      <c r="AB727" s="7"/>
      <c r="AC727" s="7"/>
      <c r="AD727" s="7"/>
      <c r="AE727" s="7"/>
      <c r="AF727" s="7"/>
      <c r="AG727" s="7"/>
      <c r="AH727" s="7"/>
      <c r="AI727" s="7"/>
    </row>
    <row r="728" spans="12:35">
      <c r="L728" s="7">
        <v>24</v>
      </c>
      <c r="M728" s="7">
        <v>48</v>
      </c>
      <c r="N728" s="7" t="b">
        <f>AND($N$5,$N$6,13&lt;=$M$5,17&lt;=$M$6)</f>
        <v>0</v>
      </c>
      <c r="O728" s="7">
        <f>(P24-N24)*(O48-O24)-(Q24-O24)*(N48-N24)</f>
        <v>0</v>
      </c>
      <c r="P728" s="7">
        <f>(P24-N24)*(Q48-O24)-(Q24-O24)*(P48-N24)</f>
        <v>0</v>
      </c>
      <c r="Q728" s="7">
        <f>(P48-N48)*(O24-O48)-(Q48-O48)*(N24-N48)</f>
        <v>0</v>
      </c>
      <c r="R728" s="7">
        <f>(P48-N48)*(Q24-O48)-(Q48-O48)*(P24-N48)</f>
        <v>0</v>
      </c>
      <c r="S728" s="7">
        <f>IF(N728,IF(AND(O728*P728&lt;=0,Q728*R728&lt;=0,MAX(MIN(N24,P24),MIN(N48,P48))&lt;=MIN(MAX(N24,P24),MAX(N48,P48)),MAX(MIN(O24,Q24),MIN(O48,Q48))&lt;=MIN(MAX(O24,Q24),MAX(O48,Q48))),1,0),0)</f>
        <v>0</v>
      </c>
      <c r="T728" s="7"/>
      <c r="U728" s="7"/>
      <c r="V728" s="7"/>
      <c r="W728" s="7"/>
      <c r="X728" s="7"/>
      <c r="Y728" s="7"/>
      <c r="Z728" s="7"/>
      <c r="AA728" s="7"/>
      <c r="AB728" s="7"/>
      <c r="AC728" s="7"/>
      <c r="AD728" s="7"/>
      <c r="AE728" s="7"/>
      <c r="AF728" s="7"/>
      <c r="AG728" s="7"/>
      <c r="AH728" s="7"/>
      <c r="AI728" s="7"/>
    </row>
    <row r="729" spans="12:35">
      <c r="L729" s="7">
        <v>24</v>
      </c>
      <c r="M729" s="7">
        <v>49</v>
      </c>
      <c r="N729" s="7" t="b">
        <f>AND($N$5,$N$6,13&lt;=$M$5,18&lt;=$M$6)</f>
        <v>0</v>
      </c>
      <c r="O729" s="7">
        <f>(P24-N24)*(O49-O24)-(Q24-O24)*(N49-N24)</f>
        <v>0</v>
      </c>
      <c r="P729" s="7">
        <f>(P24-N24)*(Q49-O24)-(Q24-O24)*(P49-N24)</f>
        <v>0</v>
      </c>
      <c r="Q729" s="7">
        <f>(P49-N49)*(O24-O49)-(Q49-O49)*(N24-N49)</f>
        <v>0</v>
      </c>
      <c r="R729" s="7">
        <f>(P49-N49)*(Q24-O49)-(Q49-O49)*(P24-N49)</f>
        <v>0</v>
      </c>
      <c r="S729" s="7">
        <f>IF(N729,IF(AND(O729*P729&lt;=0,Q729*R729&lt;=0,MAX(MIN(N24,P24),MIN(N49,P49))&lt;=MIN(MAX(N24,P24),MAX(N49,P49)),MAX(MIN(O24,Q24),MIN(O49,Q49))&lt;=MIN(MAX(O24,Q24),MAX(O49,Q49))),1,0),0)</f>
        <v>0</v>
      </c>
      <c r="T729" s="7"/>
      <c r="U729" s="7"/>
      <c r="V729" s="7"/>
      <c r="W729" s="7"/>
      <c r="X729" s="7"/>
      <c r="Y729" s="7"/>
      <c r="Z729" s="7"/>
      <c r="AA729" s="7"/>
      <c r="AB729" s="7"/>
      <c r="AC729" s="7"/>
      <c r="AD729" s="7"/>
      <c r="AE729" s="7"/>
      <c r="AF729" s="7"/>
      <c r="AG729" s="7"/>
      <c r="AH729" s="7"/>
      <c r="AI729" s="7"/>
    </row>
    <row r="730" spans="12:35">
      <c r="L730" s="7">
        <v>24</v>
      </c>
      <c r="M730" s="7">
        <v>50</v>
      </c>
      <c r="N730" s="7" t="b">
        <f>AND($N$5,$N$6,13&lt;=$M$5,19&lt;=$M$6)</f>
        <v>0</v>
      </c>
      <c r="O730" s="7">
        <f>(P24-N24)*(O50-O24)-(Q24-O24)*(N50-N24)</f>
        <v>0</v>
      </c>
      <c r="P730" s="7">
        <f>(P24-N24)*(Q50-O24)-(Q24-O24)*(P50-N24)</f>
        <v>0</v>
      </c>
      <c r="Q730" s="7">
        <f>(P50-N50)*(O24-O50)-(Q50-O50)*(N24-N50)</f>
        <v>0</v>
      </c>
      <c r="R730" s="7">
        <f>(P50-N50)*(Q24-O50)-(Q50-O50)*(P24-N50)</f>
        <v>0</v>
      </c>
      <c r="S730" s="7">
        <f>IF(N730,IF(AND(O730*P730&lt;=0,Q730*R730&lt;=0,MAX(MIN(N24,P24),MIN(N50,P50))&lt;=MIN(MAX(N24,P24),MAX(N50,P50)),MAX(MIN(O24,Q24),MIN(O50,Q50))&lt;=MIN(MAX(O24,Q24),MAX(O50,Q50))),1,0),0)</f>
        <v>0</v>
      </c>
      <c r="T730" s="7"/>
      <c r="U730" s="7"/>
      <c r="V730" s="7"/>
      <c r="W730" s="7"/>
      <c r="X730" s="7"/>
      <c r="Y730" s="7"/>
      <c r="Z730" s="7"/>
      <c r="AA730" s="7"/>
      <c r="AB730" s="7"/>
      <c r="AC730" s="7"/>
      <c r="AD730" s="7"/>
      <c r="AE730" s="7"/>
      <c r="AF730" s="7"/>
      <c r="AG730" s="7"/>
      <c r="AH730" s="7"/>
      <c r="AI730" s="7"/>
    </row>
    <row r="731" spans="12:35">
      <c r="L731" s="7">
        <v>24</v>
      </c>
      <c r="M731" s="7">
        <v>51</v>
      </c>
      <c r="N731" s="7" t="b">
        <f>AND($N$5,$N$6,13&lt;=$M$5,20&lt;=$M$6)</f>
        <v>0</v>
      </c>
      <c r="O731" s="7">
        <f>(P24-N24)*(O51-O24)-(Q24-O24)*(N51-N24)</f>
        <v>0</v>
      </c>
      <c r="P731" s="7">
        <f>(P24-N24)*(Q51-O24)-(Q24-O24)*(P51-N24)</f>
        <v>0</v>
      </c>
      <c r="Q731" s="7">
        <f>(P51-N51)*(O24-O51)-(Q51-O51)*(N24-N51)</f>
        <v>0</v>
      </c>
      <c r="R731" s="7">
        <f>(P51-N51)*(Q24-O51)-(Q51-O51)*(P24-N51)</f>
        <v>0</v>
      </c>
      <c r="S731" s="7">
        <f>IF(N731,IF(AND(O731*P731&lt;=0,Q731*R731&lt;=0,MAX(MIN(N24,P24),MIN(N51,P51))&lt;=MIN(MAX(N24,P24),MAX(N51,P51)),MAX(MIN(O24,Q24),MIN(O51,Q51))&lt;=MIN(MAX(O24,Q24),MAX(O51,Q51))),1,0),0)</f>
        <v>0</v>
      </c>
      <c r="T731" s="7"/>
      <c r="U731" s="7"/>
      <c r="V731" s="7"/>
      <c r="W731" s="7"/>
      <c r="X731" s="7"/>
      <c r="Y731" s="7"/>
      <c r="Z731" s="7"/>
      <c r="AA731" s="7"/>
      <c r="AB731" s="7"/>
      <c r="AC731" s="7"/>
      <c r="AD731" s="7"/>
      <c r="AE731" s="7"/>
      <c r="AF731" s="7"/>
      <c r="AG731" s="7"/>
      <c r="AH731" s="7"/>
      <c r="AI731" s="7"/>
    </row>
    <row r="732" spans="12:35">
      <c r="L732" s="7">
        <v>24</v>
      </c>
      <c r="M732" s="7">
        <v>52</v>
      </c>
      <c r="N732" s="7" t="b">
        <f>AND($N$5,$N$7,13&lt;=$M$5,1&lt;=$M$7)</f>
        <v>0</v>
      </c>
      <c r="O732" s="7">
        <f>(P24-N24)*(O52-O24)-(Q24-O24)*(N52-N24)</f>
        <v>0</v>
      </c>
      <c r="P732" s="7">
        <f>(P24-N24)*(Q52-O24)-(Q24-O24)*(P52-N24)</f>
        <v>0</v>
      </c>
      <c r="Q732" s="7">
        <f>(P52-N52)*(O24-O52)-(Q52-O52)*(N24-N52)</f>
        <v>0</v>
      </c>
      <c r="R732" s="7">
        <f>(P52-N52)*(Q24-O52)-(Q52-O52)*(P24-N52)</f>
        <v>0</v>
      </c>
      <c r="S732" s="7">
        <f>IF(N732,IF(AND(O732*P732&lt;=0,Q732*R732&lt;=0,MAX(MIN(N24,P24),MIN(N52,P52))&lt;=MIN(MAX(N24,P24),MAX(N52,P52)),MAX(MIN(O24,Q24),MIN(O52,Q52))&lt;=MIN(MAX(O24,Q24),MAX(O52,Q52))),1,0),0)</f>
        <v>0</v>
      </c>
      <c r="T732" s="7"/>
      <c r="U732" s="7"/>
      <c r="V732" s="7"/>
      <c r="W732" s="7"/>
      <c r="X732" s="7"/>
      <c r="Y732" s="7"/>
      <c r="Z732" s="7"/>
      <c r="AA732" s="7"/>
      <c r="AB732" s="7"/>
      <c r="AC732" s="7"/>
      <c r="AD732" s="7"/>
      <c r="AE732" s="7"/>
      <c r="AF732" s="7"/>
      <c r="AG732" s="7"/>
      <c r="AH732" s="7"/>
      <c r="AI732" s="7"/>
    </row>
    <row r="733" spans="12:35">
      <c r="L733" s="7">
        <v>24</v>
      </c>
      <c r="M733" s="7">
        <v>53</v>
      </c>
      <c r="N733" s="7" t="b">
        <f>AND($N$5,$N$7,13&lt;=$M$5,2&lt;=$M$7)</f>
        <v>0</v>
      </c>
      <c r="O733" s="7">
        <f>(P24-N24)*(O53-O24)-(Q24-O24)*(N53-N24)</f>
        <v>0</v>
      </c>
      <c r="P733" s="7">
        <f>(P24-N24)*(Q53-O24)-(Q24-O24)*(P53-N24)</f>
        <v>0</v>
      </c>
      <c r="Q733" s="7">
        <f>(P53-N53)*(O24-O53)-(Q53-O53)*(N24-N53)</f>
        <v>0</v>
      </c>
      <c r="R733" s="7">
        <f>(P53-N53)*(Q24-O53)-(Q53-O53)*(P24-N53)</f>
        <v>0</v>
      </c>
      <c r="S733" s="7">
        <f>IF(N733,IF(AND(O733*P733&lt;=0,Q733*R733&lt;=0,MAX(MIN(N24,P24),MIN(N53,P53))&lt;=MIN(MAX(N24,P24),MAX(N53,P53)),MAX(MIN(O24,Q24),MIN(O53,Q53))&lt;=MIN(MAX(O24,Q24),MAX(O53,Q53))),1,0),0)</f>
        <v>0</v>
      </c>
      <c r="T733" s="7"/>
      <c r="U733" s="7"/>
      <c r="V733" s="7"/>
      <c r="W733" s="7"/>
      <c r="X733" s="7"/>
      <c r="Y733" s="7"/>
      <c r="Z733" s="7"/>
      <c r="AA733" s="7"/>
      <c r="AB733" s="7"/>
      <c r="AC733" s="7"/>
      <c r="AD733" s="7"/>
      <c r="AE733" s="7"/>
      <c r="AF733" s="7"/>
      <c r="AG733" s="7"/>
      <c r="AH733" s="7"/>
      <c r="AI733" s="7"/>
    </row>
    <row r="734" spans="12:35">
      <c r="L734" s="7">
        <v>24</v>
      </c>
      <c r="M734" s="7">
        <v>54</v>
      </c>
      <c r="N734" s="7" t="b">
        <f>AND($N$5,$N$7,13&lt;=$M$5,3&lt;=$M$7)</f>
        <v>0</v>
      </c>
      <c r="O734" s="7">
        <f>(P24-N24)*(O54-O24)-(Q24-O24)*(N54-N24)</f>
        <v>0</v>
      </c>
      <c r="P734" s="7">
        <f>(P24-N24)*(Q54-O24)-(Q24-O24)*(P54-N24)</f>
        <v>0</v>
      </c>
      <c r="Q734" s="7">
        <f>(P54-N54)*(O24-O54)-(Q54-O54)*(N24-N54)</f>
        <v>0</v>
      </c>
      <c r="R734" s="7">
        <f>(P54-N54)*(Q24-O54)-(Q54-O54)*(P24-N54)</f>
        <v>0</v>
      </c>
      <c r="S734" s="7">
        <f>IF(N734,IF(AND(O734*P734&lt;=0,Q734*R734&lt;=0,MAX(MIN(N24,P24),MIN(N54,P54))&lt;=MIN(MAX(N24,P24),MAX(N54,P54)),MAX(MIN(O24,Q24),MIN(O54,Q54))&lt;=MIN(MAX(O24,Q24),MAX(O54,Q54))),1,0),0)</f>
        <v>0</v>
      </c>
      <c r="T734" s="7"/>
      <c r="U734" s="7"/>
      <c r="V734" s="7"/>
      <c r="W734" s="7"/>
      <c r="X734" s="7"/>
      <c r="Y734" s="7"/>
      <c r="Z734" s="7"/>
      <c r="AA734" s="7"/>
      <c r="AB734" s="7"/>
      <c r="AC734" s="7"/>
      <c r="AD734" s="7"/>
      <c r="AE734" s="7"/>
      <c r="AF734" s="7"/>
      <c r="AG734" s="7"/>
      <c r="AH734" s="7"/>
      <c r="AI734" s="7"/>
    </row>
    <row r="735" spans="12:35">
      <c r="L735" s="7">
        <v>24</v>
      </c>
      <c r="M735" s="7">
        <v>55</v>
      </c>
      <c r="N735" s="7" t="b">
        <f>AND($N$5,$N$7,13&lt;=$M$5,4&lt;=$M$7)</f>
        <v>0</v>
      </c>
      <c r="O735" s="7">
        <f>(P24-N24)*(O55-O24)-(Q24-O24)*(N55-N24)</f>
        <v>0</v>
      </c>
      <c r="P735" s="7">
        <f>(P24-N24)*(Q55-O24)-(Q24-O24)*(P55-N24)</f>
        <v>0</v>
      </c>
      <c r="Q735" s="7">
        <f>(P55-N55)*(O24-O55)-(Q55-O55)*(N24-N55)</f>
        <v>0</v>
      </c>
      <c r="R735" s="7">
        <f>(P55-N55)*(Q24-O55)-(Q55-O55)*(P24-N55)</f>
        <v>0</v>
      </c>
      <c r="S735" s="7">
        <f>IF(N735,IF(AND(O735*P735&lt;=0,Q735*R735&lt;=0,MAX(MIN(N24,P24),MIN(N55,P55))&lt;=MIN(MAX(N24,P24),MAX(N55,P55)),MAX(MIN(O24,Q24),MIN(O55,Q55))&lt;=MIN(MAX(O24,Q24),MAX(O55,Q55))),1,0),0)</f>
        <v>0</v>
      </c>
      <c r="T735" s="7"/>
      <c r="U735" s="7"/>
      <c r="V735" s="7"/>
      <c r="W735" s="7"/>
      <c r="X735" s="7"/>
      <c r="Y735" s="7"/>
      <c r="Z735" s="7"/>
      <c r="AA735" s="7"/>
      <c r="AB735" s="7"/>
      <c r="AC735" s="7"/>
      <c r="AD735" s="7"/>
      <c r="AE735" s="7"/>
      <c r="AF735" s="7"/>
      <c r="AG735" s="7"/>
      <c r="AH735" s="7"/>
      <c r="AI735" s="7"/>
    </row>
    <row r="736" spans="12:35">
      <c r="L736" s="7">
        <v>24</v>
      </c>
      <c r="M736" s="7">
        <v>56</v>
      </c>
      <c r="N736" s="7" t="b">
        <f>AND($N$5,$N$7,13&lt;=$M$5,5&lt;=$M$7)</f>
        <v>0</v>
      </c>
      <c r="O736" s="7">
        <f>(P24-N24)*(O56-O24)-(Q24-O24)*(N56-N24)</f>
        <v>0</v>
      </c>
      <c r="P736" s="7">
        <f>(P24-N24)*(Q56-O24)-(Q24-O24)*(P56-N24)</f>
        <v>0</v>
      </c>
      <c r="Q736" s="7">
        <f>(P56-N56)*(O24-O56)-(Q56-O56)*(N24-N56)</f>
        <v>0</v>
      </c>
      <c r="R736" s="7">
        <f>(P56-N56)*(Q24-O56)-(Q56-O56)*(P24-N56)</f>
        <v>0</v>
      </c>
      <c r="S736" s="7">
        <f>IF(N736,IF(AND(O736*P736&lt;=0,Q736*R736&lt;=0,MAX(MIN(N24,P24),MIN(N56,P56))&lt;=MIN(MAX(N24,P24),MAX(N56,P56)),MAX(MIN(O24,Q24),MIN(O56,Q56))&lt;=MIN(MAX(O24,Q24),MAX(O56,Q56))),1,0),0)</f>
        <v>0</v>
      </c>
      <c r="T736" s="7"/>
      <c r="U736" s="7"/>
      <c r="V736" s="7"/>
      <c r="W736" s="7"/>
      <c r="X736" s="7"/>
      <c r="Y736" s="7"/>
      <c r="Z736" s="7"/>
      <c r="AA736" s="7"/>
      <c r="AB736" s="7"/>
      <c r="AC736" s="7"/>
      <c r="AD736" s="7"/>
      <c r="AE736" s="7"/>
      <c r="AF736" s="7"/>
      <c r="AG736" s="7"/>
      <c r="AH736" s="7"/>
      <c r="AI736" s="7"/>
    </row>
    <row r="737" spans="12:35">
      <c r="L737" s="7">
        <v>24</v>
      </c>
      <c r="M737" s="7">
        <v>57</v>
      </c>
      <c r="N737" s="7" t="b">
        <f>AND($N$5,$N$7,13&lt;=$M$5,6&lt;=$M$7)</f>
        <v>0</v>
      </c>
      <c r="O737" s="7">
        <f>(P24-N24)*(O57-O24)-(Q24-O24)*(N57-N24)</f>
        <v>0</v>
      </c>
      <c r="P737" s="7">
        <f>(P24-N24)*(Q57-O24)-(Q24-O24)*(P57-N24)</f>
        <v>0</v>
      </c>
      <c r="Q737" s="7">
        <f>(P57-N57)*(O24-O57)-(Q57-O57)*(N24-N57)</f>
        <v>0</v>
      </c>
      <c r="R737" s="7">
        <f>(P57-N57)*(Q24-O57)-(Q57-O57)*(P24-N57)</f>
        <v>0</v>
      </c>
      <c r="S737" s="7">
        <f>IF(N737,IF(AND(O737*P737&lt;=0,Q737*R737&lt;=0,MAX(MIN(N24,P24),MIN(N57,P57))&lt;=MIN(MAX(N24,P24),MAX(N57,P57)),MAX(MIN(O24,Q24),MIN(O57,Q57))&lt;=MIN(MAX(O24,Q24),MAX(O57,Q57))),1,0),0)</f>
        <v>0</v>
      </c>
      <c r="T737" s="7"/>
      <c r="U737" s="7"/>
      <c r="V737" s="7"/>
      <c r="W737" s="7"/>
      <c r="X737" s="7"/>
      <c r="Y737" s="7"/>
      <c r="Z737" s="7"/>
      <c r="AA737" s="7"/>
      <c r="AB737" s="7"/>
      <c r="AC737" s="7"/>
      <c r="AD737" s="7"/>
      <c r="AE737" s="7"/>
      <c r="AF737" s="7"/>
      <c r="AG737" s="7"/>
      <c r="AH737" s="7"/>
      <c r="AI737" s="7"/>
    </row>
    <row r="738" spans="12:35">
      <c r="L738" s="7">
        <v>24</v>
      </c>
      <c r="M738" s="7">
        <v>58</v>
      </c>
      <c r="N738" s="7" t="b">
        <f>AND($N$5,$N$7,13&lt;=$M$5,7&lt;=$M$7)</f>
        <v>0</v>
      </c>
      <c r="O738" s="7">
        <f>(P24-N24)*(O58-O24)-(Q24-O24)*(N58-N24)</f>
        <v>0</v>
      </c>
      <c r="P738" s="7">
        <f>(P24-N24)*(Q58-O24)-(Q24-O24)*(P58-N24)</f>
        <v>0</v>
      </c>
      <c r="Q738" s="7">
        <f>(P58-N58)*(O24-O58)-(Q58-O58)*(N24-N58)</f>
        <v>0</v>
      </c>
      <c r="R738" s="7">
        <f>(P58-N58)*(Q24-O58)-(Q58-O58)*(P24-N58)</f>
        <v>0</v>
      </c>
      <c r="S738" s="7">
        <f>IF(N738,IF(AND(O738*P738&lt;=0,Q738*R738&lt;=0,MAX(MIN(N24,P24),MIN(N58,P58))&lt;=MIN(MAX(N24,P24),MAX(N58,P58)),MAX(MIN(O24,Q24),MIN(O58,Q58))&lt;=MIN(MAX(O24,Q24),MAX(O58,Q58))),1,0),0)</f>
        <v>0</v>
      </c>
      <c r="T738" s="7"/>
      <c r="U738" s="7"/>
      <c r="V738" s="7"/>
      <c r="W738" s="7"/>
      <c r="X738" s="7"/>
      <c r="Y738" s="7"/>
      <c r="Z738" s="7"/>
      <c r="AA738" s="7"/>
      <c r="AB738" s="7"/>
      <c r="AC738" s="7"/>
      <c r="AD738" s="7"/>
      <c r="AE738" s="7"/>
      <c r="AF738" s="7"/>
      <c r="AG738" s="7"/>
      <c r="AH738" s="7"/>
      <c r="AI738" s="7"/>
    </row>
    <row r="739" spans="12:35">
      <c r="L739" s="7">
        <v>24</v>
      </c>
      <c r="M739" s="7">
        <v>59</v>
      </c>
      <c r="N739" s="7" t="b">
        <f>AND($N$5,$N$7,13&lt;=$M$5,8&lt;=$M$7)</f>
        <v>0</v>
      </c>
      <c r="O739" s="7">
        <f>(P24-N24)*(O59-O24)-(Q24-O24)*(N59-N24)</f>
        <v>0</v>
      </c>
      <c r="P739" s="7">
        <f>(P24-N24)*(Q59-O24)-(Q24-O24)*(P59-N24)</f>
        <v>0</v>
      </c>
      <c r="Q739" s="7">
        <f>(P59-N59)*(O24-O59)-(Q59-O59)*(N24-N59)</f>
        <v>0</v>
      </c>
      <c r="R739" s="7">
        <f>(P59-N59)*(Q24-O59)-(Q59-O59)*(P24-N59)</f>
        <v>0</v>
      </c>
      <c r="S739" s="7">
        <f>IF(N739,IF(AND(O739*P739&lt;=0,Q739*R739&lt;=0,MAX(MIN(N24,P24),MIN(N59,P59))&lt;=MIN(MAX(N24,P24),MAX(N59,P59)),MAX(MIN(O24,Q24),MIN(O59,Q59))&lt;=MIN(MAX(O24,Q24),MAX(O59,Q59))),1,0),0)</f>
        <v>0</v>
      </c>
      <c r="T739" s="7"/>
      <c r="U739" s="7"/>
      <c r="V739" s="7"/>
      <c r="W739" s="7"/>
      <c r="X739" s="7"/>
      <c r="Y739" s="7"/>
      <c r="Z739" s="7"/>
      <c r="AA739" s="7"/>
      <c r="AB739" s="7"/>
      <c r="AC739" s="7"/>
      <c r="AD739" s="7"/>
      <c r="AE739" s="7"/>
      <c r="AF739" s="7"/>
      <c r="AG739" s="7"/>
      <c r="AH739" s="7"/>
      <c r="AI739" s="7"/>
    </row>
    <row r="740" spans="12:35">
      <c r="L740" s="7">
        <v>24</v>
      </c>
      <c r="M740" s="7">
        <v>60</v>
      </c>
      <c r="N740" s="7" t="b">
        <f>AND($N$5,$N$7,13&lt;=$M$5,9&lt;=$M$7)</f>
        <v>0</v>
      </c>
      <c r="O740" s="7">
        <f>(P24-N24)*(O60-O24)-(Q24-O24)*(N60-N24)</f>
        <v>0</v>
      </c>
      <c r="P740" s="7">
        <f>(P24-N24)*(Q60-O24)-(Q24-O24)*(P60-N24)</f>
        <v>0</v>
      </c>
      <c r="Q740" s="7">
        <f>(P60-N60)*(O24-O60)-(Q60-O60)*(N24-N60)</f>
        <v>0</v>
      </c>
      <c r="R740" s="7">
        <f>(P60-N60)*(Q24-O60)-(Q60-O60)*(P24-N60)</f>
        <v>0</v>
      </c>
      <c r="S740" s="7">
        <f>IF(N740,IF(AND(O740*P740&lt;=0,Q740*R740&lt;=0,MAX(MIN(N24,P24),MIN(N60,P60))&lt;=MIN(MAX(N24,P24),MAX(N60,P60)),MAX(MIN(O24,Q24),MIN(O60,Q60))&lt;=MIN(MAX(O24,Q24),MAX(O60,Q60))),1,0),0)</f>
        <v>0</v>
      </c>
      <c r="T740" s="7"/>
      <c r="U740" s="7"/>
      <c r="V740" s="7"/>
      <c r="W740" s="7"/>
      <c r="X740" s="7"/>
      <c r="Y740" s="7"/>
      <c r="Z740" s="7"/>
      <c r="AA740" s="7"/>
      <c r="AB740" s="7"/>
      <c r="AC740" s="7"/>
      <c r="AD740" s="7"/>
      <c r="AE740" s="7"/>
      <c r="AF740" s="7"/>
      <c r="AG740" s="7"/>
      <c r="AH740" s="7"/>
      <c r="AI740" s="7"/>
    </row>
    <row r="741" spans="12:35">
      <c r="L741" s="7">
        <v>24</v>
      </c>
      <c r="M741" s="7">
        <v>61</v>
      </c>
      <c r="N741" s="7" t="b">
        <f>AND($N$5,$N$7,13&lt;=$M$5,10&lt;=$M$7)</f>
        <v>0</v>
      </c>
      <c r="O741" s="7">
        <f>(P24-N24)*(O61-O24)-(Q24-O24)*(N61-N24)</f>
        <v>0</v>
      </c>
      <c r="P741" s="7">
        <f>(P24-N24)*(Q61-O24)-(Q24-O24)*(P61-N24)</f>
        <v>0</v>
      </c>
      <c r="Q741" s="7">
        <f>(P61-N61)*(O24-O61)-(Q61-O61)*(N24-N61)</f>
        <v>0</v>
      </c>
      <c r="R741" s="7">
        <f>(P61-N61)*(Q24-O61)-(Q61-O61)*(P24-N61)</f>
        <v>0</v>
      </c>
      <c r="S741" s="7">
        <f>IF(N741,IF(AND(O741*P741&lt;=0,Q741*R741&lt;=0,MAX(MIN(N24,P24),MIN(N61,P61))&lt;=MIN(MAX(N24,P24),MAX(N61,P61)),MAX(MIN(O24,Q24),MIN(O61,Q61))&lt;=MIN(MAX(O24,Q24),MAX(O61,Q61))),1,0),0)</f>
        <v>0</v>
      </c>
      <c r="T741" s="7"/>
      <c r="U741" s="7"/>
      <c r="V741" s="7"/>
      <c r="W741" s="7"/>
      <c r="X741" s="7"/>
      <c r="Y741" s="7"/>
      <c r="Z741" s="7"/>
      <c r="AA741" s="7"/>
      <c r="AB741" s="7"/>
      <c r="AC741" s="7"/>
      <c r="AD741" s="7"/>
      <c r="AE741" s="7"/>
      <c r="AF741" s="7"/>
      <c r="AG741" s="7"/>
      <c r="AH741" s="7"/>
      <c r="AI741" s="7"/>
    </row>
    <row r="742" spans="12:35">
      <c r="L742" s="7">
        <v>24</v>
      </c>
      <c r="M742" s="7">
        <v>62</v>
      </c>
      <c r="N742" s="7" t="b">
        <f>AND($N$5,$N$7,13&lt;=$M$5,11&lt;=$M$7)</f>
        <v>0</v>
      </c>
      <c r="O742" s="7">
        <f>(P24-N24)*(O62-O24)-(Q24-O24)*(N62-N24)</f>
        <v>0</v>
      </c>
      <c r="P742" s="7">
        <f>(P24-N24)*(Q62-O24)-(Q24-O24)*(P62-N24)</f>
        <v>0</v>
      </c>
      <c r="Q742" s="7">
        <f>(P62-N62)*(O24-O62)-(Q62-O62)*(N24-N62)</f>
        <v>0</v>
      </c>
      <c r="R742" s="7">
        <f>(P62-N62)*(Q24-O62)-(Q62-O62)*(P24-N62)</f>
        <v>0</v>
      </c>
      <c r="S742" s="7">
        <f>IF(N742,IF(AND(O742*P742&lt;=0,Q742*R742&lt;=0,MAX(MIN(N24,P24),MIN(N62,P62))&lt;=MIN(MAX(N24,P24),MAX(N62,P62)),MAX(MIN(O24,Q24),MIN(O62,Q62))&lt;=MIN(MAX(O24,Q24),MAX(O62,Q62))),1,0),0)</f>
        <v>0</v>
      </c>
      <c r="T742" s="7"/>
      <c r="U742" s="7"/>
      <c r="V742" s="7"/>
      <c r="W742" s="7"/>
      <c r="X742" s="7"/>
      <c r="Y742" s="7"/>
      <c r="Z742" s="7"/>
      <c r="AA742" s="7"/>
      <c r="AB742" s="7"/>
      <c r="AC742" s="7"/>
      <c r="AD742" s="7"/>
      <c r="AE742" s="7"/>
      <c r="AF742" s="7"/>
      <c r="AG742" s="7"/>
      <c r="AH742" s="7"/>
      <c r="AI742" s="7"/>
    </row>
    <row r="743" spans="12:35">
      <c r="L743" s="7">
        <v>24</v>
      </c>
      <c r="M743" s="7">
        <v>63</v>
      </c>
      <c r="N743" s="7" t="b">
        <f>AND($N$5,$N$7,13&lt;=$M$5,12&lt;=$M$7)</f>
        <v>0</v>
      </c>
      <c r="O743" s="7">
        <f>(P24-N24)*(O63-O24)-(Q24-O24)*(N63-N24)</f>
        <v>0</v>
      </c>
      <c r="P743" s="7">
        <f>(P24-N24)*(Q63-O24)-(Q24-O24)*(P63-N24)</f>
        <v>0</v>
      </c>
      <c r="Q743" s="7">
        <f>(P63-N63)*(O24-O63)-(Q63-O63)*(N24-N63)</f>
        <v>0</v>
      </c>
      <c r="R743" s="7">
        <f>(P63-N63)*(Q24-O63)-(Q63-O63)*(P24-N63)</f>
        <v>0</v>
      </c>
      <c r="S743" s="7">
        <f>IF(N743,IF(AND(O743*P743&lt;=0,Q743*R743&lt;=0,MAX(MIN(N24,P24),MIN(N63,P63))&lt;=MIN(MAX(N24,P24),MAX(N63,P63)),MAX(MIN(O24,Q24),MIN(O63,Q63))&lt;=MIN(MAX(O24,Q24),MAX(O63,Q63))),1,0),0)</f>
        <v>0</v>
      </c>
      <c r="T743" s="7"/>
      <c r="U743" s="7"/>
      <c r="V743" s="7"/>
      <c r="W743" s="7"/>
      <c r="X743" s="7"/>
      <c r="Y743" s="7"/>
      <c r="Z743" s="7"/>
      <c r="AA743" s="7"/>
      <c r="AB743" s="7"/>
      <c r="AC743" s="7"/>
      <c r="AD743" s="7"/>
      <c r="AE743" s="7"/>
      <c r="AF743" s="7"/>
      <c r="AG743" s="7"/>
      <c r="AH743" s="7"/>
      <c r="AI743" s="7"/>
    </row>
    <row r="744" spans="12:35">
      <c r="L744" s="7">
        <v>24</v>
      </c>
      <c r="M744" s="7">
        <v>64</v>
      </c>
      <c r="N744" s="7" t="b">
        <f>AND($N$5,$N$7,13&lt;=$M$5,13&lt;=$M$7)</f>
        <v>0</v>
      </c>
      <c r="O744" s="7">
        <f>(P24-N24)*(O64-O24)-(Q24-O24)*(N64-N24)</f>
        <v>0</v>
      </c>
      <c r="P744" s="7">
        <f>(P24-N24)*(Q64-O24)-(Q24-O24)*(P64-N24)</f>
        <v>0</v>
      </c>
      <c r="Q744" s="7">
        <f>(P64-N64)*(O24-O64)-(Q64-O64)*(N24-N64)</f>
        <v>0</v>
      </c>
      <c r="R744" s="7">
        <f>(P64-N64)*(Q24-O64)-(Q64-O64)*(P24-N64)</f>
        <v>0</v>
      </c>
      <c r="S744" s="7">
        <f>IF(N744,IF(AND(O744*P744&lt;=0,Q744*R744&lt;=0,MAX(MIN(N24,P24),MIN(N64,P64))&lt;=MIN(MAX(N24,P24),MAX(N64,P64)),MAX(MIN(O24,Q24),MIN(O64,Q64))&lt;=MIN(MAX(O24,Q24),MAX(O64,Q64))),1,0),0)</f>
        <v>0</v>
      </c>
      <c r="T744" s="7"/>
      <c r="U744" s="7"/>
      <c r="V744" s="7"/>
      <c r="W744" s="7"/>
      <c r="X744" s="7"/>
      <c r="Y744" s="7"/>
      <c r="Z744" s="7"/>
      <c r="AA744" s="7"/>
      <c r="AB744" s="7"/>
      <c r="AC744" s="7"/>
      <c r="AD744" s="7"/>
      <c r="AE744" s="7"/>
      <c r="AF744" s="7"/>
      <c r="AG744" s="7"/>
      <c r="AH744" s="7"/>
      <c r="AI744" s="7"/>
    </row>
    <row r="745" spans="12:35">
      <c r="L745" s="7">
        <v>24</v>
      </c>
      <c r="M745" s="7">
        <v>65</v>
      </c>
      <c r="N745" s="7" t="b">
        <f>AND($N$5,$N$7,13&lt;=$M$5,14&lt;=$M$7)</f>
        <v>0</v>
      </c>
      <c r="O745" s="7">
        <f>(P24-N24)*(O65-O24)-(Q24-O24)*(N65-N24)</f>
        <v>0</v>
      </c>
      <c r="P745" s="7">
        <f>(P24-N24)*(Q65-O24)-(Q24-O24)*(P65-N24)</f>
        <v>0</v>
      </c>
      <c r="Q745" s="7">
        <f>(P65-N65)*(O24-O65)-(Q65-O65)*(N24-N65)</f>
        <v>0</v>
      </c>
      <c r="R745" s="7">
        <f>(P65-N65)*(Q24-O65)-(Q65-O65)*(P24-N65)</f>
        <v>0</v>
      </c>
      <c r="S745" s="7">
        <f>IF(N745,IF(AND(O745*P745&lt;=0,Q745*R745&lt;=0,MAX(MIN(N24,P24),MIN(N65,P65))&lt;=MIN(MAX(N24,P24),MAX(N65,P65)),MAX(MIN(O24,Q24),MIN(O65,Q65))&lt;=MIN(MAX(O24,Q24),MAX(O65,Q65))),1,0),0)</f>
        <v>0</v>
      </c>
      <c r="T745" s="7"/>
      <c r="U745" s="7"/>
      <c r="V745" s="7"/>
      <c r="W745" s="7"/>
      <c r="X745" s="7"/>
      <c r="Y745" s="7"/>
      <c r="Z745" s="7"/>
      <c r="AA745" s="7"/>
      <c r="AB745" s="7"/>
      <c r="AC745" s="7"/>
      <c r="AD745" s="7"/>
      <c r="AE745" s="7"/>
      <c r="AF745" s="7"/>
      <c r="AG745" s="7"/>
      <c r="AH745" s="7"/>
      <c r="AI745" s="7"/>
    </row>
    <row r="746" spans="12:35">
      <c r="L746" s="7">
        <v>24</v>
      </c>
      <c r="M746" s="7">
        <v>66</v>
      </c>
      <c r="N746" s="7" t="b">
        <f>AND($N$5,$N$7,13&lt;=$M$5,15&lt;=$M$7)</f>
        <v>0</v>
      </c>
      <c r="O746" s="7">
        <f>(P24-N24)*(O66-O24)-(Q24-O24)*(N66-N24)</f>
        <v>0</v>
      </c>
      <c r="P746" s="7">
        <f>(P24-N24)*(Q66-O24)-(Q24-O24)*(P66-N24)</f>
        <v>0</v>
      </c>
      <c r="Q746" s="7">
        <f>(P66-N66)*(O24-O66)-(Q66-O66)*(N24-N66)</f>
        <v>0</v>
      </c>
      <c r="R746" s="7">
        <f>(P66-N66)*(Q24-O66)-(Q66-O66)*(P24-N66)</f>
        <v>0</v>
      </c>
      <c r="S746" s="7">
        <f>IF(N746,IF(AND(O746*P746&lt;=0,Q746*R746&lt;=0,MAX(MIN(N24,P24),MIN(N66,P66))&lt;=MIN(MAX(N24,P24),MAX(N66,P66)),MAX(MIN(O24,Q24),MIN(O66,Q66))&lt;=MIN(MAX(O24,Q24),MAX(O66,Q66))),1,0),0)</f>
        <v>0</v>
      </c>
      <c r="T746" s="7"/>
      <c r="U746" s="7"/>
      <c r="V746" s="7"/>
      <c r="W746" s="7"/>
      <c r="X746" s="7"/>
      <c r="Y746" s="7"/>
      <c r="Z746" s="7"/>
      <c r="AA746" s="7"/>
      <c r="AB746" s="7"/>
      <c r="AC746" s="7"/>
      <c r="AD746" s="7"/>
      <c r="AE746" s="7"/>
      <c r="AF746" s="7"/>
      <c r="AG746" s="7"/>
      <c r="AH746" s="7"/>
      <c r="AI746" s="7"/>
    </row>
    <row r="747" spans="12:35">
      <c r="L747" s="7">
        <v>24</v>
      </c>
      <c r="M747" s="7">
        <v>67</v>
      </c>
      <c r="N747" s="7" t="b">
        <f>AND($N$5,$N$7,13&lt;=$M$5,16&lt;=$M$7)</f>
        <v>0</v>
      </c>
      <c r="O747" s="7">
        <f>(P24-N24)*(O67-O24)-(Q24-O24)*(N67-N24)</f>
        <v>0</v>
      </c>
      <c r="P747" s="7">
        <f>(P24-N24)*(Q67-O24)-(Q24-O24)*(P67-N24)</f>
        <v>0</v>
      </c>
      <c r="Q747" s="7">
        <f>(P67-N67)*(O24-O67)-(Q67-O67)*(N24-N67)</f>
        <v>0</v>
      </c>
      <c r="R747" s="7">
        <f>(P67-N67)*(Q24-O67)-(Q67-O67)*(P24-N67)</f>
        <v>0</v>
      </c>
      <c r="S747" s="7">
        <f>IF(N747,IF(AND(O747*P747&lt;=0,Q747*R747&lt;=0,MAX(MIN(N24,P24),MIN(N67,P67))&lt;=MIN(MAX(N24,P24),MAX(N67,P67)),MAX(MIN(O24,Q24),MIN(O67,Q67))&lt;=MIN(MAX(O24,Q24),MAX(O67,Q67))),1,0),0)</f>
        <v>0</v>
      </c>
      <c r="T747" s="7"/>
      <c r="U747" s="7"/>
      <c r="V747" s="7"/>
      <c r="W747" s="7"/>
      <c r="X747" s="7"/>
      <c r="Y747" s="7"/>
      <c r="Z747" s="7"/>
      <c r="AA747" s="7"/>
      <c r="AB747" s="7"/>
      <c r="AC747" s="7"/>
      <c r="AD747" s="7"/>
      <c r="AE747" s="7"/>
      <c r="AF747" s="7"/>
      <c r="AG747" s="7"/>
      <c r="AH747" s="7"/>
      <c r="AI747" s="7"/>
    </row>
    <row r="748" spans="12:35">
      <c r="L748" s="7">
        <v>24</v>
      </c>
      <c r="M748" s="7">
        <v>68</v>
      </c>
      <c r="N748" s="7" t="b">
        <f>AND($N$5,$N$7,13&lt;=$M$5,17&lt;=$M$7)</f>
        <v>0</v>
      </c>
      <c r="O748" s="7">
        <f>(P24-N24)*(O68-O24)-(Q24-O24)*(N68-N24)</f>
        <v>0</v>
      </c>
      <c r="P748" s="7">
        <f>(P24-N24)*(Q68-O24)-(Q24-O24)*(P68-N24)</f>
        <v>0</v>
      </c>
      <c r="Q748" s="7">
        <f>(P68-N68)*(O24-O68)-(Q68-O68)*(N24-N68)</f>
        <v>0</v>
      </c>
      <c r="R748" s="7">
        <f>(P68-N68)*(Q24-O68)-(Q68-O68)*(P24-N68)</f>
        <v>0</v>
      </c>
      <c r="S748" s="7">
        <f>IF(N748,IF(AND(O748*P748&lt;=0,Q748*R748&lt;=0,MAX(MIN(N24,P24),MIN(N68,P68))&lt;=MIN(MAX(N24,P24),MAX(N68,P68)),MAX(MIN(O24,Q24),MIN(O68,Q68))&lt;=MIN(MAX(O24,Q24),MAX(O68,Q68))),1,0),0)</f>
        <v>0</v>
      </c>
      <c r="T748" s="7"/>
      <c r="U748" s="7"/>
      <c r="V748" s="7"/>
      <c r="W748" s="7"/>
      <c r="X748" s="7"/>
      <c r="Y748" s="7"/>
      <c r="Z748" s="7"/>
      <c r="AA748" s="7"/>
      <c r="AB748" s="7"/>
      <c r="AC748" s="7"/>
      <c r="AD748" s="7"/>
      <c r="AE748" s="7"/>
      <c r="AF748" s="7"/>
      <c r="AG748" s="7"/>
      <c r="AH748" s="7"/>
      <c r="AI748" s="7"/>
    </row>
    <row r="749" spans="12:35">
      <c r="L749" s="7">
        <v>24</v>
      </c>
      <c r="M749" s="7">
        <v>69</v>
      </c>
      <c r="N749" s="7" t="b">
        <f>AND($N$5,$N$7,13&lt;=$M$5,18&lt;=$M$7)</f>
        <v>0</v>
      </c>
      <c r="O749" s="7">
        <f>(P24-N24)*(O69-O24)-(Q24-O24)*(N69-N24)</f>
        <v>0</v>
      </c>
      <c r="P749" s="7">
        <f>(P24-N24)*(Q69-O24)-(Q24-O24)*(P69-N24)</f>
        <v>0</v>
      </c>
      <c r="Q749" s="7">
        <f>(P69-N69)*(O24-O69)-(Q69-O69)*(N24-N69)</f>
        <v>0</v>
      </c>
      <c r="R749" s="7">
        <f>(P69-N69)*(Q24-O69)-(Q69-O69)*(P24-N69)</f>
        <v>0</v>
      </c>
      <c r="S749" s="7">
        <f>IF(N749,IF(AND(O749*P749&lt;=0,Q749*R749&lt;=0,MAX(MIN(N24,P24),MIN(N69,P69))&lt;=MIN(MAX(N24,P24),MAX(N69,P69)),MAX(MIN(O24,Q24),MIN(O69,Q69))&lt;=MIN(MAX(O24,Q24),MAX(O69,Q69))),1,0),0)</f>
        <v>0</v>
      </c>
      <c r="T749" s="7"/>
      <c r="U749" s="7"/>
      <c r="V749" s="7"/>
      <c r="W749" s="7"/>
      <c r="X749" s="7"/>
      <c r="Y749" s="7"/>
      <c r="Z749" s="7"/>
      <c r="AA749" s="7"/>
      <c r="AB749" s="7"/>
      <c r="AC749" s="7"/>
      <c r="AD749" s="7"/>
      <c r="AE749" s="7"/>
      <c r="AF749" s="7"/>
      <c r="AG749" s="7"/>
      <c r="AH749" s="7"/>
      <c r="AI749" s="7"/>
    </row>
    <row r="750" spans="12:35">
      <c r="L750" s="7">
        <v>24</v>
      </c>
      <c r="M750" s="7">
        <v>70</v>
      </c>
      <c r="N750" s="7" t="b">
        <f>AND($N$5,$N$7,13&lt;=$M$5,19&lt;=$M$7)</f>
        <v>0</v>
      </c>
      <c r="O750" s="7">
        <f>(P24-N24)*(O70-O24)-(Q24-O24)*(N70-N24)</f>
        <v>0</v>
      </c>
      <c r="P750" s="7">
        <f>(P24-N24)*(Q70-O24)-(Q24-O24)*(P70-N24)</f>
        <v>0</v>
      </c>
      <c r="Q750" s="7">
        <f>(P70-N70)*(O24-O70)-(Q70-O70)*(N24-N70)</f>
        <v>0</v>
      </c>
      <c r="R750" s="7">
        <f>(P70-N70)*(Q24-O70)-(Q70-O70)*(P24-N70)</f>
        <v>0</v>
      </c>
      <c r="S750" s="7">
        <f>IF(N750,IF(AND(O750*P750&lt;=0,Q750*R750&lt;=0,MAX(MIN(N24,P24),MIN(N70,P70))&lt;=MIN(MAX(N24,P24),MAX(N70,P70)),MAX(MIN(O24,Q24),MIN(O70,Q70))&lt;=MIN(MAX(O24,Q24),MAX(O70,Q70))),1,0),0)</f>
        <v>0</v>
      </c>
      <c r="T750" s="7"/>
      <c r="U750" s="7"/>
      <c r="V750" s="7"/>
      <c r="W750" s="7"/>
      <c r="X750" s="7"/>
      <c r="Y750" s="7"/>
      <c r="Z750" s="7"/>
      <c r="AA750" s="7"/>
      <c r="AB750" s="7"/>
      <c r="AC750" s="7"/>
      <c r="AD750" s="7"/>
      <c r="AE750" s="7"/>
      <c r="AF750" s="7"/>
      <c r="AG750" s="7"/>
      <c r="AH750" s="7"/>
      <c r="AI750" s="7"/>
    </row>
    <row r="751" spans="12:35">
      <c r="L751" s="7">
        <v>24</v>
      </c>
      <c r="M751" s="7">
        <v>71</v>
      </c>
      <c r="N751" s="7" t="b">
        <f>AND($N$5,$N$7,13&lt;=$M$5,20&lt;=$M$7)</f>
        <v>0</v>
      </c>
      <c r="O751" s="7">
        <f>(P24-N24)*(O71-O24)-(Q24-O24)*(N71-N24)</f>
        <v>0</v>
      </c>
      <c r="P751" s="7">
        <f>(P24-N24)*(Q71-O24)-(Q24-O24)*(P71-N24)</f>
        <v>0</v>
      </c>
      <c r="Q751" s="7">
        <f>(P71-N71)*(O24-O71)-(Q71-O71)*(N24-N71)</f>
        <v>0</v>
      </c>
      <c r="R751" s="7">
        <f>(P71-N71)*(Q24-O71)-(Q71-O71)*(P24-N71)</f>
        <v>0</v>
      </c>
      <c r="S751" s="7">
        <f>IF(N751,IF(AND(O751*P751&lt;=0,Q751*R751&lt;=0,MAX(MIN(N24,P24),MIN(N71,P71))&lt;=MIN(MAX(N24,P24),MAX(N71,P71)),MAX(MIN(O24,Q24),MIN(O71,Q71))&lt;=MIN(MAX(O24,Q24),MAX(O71,Q71))),1,0),0)</f>
        <v>0</v>
      </c>
      <c r="T751" s="7"/>
      <c r="U751" s="7"/>
      <c r="V751" s="7"/>
      <c r="W751" s="7"/>
      <c r="X751" s="7"/>
      <c r="Y751" s="7"/>
      <c r="Z751" s="7"/>
      <c r="AA751" s="7"/>
      <c r="AB751" s="7"/>
      <c r="AC751" s="7"/>
      <c r="AD751" s="7"/>
      <c r="AE751" s="7"/>
      <c r="AF751" s="7"/>
      <c r="AG751" s="7"/>
      <c r="AH751" s="7"/>
      <c r="AI751" s="7"/>
    </row>
    <row r="752" spans="12:35">
      <c r="L752" s="7">
        <v>25</v>
      </c>
      <c r="M752" s="7">
        <v>27</v>
      </c>
      <c r="N752" s="7" t="b">
        <f>AND($N$5,$N$5,14&lt;=$M$5,16&lt;=$M$5)</f>
        <v>0</v>
      </c>
      <c r="O752" s="7">
        <f>(P25-N25)*(O27-O25)-(Q25-O25)*(N27-N25)</f>
        <v>0</v>
      </c>
      <c r="P752" s="7">
        <f>(P25-N25)*(Q27-O25)-(Q25-O25)*(P27-N25)</f>
        <v>0</v>
      </c>
      <c r="Q752" s="7">
        <f>(P27-N27)*(O25-O27)-(Q27-O27)*(N25-N27)</f>
        <v>0</v>
      </c>
      <c r="R752" s="7">
        <f>(P27-N27)*(Q25-O27)-(Q27-O27)*(P25-N27)</f>
        <v>0</v>
      </c>
      <c r="S752" s="7">
        <f>IF(N752,IF(AND(O752*P752&lt;=0,Q752*R752&lt;=0,MAX(MIN(N25,P25),MIN(N27,P27))&lt;=MIN(MAX(N25,P25),MAX(N27,P27)),MAX(MIN(O25,Q25),MIN(O27,Q27))&lt;=MIN(MAX(O25,Q25),MAX(O27,Q27))),1,0),0)</f>
        <v>0</v>
      </c>
      <c r="T752" s="7"/>
      <c r="U752" s="7"/>
      <c r="V752" s="7"/>
      <c r="W752" s="7"/>
      <c r="X752" s="7"/>
      <c r="Y752" s="7"/>
      <c r="Z752" s="7"/>
      <c r="AA752" s="7"/>
      <c r="AB752" s="7"/>
      <c r="AC752" s="7"/>
      <c r="AD752" s="7"/>
      <c r="AE752" s="7"/>
      <c r="AF752" s="7"/>
      <c r="AG752" s="7"/>
      <c r="AH752" s="7"/>
      <c r="AI752" s="7"/>
    </row>
    <row r="753" spans="12:35">
      <c r="L753" s="7">
        <v>25</v>
      </c>
      <c r="M753" s="7">
        <v>28</v>
      </c>
      <c r="N753" s="7" t="b">
        <f>AND($N$5,$N$5,14&lt;=$M$5,17&lt;=$M$5)</f>
        <v>0</v>
      </c>
      <c r="O753" s="7">
        <f>(P25-N25)*(O28-O25)-(Q25-O25)*(N28-N25)</f>
        <v>0</v>
      </c>
      <c r="P753" s="7">
        <f>(P25-N25)*(Q28-O25)-(Q25-O25)*(P28-N25)</f>
        <v>0</v>
      </c>
      <c r="Q753" s="7">
        <f>(P28-N28)*(O25-O28)-(Q28-O28)*(N25-N28)</f>
        <v>0</v>
      </c>
      <c r="R753" s="7">
        <f>(P28-N28)*(Q25-O28)-(Q28-O28)*(P25-N28)</f>
        <v>0</v>
      </c>
      <c r="S753" s="7">
        <f>IF(N753,IF(AND(O753*P753&lt;=0,Q753*R753&lt;=0,MAX(MIN(N25,P25),MIN(N28,P28))&lt;=MIN(MAX(N25,P25),MAX(N28,P28)),MAX(MIN(O25,Q25),MIN(O28,Q28))&lt;=MIN(MAX(O25,Q25),MAX(O28,Q28))),1,0),0)</f>
        <v>0</v>
      </c>
      <c r="T753" s="7"/>
      <c r="U753" s="7"/>
      <c r="V753" s="7"/>
      <c r="W753" s="7"/>
      <c r="X753" s="7"/>
      <c r="Y753" s="7"/>
      <c r="Z753" s="7"/>
      <c r="AA753" s="7"/>
      <c r="AB753" s="7"/>
      <c r="AC753" s="7"/>
      <c r="AD753" s="7"/>
      <c r="AE753" s="7"/>
      <c r="AF753" s="7"/>
      <c r="AG753" s="7"/>
      <c r="AH753" s="7"/>
      <c r="AI753" s="7"/>
    </row>
    <row r="754" spans="12:35">
      <c r="L754" s="7">
        <v>25</v>
      </c>
      <c r="M754" s="7">
        <v>29</v>
      </c>
      <c r="N754" s="7" t="b">
        <f>AND($N$5,$N$5,14&lt;=$M$5,18&lt;=$M$5)</f>
        <v>0</v>
      </c>
      <c r="O754" s="7">
        <f>(P25-N25)*(O29-O25)-(Q25-O25)*(N29-N25)</f>
        <v>0</v>
      </c>
      <c r="P754" s="7">
        <f>(P25-N25)*(Q29-O25)-(Q25-O25)*(P29-N25)</f>
        <v>0</v>
      </c>
      <c r="Q754" s="7">
        <f>(P29-N29)*(O25-O29)-(Q29-O29)*(N25-N29)</f>
        <v>0</v>
      </c>
      <c r="R754" s="7">
        <f>(P29-N29)*(Q25-O29)-(Q29-O29)*(P25-N29)</f>
        <v>0</v>
      </c>
      <c r="S754" s="7">
        <f>IF(N754,IF(AND(O754*P754&lt;=0,Q754*R754&lt;=0,MAX(MIN(N25,P25),MIN(N29,P29))&lt;=MIN(MAX(N25,P25),MAX(N29,P29)),MAX(MIN(O25,Q25),MIN(O29,Q29))&lt;=MIN(MAX(O25,Q25),MAX(O29,Q29))),1,0),0)</f>
        <v>0</v>
      </c>
      <c r="T754" s="7"/>
      <c r="U754" s="7"/>
      <c r="V754" s="7"/>
      <c r="W754" s="7"/>
      <c r="X754" s="7"/>
      <c r="Y754" s="7"/>
      <c r="Z754" s="7"/>
      <c r="AA754" s="7"/>
      <c r="AB754" s="7"/>
      <c r="AC754" s="7"/>
      <c r="AD754" s="7"/>
      <c r="AE754" s="7"/>
      <c r="AF754" s="7"/>
      <c r="AG754" s="7"/>
      <c r="AH754" s="7"/>
      <c r="AI754" s="7"/>
    </row>
    <row r="755" spans="12:35">
      <c r="L755" s="7">
        <v>25</v>
      </c>
      <c r="M755" s="7">
        <v>30</v>
      </c>
      <c r="N755" s="7" t="b">
        <f>AND($N$5,$N$5,14&lt;=$M$5,19&lt;=$M$5)</f>
        <v>0</v>
      </c>
      <c r="O755" s="7">
        <f>(P25-N25)*(O30-O25)-(Q25-O25)*(N30-N25)</f>
        <v>0</v>
      </c>
      <c r="P755" s="7">
        <f>(P25-N25)*(Q30-O25)-(Q25-O25)*(P30-N25)</f>
        <v>0</v>
      </c>
      <c r="Q755" s="7">
        <f>(P30-N30)*(O25-O30)-(Q30-O30)*(N25-N30)</f>
        <v>0</v>
      </c>
      <c r="R755" s="7">
        <f>(P30-N30)*(Q25-O30)-(Q30-O30)*(P25-N30)</f>
        <v>0</v>
      </c>
      <c r="S755" s="7">
        <f>IF(N755,IF(AND(O755*P755&lt;=0,Q755*R755&lt;=0,MAX(MIN(N25,P25),MIN(N30,P30))&lt;=MIN(MAX(N25,P25),MAX(N30,P30)),MAX(MIN(O25,Q25),MIN(O30,Q30))&lt;=MIN(MAX(O25,Q25),MAX(O30,Q30))),1,0),0)</f>
        <v>0</v>
      </c>
      <c r="T755" s="7"/>
      <c r="U755" s="7"/>
      <c r="V755" s="7"/>
      <c r="W755" s="7"/>
      <c r="X755" s="7"/>
      <c r="Y755" s="7"/>
      <c r="Z755" s="7"/>
      <c r="AA755" s="7"/>
      <c r="AB755" s="7"/>
      <c r="AC755" s="7"/>
      <c r="AD755" s="7"/>
      <c r="AE755" s="7"/>
      <c r="AF755" s="7"/>
      <c r="AG755" s="7"/>
      <c r="AH755" s="7"/>
      <c r="AI755" s="7"/>
    </row>
    <row r="756" spans="12:35">
      <c r="L756" s="7">
        <v>25</v>
      </c>
      <c r="M756" s="7">
        <v>31</v>
      </c>
      <c r="N756" s="7" t="b">
        <f>AND($N$5,$N$5,14&lt;=$M$5,20&lt;=$M$5)</f>
        <v>0</v>
      </c>
      <c r="O756" s="7">
        <f>(P25-N25)*(O31-O25)-(Q25-O25)*(N31-N25)</f>
        <v>0</v>
      </c>
      <c r="P756" s="7">
        <f>(P25-N25)*(Q31-O25)-(Q25-O25)*(P31-N25)</f>
        <v>0</v>
      </c>
      <c r="Q756" s="7">
        <f>(P31-N31)*(O25-O31)-(Q31-O31)*(N25-N31)</f>
        <v>0</v>
      </c>
      <c r="R756" s="7">
        <f>(P31-N31)*(Q25-O31)-(Q31-O31)*(P25-N31)</f>
        <v>0</v>
      </c>
      <c r="S756" s="7">
        <f>IF(N756,IF(AND(O756*P756&lt;=0,Q756*R756&lt;=0,MAX(MIN(N25,P25),MIN(N31,P31))&lt;=MIN(MAX(N25,P25),MAX(N31,P31)),MAX(MIN(O25,Q25),MIN(O31,Q31))&lt;=MIN(MAX(O25,Q25),MAX(O31,Q31))),1,0),0)</f>
        <v>0</v>
      </c>
      <c r="T756" s="7"/>
      <c r="U756" s="7"/>
      <c r="V756" s="7"/>
      <c r="W756" s="7"/>
      <c r="X756" s="7"/>
      <c r="Y756" s="7"/>
      <c r="Z756" s="7"/>
      <c r="AA756" s="7"/>
      <c r="AB756" s="7"/>
      <c r="AC756" s="7"/>
      <c r="AD756" s="7"/>
      <c r="AE756" s="7"/>
      <c r="AF756" s="7"/>
      <c r="AG756" s="7"/>
      <c r="AH756" s="7"/>
      <c r="AI756" s="7"/>
    </row>
    <row r="757" spans="12:35">
      <c r="L757" s="7">
        <v>25</v>
      </c>
      <c r="M757" s="7">
        <v>32</v>
      </c>
      <c r="N757" s="7" t="b">
        <f>AND($N$5,$N$6,14&lt;=$M$5,1&lt;=$M$6)</f>
        <v>0</v>
      </c>
      <c r="O757" s="7">
        <f>(P25-N25)*(O32-O25)-(Q25-O25)*(N32-N25)</f>
        <v>0</v>
      </c>
      <c r="P757" s="7">
        <f>(P25-N25)*(Q32-O25)-(Q25-O25)*(P32-N25)</f>
        <v>0</v>
      </c>
      <c r="Q757" s="7">
        <f>(P32-N32)*(O25-O32)-(Q32-O32)*(N25-N32)</f>
        <v>0</v>
      </c>
      <c r="R757" s="7">
        <f>(P32-N32)*(Q25-O32)-(Q32-O32)*(P25-N32)</f>
        <v>0</v>
      </c>
      <c r="S757" s="7">
        <f>IF(N757,IF(AND(O757*P757&lt;=0,Q757*R757&lt;=0,MAX(MIN(N25,P25),MIN(N32,P32))&lt;=MIN(MAX(N25,P25),MAX(N32,P32)),MAX(MIN(O25,Q25),MIN(O32,Q32))&lt;=MIN(MAX(O25,Q25),MAX(O32,Q32))),1,0),0)</f>
        <v>0</v>
      </c>
      <c r="T757" s="7"/>
      <c r="U757" s="7"/>
      <c r="V757" s="7"/>
      <c r="W757" s="7"/>
      <c r="X757" s="7"/>
      <c r="Y757" s="7"/>
      <c r="Z757" s="7"/>
      <c r="AA757" s="7"/>
      <c r="AB757" s="7"/>
      <c r="AC757" s="7"/>
      <c r="AD757" s="7"/>
      <c r="AE757" s="7"/>
      <c r="AF757" s="7"/>
      <c r="AG757" s="7"/>
      <c r="AH757" s="7"/>
      <c r="AI757" s="7"/>
    </row>
    <row r="758" spans="12:35">
      <c r="L758" s="7">
        <v>25</v>
      </c>
      <c r="M758" s="7">
        <v>33</v>
      </c>
      <c r="N758" s="7" t="b">
        <f>AND($N$5,$N$6,14&lt;=$M$5,2&lt;=$M$6)</f>
        <v>0</v>
      </c>
      <c r="O758" s="7">
        <f>(P25-N25)*(O33-O25)-(Q25-O25)*(N33-N25)</f>
        <v>0</v>
      </c>
      <c r="P758" s="7">
        <f>(P25-N25)*(Q33-O25)-(Q25-O25)*(P33-N25)</f>
        <v>0</v>
      </c>
      <c r="Q758" s="7">
        <f>(P33-N33)*(O25-O33)-(Q33-O33)*(N25-N33)</f>
        <v>0</v>
      </c>
      <c r="R758" s="7">
        <f>(P33-N33)*(Q25-O33)-(Q33-O33)*(P25-N33)</f>
        <v>0</v>
      </c>
      <c r="S758" s="7">
        <f>IF(N758,IF(AND(O758*P758&lt;=0,Q758*R758&lt;=0,MAX(MIN(N25,P25),MIN(N33,P33))&lt;=MIN(MAX(N25,P25),MAX(N33,P33)),MAX(MIN(O25,Q25),MIN(O33,Q33))&lt;=MIN(MAX(O25,Q25),MAX(O33,Q33))),1,0),0)</f>
        <v>0</v>
      </c>
      <c r="T758" s="7"/>
      <c r="U758" s="7"/>
      <c r="V758" s="7"/>
      <c r="W758" s="7"/>
      <c r="X758" s="7"/>
      <c r="Y758" s="7"/>
      <c r="Z758" s="7"/>
      <c r="AA758" s="7"/>
      <c r="AB758" s="7"/>
      <c r="AC758" s="7"/>
      <c r="AD758" s="7"/>
      <c r="AE758" s="7"/>
      <c r="AF758" s="7"/>
      <c r="AG758" s="7"/>
      <c r="AH758" s="7"/>
      <c r="AI758" s="7"/>
    </row>
    <row r="759" spans="12:35">
      <c r="L759" s="7">
        <v>25</v>
      </c>
      <c r="M759" s="7">
        <v>34</v>
      </c>
      <c r="N759" s="7" t="b">
        <f>AND($N$5,$N$6,14&lt;=$M$5,3&lt;=$M$6)</f>
        <v>0</v>
      </c>
      <c r="O759" s="7">
        <f>(P25-N25)*(O34-O25)-(Q25-O25)*(N34-N25)</f>
        <v>0</v>
      </c>
      <c r="P759" s="7">
        <f>(P25-N25)*(Q34-O25)-(Q25-O25)*(P34-N25)</f>
        <v>0</v>
      </c>
      <c r="Q759" s="7">
        <f>(P34-N34)*(O25-O34)-(Q34-O34)*(N25-N34)</f>
        <v>0</v>
      </c>
      <c r="R759" s="7">
        <f>(P34-N34)*(Q25-O34)-(Q34-O34)*(P25-N34)</f>
        <v>0</v>
      </c>
      <c r="S759" s="7">
        <f>IF(N759,IF(AND(O759*P759&lt;=0,Q759*R759&lt;=0,MAX(MIN(N25,P25),MIN(N34,P34))&lt;=MIN(MAX(N25,P25),MAX(N34,P34)),MAX(MIN(O25,Q25),MIN(O34,Q34))&lt;=MIN(MAX(O25,Q25),MAX(O34,Q34))),1,0),0)</f>
        <v>0</v>
      </c>
      <c r="T759" s="7"/>
      <c r="U759" s="7"/>
      <c r="V759" s="7"/>
      <c r="W759" s="7"/>
      <c r="X759" s="7"/>
      <c r="Y759" s="7"/>
      <c r="Z759" s="7"/>
      <c r="AA759" s="7"/>
      <c r="AB759" s="7"/>
      <c r="AC759" s="7"/>
      <c r="AD759" s="7"/>
      <c r="AE759" s="7"/>
      <c r="AF759" s="7"/>
      <c r="AG759" s="7"/>
      <c r="AH759" s="7"/>
      <c r="AI759" s="7"/>
    </row>
    <row r="760" spans="12:35">
      <c r="L760" s="7">
        <v>25</v>
      </c>
      <c r="M760" s="7">
        <v>35</v>
      </c>
      <c r="N760" s="7" t="b">
        <f>AND($N$5,$N$6,14&lt;=$M$5,4&lt;=$M$6)</f>
        <v>0</v>
      </c>
      <c r="O760" s="7">
        <f>(P25-N25)*(O35-O25)-(Q25-O25)*(N35-N25)</f>
        <v>0</v>
      </c>
      <c r="P760" s="7">
        <f>(P25-N25)*(Q35-O25)-(Q25-O25)*(P35-N25)</f>
        <v>0</v>
      </c>
      <c r="Q760" s="7">
        <f>(P35-N35)*(O25-O35)-(Q35-O35)*(N25-N35)</f>
        <v>0</v>
      </c>
      <c r="R760" s="7">
        <f>(P35-N35)*(Q25-O35)-(Q35-O35)*(P25-N35)</f>
        <v>0</v>
      </c>
      <c r="S760" s="7">
        <f>IF(N760,IF(AND(O760*P760&lt;=0,Q760*R760&lt;=0,MAX(MIN(N25,P25),MIN(N35,P35))&lt;=MIN(MAX(N25,P25),MAX(N35,P35)),MAX(MIN(O25,Q25),MIN(O35,Q35))&lt;=MIN(MAX(O25,Q25),MAX(O35,Q35))),1,0),0)</f>
        <v>0</v>
      </c>
      <c r="T760" s="7"/>
      <c r="U760" s="7"/>
      <c r="V760" s="7"/>
      <c r="W760" s="7"/>
      <c r="X760" s="7"/>
      <c r="Y760" s="7"/>
      <c r="Z760" s="7"/>
      <c r="AA760" s="7"/>
      <c r="AB760" s="7"/>
      <c r="AC760" s="7"/>
      <c r="AD760" s="7"/>
      <c r="AE760" s="7"/>
      <c r="AF760" s="7"/>
      <c r="AG760" s="7"/>
      <c r="AH760" s="7"/>
      <c r="AI760" s="7"/>
    </row>
    <row r="761" spans="12:35">
      <c r="L761" s="7">
        <v>25</v>
      </c>
      <c r="M761" s="7">
        <v>36</v>
      </c>
      <c r="N761" s="7" t="b">
        <f>AND($N$5,$N$6,14&lt;=$M$5,5&lt;=$M$6)</f>
        <v>0</v>
      </c>
      <c r="O761" s="7">
        <f>(P25-N25)*(O36-O25)-(Q25-O25)*(N36-N25)</f>
        <v>0</v>
      </c>
      <c r="P761" s="7">
        <f>(P25-N25)*(Q36-O25)-(Q25-O25)*(P36-N25)</f>
        <v>0</v>
      </c>
      <c r="Q761" s="7">
        <f>(P36-N36)*(O25-O36)-(Q36-O36)*(N25-N36)</f>
        <v>0</v>
      </c>
      <c r="R761" s="7">
        <f>(P36-N36)*(Q25-O36)-(Q36-O36)*(P25-N36)</f>
        <v>0</v>
      </c>
      <c r="S761" s="7">
        <f>IF(N761,IF(AND(O761*P761&lt;=0,Q761*R761&lt;=0,MAX(MIN(N25,P25),MIN(N36,P36))&lt;=MIN(MAX(N25,P25),MAX(N36,P36)),MAX(MIN(O25,Q25),MIN(O36,Q36))&lt;=MIN(MAX(O25,Q25),MAX(O36,Q36))),1,0),0)</f>
        <v>0</v>
      </c>
      <c r="T761" s="7"/>
      <c r="U761" s="7"/>
      <c r="V761" s="7"/>
      <c r="W761" s="7"/>
      <c r="X761" s="7"/>
      <c r="Y761" s="7"/>
      <c r="Z761" s="7"/>
      <c r="AA761" s="7"/>
      <c r="AB761" s="7"/>
      <c r="AC761" s="7"/>
      <c r="AD761" s="7"/>
      <c r="AE761" s="7"/>
      <c r="AF761" s="7"/>
      <c r="AG761" s="7"/>
      <c r="AH761" s="7"/>
      <c r="AI761" s="7"/>
    </row>
    <row r="762" spans="12:35">
      <c r="L762" s="7">
        <v>25</v>
      </c>
      <c r="M762" s="7">
        <v>37</v>
      </c>
      <c r="N762" s="7" t="b">
        <f>AND($N$5,$N$6,14&lt;=$M$5,6&lt;=$M$6)</f>
        <v>0</v>
      </c>
      <c r="O762" s="7">
        <f>(P25-N25)*(O37-O25)-(Q25-O25)*(N37-N25)</f>
        <v>0</v>
      </c>
      <c r="P762" s="7">
        <f>(P25-N25)*(Q37-O25)-(Q25-O25)*(P37-N25)</f>
        <v>0</v>
      </c>
      <c r="Q762" s="7">
        <f>(P37-N37)*(O25-O37)-(Q37-O37)*(N25-N37)</f>
        <v>0</v>
      </c>
      <c r="R762" s="7">
        <f>(P37-N37)*(Q25-O37)-(Q37-O37)*(P25-N37)</f>
        <v>0</v>
      </c>
      <c r="S762" s="7">
        <f>IF(N762,IF(AND(O762*P762&lt;=0,Q762*R762&lt;=0,MAX(MIN(N25,P25),MIN(N37,P37))&lt;=MIN(MAX(N25,P25),MAX(N37,P37)),MAX(MIN(O25,Q25),MIN(O37,Q37))&lt;=MIN(MAX(O25,Q25),MAX(O37,Q37))),1,0),0)</f>
        <v>0</v>
      </c>
      <c r="T762" s="7"/>
      <c r="U762" s="7"/>
      <c r="V762" s="7"/>
      <c r="W762" s="7"/>
      <c r="X762" s="7"/>
      <c r="Y762" s="7"/>
      <c r="Z762" s="7"/>
      <c r="AA762" s="7"/>
      <c r="AB762" s="7"/>
      <c r="AC762" s="7"/>
      <c r="AD762" s="7"/>
      <c r="AE762" s="7"/>
      <c r="AF762" s="7"/>
      <c r="AG762" s="7"/>
      <c r="AH762" s="7"/>
      <c r="AI762" s="7"/>
    </row>
    <row r="763" spans="12:35">
      <c r="L763" s="7">
        <v>25</v>
      </c>
      <c r="M763" s="7">
        <v>38</v>
      </c>
      <c r="N763" s="7" t="b">
        <f>AND($N$5,$N$6,14&lt;=$M$5,7&lt;=$M$6)</f>
        <v>0</v>
      </c>
      <c r="O763" s="7">
        <f>(P25-N25)*(O38-O25)-(Q25-O25)*(N38-N25)</f>
        <v>0</v>
      </c>
      <c r="P763" s="7">
        <f>(P25-N25)*(Q38-O25)-(Q25-O25)*(P38-N25)</f>
        <v>0</v>
      </c>
      <c r="Q763" s="7">
        <f>(P38-N38)*(O25-O38)-(Q38-O38)*(N25-N38)</f>
        <v>0</v>
      </c>
      <c r="R763" s="7">
        <f>(P38-N38)*(Q25-O38)-(Q38-O38)*(P25-N38)</f>
        <v>0</v>
      </c>
      <c r="S763" s="7">
        <f>IF(N763,IF(AND(O763*P763&lt;=0,Q763*R763&lt;=0,MAX(MIN(N25,P25),MIN(N38,P38))&lt;=MIN(MAX(N25,P25),MAX(N38,P38)),MAX(MIN(O25,Q25),MIN(O38,Q38))&lt;=MIN(MAX(O25,Q25),MAX(O38,Q38))),1,0),0)</f>
        <v>0</v>
      </c>
      <c r="T763" s="7"/>
      <c r="U763" s="7"/>
      <c r="V763" s="7"/>
      <c r="W763" s="7"/>
      <c r="X763" s="7"/>
      <c r="Y763" s="7"/>
      <c r="Z763" s="7"/>
      <c r="AA763" s="7"/>
      <c r="AB763" s="7"/>
      <c r="AC763" s="7"/>
      <c r="AD763" s="7"/>
      <c r="AE763" s="7"/>
      <c r="AF763" s="7"/>
      <c r="AG763" s="7"/>
      <c r="AH763" s="7"/>
      <c r="AI763" s="7"/>
    </row>
    <row r="764" spans="12:35">
      <c r="L764" s="7">
        <v>25</v>
      </c>
      <c r="M764" s="7">
        <v>39</v>
      </c>
      <c r="N764" s="7" t="b">
        <f>AND($N$5,$N$6,14&lt;=$M$5,8&lt;=$M$6)</f>
        <v>0</v>
      </c>
      <c r="O764" s="7">
        <f>(P25-N25)*(O39-O25)-(Q25-O25)*(N39-N25)</f>
        <v>0</v>
      </c>
      <c r="P764" s="7">
        <f>(P25-N25)*(Q39-O25)-(Q25-O25)*(P39-N25)</f>
        <v>0</v>
      </c>
      <c r="Q764" s="7">
        <f>(P39-N39)*(O25-O39)-(Q39-O39)*(N25-N39)</f>
        <v>0</v>
      </c>
      <c r="R764" s="7">
        <f>(P39-N39)*(Q25-O39)-(Q39-O39)*(P25-N39)</f>
        <v>0</v>
      </c>
      <c r="S764" s="7">
        <f>IF(N764,IF(AND(O764*P764&lt;=0,Q764*R764&lt;=0,MAX(MIN(N25,P25),MIN(N39,P39))&lt;=MIN(MAX(N25,P25),MAX(N39,P39)),MAX(MIN(O25,Q25),MIN(O39,Q39))&lt;=MIN(MAX(O25,Q25),MAX(O39,Q39))),1,0),0)</f>
        <v>0</v>
      </c>
      <c r="T764" s="7"/>
      <c r="U764" s="7"/>
      <c r="V764" s="7"/>
      <c r="W764" s="7"/>
      <c r="X764" s="7"/>
      <c r="Y764" s="7"/>
      <c r="Z764" s="7"/>
      <c r="AA764" s="7"/>
      <c r="AB764" s="7"/>
      <c r="AC764" s="7"/>
      <c r="AD764" s="7"/>
      <c r="AE764" s="7"/>
      <c r="AF764" s="7"/>
      <c r="AG764" s="7"/>
      <c r="AH764" s="7"/>
      <c r="AI764" s="7"/>
    </row>
    <row r="765" spans="12:35">
      <c r="L765" s="7">
        <v>25</v>
      </c>
      <c r="M765" s="7">
        <v>40</v>
      </c>
      <c r="N765" s="7" t="b">
        <f>AND($N$5,$N$6,14&lt;=$M$5,9&lt;=$M$6)</f>
        <v>0</v>
      </c>
      <c r="O765" s="7">
        <f>(P25-N25)*(O40-O25)-(Q25-O25)*(N40-N25)</f>
        <v>0</v>
      </c>
      <c r="P765" s="7">
        <f>(P25-N25)*(Q40-O25)-(Q25-O25)*(P40-N25)</f>
        <v>0</v>
      </c>
      <c r="Q765" s="7">
        <f>(P40-N40)*(O25-O40)-(Q40-O40)*(N25-N40)</f>
        <v>0</v>
      </c>
      <c r="R765" s="7">
        <f>(P40-N40)*(Q25-O40)-(Q40-O40)*(P25-N40)</f>
        <v>0</v>
      </c>
      <c r="S765" s="7">
        <f>IF(N765,IF(AND(O765*P765&lt;=0,Q765*R765&lt;=0,MAX(MIN(N25,P25),MIN(N40,P40))&lt;=MIN(MAX(N25,P25),MAX(N40,P40)),MAX(MIN(O25,Q25),MIN(O40,Q40))&lt;=MIN(MAX(O25,Q25),MAX(O40,Q40))),1,0),0)</f>
        <v>0</v>
      </c>
      <c r="T765" s="7"/>
      <c r="U765" s="7"/>
      <c r="V765" s="7"/>
      <c r="W765" s="7"/>
      <c r="X765" s="7"/>
      <c r="Y765" s="7"/>
      <c r="Z765" s="7"/>
      <c r="AA765" s="7"/>
      <c r="AB765" s="7"/>
      <c r="AC765" s="7"/>
      <c r="AD765" s="7"/>
      <c r="AE765" s="7"/>
      <c r="AF765" s="7"/>
      <c r="AG765" s="7"/>
      <c r="AH765" s="7"/>
      <c r="AI765" s="7"/>
    </row>
    <row r="766" spans="12:35">
      <c r="L766" s="7">
        <v>25</v>
      </c>
      <c r="M766" s="7">
        <v>41</v>
      </c>
      <c r="N766" s="7" t="b">
        <f>AND($N$5,$N$6,14&lt;=$M$5,10&lt;=$M$6)</f>
        <v>0</v>
      </c>
      <c r="O766" s="7">
        <f>(P25-N25)*(O41-O25)-(Q25-O25)*(N41-N25)</f>
        <v>0</v>
      </c>
      <c r="P766" s="7">
        <f>(P25-N25)*(Q41-O25)-(Q25-O25)*(P41-N25)</f>
        <v>0</v>
      </c>
      <c r="Q766" s="7">
        <f>(P41-N41)*(O25-O41)-(Q41-O41)*(N25-N41)</f>
        <v>0</v>
      </c>
      <c r="R766" s="7">
        <f>(P41-N41)*(Q25-O41)-(Q41-O41)*(P25-N41)</f>
        <v>0</v>
      </c>
      <c r="S766" s="7">
        <f>IF(N766,IF(AND(O766*P766&lt;=0,Q766*R766&lt;=0,MAX(MIN(N25,P25),MIN(N41,P41))&lt;=MIN(MAX(N25,P25),MAX(N41,P41)),MAX(MIN(O25,Q25),MIN(O41,Q41))&lt;=MIN(MAX(O25,Q25),MAX(O41,Q41))),1,0),0)</f>
        <v>0</v>
      </c>
      <c r="T766" s="7"/>
      <c r="U766" s="7"/>
      <c r="V766" s="7"/>
      <c r="W766" s="7"/>
      <c r="X766" s="7"/>
      <c r="Y766" s="7"/>
      <c r="Z766" s="7"/>
      <c r="AA766" s="7"/>
      <c r="AB766" s="7"/>
      <c r="AC766" s="7"/>
      <c r="AD766" s="7"/>
      <c r="AE766" s="7"/>
      <c r="AF766" s="7"/>
      <c r="AG766" s="7"/>
      <c r="AH766" s="7"/>
      <c r="AI766" s="7"/>
    </row>
    <row r="767" spans="12:35">
      <c r="L767" s="7">
        <v>25</v>
      </c>
      <c r="M767" s="7">
        <v>42</v>
      </c>
      <c r="N767" s="7" t="b">
        <f>AND($N$5,$N$6,14&lt;=$M$5,11&lt;=$M$6)</f>
        <v>0</v>
      </c>
      <c r="O767" s="7">
        <f>(P25-N25)*(O42-O25)-(Q25-O25)*(N42-N25)</f>
        <v>0</v>
      </c>
      <c r="P767" s="7">
        <f>(P25-N25)*(Q42-O25)-(Q25-O25)*(P42-N25)</f>
        <v>0</v>
      </c>
      <c r="Q767" s="7">
        <f>(P42-N42)*(O25-O42)-(Q42-O42)*(N25-N42)</f>
        <v>0</v>
      </c>
      <c r="R767" s="7">
        <f>(P42-N42)*(Q25-O42)-(Q42-O42)*(P25-N42)</f>
        <v>0</v>
      </c>
      <c r="S767" s="7">
        <f>IF(N767,IF(AND(O767*P767&lt;=0,Q767*R767&lt;=0,MAX(MIN(N25,P25),MIN(N42,P42))&lt;=MIN(MAX(N25,P25),MAX(N42,P42)),MAX(MIN(O25,Q25),MIN(O42,Q42))&lt;=MIN(MAX(O25,Q25),MAX(O42,Q42))),1,0),0)</f>
        <v>0</v>
      </c>
      <c r="T767" s="7"/>
      <c r="U767" s="7"/>
      <c r="V767" s="7"/>
      <c r="W767" s="7"/>
      <c r="X767" s="7"/>
      <c r="Y767" s="7"/>
      <c r="Z767" s="7"/>
      <c r="AA767" s="7"/>
      <c r="AB767" s="7"/>
      <c r="AC767" s="7"/>
      <c r="AD767" s="7"/>
      <c r="AE767" s="7"/>
      <c r="AF767" s="7"/>
      <c r="AG767" s="7"/>
      <c r="AH767" s="7"/>
      <c r="AI767" s="7"/>
    </row>
    <row r="768" spans="12:35">
      <c r="L768" s="7">
        <v>25</v>
      </c>
      <c r="M768" s="7">
        <v>43</v>
      </c>
      <c r="N768" s="7" t="b">
        <f>AND($N$5,$N$6,14&lt;=$M$5,12&lt;=$M$6)</f>
        <v>0</v>
      </c>
      <c r="O768" s="7">
        <f>(P25-N25)*(O43-O25)-(Q25-O25)*(N43-N25)</f>
        <v>0</v>
      </c>
      <c r="P768" s="7">
        <f>(P25-N25)*(Q43-O25)-(Q25-O25)*(P43-N25)</f>
        <v>0</v>
      </c>
      <c r="Q768" s="7">
        <f>(P43-N43)*(O25-O43)-(Q43-O43)*(N25-N43)</f>
        <v>0</v>
      </c>
      <c r="R768" s="7">
        <f>(P43-N43)*(Q25-O43)-(Q43-O43)*(P25-N43)</f>
        <v>0</v>
      </c>
      <c r="S768" s="7">
        <f>IF(N768,IF(AND(O768*P768&lt;=0,Q768*R768&lt;=0,MAX(MIN(N25,P25),MIN(N43,P43))&lt;=MIN(MAX(N25,P25),MAX(N43,P43)),MAX(MIN(O25,Q25),MIN(O43,Q43))&lt;=MIN(MAX(O25,Q25),MAX(O43,Q43))),1,0),0)</f>
        <v>0</v>
      </c>
      <c r="T768" s="7"/>
      <c r="U768" s="7"/>
      <c r="V768" s="7"/>
      <c r="W768" s="7"/>
      <c r="X768" s="7"/>
      <c r="Y768" s="7"/>
      <c r="Z768" s="7"/>
      <c r="AA768" s="7"/>
      <c r="AB768" s="7"/>
      <c r="AC768" s="7"/>
      <c r="AD768" s="7"/>
      <c r="AE768" s="7"/>
      <c r="AF768" s="7"/>
      <c r="AG768" s="7"/>
      <c r="AH768" s="7"/>
      <c r="AI768" s="7"/>
    </row>
    <row r="769" spans="12:35">
      <c r="L769" s="7">
        <v>25</v>
      </c>
      <c r="M769" s="7">
        <v>44</v>
      </c>
      <c r="N769" s="7" t="b">
        <f>AND($N$5,$N$6,14&lt;=$M$5,13&lt;=$M$6)</f>
        <v>0</v>
      </c>
      <c r="O769" s="7">
        <f>(P25-N25)*(O44-O25)-(Q25-O25)*(N44-N25)</f>
        <v>0</v>
      </c>
      <c r="P769" s="7">
        <f>(P25-N25)*(Q44-O25)-(Q25-O25)*(P44-N25)</f>
        <v>0</v>
      </c>
      <c r="Q769" s="7">
        <f>(P44-N44)*(O25-O44)-(Q44-O44)*(N25-N44)</f>
        <v>0</v>
      </c>
      <c r="R769" s="7">
        <f>(P44-N44)*(Q25-O44)-(Q44-O44)*(P25-N44)</f>
        <v>0</v>
      </c>
      <c r="S769" s="7">
        <f>IF(N769,IF(AND(O769*P769&lt;=0,Q769*R769&lt;=0,MAX(MIN(N25,P25),MIN(N44,P44))&lt;=MIN(MAX(N25,P25),MAX(N44,P44)),MAX(MIN(O25,Q25),MIN(O44,Q44))&lt;=MIN(MAX(O25,Q25),MAX(O44,Q44))),1,0),0)</f>
        <v>0</v>
      </c>
      <c r="T769" s="7"/>
      <c r="U769" s="7"/>
      <c r="V769" s="7"/>
      <c r="W769" s="7"/>
      <c r="X769" s="7"/>
      <c r="Y769" s="7"/>
      <c r="Z769" s="7"/>
      <c r="AA769" s="7"/>
      <c r="AB769" s="7"/>
      <c r="AC769" s="7"/>
      <c r="AD769" s="7"/>
      <c r="AE769" s="7"/>
      <c r="AF769" s="7"/>
      <c r="AG769" s="7"/>
      <c r="AH769" s="7"/>
      <c r="AI769" s="7"/>
    </row>
    <row r="770" spans="12:35">
      <c r="L770" s="7">
        <v>25</v>
      </c>
      <c r="M770" s="7">
        <v>45</v>
      </c>
      <c r="N770" s="7" t="b">
        <f>AND($N$5,$N$6,14&lt;=$M$5,14&lt;=$M$6)</f>
        <v>0</v>
      </c>
      <c r="O770" s="7">
        <f>(P25-N25)*(O45-O25)-(Q25-O25)*(N45-N25)</f>
        <v>0</v>
      </c>
      <c r="P770" s="7">
        <f>(P25-N25)*(Q45-O25)-(Q25-O25)*(P45-N25)</f>
        <v>0</v>
      </c>
      <c r="Q770" s="7">
        <f>(P45-N45)*(O25-O45)-(Q45-O45)*(N25-N45)</f>
        <v>0</v>
      </c>
      <c r="R770" s="7">
        <f>(P45-N45)*(Q25-O45)-(Q45-O45)*(P25-N45)</f>
        <v>0</v>
      </c>
      <c r="S770" s="7">
        <f>IF(N770,IF(AND(O770*P770&lt;=0,Q770*R770&lt;=0,MAX(MIN(N25,P25),MIN(N45,P45))&lt;=MIN(MAX(N25,P25),MAX(N45,P45)),MAX(MIN(O25,Q25),MIN(O45,Q45))&lt;=MIN(MAX(O25,Q25),MAX(O45,Q45))),1,0),0)</f>
        <v>0</v>
      </c>
      <c r="T770" s="7"/>
      <c r="U770" s="7"/>
      <c r="V770" s="7"/>
      <c r="W770" s="7"/>
      <c r="X770" s="7"/>
      <c r="Y770" s="7"/>
      <c r="Z770" s="7"/>
      <c r="AA770" s="7"/>
      <c r="AB770" s="7"/>
      <c r="AC770" s="7"/>
      <c r="AD770" s="7"/>
      <c r="AE770" s="7"/>
      <c r="AF770" s="7"/>
      <c r="AG770" s="7"/>
      <c r="AH770" s="7"/>
      <c r="AI770" s="7"/>
    </row>
    <row r="771" spans="12:35">
      <c r="L771" s="7">
        <v>25</v>
      </c>
      <c r="M771" s="7">
        <v>46</v>
      </c>
      <c r="N771" s="7" t="b">
        <f>AND($N$5,$N$6,14&lt;=$M$5,15&lt;=$M$6)</f>
        <v>0</v>
      </c>
      <c r="O771" s="7">
        <f>(P25-N25)*(O46-O25)-(Q25-O25)*(N46-N25)</f>
        <v>0</v>
      </c>
      <c r="P771" s="7">
        <f>(P25-N25)*(Q46-O25)-(Q25-O25)*(P46-N25)</f>
        <v>0</v>
      </c>
      <c r="Q771" s="7">
        <f>(P46-N46)*(O25-O46)-(Q46-O46)*(N25-N46)</f>
        <v>0</v>
      </c>
      <c r="R771" s="7">
        <f>(P46-N46)*(Q25-O46)-(Q46-O46)*(P25-N46)</f>
        <v>0</v>
      </c>
      <c r="S771" s="7">
        <f>IF(N771,IF(AND(O771*P771&lt;=0,Q771*R771&lt;=0,MAX(MIN(N25,P25),MIN(N46,P46))&lt;=MIN(MAX(N25,P25),MAX(N46,P46)),MAX(MIN(O25,Q25),MIN(O46,Q46))&lt;=MIN(MAX(O25,Q25),MAX(O46,Q46))),1,0),0)</f>
        <v>0</v>
      </c>
      <c r="T771" s="7"/>
      <c r="U771" s="7"/>
      <c r="V771" s="7"/>
      <c r="W771" s="7"/>
      <c r="X771" s="7"/>
      <c r="Y771" s="7"/>
      <c r="Z771" s="7"/>
      <c r="AA771" s="7"/>
      <c r="AB771" s="7"/>
      <c r="AC771" s="7"/>
      <c r="AD771" s="7"/>
      <c r="AE771" s="7"/>
      <c r="AF771" s="7"/>
      <c r="AG771" s="7"/>
      <c r="AH771" s="7"/>
      <c r="AI771" s="7"/>
    </row>
    <row r="772" spans="12:35">
      <c r="L772" s="7">
        <v>25</v>
      </c>
      <c r="M772" s="7">
        <v>47</v>
      </c>
      <c r="N772" s="7" t="b">
        <f>AND($N$5,$N$6,14&lt;=$M$5,16&lt;=$M$6)</f>
        <v>0</v>
      </c>
      <c r="O772" s="7">
        <f>(P25-N25)*(O47-O25)-(Q25-O25)*(N47-N25)</f>
        <v>0</v>
      </c>
      <c r="P772" s="7">
        <f>(P25-N25)*(Q47-O25)-(Q25-O25)*(P47-N25)</f>
        <v>0</v>
      </c>
      <c r="Q772" s="7">
        <f>(P47-N47)*(O25-O47)-(Q47-O47)*(N25-N47)</f>
        <v>0</v>
      </c>
      <c r="R772" s="7">
        <f>(P47-N47)*(Q25-O47)-(Q47-O47)*(P25-N47)</f>
        <v>0</v>
      </c>
      <c r="S772" s="7">
        <f>IF(N772,IF(AND(O772*P772&lt;=0,Q772*R772&lt;=0,MAX(MIN(N25,P25),MIN(N47,P47))&lt;=MIN(MAX(N25,P25),MAX(N47,P47)),MAX(MIN(O25,Q25),MIN(O47,Q47))&lt;=MIN(MAX(O25,Q25),MAX(O47,Q47))),1,0),0)</f>
        <v>0</v>
      </c>
      <c r="T772" s="7"/>
      <c r="U772" s="7"/>
      <c r="V772" s="7"/>
      <c r="W772" s="7"/>
      <c r="X772" s="7"/>
      <c r="Y772" s="7"/>
      <c r="Z772" s="7"/>
      <c r="AA772" s="7"/>
      <c r="AB772" s="7"/>
      <c r="AC772" s="7"/>
      <c r="AD772" s="7"/>
      <c r="AE772" s="7"/>
      <c r="AF772" s="7"/>
      <c r="AG772" s="7"/>
      <c r="AH772" s="7"/>
      <c r="AI772" s="7"/>
    </row>
    <row r="773" spans="12:35">
      <c r="L773" s="7">
        <v>25</v>
      </c>
      <c r="M773" s="7">
        <v>48</v>
      </c>
      <c r="N773" s="7" t="b">
        <f>AND($N$5,$N$6,14&lt;=$M$5,17&lt;=$M$6)</f>
        <v>0</v>
      </c>
      <c r="O773" s="7">
        <f>(P25-N25)*(O48-O25)-(Q25-O25)*(N48-N25)</f>
        <v>0</v>
      </c>
      <c r="P773" s="7">
        <f>(P25-N25)*(Q48-O25)-(Q25-O25)*(P48-N25)</f>
        <v>0</v>
      </c>
      <c r="Q773" s="7">
        <f>(P48-N48)*(O25-O48)-(Q48-O48)*(N25-N48)</f>
        <v>0</v>
      </c>
      <c r="R773" s="7">
        <f>(P48-N48)*(Q25-O48)-(Q48-O48)*(P25-N48)</f>
        <v>0</v>
      </c>
      <c r="S773" s="7">
        <f>IF(N773,IF(AND(O773*P773&lt;=0,Q773*R773&lt;=0,MAX(MIN(N25,P25),MIN(N48,P48))&lt;=MIN(MAX(N25,P25),MAX(N48,P48)),MAX(MIN(O25,Q25),MIN(O48,Q48))&lt;=MIN(MAX(O25,Q25),MAX(O48,Q48))),1,0),0)</f>
        <v>0</v>
      </c>
      <c r="T773" s="7"/>
      <c r="U773" s="7"/>
      <c r="V773" s="7"/>
      <c r="W773" s="7"/>
      <c r="X773" s="7"/>
      <c r="Y773" s="7"/>
      <c r="Z773" s="7"/>
      <c r="AA773" s="7"/>
      <c r="AB773" s="7"/>
      <c r="AC773" s="7"/>
      <c r="AD773" s="7"/>
      <c r="AE773" s="7"/>
      <c r="AF773" s="7"/>
      <c r="AG773" s="7"/>
      <c r="AH773" s="7"/>
      <c r="AI773" s="7"/>
    </row>
    <row r="774" spans="12:35">
      <c r="L774" s="7">
        <v>25</v>
      </c>
      <c r="M774" s="7">
        <v>49</v>
      </c>
      <c r="N774" s="7" t="b">
        <f>AND($N$5,$N$6,14&lt;=$M$5,18&lt;=$M$6)</f>
        <v>0</v>
      </c>
      <c r="O774" s="7">
        <f>(P25-N25)*(O49-O25)-(Q25-O25)*(N49-N25)</f>
        <v>0</v>
      </c>
      <c r="P774" s="7">
        <f>(P25-N25)*(Q49-O25)-(Q25-O25)*(P49-N25)</f>
        <v>0</v>
      </c>
      <c r="Q774" s="7">
        <f>(P49-N49)*(O25-O49)-(Q49-O49)*(N25-N49)</f>
        <v>0</v>
      </c>
      <c r="R774" s="7">
        <f>(P49-N49)*(Q25-O49)-(Q49-O49)*(P25-N49)</f>
        <v>0</v>
      </c>
      <c r="S774" s="7">
        <f>IF(N774,IF(AND(O774*P774&lt;=0,Q774*R774&lt;=0,MAX(MIN(N25,P25),MIN(N49,P49))&lt;=MIN(MAX(N25,P25),MAX(N49,P49)),MAX(MIN(O25,Q25),MIN(O49,Q49))&lt;=MIN(MAX(O25,Q25),MAX(O49,Q49))),1,0),0)</f>
        <v>0</v>
      </c>
      <c r="T774" s="7"/>
      <c r="U774" s="7"/>
      <c r="V774" s="7"/>
      <c r="W774" s="7"/>
      <c r="X774" s="7"/>
      <c r="Y774" s="7"/>
      <c r="Z774" s="7"/>
      <c r="AA774" s="7"/>
      <c r="AB774" s="7"/>
      <c r="AC774" s="7"/>
      <c r="AD774" s="7"/>
      <c r="AE774" s="7"/>
      <c r="AF774" s="7"/>
      <c r="AG774" s="7"/>
      <c r="AH774" s="7"/>
      <c r="AI774" s="7"/>
    </row>
    <row r="775" spans="12:35">
      <c r="L775" s="7">
        <v>25</v>
      </c>
      <c r="M775" s="7">
        <v>50</v>
      </c>
      <c r="N775" s="7" t="b">
        <f>AND($N$5,$N$6,14&lt;=$M$5,19&lt;=$M$6)</f>
        <v>0</v>
      </c>
      <c r="O775" s="7">
        <f>(P25-N25)*(O50-O25)-(Q25-O25)*(N50-N25)</f>
        <v>0</v>
      </c>
      <c r="P775" s="7">
        <f>(P25-N25)*(Q50-O25)-(Q25-O25)*(P50-N25)</f>
        <v>0</v>
      </c>
      <c r="Q775" s="7">
        <f>(P50-N50)*(O25-O50)-(Q50-O50)*(N25-N50)</f>
        <v>0</v>
      </c>
      <c r="R775" s="7">
        <f>(P50-N50)*(Q25-O50)-(Q50-O50)*(P25-N50)</f>
        <v>0</v>
      </c>
      <c r="S775" s="7">
        <f>IF(N775,IF(AND(O775*P775&lt;=0,Q775*R775&lt;=0,MAX(MIN(N25,P25),MIN(N50,P50))&lt;=MIN(MAX(N25,P25),MAX(N50,P50)),MAX(MIN(O25,Q25),MIN(O50,Q50))&lt;=MIN(MAX(O25,Q25),MAX(O50,Q50))),1,0),0)</f>
        <v>0</v>
      </c>
      <c r="T775" s="7"/>
      <c r="U775" s="7"/>
      <c r="V775" s="7"/>
      <c r="W775" s="7"/>
      <c r="X775" s="7"/>
      <c r="Y775" s="7"/>
      <c r="Z775" s="7"/>
      <c r="AA775" s="7"/>
      <c r="AB775" s="7"/>
      <c r="AC775" s="7"/>
      <c r="AD775" s="7"/>
      <c r="AE775" s="7"/>
      <c r="AF775" s="7"/>
      <c r="AG775" s="7"/>
      <c r="AH775" s="7"/>
      <c r="AI775" s="7"/>
    </row>
    <row r="776" spans="12:35">
      <c r="L776" s="7">
        <v>25</v>
      </c>
      <c r="M776" s="7">
        <v>51</v>
      </c>
      <c r="N776" s="7" t="b">
        <f>AND($N$5,$N$6,14&lt;=$M$5,20&lt;=$M$6)</f>
        <v>0</v>
      </c>
      <c r="O776" s="7">
        <f>(P25-N25)*(O51-O25)-(Q25-O25)*(N51-N25)</f>
        <v>0</v>
      </c>
      <c r="P776" s="7">
        <f>(P25-N25)*(Q51-O25)-(Q25-O25)*(P51-N25)</f>
        <v>0</v>
      </c>
      <c r="Q776" s="7">
        <f>(P51-N51)*(O25-O51)-(Q51-O51)*(N25-N51)</f>
        <v>0</v>
      </c>
      <c r="R776" s="7">
        <f>(P51-N51)*(Q25-O51)-(Q51-O51)*(P25-N51)</f>
        <v>0</v>
      </c>
      <c r="S776" s="7">
        <f>IF(N776,IF(AND(O776*P776&lt;=0,Q776*R776&lt;=0,MAX(MIN(N25,P25),MIN(N51,P51))&lt;=MIN(MAX(N25,P25),MAX(N51,P51)),MAX(MIN(O25,Q25),MIN(O51,Q51))&lt;=MIN(MAX(O25,Q25),MAX(O51,Q51))),1,0),0)</f>
        <v>0</v>
      </c>
      <c r="T776" s="7"/>
      <c r="U776" s="7"/>
      <c r="V776" s="7"/>
      <c r="W776" s="7"/>
      <c r="X776" s="7"/>
      <c r="Y776" s="7"/>
      <c r="Z776" s="7"/>
      <c r="AA776" s="7"/>
      <c r="AB776" s="7"/>
      <c r="AC776" s="7"/>
      <c r="AD776" s="7"/>
      <c r="AE776" s="7"/>
      <c r="AF776" s="7"/>
      <c r="AG776" s="7"/>
      <c r="AH776" s="7"/>
      <c r="AI776" s="7"/>
    </row>
    <row r="777" spans="12:35">
      <c r="L777" s="7">
        <v>25</v>
      </c>
      <c r="M777" s="7">
        <v>52</v>
      </c>
      <c r="N777" s="7" t="b">
        <f>AND($N$5,$N$7,14&lt;=$M$5,1&lt;=$M$7)</f>
        <v>0</v>
      </c>
      <c r="O777" s="7">
        <f>(P25-N25)*(O52-O25)-(Q25-O25)*(N52-N25)</f>
        <v>0</v>
      </c>
      <c r="P777" s="7">
        <f>(P25-N25)*(Q52-O25)-(Q25-O25)*(P52-N25)</f>
        <v>0</v>
      </c>
      <c r="Q777" s="7">
        <f>(P52-N52)*(O25-O52)-(Q52-O52)*(N25-N52)</f>
        <v>0</v>
      </c>
      <c r="R777" s="7">
        <f>(P52-N52)*(Q25-O52)-(Q52-O52)*(P25-N52)</f>
        <v>0</v>
      </c>
      <c r="S777" s="7">
        <f>IF(N777,IF(AND(O777*P777&lt;=0,Q777*R777&lt;=0,MAX(MIN(N25,P25),MIN(N52,P52))&lt;=MIN(MAX(N25,P25),MAX(N52,P52)),MAX(MIN(O25,Q25),MIN(O52,Q52))&lt;=MIN(MAX(O25,Q25),MAX(O52,Q52))),1,0),0)</f>
        <v>0</v>
      </c>
      <c r="T777" s="7"/>
      <c r="U777" s="7"/>
      <c r="V777" s="7"/>
      <c r="W777" s="7"/>
      <c r="X777" s="7"/>
      <c r="Y777" s="7"/>
      <c r="Z777" s="7"/>
      <c r="AA777" s="7"/>
      <c r="AB777" s="7"/>
      <c r="AC777" s="7"/>
      <c r="AD777" s="7"/>
      <c r="AE777" s="7"/>
      <c r="AF777" s="7"/>
      <c r="AG777" s="7"/>
      <c r="AH777" s="7"/>
      <c r="AI777" s="7"/>
    </row>
    <row r="778" spans="12:35">
      <c r="L778" s="7">
        <v>25</v>
      </c>
      <c r="M778" s="7">
        <v>53</v>
      </c>
      <c r="N778" s="7" t="b">
        <f>AND($N$5,$N$7,14&lt;=$M$5,2&lt;=$M$7)</f>
        <v>0</v>
      </c>
      <c r="O778" s="7">
        <f>(P25-N25)*(O53-O25)-(Q25-O25)*(N53-N25)</f>
        <v>0</v>
      </c>
      <c r="P778" s="7">
        <f>(P25-N25)*(Q53-O25)-(Q25-O25)*(P53-N25)</f>
        <v>0</v>
      </c>
      <c r="Q778" s="7">
        <f>(P53-N53)*(O25-O53)-(Q53-O53)*(N25-N53)</f>
        <v>0</v>
      </c>
      <c r="R778" s="7">
        <f>(P53-N53)*(Q25-O53)-(Q53-O53)*(P25-N53)</f>
        <v>0</v>
      </c>
      <c r="S778" s="7">
        <f>IF(N778,IF(AND(O778*P778&lt;=0,Q778*R778&lt;=0,MAX(MIN(N25,P25),MIN(N53,P53))&lt;=MIN(MAX(N25,P25),MAX(N53,P53)),MAX(MIN(O25,Q25),MIN(O53,Q53))&lt;=MIN(MAX(O25,Q25),MAX(O53,Q53))),1,0),0)</f>
        <v>0</v>
      </c>
      <c r="T778" s="7"/>
      <c r="U778" s="7"/>
      <c r="V778" s="7"/>
      <c r="W778" s="7"/>
      <c r="X778" s="7"/>
      <c r="Y778" s="7"/>
      <c r="Z778" s="7"/>
      <c r="AA778" s="7"/>
      <c r="AB778" s="7"/>
      <c r="AC778" s="7"/>
      <c r="AD778" s="7"/>
      <c r="AE778" s="7"/>
      <c r="AF778" s="7"/>
      <c r="AG778" s="7"/>
      <c r="AH778" s="7"/>
      <c r="AI778" s="7"/>
    </row>
    <row r="779" spans="12:35">
      <c r="L779" s="7">
        <v>25</v>
      </c>
      <c r="M779" s="7">
        <v>54</v>
      </c>
      <c r="N779" s="7" t="b">
        <f>AND($N$5,$N$7,14&lt;=$M$5,3&lt;=$M$7)</f>
        <v>0</v>
      </c>
      <c r="O779" s="7">
        <f>(P25-N25)*(O54-O25)-(Q25-O25)*(N54-N25)</f>
        <v>0</v>
      </c>
      <c r="P779" s="7">
        <f>(P25-N25)*(Q54-O25)-(Q25-O25)*(P54-N25)</f>
        <v>0</v>
      </c>
      <c r="Q779" s="7">
        <f>(P54-N54)*(O25-O54)-(Q54-O54)*(N25-N54)</f>
        <v>0</v>
      </c>
      <c r="R779" s="7">
        <f>(P54-N54)*(Q25-O54)-(Q54-O54)*(P25-N54)</f>
        <v>0</v>
      </c>
      <c r="S779" s="7">
        <f>IF(N779,IF(AND(O779*P779&lt;=0,Q779*R779&lt;=0,MAX(MIN(N25,P25),MIN(N54,P54))&lt;=MIN(MAX(N25,P25),MAX(N54,P54)),MAX(MIN(O25,Q25),MIN(O54,Q54))&lt;=MIN(MAX(O25,Q25),MAX(O54,Q54))),1,0),0)</f>
        <v>0</v>
      </c>
      <c r="T779" s="7"/>
      <c r="U779" s="7"/>
      <c r="V779" s="7"/>
      <c r="W779" s="7"/>
      <c r="X779" s="7"/>
      <c r="Y779" s="7"/>
      <c r="Z779" s="7"/>
      <c r="AA779" s="7"/>
      <c r="AB779" s="7"/>
      <c r="AC779" s="7"/>
      <c r="AD779" s="7"/>
      <c r="AE779" s="7"/>
      <c r="AF779" s="7"/>
      <c r="AG779" s="7"/>
      <c r="AH779" s="7"/>
      <c r="AI779" s="7"/>
    </row>
    <row r="780" spans="12:35">
      <c r="L780" s="7">
        <v>25</v>
      </c>
      <c r="M780" s="7">
        <v>55</v>
      </c>
      <c r="N780" s="7" t="b">
        <f>AND($N$5,$N$7,14&lt;=$M$5,4&lt;=$M$7)</f>
        <v>0</v>
      </c>
      <c r="O780" s="7">
        <f>(P25-N25)*(O55-O25)-(Q25-O25)*(N55-N25)</f>
        <v>0</v>
      </c>
      <c r="P780" s="7">
        <f>(P25-N25)*(Q55-O25)-(Q25-O25)*(P55-N25)</f>
        <v>0</v>
      </c>
      <c r="Q780" s="7">
        <f>(P55-N55)*(O25-O55)-(Q55-O55)*(N25-N55)</f>
        <v>0</v>
      </c>
      <c r="R780" s="7">
        <f>(P55-N55)*(Q25-O55)-(Q55-O55)*(P25-N55)</f>
        <v>0</v>
      </c>
      <c r="S780" s="7">
        <f>IF(N780,IF(AND(O780*P780&lt;=0,Q780*R780&lt;=0,MAX(MIN(N25,P25),MIN(N55,P55))&lt;=MIN(MAX(N25,P25),MAX(N55,P55)),MAX(MIN(O25,Q25),MIN(O55,Q55))&lt;=MIN(MAX(O25,Q25),MAX(O55,Q55))),1,0),0)</f>
        <v>0</v>
      </c>
      <c r="T780" s="7"/>
      <c r="U780" s="7"/>
      <c r="V780" s="7"/>
      <c r="W780" s="7"/>
      <c r="X780" s="7"/>
      <c r="Y780" s="7"/>
      <c r="Z780" s="7"/>
      <c r="AA780" s="7"/>
      <c r="AB780" s="7"/>
      <c r="AC780" s="7"/>
      <c r="AD780" s="7"/>
      <c r="AE780" s="7"/>
      <c r="AF780" s="7"/>
      <c r="AG780" s="7"/>
      <c r="AH780" s="7"/>
      <c r="AI780" s="7"/>
    </row>
    <row r="781" spans="12:35">
      <c r="L781" s="7">
        <v>25</v>
      </c>
      <c r="M781" s="7">
        <v>56</v>
      </c>
      <c r="N781" s="7" t="b">
        <f>AND($N$5,$N$7,14&lt;=$M$5,5&lt;=$M$7)</f>
        <v>0</v>
      </c>
      <c r="O781" s="7">
        <f>(P25-N25)*(O56-O25)-(Q25-O25)*(N56-N25)</f>
        <v>0</v>
      </c>
      <c r="P781" s="7">
        <f>(P25-N25)*(Q56-O25)-(Q25-O25)*(P56-N25)</f>
        <v>0</v>
      </c>
      <c r="Q781" s="7">
        <f>(P56-N56)*(O25-O56)-(Q56-O56)*(N25-N56)</f>
        <v>0</v>
      </c>
      <c r="R781" s="7">
        <f>(P56-N56)*(Q25-O56)-(Q56-O56)*(P25-N56)</f>
        <v>0</v>
      </c>
      <c r="S781" s="7">
        <f>IF(N781,IF(AND(O781*P781&lt;=0,Q781*R781&lt;=0,MAX(MIN(N25,P25),MIN(N56,P56))&lt;=MIN(MAX(N25,P25),MAX(N56,P56)),MAX(MIN(O25,Q25),MIN(O56,Q56))&lt;=MIN(MAX(O25,Q25),MAX(O56,Q56))),1,0),0)</f>
        <v>0</v>
      </c>
      <c r="T781" s="7"/>
      <c r="U781" s="7"/>
      <c r="V781" s="7"/>
      <c r="W781" s="7"/>
      <c r="X781" s="7"/>
      <c r="Y781" s="7"/>
      <c r="Z781" s="7"/>
      <c r="AA781" s="7"/>
      <c r="AB781" s="7"/>
      <c r="AC781" s="7"/>
      <c r="AD781" s="7"/>
      <c r="AE781" s="7"/>
      <c r="AF781" s="7"/>
      <c r="AG781" s="7"/>
      <c r="AH781" s="7"/>
      <c r="AI781" s="7"/>
    </row>
    <row r="782" spans="12:35">
      <c r="L782" s="7">
        <v>25</v>
      </c>
      <c r="M782" s="7">
        <v>57</v>
      </c>
      <c r="N782" s="7" t="b">
        <f>AND($N$5,$N$7,14&lt;=$M$5,6&lt;=$M$7)</f>
        <v>0</v>
      </c>
      <c r="O782" s="7">
        <f>(P25-N25)*(O57-O25)-(Q25-O25)*(N57-N25)</f>
        <v>0</v>
      </c>
      <c r="P782" s="7">
        <f>(P25-N25)*(Q57-O25)-(Q25-O25)*(P57-N25)</f>
        <v>0</v>
      </c>
      <c r="Q782" s="7">
        <f>(P57-N57)*(O25-O57)-(Q57-O57)*(N25-N57)</f>
        <v>0</v>
      </c>
      <c r="R782" s="7">
        <f>(P57-N57)*(Q25-O57)-(Q57-O57)*(P25-N57)</f>
        <v>0</v>
      </c>
      <c r="S782" s="7">
        <f>IF(N782,IF(AND(O782*P782&lt;=0,Q782*R782&lt;=0,MAX(MIN(N25,P25),MIN(N57,P57))&lt;=MIN(MAX(N25,P25),MAX(N57,P57)),MAX(MIN(O25,Q25),MIN(O57,Q57))&lt;=MIN(MAX(O25,Q25),MAX(O57,Q57))),1,0),0)</f>
        <v>0</v>
      </c>
      <c r="T782" s="7"/>
      <c r="U782" s="7"/>
      <c r="V782" s="7"/>
      <c r="W782" s="7"/>
      <c r="X782" s="7"/>
      <c r="Y782" s="7"/>
      <c r="Z782" s="7"/>
      <c r="AA782" s="7"/>
      <c r="AB782" s="7"/>
      <c r="AC782" s="7"/>
      <c r="AD782" s="7"/>
      <c r="AE782" s="7"/>
      <c r="AF782" s="7"/>
      <c r="AG782" s="7"/>
      <c r="AH782" s="7"/>
      <c r="AI782" s="7"/>
    </row>
    <row r="783" spans="12:35">
      <c r="L783" s="7">
        <v>25</v>
      </c>
      <c r="M783" s="7">
        <v>58</v>
      </c>
      <c r="N783" s="7" t="b">
        <f>AND($N$5,$N$7,14&lt;=$M$5,7&lt;=$M$7)</f>
        <v>0</v>
      </c>
      <c r="O783" s="7">
        <f>(P25-N25)*(O58-O25)-(Q25-O25)*(N58-N25)</f>
        <v>0</v>
      </c>
      <c r="P783" s="7">
        <f>(P25-N25)*(Q58-O25)-(Q25-O25)*(P58-N25)</f>
        <v>0</v>
      </c>
      <c r="Q783" s="7">
        <f>(P58-N58)*(O25-O58)-(Q58-O58)*(N25-N58)</f>
        <v>0</v>
      </c>
      <c r="R783" s="7">
        <f>(P58-N58)*(Q25-O58)-(Q58-O58)*(P25-N58)</f>
        <v>0</v>
      </c>
      <c r="S783" s="7">
        <f>IF(N783,IF(AND(O783*P783&lt;=0,Q783*R783&lt;=0,MAX(MIN(N25,P25),MIN(N58,P58))&lt;=MIN(MAX(N25,P25),MAX(N58,P58)),MAX(MIN(O25,Q25),MIN(O58,Q58))&lt;=MIN(MAX(O25,Q25),MAX(O58,Q58))),1,0),0)</f>
        <v>0</v>
      </c>
      <c r="T783" s="7"/>
      <c r="U783" s="7"/>
      <c r="V783" s="7"/>
      <c r="W783" s="7"/>
      <c r="X783" s="7"/>
      <c r="Y783" s="7"/>
      <c r="Z783" s="7"/>
      <c r="AA783" s="7"/>
      <c r="AB783" s="7"/>
      <c r="AC783" s="7"/>
      <c r="AD783" s="7"/>
      <c r="AE783" s="7"/>
      <c r="AF783" s="7"/>
      <c r="AG783" s="7"/>
      <c r="AH783" s="7"/>
      <c r="AI783" s="7"/>
    </row>
    <row r="784" spans="12:35">
      <c r="L784" s="7">
        <v>25</v>
      </c>
      <c r="M784" s="7">
        <v>59</v>
      </c>
      <c r="N784" s="7" t="b">
        <f>AND($N$5,$N$7,14&lt;=$M$5,8&lt;=$M$7)</f>
        <v>0</v>
      </c>
      <c r="O784" s="7">
        <f>(P25-N25)*(O59-O25)-(Q25-O25)*(N59-N25)</f>
        <v>0</v>
      </c>
      <c r="P784" s="7">
        <f>(P25-N25)*(Q59-O25)-(Q25-O25)*(P59-N25)</f>
        <v>0</v>
      </c>
      <c r="Q784" s="7">
        <f>(P59-N59)*(O25-O59)-(Q59-O59)*(N25-N59)</f>
        <v>0</v>
      </c>
      <c r="R784" s="7">
        <f>(P59-N59)*(Q25-O59)-(Q59-O59)*(P25-N59)</f>
        <v>0</v>
      </c>
      <c r="S784" s="7">
        <f>IF(N784,IF(AND(O784*P784&lt;=0,Q784*R784&lt;=0,MAX(MIN(N25,P25),MIN(N59,P59))&lt;=MIN(MAX(N25,P25),MAX(N59,P59)),MAX(MIN(O25,Q25),MIN(O59,Q59))&lt;=MIN(MAX(O25,Q25),MAX(O59,Q59))),1,0),0)</f>
        <v>0</v>
      </c>
      <c r="T784" s="7"/>
      <c r="U784" s="7"/>
      <c r="V784" s="7"/>
      <c r="W784" s="7"/>
      <c r="X784" s="7"/>
      <c r="Y784" s="7"/>
      <c r="Z784" s="7"/>
      <c r="AA784" s="7"/>
      <c r="AB784" s="7"/>
      <c r="AC784" s="7"/>
      <c r="AD784" s="7"/>
      <c r="AE784" s="7"/>
      <c r="AF784" s="7"/>
      <c r="AG784" s="7"/>
      <c r="AH784" s="7"/>
      <c r="AI784" s="7"/>
    </row>
    <row r="785" spans="12:35">
      <c r="L785" s="7">
        <v>25</v>
      </c>
      <c r="M785" s="7">
        <v>60</v>
      </c>
      <c r="N785" s="7" t="b">
        <f>AND($N$5,$N$7,14&lt;=$M$5,9&lt;=$M$7)</f>
        <v>0</v>
      </c>
      <c r="O785" s="7">
        <f>(P25-N25)*(O60-O25)-(Q25-O25)*(N60-N25)</f>
        <v>0</v>
      </c>
      <c r="P785" s="7">
        <f>(P25-N25)*(Q60-O25)-(Q25-O25)*(P60-N25)</f>
        <v>0</v>
      </c>
      <c r="Q785" s="7">
        <f>(P60-N60)*(O25-O60)-(Q60-O60)*(N25-N60)</f>
        <v>0</v>
      </c>
      <c r="R785" s="7">
        <f>(P60-N60)*(Q25-O60)-(Q60-O60)*(P25-N60)</f>
        <v>0</v>
      </c>
      <c r="S785" s="7">
        <f>IF(N785,IF(AND(O785*P785&lt;=0,Q785*R785&lt;=0,MAX(MIN(N25,P25),MIN(N60,P60))&lt;=MIN(MAX(N25,P25),MAX(N60,P60)),MAX(MIN(O25,Q25),MIN(O60,Q60))&lt;=MIN(MAX(O25,Q25),MAX(O60,Q60))),1,0),0)</f>
        <v>0</v>
      </c>
      <c r="T785" s="7"/>
      <c r="U785" s="7"/>
      <c r="V785" s="7"/>
      <c r="W785" s="7"/>
      <c r="X785" s="7"/>
      <c r="Y785" s="7"/>
      <c r="Z785" s="7"/>
      <c r="AA785" s="7"/>
      <c r="AB785" s="7"/>
      <c r="AC785" s="7"/>
      <c r="AD785" s="7"/>
      <c r="AE785" s="7"/>
      <c r="AF785" s="7"/>
      <c r="AG785" s="7"/>
      <c r="AH785" s="7"/>
      <c r="AI785" s="7"/>
    </row>
    <row r="786" spans="12:35">
      <c r="L786" s="7">
        <v>25</v>
      </c>
      <c r="M786" s="7">
        <v>61</v>
      </c>
      <c r="N786" s="7" t="b">
        <f>AND($N$5,$N$7,14&lt;=$M$5,10&lt;=$M$7)</f>
        <v>0</v>
      </c>
      <c r="O786" s="7">
        <f>(P25-N25)*(O61-O25)-(Q25-O25)*(N61-N25)</f>
        <v>0</v>
      </c>
      <c r="P786" s="7">
        <f>(P25-N25)*(Q61-O25)-(Q25-O25)*(P61-N25)</f>
        <v>0</v>
      </c>
      <c r="Q786" s="7">
        <f>(P61-N61)*(O25-O61)-(Q61-O61)*(N25-N61)</f>
        <v>0</v>
      </c>
      <c r="R786" s="7">
        <f>(P61-N61)*(Q25-O61)-(Q61-O61)*(P25-N61)</f>
        <v>0</v>
      </c>
      <c r="S786" s="7">
        <f>IF(N786,IF(AND(O786*P786&lt;=0,Q786*R786&lt;=0,MAX(MIN(N25,P25),MIN(N61,P61))&lt;=MIN(MAX(N25,P25),MAX(N61,P61)),MAX(MIN(O25,Q25),MIN(O61,Q61))&lt;=MIN(MAX(O25,Q25),MAX(O61,Q61))),1,0),0)</f>
        <v>0</v>
      </c>
      <c r="T786" s="7"/>
      <c r="U786" s="7"/>
      <c r="V786" s="7"/>
      <c r="W786" s="7"/>
      <c r="X786" s="7"/>
      <c r="Y786" s="7"/>
      <c r="Z786" s="7"/>
      <c r="AA786" s="7"/>
      <c r="AB786" s="7"/>
      <c r="AC786" s="7"/>
      <c r="AD786" s="7"/>
      <c r="AE786" s="7"/>
      <c r="AF786" s="7"/>
      <c r="AG786" s="7"/>
      <c r="AH786" s="7"/>
      <c r="AI786" s="7"/>
    </row>
    <row r="787" spans="12:35">
      <c r="L787" s="7">
        <v>25</v>
      </c>
      <c r="M787" s="7">
        <v>62</v>
      </c>
      <c r="N787" s="7" t="b">
        <f>AND($N$5,$N$7,14&lt;=$M$5,11&lt;=$M$7)</f>
        <v>0</v>
      </c>
      <c r="O787" s="7">
        <f>(P25-N25)*(O62-O25)-(Q25-O25)*(N62-N25)</f>
        <v>0</v>
      </c>
      <c r="P787" s="7">
        <f>(P25-N25)*(Q62-O25)-(Q25-O25)*(P62-N25)</f>
        <v>0</v>
      </c>
      <c r="Q787" s="7">
        <f>(P62-N62)*(O25-O62)-(Q62-O62)*(N25-N62)</f>
        <v>0</v>
      </c>
      <c r="R787" s="7">
        <f>(P62-N62)*(Q25-O62)-(Q62-O62)*(P25-N62)</f>
        <v>0</v>
      </c>
      <c r="S787" s="7">
        <f>IF(N787,IF(AND(O787*P787&lt;=0,Q787*R787&lt;=0,MAX(MIN(N25,P25),MIN(N62,P62))&lt;=MIN(MAX(N25,P25),MAX(N62,P62)),MAX(MIN(O25,Q25),MIN(O62,Q62))&lt;=MIN(MAX(O25,Q25),MAX(O62,Q62))),1,0),0)</f>
        <v>0</v>
      </c>
      <c r="T787" s="7"/>
      <c r="U787" s="7"/>
      <c r="V787" s="7"/>
      <c r="W787" s="7"/>
      <c r="X787" s="7"/>
      <c r="Y787" s="7"/>
      <c r="Z787" s="7"/>
      <c r="AA787" s="7"/>
      <c r="AB787" s="7"/>
      <c r="AC787" s="7"/>
      <c r="AD787" s="7"/>
      <c r="AE787" s="7"/>
      <c r="AF787" s="7"/>
      <c r="AG787" s="7"/>
      <c r="AH787" s="7"/>
      <c r="AI787" s="7"/>
    </row>
    <row r="788" spans="12:35">
      <c r="L788" s="7">
        <v>25</v>
      </c>
      <c r="M788" s="7">
        <v>63</v>
      </c>
      <c r="N788" s="7" t="b">
        <f>AND($N$5,$N$7,14&lt;=$M$5,12&lt;=$M$7)</f>
        <v>0</v>
      </c>
      <c r="O788" s="7">
        <f>(P25-N25)*(O63-O25)-(Q25-O25)*(N63-N25)</f>
        <v>0</v>
      </c>
      <c r="P788" s="7">
        <f>(P25-N25)*(Q63-O25)-(Q25-O25)*(P63-N25)</f>
        <v>0</v>
      </c>
      <c r="Q788" s="7">
        <f>(P63-N63)*(O25-O63)-(Q63-O63)*(N25-N63)</f>
        <v>0</v>
      </c>
      <c r="R788" s="7">
        <f>(P63-N63)*(Q25-O63)-(Q63-O63)*(P25-N63)</f>
        <v>0</v>
      </c>
      <c r="S788" s="7">
        <f>IF(N788,IF(AND(O788*P788&lt;=0,Q788*R788&lt;=0,MAX(MIN(N25,P25),MIN(N63,P63))&lt;=MIN(MAX(N25,P25),MAX(N63,P63)),MAX(MIN(O25,Q25),MIN(O63,Q63))&lt;=MIN(MAX(O25,Q25),MAX(O63,Q63))),1,0),0)</f>
        <v>0</v>
      </c>
      <c r="T788" s="7"/>
      <c r="U788" s="7"/>
      <c r="V788" s="7"/>
      <c r="W788" s="7"/>
      <c r="X788" s="7"/>
      <c r="Y788" s="7"/>
      <c r="Z788" s="7"/>
      <c r="AA788" s="7"/>
      <c r="AB788" s="7"/>
      <c r="AC788" s="7"/>
      <c r="AD788" s="7"/>
      <c r="AE788" s="7"/>
      <c r="AF788" s="7"/>
      <c r="AG788" s="7"/>
      <c r="AH788" s="7"/>
      <c r="AI788" s="7"/>
    </row>
    <row r="789" spans="12:35">
      <c r="L789" s="7">
        <v>25</v>
      </c>
      <c r="M789" s="7">
        <v>64</v>
      </c>
      <c r="N789" s="7" t="b">
        <f>AND($N$5,$N$7,14&lt;=$M$5,13&lt;=$M$7)</f>
        <v>0</v>
      </c>
      <c r="O789" s="7">
        <f>(P25-N25)*(O64-O25)-(Q25-O25)*(N64-N25)</f>
        <v>0</v>
      </c>
      <c r="P789" s="7">
        <f>(P25-N25)*(Q64-O25)-(Q25-O25)*(P64-N25)</f>
        <v>0</v>
      </c>
      <c r="Q789" s="7">
        <f>(P64-N64)*(O25-O64)-(Q64-O64)*(N25-N64)</f>
        <v>0</v>
      </c>
      <c r="R789" s="7">
        <f>(P64-N64)*(Q25-O64)-(Q64-O64)*(P25-N64)</f>
        <v>0</v>
      </c>
      <c r="S789" s="7">
        <f>IF(N789,IF(AND(O789*P789&lt;=0,Q789*R789&lt;=0,MAX(MIN(N25,P25),MIN(N64,P64))&lt;=MIN(MAX(N25,P25),MAX(N64,P64)),MAX(MIN(O25,Q25),MIN(O64,Q64))&lt;=MIN(MAX(O25,Q25),MAX(O64,Q64))),1,0),0)</f>
        <v>0</v>
      </c>
      <c r="T789" s="7"/>
      <c r="U789" s="7"/>
      <c r="V789" s="7"/>
      <c r="W789" s="7"/>
      <c r="X789" s="7"/>
      <c r="Y789" s="7"/>
      <c r="Z789" s="7"/>
      <c r="AA789" s="7"/>
      <c r="AB789" s="7"/>
      <c r="AC789" s="7"/>
      <c r="AD789" s="7"/>
      <c r="AE789" s="7"/>
      <c r="AF789" s="7"/>
      <c r="AG789" s="7"/>
      <c r="AH789" s="7"/>
      <c r="AI789" s="7"/>
    </row>
    <row r="790" spans="12:35">
      <c r="L790" s="7">
        <v>25</v>
      </c>
      <c r="M790" s="7">
        <v>65</v>
      </c>
      <c r="N790" s="7" t="b">
        <f>AND($N$5,$N$7,14&lt;=$M$5,14&lt;=$M$7)</f>
        <v>0</v>
      </c>
      <c r="O790" s="7">
        <f>(P25-N25)*(O65-O25)-(Q25-O25)*(N65-N25)</f>
        <v>0</v>
      </c>
      <c r="P790" s="7">
        <f>(P25-N25)*(Q65-O25)-(Q25-O25)*(P65-N25)</f>
        <v>0</v>
      </c>
      <c r="Q790" s="7">
        <f>(P65-N65)*(O25-O65)-(Q65-O65)*(N25-N65)</f>
        <v>0</v>
      </c>
      <c r="R790" s="7">
        <f>(P65-N65)*(Q25-O65)-(Q65-O65)*(P25-N65)</f>
        <v>0</v>
      </c>
      <c r="S790" s="7">
        <f>IF(N790,IF(AND(O790*P790&lt;=0,Q790*R790&lt;=0,MAX(MIN(N25,P25),MIN(N65,P65))&lt;=MIN(MAX(N25,P25),MAX(N65,P65)),MAX(MIN(O25,Q25),MIN(O65,Q65))&lt;=MIN(MAX(O25,Q25),MAX(O65,Q65))),1,0),0)</f>
        <v>0</v>
      </c>
      <c r="T790" s="7"/>
      <c r="U790" s="7"/>
      <c r="V790" s="7"/>
      <c r="W790" s="7"/>
      <c r="X790" s="7"/>
      <c r="Y790" s="7"/>
      <c r="Z790" s="7"/>
      <c r="AA790" s="7"/>
      <c r="AB790" s="7"/>
      <c r="AC790" s="7"/>
      <c r="AD790" s="7"/>
      <c r="AE790" s="7"/>
      <c r="AF790" s="7"/>
      <c r="AG790" s="7"/>
      <c r="AH790" s="7"/>
      <c r="AI790" s="7"/>
    </row>
    <row r="791" spans="12:35">
      <c r="L791" s="7">
        <v>25</v>
      </c>
      <c r="M791" s="7">
        <v>66</v>
      </c>
      <c r="N791" s="7" t="b">
        <f>AND($N$5,$N$7,14&lt;=$M$5,15&lt;=$M$7)</f>
        <v>0</v>
      </c>
      <c r="O791" s="7">
        <f>(P25-N25)*(O66-O25)-(Q25-O25)*(N66-N25)</f>
        <v>0</v>
      </c>
      <c r="P791" s="7">
        <f>(P25-N25)*(Q66-O25)-(Q25-O25)*(P66-N25)</f>
        <v>0</v>
      </c>
      <c r="Q791" s="7">
        <f>(P66-N66)*(O25-O66)-(Q66-O66)*(N25-N66)</f>
        <v>0</v>
      </c>
      <c r="R791" s="7">
        <f>(P66-N66)*(Q25-O66)-(Q66-O66)*(P25-N66)</f>
        <v>0</v>
      </c>
      <c r="S791" s="7">
        <f>IF(N791,IF(AND(O791*P791&lt;=0,Q791*R791&lt;=0,MAX(MIN(N25,P25),MIN(N66,P66))&lt;=MIN(MAX(N25,P25),MAX(N66,P66)),MAX(MIN(O25,Q25),MIN(O66,Q66))&lt;=MIN(MAX(O25,Q25),MAX(O66,Q66))),1,0),0)</f>
        <v>0</v>
      </c>
      <c r="T791" s="7"/>
      <c r="U791" s="7"/>
      <c r="V791" s="7"/>
      <c r="W791" s="7"/>
      <c r="X791" s="7"/>
      <c r="Y791" s="7"/>
      <c r="Z791" s="7"/>
      <c r="AA791" s="7"/>
      <c r="AB791" s="7"/>
      <c r="AC791" s="7"/>
      <c r="AD791" s="7"/>
      <c r="AE791" s="7"/>
      <c r="AF791" s="7"/>
      <c r="AG791" s="7"/>
      <c r="AH791" s="7"/>
      <c r="AI791" s="7"/>
    </row>
    <row r="792" spans="12:35">
      <c r="L792" s="7">
        <v>25</v>
      </c>
      <c r="M792" s="7">
        <v>67</v>
      </c>
      <c r="N792" s="7" t="b">
        <f>AND($N$5,$N$7,14&lt;=$M$5,16&lt;=$M$7)</f>
        <v>0</v>
      </c>
      <c r="O792" s="7">
        <f>(P25-N25)*(O67-O25)-(Q25-O25)*(N67-N25)</f>
        <v>0</v>
      </c>
      <c r="P792" s="7">
        <f>(P25-N25)*(Q67-O25)-(Q25-O25)*(P67-N25)</f>
        <v>0</v>
      </c>
      <c r="Q792" s="7">
        <f>(P67-N67)*(O25-O67)-(Q67-O67)*(N25-N67)</f>
        <v>0</v>
      </c>
      <c r="R792" s="7">
        <f>(P67-N67)*(Q25-O67)-(Q67-O67)*(P25-N67)</f>
        <v>0</v>
      </c>
      <c r="S792" s="7">
        <f>IF(N792,IF(AND(O792*P792&lt;=0,Q792*R792&lt;=0,MAX(MIN(N25,P25),MIN(N67,P67))&lt;=MIN(MAX(N25,P25),MAX(N67,P67)),MAX(MIN(O25,Q25),MIN(O67,Q67))&lt;=MIN(MAX(O25,Q25),MAX(O67,Q67))),1,0),0)</f>
        <v>0</v>
      </c>
      <c r="T792" s="7"/>
      <c r="U792" s="7"/>
      <c r="V792" s="7"/>
      <c r="W792" s="7"/>
      <c r="X792" s="7"/>
      <c r="Y792" s="7"/>
      <c r="Z792" s="7"/>
      <c r="AA792" s="7"/>
      <c r="AB792" s="7"/>
      <c r="AC792" s="7"/>
      <c r="AD792" s="7"/>
      <c r="AE792" s="7"/>
      <c r="AF792" s="7"/>
      <c r="AG792" s="7"/>
      <c r="AH792" s="7"/>
      <c r="AI792" s="7"/>
    </row>
    <row r="793" spans="12:35">
      <c r="L793" s="7">
        <v>25</v>
      </c>
      <c r="M793" s="7">
        <v>68</v>
      </c>
      <c r="N793" s="7" t="b">
        <f>AND($N$5,$N$7,14&lt;=$M$5,17&lt;=$M$7)</f>
        <v>0</v>
      </c>
      <c r="O793" s="7">
        <f>(P25-N25)*(O68-O25)-(Q25-O25)*(N68-N25)</f>
        <v>0</v>
      </c>
      <c r="P793" s="7">
        <f>(P25-N25)*(Q68-O25)-(Q25-O25)*(P68-N25)</f>
        <v>0</v>
      </c>
      <c r="Q793" s="7">
        <f>(P68-N68)*(O25-O68)-(Q68-O68)*(N25-N68)</f>
        <v>0</v>
      </c>
      <c r="R793" s="7">
        <f>(P68-N68)*(Q25-O68)-(Q68-O68)*(P25-N68)</f>
        <v>0</v>
      </c>
      <c r="S793" s="7">
        <f>IF(N793,IF(AND(O793*P793&lt;=0,Q793*R793&lt;=0,MAX(MIN(N25,P25),MIN(N68,P68))&lt;=MIN(MAX(N25,P25),MAX(N68,P68)),MAX(MIN(O25,Q25),MIN(O68,Q68))&lt;=MIN(MAX(O25,Q25),MAX(O68,Q68))),1,0),0)</f>
        <v>0</v>
      </c>
      <c r="T793" s="7"/>
      <c r="U793" s="7"/>
      <c r="V793" s="7"/>
      <c r="W793" s="7"/>
      <c r="X793" s="7"/>
      <c r="Y793" s="7"/>
      <c r="Z793" s="7"/>
      <c r="AA793" s="7"/>
      <c r="AB793" s="7"/>
      <c r="AC793" s="7"/>
      <c r="AD793" s="7"/>
      <c r="AE793" s="7"/>
      <c r="AF793" s="7"/>
      <c r="AG793" s="7"/>
      <c r="AH793" s="7"/>
      <c r="AI793" s="7"/>
    </row>
    <row r="794" spans="12:35">
      <c r="L794" s="7">
        <v>25</v>
      </c>
      <c r="M794" s="7">
        <v>69</v>
      </c>
      <c r="N794" s="7" t="b">
        <f>AND($N$5,$N$7,14&lt;=$M$5,18&lt;=$M$7)</f>
        <v>0</v>
      </c>
      <c r="O794" s="7">
        <f>(P25-N25)*(O69-O25)-(Q25-O25)*(N69-N25)</f>
        <v>0</v>
      </c>
      <c r="P794" s="7">
        <f>(P25-N25)*(Q69-O25)-(Q25-O25)*(P69-N25)</f>
        <v>0</v>
      </c>
      <c r="Q794" s="7">
        <f>(P69-N69)*(O25-O69)-(Q69-O69)*(N25-N69)</f>
        <v>0</v>
      </c>
      <c r="R794" s="7">
        <f>(P69-N69)*(Q25-O69)-(Q69-O69)*(P25-N69)</f>
        <v>0</v>
      </c>
      <c r="S794" s="7">
        <f>IF(N794,IF(AND(O794*P794&lt;=0,Q794*R794&lt;=0,MAX(MIN(N25,P25),MIN(N69,P69))&lt;=MIN(MAX(N25,P25),MAX(N69,P69)),MAX(MIN(O25,Q25),MIN(O69,Q69))&lt;=MIN(MAX(O25,Q25),MAX(O69,Q69))),1,0),0)</f>
        <v>0</v>
      </c>
      <c r="T794" s="7"/>
      <c r="U794" s="7"/>
      <c r="V794" s="7"/>
      <c r="W794" s="7"/>
      <c r="X794" s="7"/>
      <c r="Y794" s="7"/>
      <c r="Z794" s="7"/>
      <c r="AA794" s="7"/>
      <c r="AB794" s="7"/>
      <c r="AC794" s="7"/>
      <c r="AD794" s="7"/>
      <c r="AE794" s="7"/>
      <c r="AF794" s="7"/>
      <c r="AG794" s="7"/>
      <c r="AH794" s="7"/>
      <c r="AI794" s="7"/>
    </row>
    <row r="795" spans="12:35">
      <c r="L795" s="7">
        <v>25</v>
      </c>
      <c r="M795" s="7">
        <v>70</v>
      </c>
      <c r="N795" s="7" t="b">
        <f>AND($N$5,$N$7,14&lt;=$M$5,19&lt;=$M$7)</f>
        <v>0</v>
      </c>
      <c r="O795" s="7">
        <f>(P25-N25)*(O70-O25)-(Q25-O25)*(N70-N25)</f>
        <v>0</v>
      </c>
      <c r="P795" s="7">
        <f>(P25-N25)*(Q70-O25)-(Q25-O25)*(P70-N25)</f>
        <v>0</v>
      </c>
      <c r="Q795" s="7">
        <f>(P70-N70)*(O25-O70)-(Q70-O70)*(N25-N70)</f>
        <v>0</v>
      </c>
      <c r="R795" s="7">
        <f>(P70-N70)*(Q25-O70)-(Q70-O70)*(P25-N70)</f>
        <v>0</v>
      </c>
      <c r="S795" s="7">
        <f>IF(N795,IF(AND(O795*P795&lt;=0,Q795*R795&lt;=0,MAX(MIN(N25,P25),MIN(N70,P70))&lt;=MIN(MAX(N25,P25),MAX(N70,P70)),MAX(MIN(O25,Q25),MIN(O70,Q70))&lt;=MIN(MAX(O25,Q25),MAX(O70,Q70))),1,0),0)</f>
        <v>0</v>
      </c>
      <c r="T795" s="7"/>
      <c r="U795" s="7"/>
      <c r="V795" s="7"/>
      <c r="W795" s="7"/>
      <c r="X795" s="7"/>
      <c r="Y795" s="7"/>
      <c r="Z795" s="7"/>
      <c r="AA795" s="7"/>
      <c r="AB795" s="7"/>
      <c r="AC795" s="7"/>
      <c r="AD795" s="7"/>
      <c r="AE795" s="7"/>
      <c r="AF795" s="7"/>
      <c r="AG795" s="7"/>
      <c r="AH795" s="7"/>
      <c r="AI795" s="7"/>
    </row>
    <row r="796" spans="12:35">
      <c r="L796" s="7">
        <v>25</v>
      </c>
      <c r="M796" s="7">
        <v>71</v>
      </c>
      <c r="N796" s="7" t="b">
        <f>AND($N$5,$N$7,14&lt;=$M$5,20&lt;=$M$7)</f>
        <v>0</v>
      </c>
      <c r="O796" s="7">
        <f>(P25-N25)*(O71-O25)-(Q25-O25)*(N71-N25)</f>
        <v>0</v>
      </c>
      <c r="P796" s="7">
        <f>(P25-N25)*(Q71-O25)-(Q25-O25)*(P71-N25)</f>
        <v>0</v>
      </c>
      <c r="Q796" s="7">
        <f>(P71-N71)*(O25-O71)-(Q71-O71)*(N25-N71)</f>
        <v>0</v>
      </c>
      <c r="R796" s="7">
        <f>(P71-N71)*(Q25-O71)-(Q71-O71)*(P25-N71)</f>
        <v>0</v>
      </c>
      <c r="S796" s="7">
        <f>IF(N796,IF(AND(O796*P796&lt;=0,Q796*R796&lt;=0,MAX(MIN(N25,P25),MIN(N71,P71))&lt;=MIN(MAX(N25,P25),MAX(N71,P71)),MAX(MIN(O25,Q25),MIN(O71,Q71))&lt;=MIN(MAX(O25,Q25),MAX(O71,Q71))),1,0),0)</f>
        <v>0</v>
      </c>
      <c r="T796" s="7"/>
      <c r="U796" s="7"/>
      <c r="V796" s="7"/>
      <c r="W796" s="7"/>
      <c r="X796" s="7"/>
      <c r="Y796" s="7"/>
      <c r="Z796" s="7"/>
      <c r="AA796" s="7"/>
      <c r="AB796" s="7"/>
      <c r="AC796" s="7"/>
      <c r="AD796" s="7"/>
      <c r="AE796" s="7"/>
      <c r="AF796" s="7"/>
      <c r="AG796" s="7"/>
      <c r="AH796" s="7"/>
      <c r="AI796" s="7"/>
    </row>
    <row r="797" spans="12:35">
      <c r="L797" s="7">
        <v>26</v>
      </c>
      <c r="M797" s="7">
        <v>28</v>
      </c>
      <c r="N797" s="7" t="b">
        <f>AND($N$5,$N$5,15&lt;=$M$5,17&lt;=$M$5)</f>
        <v>0</v>
      </c>
      <c r="O797" s="7">
        <f>(P26-N26)*(O28-O26)-(Q26-O26)*(N28-N26)</f>
        <v>0</v>
      </c>
      <c r="P797" s="7">
        <f>(P26-N26)*(Q28-O26)-(Q26-O26)*(P28-N26)</f>
        <v>0</v>
      </c>
      <c r="Q797" s="7">
        <f>(P28-N28)*(O26-O28)-(Q28-O28)*(N26-N28)</f>
        <v>0</v>
      </c>
      <c r="R797" s="7">
        <f>(P28-N28)*(Q26-O28)-(Q28-O28)*(P26-N28)</f>
        <v>0</v>
      </c>
      <c r="S797" s="7">
        <f>IF(N797,IF(AND(O797*P797&lt;=0,Q797*R797&lt;=0,MAX(MIN(N26,P26),MIN(N28,P28))&lt;=MIN(MAX(N26,P26),MAX(N28,P28)),MAX(MIN(O26,Q26),MIN(O28,Q28))&lt;=MIN(MAX(O26,Q26),MAX(O28,Q28))),1,0),0)</f>
        <v>0</v>
      </c>
      <c r="T797" s="7"/>
      <c r="U797" s="7"/>
      <c r="V797" s="7"/>
      <c r="W797" s="7"/>
      <c r="X797" s="7"/>
      <c r="Y797" s="7"/>
      <c r="Z797" s="7"/>
      <c r="AA797" s="7"/>
      <c r="AB797" s="7"/>
      <c r="AC797" s="7"/>
      <c r="AD797" s="7"/>
      <c r="AE797" s="7"/>
      <c r="AF797" s="7"/>
      <c r="AG797" s="7"/>
      <c r="AH797" s="7"/>
      <c r="AI797" s="7"/>
    </row>
    <row r="798" spans="12:35">
      <c r="L798" s="7">
        <v>26</v>
      </c>
      <c r="M798" s="7">
        <v>29</v>
      </c>
      <c r="N798" s="7" t="b">
        <f>AND($N$5,$N$5,15&lt;=$M$5,18&lt;=$M$5)</f>
        <v>0</v>
      </c>
      <c r="O798" s="7">
        <f>(P26-N26)*(O29-O26)-(Q26-O26)*(N29-N26)</f>
        <v>0</v>
      </c>
      <c r="P798" s="7">
        <f>(P26-N26)*(Q29-O26)-(Q26-O26)*(P29-N26)</f>
        <v>0</v>
      </c>
      <c r="Q798" s="7">
        <f>(P29-N29)*(O26-O29)-(Q29-O29)*(N26-N29)</f>
        <v>0</v>
      </c>
      <c r="R798" s="7">
        <f>(P29-N29)*(Q26-O29)-(Q29-O29)*(P26-N29)</f>
        <v>0</v>
      </c>
      <c r="S798" s="7">
        <f>IF(N798,IF(AND(O798*P798&lt;=0,Q798*R798&lt;=0,MAX(MIN(N26,P26),MIN(N29,P29))&lt;=MIN(MAX(N26,P26),MAX(N29,P29)),MAX(MIN(O26,Q26),MIN(O29,Q29))&lt;=MIN(MAX(O26,Q26),MAX(O29,Q29))),1,0),0)</f>
        <v>0</v>
      </c>
      <c r="T798" s="7"/>
      <c r="U798" s="7"/>
      <c r="V798" s="7"/>
      <c r="W798" s="7"/>
      <c r="X798" s="7"/>
      <c r="Y798" s="7"/>
      <c r="Z798" s="7"/>
      <c r="AA798" s="7"/>
      <c r="AB798" s="7"/>
      <c r="AC798" s="7"/>
      <c r="AD798" s="7"/>
      <c r="AE798" s="7"/>
      <c r="AF798" s="7"/>
      <c r="AG798" s="7"/>
      <c r="AH798" s="7"/>
      <c r="AI798" s="7"/>
    </row>
    <row r="799" spans="12:35">
      <c r="L799" s="7">
        <v>26</v>
      </c>
      <c r="M799" s="7">
        <v>30</v>
      </c>
      <c r="N799" s="7" t="b">
        <f>AND($N$5,$N$5,15&lt;=$M$5,19&lt;=$M$5)</f>
        <v>0</v>
      </c>
      <c r="O799" s="7">
        <f>(P26-N26)*(O30-O26)-(Q26-O26)*(N30-N26)</f>
        <v>0</v>
      </c>
      <c r="P799" s="7">
        <f>(P26-N26)*(Q30-O26)-(Q26-O26)*(P30-N26)</f>
        <v>0</v>
      </c>
      <c r="Q799" s="7">
        <f>(P30-N30)*(O26-O30)-(Q30-O30)*(N26-N30)</f>
        <v>0</v>
      </c>
      <c r="R799" s="7">
        <f>(P30-N30)*(Q26-O30)-(Q30-O30)*(P26-N30)</f>
        <v>0</v>
      </c>
      <c r="S799" s="7">
        <f>IF(N799,IF(AND(O799*P799&lt;=0,Q799*R799&lt;=0,MAX(MIN(N26,P26),MIN(N30,P30))&lt;=MIN(MAX(N26,P26),MAX(N30,P30)),MAX(MIN(O26,Q26),MIN(O30,Q30))&lt;=MIN(MAX(O26,Q26),MAX(O30,Q30))),1,0),0)</f>
        <v>0</v>
      </c>
      <c r="T799" s="7"/>
      <c r="U799" s="7"/>
      <c r="V799" s="7"/>
      <c r="W799" s="7"/>
      <c r="X799" s="7"/>
      <c r="Y799" s="7"/>
      <c r="Z799" s="7"/>
      <c r="AA799" s="7"/>
      <c r="AB799" s="7"/>
      <c r="AC799" s="7"/>
      <c r="AD799" s="7"/>
      <c r="AE799" s="7"/>
      <c r="AF799" s="7"/>
      <c r="AG799" s="7"/>
      <c r="AH799" s="7"/>
      <c r="AI799" s="7"/>
    </row>
    <row r="800" spans="12:35">
      <c r="L800" s="7">
        <v>26</v>
      </c>
      <c r="M800" s="7">
        <v>31</v>
      </c>
      <c r="N800" s="7" t="b">
        <f>AND($N$5,$N$5,15&lt;=$M$5,20&lt;=$M$5)</f>
        <v>0</v>
      </c>
      <c r="O800" s="7">
        <f>(P26-N26)*(O31-O26)-(Q26-O26)*(N31-N26)</f>
        <v>0</v>
      </c>
      <c r="P800" s="7">
        <f>(P26-N26)*(Q31-O26)-(Q26-O26)*(P31-N26)</f>
        <v>0</v>
      </c>
      <c r="Q800" s="7">
        <f>(P31-N31)*(O26-O31)-(Q31-O31)*(N26-N31)</f>
        <v>0</v>
      </c>
      <c r="R800" s="7">
        <f>(P31-N31)*(Q26-O31)-(Q31-O31)*(P26-N31)</f>
        <v>0</v>
      </c>
      <c r="S800" s="7">
        <f>IF(N800,IF(AND(O800*P800&lt;=0,Q800*R800&lt;=0,MAX(MIN(N26,P26),MIN(N31,P31))&lt;=MIN(MAX(N26,P26),MAX(N31,P31)),MAX(MIN(O26,Q26),MIN(O31,Q31))&lt;=MIN(MAX(O26,Q26),MAX(O31,Q31))),1,0),0)</f>
        <v>0</v>
      </c>
      <c r="T800" s="7"/>
      <c r="U800" s="7"/>
      <c r="V800" s="7"/>
      <c r="W800" s="7"/>
      <c r="X800" s="7"/>
      <c r="Y800" s="7"/>
      <c r="Z800" s="7"/>
      <c r="AA800" s="7"/>
      <c r="AB800" s="7"/>
      <c r="AC800" s="7"/>
      <c r="AD800" s="7"/>
      <c r="AE800" s="7"/>
      <c r="AF800" s="7"/>
      <c r="AG800" s="7"/>
      <c r="AH800" s="7"/>
      <c r="AI800" s="7"/>
    </row>
    <row r="801" spans="12:35">
      <c r="L801" s="7">
        <v>26</v>
      </c>
      <c r="M801" s="7">
        <v>32</v>
      </c>
      <c r="N801" s="7" t="b">
        <f>AND($N$5,$N$6,15&lt;=$M$5,1&lt;=$M$6)</f>
        <v>0</v>
      </c>
      <c r="O801" s="7">
        <f>(P26-N26)*(O32-O26)-(Q26-O26)*(N32-N26)</f>
        <v>0</v>
      </c>
      <c r="P801" s="7">
        <f>(P26-N26)*(Q32-O26)-(Q26-O26)*(P32-N26)</f>
        <v>0</v>
      </c>
      <c r="Q801" s="7">
        <f>(P32-N32)*(O26-O32)-(Q32-O32)*(N26-N32)</f>
        <v>0</v>
      </c>
      <c r="R801" s="7">
        <f>(P32-N32)*(Q26-O32)-(Q32-O32)*(P26-N32)</f>
        <v>0</v>
      </c>
      <c r="S801" s="7">
        <f>IF(N801,IF(AND(O801*P801&lt;=0,Q801*R801&lt;=0,MAX(MIN(N26,P26),MIN(N32,P32))&lt;=MIN(MAX(N26,P26),MAX(N32,P32)),MAX(MIN(O26,Q26),MIN(O32,Q32))&lt;=MIN(MAX(O26,Q26),MAX(O32,Q32))),1,0),0)</f>
        <v>0</v>
      </c>
      <c r="T801" s="7"/>
      <c r="U801" s="7"/>
      <c r="V801" s="7"/>
      <c r="W801" s="7"/>
      <c r="X801" s="7"/>
      <c r="Y801" s="7"/>
      <c r="Z801" s="7"/>
      <c r="AA801" s="7"/>
      <c r="AB801" s="7"/>
      <c r="AC801" s="7"/>
      <c r="AD801" s="7"/>
      <c r="AE801" s="7"/>
      <c r="AF801" s="7"/>
      <c r="AG801" s="7"/>
      <c r="AH801" s="7"/>
      <c r="AI801" s="7"/>
    </row>
    <row r="802" spans="12:35">
      <c r="L802" s="7">
        <v>26</v>
      </c>
      <c r="M802" s="7">
        <v>33</v>
      </c>
      <c r="N802" s="7" t="b">
        <f>AND($N$5,$N$6,15&lt;=$M$5,2&lt;=$M$6)</f>
        <v>0</v>
      </c>
      <c r="O802" s="7">
        <f>(P26-N26)*(O33-O26)-(Q26-O26)*(N33-N26)</f>
        <v>0</v>
      </c>
      <c r="P802" s="7">
        <f>(P26-N26)*(Q33-O26)-(Q26-O26)*(P33-N26)</f>
        <v>0</v>
      </c>
      <c r="Q802" s="7">
        <f>(P33-N33)*(O26-O33)-(Q33-O33)*(N26-N33)</f>
        <v>0</v>
      </c>
      <c r="R802" s="7">
        <f>(P33-N33)*(Q26-O33)-(Q33-O33)*(P26-N33)</f>
        <v>0</v>
      </c>
      <c r="S802" s="7">
        <f>IF(N802,IF(AND(O802*P802&lt;=0,Q802*R802&lt;=0,MAX(MIN(N26,P26),MIN(N33,P33))&lt;=MIN(MAX(N26,P26),MAX(N33,P33)),MAX(MIN(O26,Q26),MIN(O33,Q33))&lt;=MIN(MAX(O26,Q26),MAX(O33,Q33))),1,0),0)</f>
        <v>0</v>
      </c>
      <c r="T802" s="7"/>
      <c r="U802" s="7"/>
      <c r="V802" s="7"/>
      <c r="W802" s="7"/>
      <c r="X802" s="7"/>
      <c r="Y802" s="7"/>
      <c r="Z802" s="7"/>
      <c r="AA802" s="7"/>
      <c r="AB802" s="7"/>
      <c r="AC802" s="7"/>
      <c r="AD802" s="7"/>
      <c r="AE802" s="7"/>
      <c r="AF802" s="7"/>
      <c r="AG802" s="7"/>
      <c r="AH802" s="7"/>
      <c r="AI802" s="7"/>
    </row>
    <row r="803" spans="12:35">
      <c r="L803" s="7">
        <v>26</v>
      </c>
      <c r="M803" s="7">
        <v>34</v>
      </c>
      <c r="N803" s="7" t="b">
        <f>AND($N$5,$N$6,15&lt;=$M$5,3&lt;=$M$6)</f>
        <v>0</v>
      </c>
      <c r="O803" s="7">
        <f>(P26-N26)*(O34-O26)-(Q26-O26)*(N34-N26)</f>
        <v>0</v>
      </c>
      <c r="P803" s="7">
        <f>(P26-N26)*(Q34-O26)-(Q26-O26)*(P34-N26)</f>
        <v>0</v>
      </c>
      <c r="Q803" s="7">
        <f>(P34-N34)*(O26-O34)-(Q34-O34)*(N26-N34)</f>
        <v>0</v>
      </c>
      <c r="R803" s="7">
        <f>(P34-N34)*(Q26-O34)-(Q34-O34)*(P26-N34)</f>
        <v>0</v>
      </c>
      <c r="S803" s="7">
        <f>IF(N803,IF(AND(O803*P803&lt;=0,Q803*R803&lt;=0,MAX(MIN(N26,P26),MIN(N34,P34))&lt;=MIN(MAX(N26,P26),MAX(N34,P34)),MAX(MIN(O26,Q26),MIN(O34,Q34))&lt;=MIN(MAX(O26,Q26),MAX(O34,Q34))),1,0),0)</f>
        <v>0</v>
      </c>
      <c r="T803" s="7"/>
      <c r="U803" s="7"/>
      <c r="V803" s="7"/>
      <c r="W803" s="7"/>
      <c r="X803" s="7"/>
      <c r="Y803" s="7"/>
      <c r="Z803" s="7"/>
      <c r="AA803" s="7"/>
      <c r="AB803" s="7"/>
      <c r="AC803" s="7"/>
      <c r="AD803" s="7"/>
      <c r="AE803" s="7"/>
      <c r="AF803" s="7"/>
      <c r="AG803" s="7"/>
      <c r="AH803" s="7"/>
      <c r="AI803" s="7"/>
    </row>
    <row r="804" spans="12:35">
      <c r="L804" s="7">
        <v>26</v>
      </c>
      <c r="M804" s="7">
        <v>35</v>
      </c>
      <c r="N804" s="7" t="b">
        <f>AND($N$5,$N$6,15&lt;=$M$5,4&lt;=$M$6)</f>
        <v>0</v>
      </c>
      <c r="O804" s="7">
        <f>(P26-N26)*(O35-O26)-(Q26-O26)*(N35-N26)</f>
        <v>0</v>
      </c>
      <c r="P804" s="7">
        <f>(P26-N26)*(Q35-O26)-(Q26-O26)*(P35-N26)</f>
        <v>0</v>
      </c>
      <c r="Q804" s="7">
        <f>(P35-N35)*(O26-O35)-(Q35-O35)*(N26-N35)</f>
        <v>0</v>
      </c>
      <c r="R804" s="7">
        <f>(P35-N35)*(Q26-O35)-(Q35-O35)*(P26-N35)</f>
        <v>0</v>
      </c>
      <c r="S804" s="7">
        <f>IF(N804,IF(AND(O804*P804&lt;=0,Q804*R804&lt;=0,MAX(MIN(N26,P26),MIN(N35,P35))&lt;=MIN(MAX(N26,P26),MAX(N35,P35)),MAX(MIN(O26,Q26),MIN(O35,Q35))&lt;=MIN(MAX(O26,Q26),MAX(O35,Q35))),1,0),0)</f>
        <v>0</v>
      </c>
      <c r="T804" s="7"/>
      <c r="U804" s="7"/>
      <c r="V804" s="7"/>
      <c r="W804" s="7"/>
      <c r="X804" s="7"/>
      <c r="Y804" s="7"/>
      <c r="Z804" s="7"/>
      <c r="AA804" s="7"/>
      <c r="AB804" s="7"/>
      <c r="AC804" s="7"/>
      <c r="AD804" s="7"/>
      <c r="AE804" s="7"/>
      <c r="AF804" s="7"/>
      <c r="AG804" s="7"/>
      <c r="AH804" s="7"/>
      <c r="AI804" s="7"/>
    </row>
    <row r="805" spans="12:35">
      <c r="L805" s="7">
        <v>26</v>
      </c>
      <c r="M805" s="7">
        <v>36</v>
      </c>
      <c r="N805" s="7" t="b">
        <f>AND($N$5,$N$6,15&lt;=$M$5,5&lt;=$M$6)</f>
        <v>0</v>
      </c>
      <c r="O805" s="7">
        <f>(P26-N26)*(O36-O26)-(Q26-O26)*(N36-N26)</f>
        <v>0</v>
      </c>
      <c r="P805" s="7">
        <f>(P26-N26)*(Q36-O26)-(Q26-O26)*(P36-N26)</f>
        <v>0</v>
      </c>
      <c r="Q805" s="7">
        <f>(P36-N36)*(O26-O36)-(Q36-O36)*(N26-N36)</f>
        <v>0</v>
      </c>
      <c r="R805" s="7">
        <f>(P36-N36)*(Q26-O36)-(Q36-O36)*(P26-N36)</f>
        <v>0</v>
      </c>
      <c r="S805" s="7">
        <f>IF(N805,IF(AND(O805*P805&lt;=0,Q805*R805&lt;=0,MAX(MIN(N26,P26),MIN(N36,P36))&lt;=MIN(MAX(N26,P26),MAX(N36,P36)),MAX(MIN(O26,Q26),MIN(O36,Q36))&lt;=MIN(MAX(O26,Q26),MAX(O36,Q36))),1,0),0)</f>
        <v>0</v>
      </c>
      <c r="T805" s="7"/>
      <c r="U805" s="7"/>
      <c r="V805" s="7"/>
      <c r="W805" s="7"/>
      <c r="X805" s="7"/>
      <c r="Y805" s="7"/>
      <c r="Z805" s="7"/>
      <c r="AA805" s="7"/>
      <c r="AB805" s="7"/>
      <c r="AC805" s="7"/>
      <c r="AD805" s="7"/>
      <c r="AE805" s="7"/>
      <c r="AF805" s="7"/>
      <c r="AG805" s="7"/>
      <c r="AH805" s="7"/>
      <c r="AI805" s="7"/>
    </row>
    <row r="806" spans="12:35">
      <c r="L806" s="7">
        <v>26</v>
      </c>
      <c r="M806" s="7">
        <v>37</v>
      </c>
      <c r="N806" s="7" t="b">
        <f>AND($N$5,$N$6,15&lt;=$M$5,6&lt;=$M$6)</f>
        <v>0</v>
      </c>
      <c r="O806" s="7">
        <f>(P26-N26)*(O37-O26)-(Q26-O26)*(N37-N26)</f>
        <v>0</v>
      </c>
      <c r="P806" s="7">
        <f>(P26-N26)*(Q37-O26)-(Q26-O26)*(P37-N26)</f>
        <v>0</v>
      </c>
      <c r="Q806" s="7">
        <f>(P37-N37)*(O26-O37)-(Q37-O37)*(N26-N37)</f>
        <v>0</v>
      </c>
      <c r="R806" s="7">
        <f>(P37-N37)*(Q26-O37)-(Q37-O37)*(P26-N37)</f>
        <v>0</v>
      </c>
      <c r="S806" s="7">
        <f>IF(N806,IF(AND(O806*P806&lt;=0,Q806*R806&lt;=0,MAX(MIN(N26,P26),MIN(N37,P37))&lt;=MIN(MAX(N26,P26),MAX(N37,P37)),MAX(MIN(O26,Q26),MIN(O37,Q37))&lt;=MIN(MAX(O26,Q26),MAX(O37,Q37))),1,0),0)</f>
        <v>0</v>
      </c>
      <c r="T806" s="7"/>
      <c r="U806" s="7"/>
      <c r="V806" s="7"/>
      <c r="W806" s="7"/>
      <c r="X806" s="7"/>
      <c r="Y806" s="7"/>
      <c r="Z806" s="7"/>
      <c r="AA806" s="7"/>
      <c r="AB806" s="7"/>
      <c r="AC806" s="7"/>
      <c r="AD806" s="7"/>
      <c r="AE806" s="7"/>
      <c r="AF806" s="7"/>
      <c r="AG806" s="7"/>
      <c r="AH806" s="7"/>
      <c r="AI806" s="7"/>
    </row>
    <row r="807" spans="12:35">
      <c r="L807" s="7">
        <v>26</v>
      </c>
      <c r="M807" s="7">
        <v>38</v>
      </c>
      <c r="N807" s="7" t="b">
        <f>AND($N$5,$N$6,15&lt;=$M$5,7&lt;=$M$6)</f>
        <v>0</v>
      </c>
      <c r="O807" s="7">
        <f>(P26-N26)*(O38-O26)-(Q26-O26)*(N38-N26)</f>
        <v>0</v>
      </c>
      <c r="P807" s="7">
        <f>(P26-N26)*(Q38-O26)-(Q26-O26)*(P38-N26)</f>
        <v>0</v>
      </c>
      <c r="Q807" s="7">
        <f>(P38-N38)*(O26-O38)-(Q38-O38)*(N26-N38)</f>
        <v>0</v>
      </c>
      <c r="R807" s="7">
        <f>(P38-N38)*(Q26-O38)-(Q38-O38)*(P26-N38)</f>
        <v>0</v>
      </c>
      <c r="S807" s="7">
        <f>IF(N807,IF(AND(O807*P807&lt;=0,Q807*R807&lt;=0,MAX(MIN(N26,P26),MIN(N38,P38))&lt;=MIN(MAX(N26,P26),MAX(N38,P38)),MAX(MIN(O26,Q26),MIN(O38,Q38))&lt;=MIN(MAX(O26,Q26),MAX(O38,Q38))),1,0),0)</f>
        <v>0</v>
      </c>
      <c r="T807" s="7"/>
      <c r="U807" s="7"/>
      <c r="V807" s="7"/>
      <c r="W807" s="7"/>
      <c r="X807" s="7"/>
      <c r="Y807" s="7"/>
      <c r="Z807" s="7"/>
      <c r="AA807" s="7"/>
      <c r="AB807" s="7"/>
      <c r="AC807" s="7"/>
      <c r="AD807" s="7"/>
      <c r="AE807" s="7"/>
      <c r="AF807" s="7"/>
      <c r="AG807" s="7"/>
      <c r="AH807" s="7"/>
      <c r="AI807" s="7"/>
    </row>
    <row r="808" spans="12:35">
      <c r="L808" s="7">
        <v>26</v>
      </c>
      <c r="M808" s="7">
        <v>39</v>
      </c>
      <c r="N808" s="7" t="b">
        <f>AND($N$5,$N$6,15&lt;=$M$5,8&lt;=$M$6)</f>
        <v>0</v>
      </c>
      <c r="O808" s="7">
        <f>(P26-N26)*(O39-O26)-(Q26-O26)*(N39-N26)</f>
        <v>0</v>
      </c>
      <c r="P808" s="7">
        <f>(P26-N26)*(Q39-O26)-(Q26-O26)*(P39-N26)</f>
        <v>0</v>
      </c>
      <c r="Q808" s="7">
        <f>(P39-N39)*(O26-O39)-(Q39-O39)*(N26-N39)</f>
        <v>0</v>
      </c>
      <c r="R808" s="7">
        <f>(P39-N39)*(Q26-O39)-(Q39-O39)*(P26-N39)</f>
        <v>0</v>
      </c>
      <c r="S808" s="7">
        <f>IF(N808,IF(AND(O808*P808&lt;=0,Q808*R808&lt;=0,MAX(MIN(N26,P26),MIN(N39,P39))&lt;=MIN(MAX(N26,P26),MAX(N39,P39)),MAX(MIN(O26,Q26),MIN(O39,Q39))&lt;=MIN(MAX(O26,Q26),MAX(O39,Q39))),1,0),0)</f>
        <v>0</v>
      </c>
      <c r="T808" s="7"/>
      <c r="U808" s="7"/>
      <c r="V808" s="7"/>
      <c r="W808" s="7"/>
      <c r="X808" s="7"/>
      <c r="Y808" s="7"/>
      <c r="Z808" s="7"/>
      <c r="AA808" s="7"/>
      <c r="AB808" s="7"/>
      <c r="AC808" s="7"/>
      <c r="AD808" s="7"/>
      <c r="AE808" s="7"/>
      <c r="AF808" s="7"/>
      <c r="AG808" s="7"/>
      <c r="AH808" s="7"/>
      <c r="AI808" s="7"/>
    </row>
    <row r="809" spans="12:35">
      <c r="L809" s="7">
        <v>26</v>
      </c>
      <c r="M809" s="7">
        <v>40</v>
      </c>
      <c r="N809" s="7" t="b">
        <f>AND($N$5,$N$6,15&lt;=$M$5,9&lt;=$M$6)</f>
        <v>0</v>
      </c>
      <c r="O809" s="7">
        <f>(P26-N26)*(O40-O26)-(Q26-O26)*(N40-N26)</f>
        <v>0</v>
      </c>
      <c r="P809" s="7">
        <f>(P26-N26)*(Q40-O26)-(Q26-O26)*(P40-N26)</f>
        <v>0</v>
      </c>
      <c r="Q809" s="7">
        <f>(P40-N40)*(O26-O40)-(Q40-O40)*(N26-N40)</f>
        <v>0</v>
      </c>
      <c r="R809" s="7">
        <f>(P40-N40)*(Q26-O40)-(Q40-O40)*(P26-N40)</f>
        <v>0</v>
      </c>
      <c r="S809" s="7">
        <f>IF(N809,IF(AND(O809*P809&lt;=0,Q809*R809&lt;=0,MAX(MIN(N26,P26),MIN(N40,P40))&lt;=MIN(MAX(N26,P26),MAX(N40,P40)),MAX(MIN(O26,Q26),MIN(O40,Q40))&lt;=MIN(MAX(O26,Q26),MAX(O40,Q40))),1,0),0)</f>
        <v>0</v>
      </c>
      <c r="T809" s="7"/>
      <c r="U809" s="7"/>
      <c r="V809" s="7"/>
      <c r="W809" s="7"/>
      <c r="X809" s="7"/>
      <c r="Y809" s="7"/>
      <c r="Z809" s="7"/>
      <c r="AA809" s="7"/>
      <c r="AB809" s="7"/>
      <c r="AC809" s="7"/>
      <c r="AD809" s="7"/>
      <c r="AE809" s="7"/>
      <c r="AF809" s="7"/>
      <c r="AG809" s="7"/>
      <c r="AH809" s="7"/>
      <c r="AI809" s="7"/>
    </row>
    <row r="810" spans="12:35">
      <c r="L810" s="7">
        <v>26</v>
      </c>
      <c r="M810" s="7">
        <v>41</v>
      </c>
      <c r="N810" s="7" t="b">
        <f>AND($N$5,$N$6,15&lt;=$M$5,10&lt;=$M$6)</f>
        <v>0</v>
      </c>
      <c r="O810" s="7">
        <f>(P26-N26)*(O41-O26)-(Q26-O26)*(N41-N26)</f>
        <v>0</v>
      </c>
      <c r="P810" s="7">
        <f>(P26-N26)*(Q41-O26)-(Q26-O26)*(P41-N26)</f>
        <v>0</v>
      </c>
      <c r="Q810" s="7">
        <f>(P41-N41)*(O26-O41)-(Q41-O41)*(N26-N41)</f>
        <v>0</v>
      </c>
      <c r="R810" s="7">
        <f>(P41-N41)*(Q26-O41)-(Q41-O41)*(P26-N41)</f>
        <v>0</v>
      </c>
      <c r="S810" s="7">
        <f>IF(N810,IF(AND(O810*P810&lt;=0,Q810*R810&lt;=0,MAX(MIN(N26,P26),MIN(N41,P41))&lt;=MIN(MAX(N26,P26),MAX(N41,P41)),MAX(MIN(O26,Q26),MIN(O41,Q41))&lt;=MIN(MAX(O26,Q26),MAX(O41,Q41))),1,0),0)</f>
        <v>0</v>
      </c>
      <c r="T810" s="7"/>
      <c r="U810" s="7"/>
      <c r="V810" s="7"/>
      <c r="W810" s="7"/>
      <c r="X810" s="7"/>
      <c r="Y810" s="7"/>
      <c r="Z810" s="7"/>
      <c r="AA810" s="7"/>
      <c r="AB810" s="7"/>
      <c r="AC810" s="7"/>
      <c r="AD810" s="7"/>
      <c r="AE810" s="7"/>
      <c r="AF810" s="7"/>
      <c r="AG810" s="7"/>
      <c r="AH810" s="7"/>
      <c r="AI810" s="7"/>
    </row>
    <row r="811" spans="12:35">
      <c r="L811" s="7">
        <v>26</v>
      </c>
      <c r="M811" s="7">
        <v>42</v>
      </c>
      <c r="N811" s="7" t="b">
        <f>AND($N$5,$N$6,15&lt;=$M$5,11&lt;=$M$6)</f>
        <v>0</v>
      </c>
      <c r="O811" s="7">
        <f>(P26-N26)*(O42-O26)-(Q26-O26)*(N42-N26)</f>
        <v>0</v>
      </c>
      <c r="P811" s="7">
        <f>(P26-N26)*(Q42-O26)-(Q26-O26)*(P42-N26)</f>
        <v>0</v>
      </c>
      <c r="Q811" s="7">
        <f>(P42-N42)*(O26-O42)-(Q42-O42)*(N26-N42)</f>
        <v>0</v>
      </c>
      <c r="R811" s="7">
        <f>(P42-N42)*(Q26-O42)-(Q42-O42)*(P26-N42)</f>
        <v>0</v>
      </c>
      <c r="S811" s="7">
        <f>IF(N811,IF(AND(O811*P811&lt;=0,Q811*R811&lt;=0,MAX(MIN(N26,P26),MIN(N42,P42))&lt;=MIN(MAX(N26,P26),MAX(N42,P42)),MAX(MIN(O26,Q26),MIN(O42,Q42))&lt;=MIN(MAX(O26,Q26),MAX(O42,Q42))),1,0),0)</f>
        <v>0</v>
      </c>
      <c r="T811" s="7"/>
      <c r="U811" s="7"/>
      <c r="V811" s="7"/>
      <c r="W811" s="7"/>
      <c r="X811" s="7"/>
      <c r="Y811" s="7"/>
      <c r="Z811" s="7"/>
      <c r="AA811" s="7"/>
      <c r="AB811" s="7"/>
      <c r="AC811" s="7"/>
      <c r="AD811" s="7"/>
      <c r="AE811" s="7"/>
      <c r="AF811" s="7"/>
      <c r="AG811" s="7"/>
      <c r="AH811" s="7"/>
      <c r="AI811" s="7"/>
    </row>
    <row r="812" spans="12:35">
      <c r="L812" s="7">
        <v>26</v>
      </c>
      <c r="M812" s="7">
        <v>43</v>
      </c>
      <c r="N812" s="7" t="b">
        <f>AND($N$5,$N$6,15&lt;=$M$5,12&lt;=$M$6)</f>
        <v>0</v>
      </c>
      <c r="O812" s="7">
        <f>(P26-N26)*(O43-O26)-(Q26-O26)*(N43-N26)</f>
        <v>0</v>
      </c>
      <c r="P812" s="7">
        <f>(P26-N26)*(Q43-O26)-(Q26-O26)*(P43-N26)</f>
        <v>0</v>
      </c>
      <c r="Q812" s="7">
        <f>(P43-N43)*(O26-O43)-(Q43-O43)*(N26-N43)</f>
        <v>0</v>
      </c>
      <c r="R812" s="7">
        <f>(P43-N43)*(Q26-O43)-(Q43-O43)*(P26-N43)</f>
        <v>0</v>
      </c>
      <c r="S812" s="7">
        <f>IF(N812,IF(AND(O812*P812&lt;=0,Q812*R812&lt;=0,MAX(MIN(N26,P26),MIN(N43,P43))&lt;=MIN(MAX(N26,P26),MAX(N43,P43)),MAX(MIN(O26,Q26),MIN(O43,Q43))&lt;=MIN(MAX(O26,Q26),MAX(O43,Q43))),1,0),0)</f>
        <v>0</v>
      </c>
      <c r="T812" s="7"/>
      <c r="U812" s="7"/>
      <c r="V812" s="7"/>
      <c r="W812" s="7"/>
      <c r="X812" s="7"/>
      <c r="Y812" s="7"/>
      <c r="Z812" s="7"/>
      <c r="AA812" s="7"/>
      <c r="AB812" s="7"/>
      <c r="AC812" s="7"/>
      <c r="AD812" s="7"/>
      <c r="AE812" s="7"/>
      <c r="AF812" s="7"/>
      <c r="AG812" s="7"/>
      <c r="AH812" s="7"/>
      <c r="AI812" s="7"/>
    </row>
    <row r="813" spans="12:35">
      <c r="L813" s="7">
        <v>26</v>
      </c>
      <c r="M813" s="7">
        <v>44</v>
      </c>
      <c r="N813" s="7" t="b">
        <f>AND($N$5,$N$6,15&lt;=$M$5,13&lt;=$M$6)</f>
        <v>0</v>
      </c>
      <c r="O813" s="7">
        <f>(P26-N26)*(O44-O26)-(Q26-O26)*(N44-N26)</f>
        <v>0</v>
      </c>
      <c r="P813" s="7">
        <f>(P26-N26)*(Q44-O26)-(Q26-O26)*(P44-N26)</f>
        <v>0</v>
      </c>
      <c r="Q813" s="7">
        <f>(P44-N44)*(O26-O44)-(Q44-O44)*(N26-N44)</f>
        <v>0</v>
      </c>
      <c r="R813" s="7">
        <f>(P44-N44)*(Q26-O44)-(Q44-O44)*(P26-N44)</f>
        <v>0</v>
      </c>
      <c r="S813" s="7">
        <f>IF(N813,IF(AND(O813*P813&lt;=0,Q813*R813&lt;=0,MAX(MIN(N26,P26),MIN(N44,P44))&lt;=MIN(MAX(N26,P26),MAX(N44,P44)),MAX(MIN(O26,Q26),MIN(O44,Q44))&lt;=MIN(MAX(O26,Q26),MAX(O44,Q44))),1,0),0)</f>
        <v>0</v>
      </c>
      <c r="T813" s="7"/>
      <c r="U813" s="7"/>
      <c r="V813" s="7"/>
      <c r="W813" s="7"/>
      <c r="X813" s="7"/>
      <c r="Y813" s="7"/>
      <c r="Z813" s="7"/>
      <c r="AA813" s="7"/>
      <c r="AB813" s="7"/>
      <c r="AC813" s="7"/>
      <c r="AD813" s="7"/>
      <c r="AE813" s="7"/>
      <c r="AF813" s="7"/>
      <c r="AG813" s="7"/>
      <c r="AH813" s="7"/>
      <c r="AI813" s="7"/>
    </row>
    <row r="814" spans="12:35">
      <c r="L814" s="7">
        <v>26</v>
      </c>
      <c r="M814" s="7">
        <v>45</v>
      </c>
      <c r="N814" s="7" t="b">
        <f>AND($N$5,$N$6,15&lt;=$M$5,14&lt;=$M$6)</f>
        <v>0</v>
      </c>
      <c r="O814" s="7">
        <f>(P26-N26)*(O45-O26)-(Q26-O26)*(N45-N26)</f>
        <v>0</v>
      </c>
      <c r="P814" s="7">
        <f>(P26-N26)*(Q45-O26)-(Q26-O26)*(P45-N26)</f>
        <v>0</v>
      </c>
      <c r="Q814" s="7">
        <f>(P45-N45)*(O26-O45)-(Q45-O45)*(N26-N45)</f>
        <v>0</v>
      </c>
      <c r="R814" s="7">
        <f>(P45-N45)*(Q26-O45)-(Q45-O45)*(P26-N45)</f>
        <v>0</v>
      </c>
      <c r="S814" s="7">
        <f>IF(N814,IF(AND(O814*P814&lt;=0,Q814*R814&lt;=0,MAX(MIN(N26,P26),MIN(N45,P45))&lt;=MIN(MAX(N26,P26),MAX(N45,P45)),MAX(MIN(O26,Q26),MIN(O45,Q45))&lt;=MIN(MAX(O26,Q26),MAX(O45,Q45))),1,0),0)</f>
        <v>0</v>
      </c>
      <c r="T814" s="7"/>
      <c r="U814" s="7"/>
      <c r="V814" s="7"/>
      <c r="W814" s="7"/>
      <c r="X814" s="7"/>
      <c r="Y814" s="7"/>
      <c r="Z814" s="7"/>
      <c r="AA814" s="7"/>
      <c r="AB814" s="7"/>
      <c r="AC814" s="7"/>
      <c r="AD814" s="7"/>
      <c r="AE814" s="7"/>
      <c r="AF814" s="7"/>
      <c r="AG814" s="7"/>
      <c r="AH814" s="7"/>
      <c r="AI814" s="7"/>
    </row>
    <row r="815" spans="12:35">
      <c r="L815" s="7">
        <v>26</v>
      </c>
      <c r="M815" s="7">
        <v>46</v>
      </c>
      <c r="N815" s="7" t="b">
        <f>AND($N$5,$N$6,15&lt;=$M$5,15&lt;=$M$6)</f>
        <v>0</v>
      </c>
      <c r="O815" s="7">
        <f>(P26-N26)*(O46-O26)-(Q26-O26)*(N46-N26)</f>
        <v>0</v>
      </c>
      <c r="P815" s="7">
        <f>(P26-N26)*(Q46-O26)-(Q26-O26)*(P46-N26)</f>
        <v>0</v>
      </c>
      <c r="Q815" s="7">
        <f>(P46-N46)*(O26-O46)-(Q46-O46)*(N26-N46)</f>
        <v>0</v>
      </c>
      <c r="R815" s="7">
        <f>(P46-N46)*(Q26-O46)-(Q46-O46)*(P26-N46)</f>
        <v>0</v>
      </c>
      <c r="S815" s="7">
        <f>IF(N815,IF(AND(O815*P815&lt;=0,Q815*R815&lt;=0,MAX(MIN(N26,P26),MIN(N46,P46))&lt;=MIN(MAX(N26,P26),MAX(N46,P46)),MAX(MIN(O26,Q26),MIN(O46,Q46))&lt;=MIN(MAX(O26,Q26),MAX(O46,Q46))),1,0),0)</f>
        <v>0</v>
      </c>
      <c r="T815" s="7"/>
      <c r="U815" s="7"/>
      <c r="V815" s="7"/>
      <c r="W815" s="7"/>
      <c r="X815" s="7"/>
      <c r="Y815" s="7"/>
      <c r="Z815" s="7"/>
      <c r="AA815" s="7"/>
      <c r="AB815" s="7"/>
      <c r="AC815" s="7"/>
      <c r="AD815" s="7"/>
      <c r="AE815" s="7"/>
      <c r="AF815" s="7"/>
      <c r="AG815" s="7"/>
      <c r="AH815" s="7"/>
      <c r="AI815" s="7"/>
    </row>
    <row r="816" spans="12:35">
      <c r="L816" s="7">
        <v>26</v>
      </c>
      <c r="M816" s="7">
        <v>47</v>
      </c>
      <c r="N816" s="7" t="b">
        <f>AND($N$5,$N$6,15&lt;=$M$5,16&lt;=$M$6)</f>
        <v>0</v>
      </c>
      <c r="O816" s="7">
        <f>(P26-N26)*(O47-O26)-(Q26-O26)*(N47-N26)</f>
        <v>0</v>
      </c>
      <c r="P816" s="7">
        <f>(P26-N26)*(Q47-O26)-(Q26-O26)*(P47-N26)</f>
        <v>0</v>
      </c>
      <c r="Q816" s="7">
        <f>(P47-N47)*(O26-O47)-(Q47-O47)*(N26-N47)</f>
        <v>0</v>
      </c>
      <c r="R816" s="7">
        <f>(P47-N47)*(Q26-O47)-(Q47-O47)*(P26-N47)</f>
        <v>0</v>
      </c>
      <c r="S816" s="7">
        <f>IF(N816,IF(AND(O816*P816&lt;=0,Q816*R816&lt;=0,MAX(MIN(N26,P26),MIN(N47,P47))&lt;=MIN(MAX(N26,P26),MAX(N47,P47)),MAX(MIN(O26,Q26),MIN(O47,Q47))&lt;=MIN(MAX(O26,Q26),MAX(O47,Q47))),1,0),0)</f>
        <v>0</v>
      </c>
      <c r="T816" s="7"/>
      <c r="U816" s="7"/>
      <c r="V816" s="7"/>
      <c r="W816" s="7"/>
      <c r="X816" s="7"/>
      <c r="Y816" s="7"/>
      <c r="Z816" s="7"/>
      <c r="AA816" s="7"/>
      <c r="AB816" s="7"/>
      <c r="AC816" s="7"/>
      <c r="AD816" s="7"/>
      <c r="AE816" s="7"/>
      <c r="AF816" s="7"/>
      <c r="AG816" s="7"/>
      <c r="AH816" s="7"/>
      <c r="AI816" s="7"/>
    </row>
    <row r="817" spans="12:35">
      <c r="L817" s="7">
        <v>26</v>
      </c>
      <c r="M817" s="7">
        <v>48</v>
      </c>
      <c r="N817" s="7" t="b">
        <f>AND($N$5,$N$6,15&lt;=$M$5,17&lt;=$M$6)</f>
        <v>0</v>
      </c>
      <c r="O817" s="7">
        <f>(P26-N26)*(O48-O26)-(Q26-O26)*(N48-N26)</f>
        <v>0</v>
      </c>
      <c r="P817" s="7">
        <f>(P26-N26)*(Q48-O26)-(Q26-O26)*(P48-N26)</f>
        <v>0</v>
      </c>
      <c r="Q817" s="7">
        <f>(P48-N48)*(O26-O48)-(Q48-O48)*(N26-N48)</f>
        <v>0</v>
      </c>
      <c r="R817" s="7">
        <f>(P48-N48)*(Q26-O48)-(Q48-O48)*(P26-N48)</f>
        <v>0</v>
      </c>
      <c r="S817" s="7">
        <f>IF(N817,IF(AND(O817*P817&lt;=0,Q817*R817&lt;=0,MAX(MIN(N26,P26),MIN(N48,P48))&lt;=MIN(MAX(N26,P26),MAX(N48,P48)),MAX(MIN(O26,Q26),MIN(O48,Q48))&lt;=MIN(MAX(O26,Q26),MAX(O48,Q48))),1,0),0)</f>
        <v>0</v>
      </c>
      <c r="T817" s="7"/>
      <c r="U817" s="7"/>
      <c r="V817" s="7"/>
      <c r="W817" s="7"/>
      <c r="X817" s="7"/>
      <c r="Y817" s="7"/>
      <c r="Z817" s="7"/>
      <c r="AA817" s="7"/>
      <c r="AB817" s="7"/>
      <c r="AC817" s="7"/>
      <c r="AD817" s="7"/>
      <c r="AE817" s="7"/>
      <c r="AF817" s="7"/>
      <c r="AG817" s="7"/>
      <c r="AH817" s="7"/>
      <c r="AI817" s="7"/>
    </row>
    <row r="818" spans="12:35">
      <c r="L818" s="7">
        <v>26</v>
      </c>
      <c r="M818" s="7">
        <v>49</v>
      </c>
      <c r="N818" s="7" t="b">
        <f>AND($N$5,$N$6,15&lt;=$M$5,18&lt;=$M$6)</f>
        <v>0</v>
      </c>
      <c r="O818" s="7">
        <f>(P26-N26)*(O49-O26)-(Q26-O26)*(N49-N26)</f>
        <v>0</v>
      </c>
      <c r="P818" s="7">
        <f>(P26-N26)*(Q49-O26)-(Q26-O26)*(P49-N26)</f>
        <v>0</v>
      </c>
      <c r="Q818" s="7">
        <f>(P49-N49)*(O26-O49)-(Q49-O49)*(N26-N49)</f>
        <v>0</v>
      </c>
      <c r="R818" s="7">
        <f>(P49-N49)*(Q26-O49)-(Q49-O49)*(P26-N49)</f>
        <v>0</v>
      </c>
      <c r="S818" s="7">
        <f>IF(N818,IF(AND(O818*P818&lt;=0,Q818*R818&lt;=0,MAX(MIN(N26,P26),MIN(N49,P49))&lt;=MIN(MAX(N26,P26),MAX(N49,P49)),MAX(MIN(O26,Q26),MIN(O49,Q49))&lt;=MIN(MAX(O26,Q26),MAX(O49,Q49))),1,0),0)</f>
        <v>0</v>
      </c>
      <c r="T818" s="7"/>
      <c r="U818" s="7"/>
      <c r="V818" s="7"/>
      <c r="W818" s="7"/>
      <c r="X818" s="7"/>
      <c r="Y818" s="7"/>
      <c r="Z818" s="7"/>
      <c r="AA818" s="7"/>
      <c r="AB818" s="7"/>
      <c r="AC818" s="7"/>
      <c r="AD818" s="7"/>
      <c r="AE818" s="7"/>
      <c r="AF818" s="7"/>
      <c r="AG818" s="7"/>
      <c r="AH818" s="7"/>
      <c r="AI818" s="7"/>
    </row>
    <row r="819" spans="12:35">
      <c r="L819" s="7">
        <v>26</v>
      </c>
      <c r="M819" s="7">
        <v>50</v>
      </c>
      <c r="N819" s="7" t="b">
        <f>AND($N$5,$N$6,15&lt;=$M$5,19&lt;=$M$6)</f>
        <v>0</v>
      </c>
      <c r="O819" s="7">
        <f>(P26-N26)*(O50-O26)-(Q26-O26)*(N50-N26)</f>
        <v>0</v>
      </c>
      <c r="P819" s="7">
        <f>(P26-N26)*(Q50-O26)-(Q26-O26)*(P50-N26)</f>
        <v>0</v>
      </c>
      <c r="Q819" s="7">
        <f>(P50-N50)*(O26-O50)-(Q50-O50)*(N26-N50)</f>
        <v>0</v>
      </c>
      <c r="R819" s="7">
        <f>(P50-N50)*(Q26-O50)-(Q50-O50)*(P26-N50)</f>
        <v>0</v>
      </c>
      <c r="S819" s="7">
        <f>IF(N819,IF(AND(O819*P819&lt;=0,Q819*R819&lt;=0,MAX(MIN(N26,P26),MIN(N50,P50))&lt;=MIN(MAX(N26,P26),MAX(N50,P50)),MAX(MIN(O26,Q26),MIN(O50,Q50))&lt;=MIN(MAX(O26,Q26),MAX(O50,Q50))),1,0),0)</f>
        <v>0</v>
      </c>
      <c r="T819" s="7"/>
      <c r="U819" s="7"/>
      <c r="V819" s="7"/>
      <c r="W819" s="7"/>
      <c r="X819" s="7"/>
      <c r="Y819" s="7"/>
      <c r="Z819" s="7"/>
      <c r="AA819" s="7"/>
      <c r="AB819" s="7"/>
      <c r="AC819" s="7"/>
      <c r="AD819" s="7"/>
      <c r="AE819" s="7"/>
      <c r="AF819" s="7"/>
      <c r="AG819" s="7"/>
      <c r="AH819" s="7"/>
      <c r="AI819" s="7"/>
    </row>
    <row r="820" spans="12:35">
      <c r="L820" s="7">
        <v>26</v>
      </c>
      <c r="M820" s="7">
        <v>51</v>
      </c>
      <c r="N820" s="7" t="b">
        <f>AND($N$5,$N$6,15&lt;=$M$5,20&lt;=$M$6)</f>
        <v>0</v>
      </c>
      <c r="O820" s="7">
        <f>(P26-N26)*(O51-O26)-(Q26-O26)*(N51-N26)</f>
        <v>0</v>
      </c>
      <c r="P820" s="7">
        <f>(P26-N26)*(Q51-O26)-(Q26-O26)*(P51-N26)</f>
        <v>0</v>
      </c>
      <c r="Q820" s="7">
        <f>(P51-N51)*(O26-O51)-(Q51-O51)*(N26-N51)</f>
        <v>0</v>
      </c>
      <c r="R820" s="7">
        <f>(P51-N51)*(Q26-O51)-(Q51-O51)*(P26-N51)</f>
        <v>0</v>
      </c>
      <c r="S820" s="7">
        <f>IF(N820,IF(AND(O820*P820&lt;=0,Q820*R820&lt;=0,MAX(MIN(N26,P26),MIN(N51,P51))&lt;=MIN(MAX(N26,P26),MAX(N51,P51)),MAX(MIN(O26,Q26),MIN(O51,Q51))&lt;=MIN(MAX(O26,Q26),MAX(O51,Q51))),1,0),0)</f>
        <v>0</v>
      </c>
      <c r="T820" s="7"/>
      <c r="U820" s="7"/>
      <c r="V820" s="7"/>
      <c r="W820" s="7"/>
      <c r="X820" s="7"/>
      <c r="Y820" s="7"/>
      <c r="Z820" s="7"/>
      <c r="AA820" s="7"/>
      <c r="AB820" s="7"/>
      <c r="AC820" s="7"/>
      <c r="AD820" s="7"/>
      <c r="AE820" s="7"/>
      <c r="AF820" s="7"/>
      <c r="AG820" s="7"/>
      <c r="AH820" s="7"/>
      <c r="AI820" s="7"/>
    </row>
    <row r="821" spans="12:35">
      <c r="L821" s="7">
        <v>26</v>
      </c>
      <c r="M821" s="7">
        <v>52</v>
      </c>
      <c r="N821" s="7" t="b">
        <f>AND($N$5,$N$7,15&lt;=$M$5,1&lt;=$M$7)</f>
        <v>0</v>
      </c>
      <c r="O821" s="7">
        <f>(P26-N26)*(O52-O26)-(Q26-O26)*(N52-N26)</f>
        <v>0</v>
      </c>
      <c r="P821" s="7">
        <f>(P26-N26)*(Q52-O26)-(Q26-O26)*(P52-N26)</f>
        <v>0</v>
      </c>
      <c r="Q821" s="7">
        <f>(P52-N52)*(O26-O52)-(Q52-O52)*(N26-N52)</f>
        <v>0</v>
      </c>
      <c r="R821" s="7">
        <f>(P52-N52)*(Q26-O52)-(Q52-O52)*(P26-N52)</f>
        <v>0</v>
      </c>
      <c r="S821" s="7">
        <f>IF(N821,IF(AND(O821*P821&lt;=0,Q821*R821&lt;=0,MAX(MIN(N26,P26),MIN(N52,P52))&lt;=MIN(MAX(N26,P26),MAX(N52,P52)),MAX(MIN(O26,Q26),MIN(O52,Q52))&lt;=MIN(MAX(O26,Q26),MAX(O52,Q52))),1,0),0)</f>
        <v>0</v>
      </c>
      <c r="T821" s="7"/>
      <c r="U821" s="7"/>
      <c r="V821" s="7"/>
      <c r="W821" s="7"/>
      <c r="X821" s="7"/>
      <c r="Y821" s="7"/>
      <c r="Z821" s="7"/>
      <c r="AA821" s="7"/>
      <c r="AB821" s="7"/>
      <c r="AC821" s="7"/>
      <c r="AD821" s="7"/>
      <c r="AE821" s="7"/>
      <c r="AF821" s="7"/>
      <c r="AG821" s="7"/>
      <c r="AH821" s="7"/>
      <c r="AI821" s="7"/>
    </row>
    <row r="822" spans="12:35">
      <c r="L822" s="7">
        <v>26</v>
      </c>
      <c r="M822" s="7">
        <v>53</v>
      </c>
      <c r="N822" s="7" t="b">
        <f>AND($N$5,$N$7,15&lt;=$M$5,2&lt;=$M$7)</f>
        <v>0</v>
      </c>
      <c r="O822" s="7">
        <f>(P26-N26)*(O53-O26)-(Q26-O26)*(N53-N26)</f>
        <v>0</v>
      </c>
      <c r="P822" s="7">
        <f>(P26-N26)*(Q53-O26)-(Q26-O26)*(P53-N26)</f>
        <v>0</v>
      </c>
      <c r="Q822" s="7">
        <f>(P53-N53)*(O26-O53)-(Q53-O53)*(N26-N53)</f>
        <v>0</v>
      </c>
      <c r="R822" s="7">
        <f>(P53-N53)*(Q26-O53)-(Q53-O53)*(P26-N53)</f>
        <v>0</v>
      </c>
      <c r="S822" s="7">
        <f>IF(N822,IF(AND(O822*P822&lt;=0,Q822*R822&lt;=0,MAX(MIN(N26,P26),MIN(N53,P53))&lt;=MIN(MAX(N26,P26),MAX(N53,P53)),MAX(MIN(O26,Q26),MIN(O53,Q53))&lt;=MIN(MAX(O26,Q26),MAX(O53,Q53))),1,0),0)</f>
        <v>0</v>
      </c>
      <c r="T822" s="7"/>
      <c r="U822" s="7"/>
      <c r="V822" s="7"/>
      <c r="W822" s="7"/>
      <c r="X822" s="7"/>
      <c r="Y822" s="7"/>
      <c r="Z822" s="7"/>
      <c r="AA822" s="7"/>
      <c r="AB822" s="7"/>
      <c r="AC822" s="7"/>
      <c r="AD822" s="7"/>
      <c r="AE822" s="7"/>
      <c r="AF822" s="7"/>
      <c r="AG822" s="7"/>
      <c r="AH822" s="7"/>
      <c r="AI822" s="7"/>
    </row>
    <row r="823" spans="12:35">
      <c r="L823" s="7">
        <v>26</v>
      </c>
      <c r="M823" s="7">
        <v>54</v>
      </c>
      <c r="N823" s="7" t="b">
        <f>AND($N$5,$N$7,15&lt;=$M$5,3&lt;=$M$7)</f>
        <v>0</v>
      </c>
      <c r="O823" s="7">
        <f>(P26-N26)*(O54-O26)-(Q26-O26)*(N54-N26)</f>
        <v>0</v>
      </c>
      <c r="P823" s="7">
        <f>(P26-N26)*(Q54-O26)-(Q26-O26)*(P54-N26)</f>
        <v>0</v>
      </c>
      <c r="Q823" s="7">
        <f>(P54-N54)*(O26-O54)-(Q54-O54)*(N26-N54)</f>
        <v>0</v>
      </c>
      <c r="R823" s="7">
        <f>(P54-N54)*(Q26-O54)-(Q54-O54)*(P26-N54)</f>
        <v>0</v>
      </c>
      <c r="S823" s="7">
        <f>IF(N823,IF(AND(O823*P823&lt;=0,Q823*R823&lt;=0,MAX(MIN(N26,P26),MIN(N54,P54))&lt;=MIN(MAX(N26,P26),MAX(N54,P54)),MAX(MIN(O26,Q26),MIN(O54,Q54))&lt;=MIN(MAX(O26,Q26),MAX(O54,Q54))),1,0),0)</f>
        <v>0</v>
      </c>
      <c r="T823" s="7"/>
      <c r="U823" s="7"/>
      <c r="V823" s="7"/>
      <c r="W823" s="7"/>
      <c r="X823" s="7"/>
      <c r="Y823" s="7"/>
      <c r="Z823" s="7"/>
      <c r="AA823" s="7"/>
      <c r="AB823" s="7"/>
      <c r="AC823" s="7"/>
      <c r="AD823" s="7"/>
      <c r="AE823" s="7"/>
      <c r="AF823" s="7"/>
      <c r="AG823" s="7"/>
      <c r="AH823" s="7"/>
      <c r="AI823" s="7"/>
    </row>
    <row r="824" spans="12:35">
      <c r="L824" s="7">
        <v>26</v>
      </c>
      <c r="M824" s="7">
        <v>55</v>
      </c>
      <c r="N824" s="7" t="b">
        <f>AND($N$5,$N$7,15&lt;=$M$5,4&lt;=$M$7)</f>
        <v>0</v>
      </c>
      <c r="O824" s="7">
        <f>(P26-N26)*(O55-O26)-(Q26-O26)*(N55-N26)</f>
        <v>0</v>
      </c>
      <c r="P824" s="7">
        <f>(P26-N26)*(Q55-O26)-(Q26-O26)*(P55-N26)</f>
        <v>0</v>
      </c>
      <c r="Q824" s="7">
        <f>(P55-N55)*(O26-O55)-(Q55-O55)*(N26-N55)</f>
        <v>0</v>
      </c>
      <c r="R824" s="7">
        <f>(P55-N55)*(Q26-O55)-(Q55-O55)*(P26-N55)</f>
        <v>0</v>
      </c>
      <c r="S824" s="7">
        <f>IF(N824,IF(AND(O824*P824&lt;=0,Q824*R824&lt;=0,MAX(MIN(N26,P26),MIN(N55,P55))&lt;=MIN(MAX(N26,P26),MAX(N55,P55)),MAX(MIN(O26,Q26),MIN(O55,Q55))&lt;=MIN(MAX(O26,Q26),MAX(O55,Q55))),1,0),0)</f>
        <v>0</v>
      </c>
      <c r="T824" s="7"/>
      <c r="U824" s="7"/>
      <c r="V824" s="7"/>
      <c r="W824" s="7"/>
      <c r="X824" s="7"/>
      <c r="Y824" s="7"/>
      <c r="Z824" s="7"/>
      <c r="AA824" s="7"/>
      <c r="AB824" s="7"/>
      <c r="AC824" s="7"/>
      <c r="AD824" s="7"/>
      <c r="AE824" s="7"/>
      <c r="AF824" s="7"/>
      <c r="AG824" s="7"/>
      <c r="AH824" s="7"/>
      <c r="AI824" s="7"/>
    </row>
    <row r="825" spans="12:35">
      <c r="L825" s="7">
        <v>26</v>
      </c>
      <c r="M825" s="7">
        <v>56</v>
      </c>
      <c r="N825" s="7" t="b">
        <f>AND($N$5,$N$7,15&lt;=$M$5,5&lt;=$M$7)</f>
        <v>0</v>
      </c>
      <c r="O825" s="7">
        <f>(P26-N26)*(O56-O26)-(Q26-O26)*(N56-N26)</f>
        <v>0</v>
      </c>
      <c r="P825" s="7">
        <f>(P26-N26)*(Q56-O26)-(Q26-O26)*(P56-N26)</f>
        <v>0</v>
      </c>
      <c r="Q825" s="7">
        <f>(P56-N56)*(O26-O56)-(Q56-O56)*(N26-N56)</f>
        <v>0</v>
      </c>
      <c r="R825" s="7">
        <f>(P56-N56)*(Q26-O56)-(Q56-O56)*(P26-N56)</f>
        <v>0</v>
      </c>
      <c r="S825" s="7">
        <f>IF(N825,IF(AND(O825*P825&lt;=0,Q825*R825&lt;=0,MAX(MIN(N26,P26),MIN(N56,P56))&lt;=MIN(MAX(N26,P26),MAX(N56,P56)),MAX(MIN(O26,Q26),MIN(O56,Q56))&lt;=MIN(MAX(O26,Q26),MAX(O56,Q56))),1,0),0)</f>
        <v>0</v>
      </c>
      <c r="T825" s="7"/>
      <c r="U825" s="7"/>
      <c r="V825" s="7"/>
      <c r="W825" s="7"/>
      <c r="X825" s="7"/>
      <c r="Y825" s="7"/>
      <c r="Z825" s="7"/>
      <c r="AA825" s="7"/>
      <c r="AB825" s="7"/>
      <c r="AC825" s="7"/>
      <c r="AD825" s="7"/>
      <c r="AE825" s="7"/>
      <c r="AF825" s="7"/>
      <c r="AG825" s="7"/>
      <c r="AH825" s="7"/>
      <c r="AI825" s="7"/>
    </row>
    <row r="826" spans="12:35">
      <c r="L826" s="7">
        <v>26</v>
      </c>
      <c r="M826" s="7">
        <v>57</v>
      </c>
      <c r="N826" s="7" t="b">
        <f>AND($N$5,$N$7,15&lt;=$M$5,6&lt;=$M$7)</f>
        <v>0</v>
      </c>
      <c r="O826" s="7">
        <f>(P26-N26)*(O57-O26)-(Q26-O26)*(N57-N26)</f>
        <v>0</v>
      </c>
      <c r="P826" s="7">
        <f>(P26-N26)*(Q57-O26)-(Q26-O26)*(P57-N26)</f>
        <v>0</v>
      </c>
      <c r="Q826" s="7">
        <f>(P57-N57)*(O26-O57)-(Q57-O57)*(N26-N57)</f>
        <v>0</v>
      </c>
      <c r="R826" s="7">
        <f>(P57-N57)*(Q26-O57)-(Q57-O57)*(P26-N57)</f>
        <v>0</v>
      </c>
      <c r="S826" s="7">
        <f>IF(N826,IF(AND(O826*P826&lt;=0,Q826*R826&lt;=0,MAX(MIN(N26,P26),MIN(N57,P57))&lt;=MIN(MAX(N26,P26),MAX(N57,P57)),MAX(MIN(O26,Q26),MIN(O57,Q57))&lt;=MIN(MAX(O26,Q26),MAX(O57,Q57))),1,0),0)</f>
        <v>0</v>
      </c>
      <c r="T826" s="7"/>
      <c r="U826" s="7"/>
      <c r="V826" s="7"/>
      <c r="W826" s="7"/>
      <c r="X826" s="7"/>
      <c r="Y826" s="7"/>
      <c r="Z826" s="7"/>
      <c r="AA826" s="7"/>
      <c r="AB826" s="7"/>
      <c r="AC826" s="7"/>
      <c r="AD826" s="7"/>
      <c r="AE826" s="7"/>
      <c r="AF826" s="7"/>
      <c r="AG826" s="7"/>
      <c r="AH826" s="7"/>
      <c r="AI826" s="7"/>
    </row>
    <row r="827" spans="12:35">
      <c r="L827" s="7">
        <v>26</v>
      </c>
      <c r="M827" s="7">
        <v>58</v>
      </c>
      <c r="N827" s="7" t="b">
        <f>AND($N$5,$N$7,15&lt;=$M$5,7&lt;=$M$7)</f>
        <v>0</v>
      </c>
      <c r="O827" s="7">
        <f>(P26-N26)*(O58-O26)-(Q26-O26)*(N58-N26)</f>
        <v>0</v>
      </c>
      <c r="P827" s="7">
        <f>(P26-N26)*(Q58-O26)-(Q26-O26)*(P58-N26)</f>
        <v>0</v>
      </c>
      <c r="Q827" s="7">
        <f>(P58-N58)*(O26-O58)-(Q58-O58)*(N26-N58)</f>
        <v>0</v>
      </c>
      <c r="R827" s="7">
        <f>(P58-N58)*(Q26-O58)-(Q58-O58)*(P26-N58)</f>
        <v>0</v>
      </c>
      <c r="S827" s="7">
        <f>IF(N827,IF(AND(O827*P827&lt;=0,Q827*R827&lt;=0,MAX(MIN(N26,P26),MIN(N58,P58))&lt;=MIN(MAX(N26,P26),MAX(N58,P58)),MAX(MIN(O26,Q26),MIN(O58,Q58))&lt;=MIN(MAX(O26,Q26),MAX(O58,Q58))),1,0),0)</f>
        <v>0</v>
      </c>
      <c r="T827" s="7"/>
      <c r="U827" s="7"/>
      <c r="V827" s="7"/>
      <c r="W827" s="7"/>
      <c r="X827" s="7"/>
      <c r="Y827" s="7"/>
      <c r="Z827" s="7"/>
      <c r="AA827" s="7"/>
      <c r="AB827" s="7"/>
      <c r="AC827" s="7"/>
      <c r="AD827" s="7"/>
      <c r="AE827" s="7"/>
      <c r="AF827" s="7"/>
      <c r="AG827" s="7"/>
      <c r="AH827" s="7"/>
      <c r="AI827" s="7"/>
    </row>
    <row r="828" spans="12:35">
      <c r="L828" s="7">
        <v>26</v>
      </c>
      <c r="M828" s="7">
        <v>59</v>
      </c>
      <c r="N828" s="7" t="b">
        <f>AND($N$5,$N$7,15&lt;=$M$5,8&lt;=$M$7)</f>
        <v>0</v>
      </c>
      <c r="O828" s="7">
        <f>(P26-N26)*(O59-O26)-(Q26-O26)*(N59-N26)</f>
        <v>0</v>
      </c>
      <c r="P828" s="7">
        <f>(P26-N26)*(Q59-O26)-(Q26-O26)*(P59-N26)</f>
        <v>0</v>
      </c>
      <c r="Q828" s="7">
        <f>(P59-N59)*(O26-O59)-(Q59-O59)*(N26-N59)</f>
        <v>0</v>
      </c>
      <c r="R828" s="7">
        <f>(P59-N59)*(Q26-O59)-(Q59-O59)*(P26-N59)</f>
        <v>0</v>
      </c>
      <c r="S828" s="7">
        <f>IF(N828,IF(AND(O828*P828&lt;=0,Q828*R828&lt;=0,MAX(MIN(N26,P26),MIN(N59,P59))&lt;=MIN(MAX(N26,P26),MAX(N59,P59)),MAX(MIN(O26,Q26),MIN(O59,Q59))&lt;=MIN(MAX(O26,Q26),MAX(O59,Q59))),1,0),0)</f>
        <v>0</v>
      </c>
      <c r="T828" s="7"/>
      <c r="U828" s="7"/>
      <c r="V828" s="7"/>
      <c r="W828" s="7"/>
      <c r="X828" s="7"/>
      <c r="Y828" s="7"/>
      <c r="Z828" s="7"/>
      <c r="AA828" s="7"/>
      <c r="AB828" s="7"/>
      <c r="AC828" s="7"/>
      <c r="AD828" s="7"/>
      <c r="AE828" s="7"/>
      <c r="AF828" s="7"/>
      <c r="AG828" s="7"/>
      <c r="AH828" s="7"/>
      <c r="AI828" s="7"/>
    </row>
    <row r="829" spans="12:35">
      <c r="L829" s="7">
        <v>26</v>
      </c>
      <c r="M829" s="7">
        <v>60</v>
      </c>
      <c r="N829" s="7" t="b">
        <f>AND($N$5,$N$7,15&lt;=$M$5,9&lt;=$M$7)</f>
        <v>0</v>
      </c>
      <c r="O829" s="7">
        <f>(P26-N26)*(O60-O26)-(Q26-O26)*(N60-N26)</f>
        <v>0</v>
      </c>
      <c r="P829" s="7">
        <f>(P26-N26)*(Q60-O26)-(Q26-O26)*(P60-N26)</f>
        <v>0</v>
      </c>
      <c r="Q829" s="7">
        <f>(P60-N60)*(O26-O60)-(Q60-O60)*(N26-N60)</f>
        <v>0</v>
      </c>
      <c r="R829" s="7">
        <f>(P60-N60)*(Q26-O60)-(Q60-O60)*(P26-N60)</f>
        <v>0</v>
      </c>
      <c r="S829" s="7">
        <f>IF(N829,IF(AND(O829*P829&lt;=0,Q829*R829&lt;=0,MAX(MIN(N26,P26),MIN(N60,P60))&lt;=MIN(MAX(N26,P26),MAX(N60,P60)),MAX(MIN(O26,Q26),MIN(O60,Q60))&lt;=MIN(MAX(O26,Q26),MAX(O60,Q60))),1,0),0)</f>
        <v>0</v>
      </c>
      <c r="T829" s="7"/>
      <c r="U829" s="7"/>
      <c r="V829" s="7"/>
      <c r="W829" s="7"/>
      <c r="X829" s="7"/>
      <c r="Y829" s="7"/>
      <c r="Z829" s="7"/>
      <c r="AA829" s="7"/>
      <c r="AB829" s="7"/>
      <c r="AC829" s="7"/>
      <c r="AD829" s="7"/>
      <c r="AE829" s="7"/>
      <c r="AF829" s="7"/>
      <c r="AG829" s="7"/>
      <c r="AH829" s="7"/>
      <c r="AI829" s="7"/>
    </row>
    <row r="830" spans="12:35">
      <c r="L830" s="7">
        <v>26</v>
      </c>
      <c r="M830" s="7">
        <v>61</v>
      </c>
      <c r="N830" s="7" t="b">
        <f>AND($N$5,$N$7,15&lt;=$M$5,10&lt;=$M$7)</f>
        <v>0</v>
      </c>
      <c r="O830" s="7">
        <f>(P26-N26)*(O61-O26)-(Q26-O26)*(N61-N26)</f>
        <v>0</v>
      </c>
      <c r="P830" s="7">
        <f>(P26-N26)*(Q61-O26)-(Q26-O26)*(P61-N26)</f>
        <v>0</v>
      </c>
      <c r="Q830" s="7">
        <f>(P61-N61)*(O26-O61)-(Q61-O61)*(N26-N61)</f>
        <v>0</v>
      </c>
      <c r="R830" s="7">
        <f>(P61-N61)*(Q26-O61)-(Q61-O61)*(P26-N61)</f>
        <v>0</v>
      </c>
      <c r="S830" s="7">
        <f>IF(N830,IF(AND(O830*P830&lt;=0,Q830*R830&lt;=0,MAX(MIN(N26,P26),MIN(N61,P61))&lt;=MIN(MAX(N26,P26),MAX(N61,P61)),MAX(MIN(O26,Q26),MIN(O61,Q61))&lt;=MIN(MAX(O26,Q26),MAX(O61,Q61))),1,0),0)</f>
        <v>0</v>
      </c>
      <c r="T830" s="7"/>
      <c r="U830" s="7"/>
      <c r="V830" s="7"/>
      <c r="W830" s="7"/>
      <c r="X830" s="7"/>
      <c r="Y830" s="7"/>
      <c r="Z830" s="7"/>
      <c r="AA830" s="7"/>
      <c r="AB830" s="7"/>
      <c r="AC830" s="7"/>
      <c r="AD830" s="7"/>
      <c r="AE830" s="7"/>
      <c r="AF830" s="7"/>
      <c r="AG830" s="7"/>
      <c r="AH830" s="7"/>
      <c r="AI830" s="7"/>
    </row>
    <row r="831" spans="12:35">
      <c r="L831" s="7">
        <v>26</v>
      </c>
      <c r="M831" s="7">
        <v>62</v>
      </c>
      <c r="N831" s="7" t="b">
        <f>AND($N$5,$N$7,15&lt;=$M$5,11&lt;=$M$7)</f>
        <v>0</v>
      </c>
      <c r="O831" s="7">
        <f>(P26-N26)*(O62-O26)-(Q26-O26)*(N62-N26)</f>
        <v>0</v>
      </c>
      <c r="P831" s="7">
        <f>(P26-N26)*(Q62-O26)-(Q26-O26)*(P62-N26)</f>
        <v>0</v>
      </c>
      <c r="Q831" s="7">
        <f>(P62-N62)*(O26-O62)-(Q62-O62)*(N26-N62)</f>
        <v>0</v>
      </c>
      <c r="R831" s="7">
        <f>(P62-N62)*(Q26-O62)-(Q62-O62)*(P26-N62)</f>
        <v>0</v>
      </c>
      <c r="S831" s="7">
        <f>IF(N831,IF(AND(O831*P831&lt;=0,Q831*R831&lt;=0,MAX(MIN(N26,P26),MIN(N62,P62))&lt;=MIN(MAX(N26,P26),MAX(N62,P62)),MAX(MIN(O26,Q26),MIN(O62,Q62))&lt;=MIN(MAX(O26,Q26),MAX(O62,Q62))),1,0),0)</f>
        <v>0</v>
      </c>
      <c r="T831" s="7"/>
      <c r="U831" s="7"/>
      <c r="V831" s="7"/>
      <c r="W831" s="7"/>
      <c r="X831" s="7"/>
      <c r="Y831" s="7"/>
      <c r="Z831" s="7"/>
      <c r="AA831" s="7"/>
      <c r="AB831" s="7"/>
      <c r="AC831" s="7"/>
      <c r="AD831" s="7"/>
      <c r="AE831" s="7"/>
      <c r="AF831" s="7"/>
      <c r="AG831" s="7"/>
      <c r="AH831" s="7"/>
      <c r="AI831" s="7"/>
    </row>
    <row r="832" spans="12:35">
      <c r="L832" s="7">
        <v>26</v>
      </c>
      <c r="M832" s="7">
        <v>63</v>
      </c>
      <c r="N832" s="7" t="b">
        <f>AND($N$5,$N$7,15&lt;=$M$5,12&lt;=$M$7)</f>
        <v>0</v>
      </c>
      <c r="O832" s="7">
        <f>(P26-N26)*(O63-O26)-(Q26-O26)*(N63-N26)</f>
        <v>0</v>
      </c>
      <c r="P832" s="7">
        <f>(P26-N26)*(Q63-O26)-(Q26-O26)*(P63-N26)</f>
        <v>0</v>
      </c>
      <c r="Q832" s="7">
        <f>(P63-N63)*(O26-O63)-(Q63-O63)*(N26-N63)</f>
        <v>0</v>
      </c>
      <c r="R832" s="7">
        <f>(P63-N63)*(Q26-O63)-(Q63-O63)*(P26-N63)</f>
        <v>0</v>
      </c>
      <c r="S832" s="7">
        <f>IF(N832,IF(AND(O832*P832&lt;=0,Q832*R832&lt;=0,MAX(MIN(N26,P26),MIN(N63,P63))&lt;=MIN(MAX(N26,P26),MAX(N63,P63)),MAX(MIN(O26,Q26),MIN(O63,Q63))&lt;=MIN(MAX(O26,Q26),MAX(O63,Q63))),1,0),0)</f>
        <v>0</v>
      </c>
      <c r="T832" s="7"/>
      <c r="U832" s="7"/>
      <c r="V832" s="7"/>
      <c r="W832" s="7"/>
      <c r="X832" s="7"/>
      <c r="Y832" s="7"/>
      <c r="Z832" s="7"/>
      <c r="AA832" s="7"/>
      <c r="AB832" s="7"/>
      <c r="AC832" s="7"/>
      <c r="AD832" s="7"/>
      <c r="AE832" s="7"/>
      <c r="AF832" s="7"/>
      <c r="AG832" s="7"/>
      <c r="AH832" s="7"/>
      <c r="AI832" s="7"/>
    </row>
    <row r="833" spans="12:35">
      <c r="L833" s="7">
        <v>26</v>
      </c>
      <c r="M833" s="7">
        <v>64</v>
      </c>
      <c r="N833" s="7" t="b">
        <f>AND($N$5,$N$7,15&lt;=$M$5,13&lt;=$M$7)</f>
        <v>0</v>
      </c>
      <c r="O833" s="7">
        <f>(P26-N26)*(O64-O26)-(Q26-O26)*(N64-N26)</f>
        <v>0</v>
      </c>
      <c r="P833" s="7">
        <f>(P26-N26)*(Q64-O26)-(Q26-O26)*(P64-N26)</f>
        <v>0</v>
      </c>
      <c r="Q833" s="7">
        <f>(P64-N64)*(O26-O64)-(Q64-O64)*(N26-N64)</f>
        <v>0</v>
      </c>
      <c r="R833" s="7">
        <f>(P64-N64)*(Q26-O64)-(Q64-O64)*(P26-N64)</f>
        <v>0</v>
      </c>
      <c r="S833" s="7">
        <f>IF(N833,IF(AND(O833*P833&lt;=0,Q833*R833&lt;=0,MAX(MIN(N26,P26),MIN(N64,P64))&lt;=MIN(MAX(N26,P26),MAX(N64,P64)),MAX(MIN(O26,Q26),MIN(O64,Q64))&lt;=MIN(MAX(O26,Q26),MAX(O64,Q64))),1,0),0)</f>
        <v>0</v>
      </c>
      <c r="T833" s="7"/>
      <c r="U833" s="7"/>
      <c r="V833" s="7"/>
      <c r="W833" s="7"/>
      <c r="X833" s="7"/>
      <c r="Y833" s="7"/>
      <c r="Z833" s="7"/>
      <c r="AA833" s="7"/>
      <c r="AB833" s="7"/>
      <c r="AC833" s="7"/>
      <c r="AD833" s="7"/>
      <c r="AE833" s="7"/>
      <c r="AF833" s="7"/>
      <c r="AG833" s="7"/>
      <c r="AH833" s="7"/>
      <c r="AI833" s="7"/>
    </row>
    <row r="834" spans="12:35">
      <c r="L834" s="7">
        <v>26</v>
      </c>
      <c r="M834" s="7">
        <v>65</v>
      </c>
      <c r="N834" s="7" t="b">
        <f>AND($N$5,$N$7,15&lt;=$M$5,14&lt;=$M$7)</f>
        <v>0</v>
      </c>
      <c r="O834" s="7">
        <f>(P26-N26)*(O65-O26)-(Q26-O26)*(N65-N26)</f>
        <v>0</v>
      </c>
      <c r="P834" s="7">
        <f>(P26-N26)*(Q65-O26)-(Q26-O26)*(P65-N26)</f>
        <v>0</v>
      </c>
      <c r="Q834" s="7">
        <f>(P65-N65)*(O26-O65)-(Q65-O65)*(N26-N65)</f>
        <v>0</v>
      </c>
      <c r="R834" s="7">
        <f>(P65-N65)*(Q26-O65)-(Q65-O65)*(P26-N65)</f>
        <v>0</v>
      </c>
      <c r="S834" s="7">
        <f>IF(N834,IF(AND(O834*P834&lt;=0,Q834*R834&lt;=0,MAX(MIN(N26,P26),MIN(N65,P65))&lt;=MIN(MAX(N26,P26),MAX(N65,P65)),MAX(MIN(O26,Q26),MIN(O65,Q65))&lt;=MIN(MAX(O26,Q26),MAX(O65,Q65))),1,0),0)</f>
        <v>0</v>
      </c>
      <c r="T834" s="7"/>
      <c r="U834" s="7"/>
      <c r="V834" s="7"/>
      <c r="W834" s="7"/>
      <c r="X834" s="7"/>
      <c r="Y834" s="7"/>
      <c r="Z834" s="7"/>
      <c r="AA834" s="7"/>
      <c r="AB834" s="7"/>
      <c r="AC834" s="7"/>
      <c r="AD834" s="7"/>
      <c r="AE834" s="7"/>
      <c r="AF834" s="7"/>
      <c r="AG834" s="7"/>
      <c r="AH834" s="7"/>
      <c r="AI834" s="7"/>
    </row>
    <row r="835" spans="12:35">
      <c r="L835" s="7">
        <v>26</v>
      </c>
      <c r="M835" s="7">
        <v>66</v>
      </c>
      <c r="N835" s="7" t="b">
        <f>AND($N$5,$N$7,15&lt;=$M$5,15&lt;=$M$7)</f>
        <v>0</v>
      </c>
      <c r="O835" s="7">
        <f>(P26-N26)*(O66-O26)-(Q26-O26)*(N66-N26)</f>
        <v>0</v>
      </c>
      <c r="P835" s="7">
        <f>(P26-N26)*(Q66-O26)-(Q26-O26)*(P66-N26)</f>
        <v>0</v>
      </c>
      <c r="Q835" s="7">
        <f>(P66-N66)*(O26-O66)-(Q66-O66)*(N26-N66)</f>
        <v>0</v>
      </c>
      <c r="R835" s="7">
        <f>(P66-N66)*(Q26-O66)-(Q66-O66)*(P26-N66)</f>
        <v>0</v>
      </c>
      <c r="S835" s="7">
        <f>IF(N835,IF(AND(O835*P835&lt;=0,Q835*R835&lt;=0,MAX(MIN(N26,P26),MIN(N66,P66))&lt;=MIN(MAX(N26,P26),MAX(N66,P66)),MAX(MIN(O26,Q26),MIN(O66,Q66))&lt;=MIN(MAX(O26,Q26),MAX(O66,Q66))),1,0),0)</f>
        <v>0</v>
      </c>
      <c r="T835" s="7"/>
      <c r="U835" s="7"/>
      <c r="V835" s="7"/>
      <c r="W835" s="7"/>
      <c r="X835" s="7"/>
      <c r="Y835" s="7"/>
      <c r="Z835" s="7"/>
      <c r="AA835" s="7"/>
      <c r="AB835" s="7"/>
      <c r="AC835" s="7"/>
      <c r="AD835" s="7"/>
      <c r="AE835" s="7"/>
      <c r="AF835" s="7"/>
      <c r="AG835" s="7"/>
      <c r="AH835" s="7"/>
      <c r="AI835" s="7"/>
    </row>
    <row r="836" spans="12:35">
      <c r="L836" s="7">
        <v>26</v>
      </c>
      <c r="M836" s="7">
        <v>67</v>
      </c>
      <c r="N836" s="7" t="b">
        <f>AND($N$5,$N$7,15&lt;=$M$5,16&lt;=$M$7)</f>
        <v>0</v>
      </c>
      <c r="O836" s="7">
        <f>(P26-N26)*(O67-O26)-(Q26-O26)*(N67-N26)</f>
        <v>0</v>
      </c>
      <c r="P836" s="7">
        <f>(P26-N26)*(Q67-O26)-(Q26-O26)*(P67-N26)</f>
        <v>0</v>
      </c>
      <c r="Q836" s="7">
        <f>(P67-N67)*(O26-O67)-(Q67-O67)*(N26-N67)</f>
        <v>0</v>
      </c>
      <c r="R836" s="7">
        <f>(P67-N67)*(Q26-O67)-(Q67-O67)*(P26-N67)</f>
        <v>0</v>
      </c>
      <c r="S836" s="7">
        <f>IF(N836,IF(AND(O836*P836&lt;=0,Q836*R836&lt;=0,MAX(MIN(N26,P26),MIN(N67,P67))&lt;=MIN(MAX(N26,P26),MAX(N67,P67)),MAX(MIN(O26,Q26),MIN(O67,Q67))&lt;=MIN(MAX(O26,Q26),MAX(O67,Q67))),1,0),0)</f>
        <v>0</v>
      </c>
      <c r="T836" s="7"/>
      <c r="U836" s="7"/>
      <c r="V836" s="7"/>
      <c r="W836" s="7"/>
      <c r="X836" s="7"/>
      <c r="Y836" s="7"/>
      <c r="Z836" s="7"/>
      <c r="AA836" s="7"/>
      <c r="AB836" s="7"/>
      <c r="AC836" s="7"/>
      <c r="AD836" s="7"/>
      <c r="AE836" s="7"/>
      <c r="AF836" s="7"/>
      <c r="AG836" s="7"/>
      <c r="AH836" s="7"/>
      <c r="AI836" s="7"/>
    </row>
    <row r="837" spans="12:35">
      <c r="L837" s="7">
        <v>26</v>
      </c>
      <c r="M837" s="7">
        <v>68</v>
      </c>
      <c r="N837" s="7" t="b">
        <f>AND($N$5,$N$7,15&lt;=$M$5,17&lt;=$M$7)</f>
        <v>0</v>
      </c>
      <c r="O837" s="7">
        <f>(P26-N26)*(O68-O26)-(Q26-O26)*(N68-N26)</f>
        <v>0</v>
      </c>
      <c r="P837" s="7">
        <f>(P26-N26)*(Q68-O26)-(Q26-O26)*(P68-N26)</f>
        <v>0</v>
      </c>
      <c r="Q837" s="7">
        <f>(P68-N68)*(O26-O68)-(Q68-O68)*(N26-N68)</f>
        <v>0</v>
      </c>
      <c r="R837" s="7">
        <f>(P68-N68)*(Q26-O68)-(Q68-O68)*(P26-N68)</f>
        <v>0</v>
      </c>
      <c r="S837" s="7">
        <f>IF(N837,IF(AND(O837*P837&lt;=0,Q837*R837&lt;=0,MAX(MIN(N26,P26),MIN(N68,P68))&lt;=MIN(MAX(N26,P26),MAX(N68,P68)),MAX(MIN(O26,Q26),MIN(O68,Q68))&lt;=MIN(MAX(O26,Q26),MAX(O68,Q68))),1,0),0)</f>
        <v>0</v>
      </c>
      <c r="T837" s="7"/>
      <c r="U837" s="7"/>
      <c r="V837" s="7"/>
      <c r="W837" s="7"/>
      <c r="X837" s="7"/>
      <c r="Y837" s="7"/>
      <c r="Z837" s="7"/>
      <c r="AA837" s="7"/>
      <c r="AB837" s="7"/>
      <c r="AC837" s="7"/>
      <c r="AD837" s="7"/>
      <c r="AE837" s="7"/>
      <c r="AF837" s="7"/>
      <c r="AG837" s="7"/>
      <c r="AH837" s="7"/>
      <c r="AI837" s="7"/>
    </row>
    <row r="838" spans="12:35">
      <c r="L838" s="7">
        <v>26</v>
      </c>
      <c r="M838" s="7">
        <v>69</v>
      </c>
      <c r="N838" s="7" t="b">
        <f>AND($N$5,$N$7,15&lt;=$M$5,18&lt;=$M$7)</f>
        <v>0</v>
      </c>
      <c r="O838" s="7">
        <f>(P26-N26)*(O69-O26)-(Q26-O26)*(N69-N26)</f>
        <v>0</v>
      </c>
      <c r="P838" s="7">
        <f>(P26-N26)*(Q69-O26)-(Q26-O26)*(P69-N26)</f>
        <v>0</v>
      </c>
      <c r="Q838" s="7">
        <f>(P69-N69)*(O26-O69)-(Q69-O69)*(N26-N69)</f>
        <v>0</v>
      </c>
      <c r="R838" s="7">
        <f>(P69-N69)*(Q26-O69)-(Q69-O69)*(P26-N69)</f>
        <v>0</v>
      </c>
      <c r="S838" s="7">
        <f>IF(N838,IF(AND(O838*P838&lt;=0,Q838*R838&lt;=0,MAX(MIN(N26,P26),MIN(N69,P69))&lt;=MIN(MAX(N26,P26),MAX(N69,P69)),MAX(MIN(O26,Q26),MIN(O69,Q69))&lt;=MIN(MAX(O26,Q26),MAX(O69,Q69))),1,0),0)</f>
        <v>0</v>
      </c>
      <c r="T838" s="7"/>
      <c r="U838" s="7"/>
      <c r="V838" s="7"/>
      <c r="W838" s="7"/>
      <c r="X838" s="7"/>
      <c r="Y838" s="7"/>
      <c r="Z838" s="7"/>
      <c r="AA838" s="7"/>
      <c r="AB838" s="7"/>
      <c r="AC838" s="7"/>
      <c r="AD838" s="7"/>
      <c r="AE838" s="7"/>
      <c r="AF838" s="7"/>
      <c r="AG838" s="7"/>
      <c r="AH838" s="7"/>
      <c r="AI838" s="7"/>
    </row>
    <row r="839" spans="12:35">
      <c r="L839" s="7">
        <v>26</v>
      </c>
      <c r="M839" s="7">
        <v>70</v>
      </c>
      <c r="N839" s="7" t="b">
        <f>AND($N$5,$N$7,15&lt;=$M$5,19&lt;=$M$7)</f>
        <v>0</v>
      </c>
      <c r="O839" s="7">
        <f>(P26-N26)*(O70-O26)-(Q26-O26)*(N70-N26)</f>
        <v>0</v>
      </c>
      <c r="P839" s="7">
        <f>(P26-N26)*(Q70-O26)-(Q26-O26)*(P70-N26)</f>
        <v>0</v>
      </c>
      <c r="Q839" s="7">
        <f>(P70-N70)*(O26-O70)-(Q70-O70)*(N26-N70)</f>
        <v>0</v>
      </c>
      <c r="R839" s="7">
        <f>(P70-N70)*(Q26-O70)-(Q70-O70)*(P26-N70)</f>
        <v>0</v>
      </c>
      <c r="S839" s="7">
        <f>IF(N839,IF(AND(O839*P839&lt;=0,Q839*R839&lt;=0,MAX(MIN(N26,P26),MIN(N70,P70))&lt;=MIN(MAX(N26,P26),MAX(N70,P70)),MAX(MIN(O26,Q26),MIN(O70,Q70))&lt;=MIN(MAX(O26,Q26),MAX(O70,Q70))),1,0),0)</f>
        <v>0</v>
      </c>
      <c r="T839" s="7"/>
      <c r="U839" s="7"/>
      <c r="V839" s="7"/>
      <c r="W839" s="7"/>
      <c r="X839" s="7"/>
      <c r="Y839" s="7"/>
      <c r="Z839" s="7"/>
      <c r="AA839" s="7"/>
      <c r="AB839" s="7"/>
      <c r="AC839" s="7"/>
      <c r="AD839" s="7"/>
      <c r="AE839" s="7"/>
      <c r="AF839" s="7"/>
      <c r="AG839" s="7"/>
      <c r="AH839" s="7"/>
      <c r="AI839" s="7"/>
    </row>
    <row r="840" spans="12:35">
      <c r="L840" s="7">
        <v>26</v>
      </c>
      <c r="M840" s="7">
        <v>71</v>
      </c>
      <c r="N840" s="7" t="b">
        <f>AND($N$5,$N$7,15&lt;=$M$5,20&lt;=$M$7)</f>
        <v>0</v>
      </c>
      <c r="O840" s="7">
        <f>(P26-N26)*(O71-O26)-(Q26-O26)*(N71-N26)</f>
        <v>0</v>
      </c>
      <c r="P840" s="7">
        <f>(P26-N26)*(Q71-O26)-(Q26-O26)*(P71-N26)</f>
        <v>0</v>
      </c>
      <c r="Q840" s="7">
        <f>(P71-N71)*(O26-O71)-(Q71-O71)*(N26-N71)</f>
        <v>0</v>
      </c>
      <c r="R840" s="7">
        <f>(P71-N71)*(Q26-O71)-(Q71-O71)*(P26-N71)</f>
        <v>0</v>
      </c>
      <c r="S840" s="7">
        <f>IF(N840,IF(AND(O840*P840&lt;=0,Q840*R840&lt;=0,MAX(MIN(N26,P26),MIN(N71,P71))&lt;=MIN(MAX(N26,P26),MAX(N71,P71)),MAX(MIN(O26,Q26),MIN(O71,Q71))&lt;=MIN(MAX(O26,Q26),MAX(O71,Q71))),1,0),0)</f>
        <v>0</v>
      </c>
      <c r="T840" s="7"/>
      <c r="U840" s="7"/>
      <c r="V840" s="7"/>
      <c r="W840" s="7"/>
      <c r="X840" s="7"/>
      <c r="Y840" s="7"/>
      <c r="Z840" s="7"/>
      <c r="AA840" s="7"/>
      <c r="AB840" s="7"/>
      <c r="AC840" s="7"/>
      <c r="AD840" s="7"/>
      <c r="AE840" s="7"/>
      <c r="AF840" s="7"/>
      <c r="AG840" s="7"/>
      <c r="AH840" s="7"/>
      <c r="AI840" s="7"/>
    </row>
    <row r="841" spans="12:35">
      <c r="L841" s="7">
        <v>27</v>
      </c>
      <c r="M841" s="7">
        <v>29</v>
      </c>
      <c r="N841" s="7" t="b">
        <f>AND($N$5,$N$5,16&lt;=$M$5,18&lt;=$M$5)</f>
        <v>0</v>
      </c>
      <c r="O841" s="7">
        <f>(P27-N27)*(O29-O27)-(Q27-O27)*(N29-N27)</f>
        <v>0</v>
      </c>
      <c r="P841" s="7">
        <f>(P27-N27)*(Q29-O27)-(Q27-O27)*(P29-N27)</f>
        <v>0</v>
      </c>
      <c r="Q841" s="7">
        <f>(P29-N29)*(O27-O29)-(Q29-O29)*(N27-N29)</f>
        <v>0</v>
      </c>
      <c r="R841" s="7">
        <f>(P29-N29)*(Q27-O29)-(Q29-O29)*(P27-N29)</f>
        <v>0</v>
      </c>
      <c r="S841" s="7">
        <f>IF(N841,IF(AND(O841*P841&lt;=0,Q841*R841&lt;=0,MAX(MIN(N27,P27),MIN(N29,P29))&lt;=MIN(MAX(N27,P27),MAX(N29,P29)),MAX(MIN(O27,Q27),MIN(O29,Q29))&lt;=MIN(MAX(O27,Q27),MAX(O29,Q29))),1,0),0)</f>
        <v>0</v>
      </c>
      <c r="T841" s="7"/>
      <c r="U841" s="7"/>
      <c r="V841" s="7"/>
      <c r="W841" s="7"/>
      <c r="X841" s="7"/>
      <c r="Y841" s="7"/>
      <c r="Z841" s="7"/>
      <c r="AA841" s="7"/>
      <c r="AB841" s="7"/>
      <c r="AC841" s="7"/>
      <c r="AD841" s="7"/>
      <c r="AE841" s="7"/>
      <c r="AF841" s="7"/>
      <c r="AG841" s="7"/>
      <c r="AH841" s="7"/>
      <c r="AI841" s="7"/>
    </row>
    <row r="842" spans="12:35">
      <c r="L842" s="7">
        <v>27</v>
      </c>
      <c r="M842" s="7">
        <v>30</v>
      </c>
      <c r="N842" s="7" t="b">
        <f>AND($N$5,$N$5,16&lt;=$M$5,19&lt;=$M$5)</f>
        <v>0</v>
      </c>
      <c r="O842" s="7">
        <f>(P27-N27)*(O30-O27)-(Q27-O27)*(N30-N27)</f>
        <v>0</v>
      </c>
      <c r="P842" s="7">
        <f>(P27-N27)*(Q30-O27)-(Q27-O27)*(P30-N27)</f>
        <v>0</v>
      </c>
      <c r="Q842" s="7">
        <f>(P30-N30)*(O27-O30)-(Q30-O30)*(N27-N30)</f>
        <v>0</v>
      </c>
      <c r="R842" s="7">
        <f>(P30-N30)*(Q27-O30)-(Q30-O30)*(P27-N30)</f>
        <v>0</v>
      </c>
      <c r="S842" s="7">
        <f>IF(N842,IF(AND(O842*P842&lt;=0,Q842*R842&lt;=0,MAX(MIN(N27,P27),MIN(N30,P30))&lt;=MIN(MAX(N27,P27),MAX(N30,P30)),MAX(MIN(O27,Q27),MIN(O30,Q30))&lt;=MIN(MAX(O27,Q27),MAX(O30,Q30))),1,0),0)</f>
        <v>0</v>
      </c>
      <c r="T842" s="7"/>
      <c r="U842" s="7"/>
      <c r="V842" s="7"/>
      <c r="W842" s="7"/>
      <c r="X842" s="7"/>
      <c r="Y842" s="7"/>
      <c r="Z842" s="7"/>
      <c r="AA842" s="7"/>
      <c r="AB842" s="7"/>
      <c r="AC842" s="7"/>
      <c r="AD842" s="7"/>
      <c r="AE842" s="7"/>
      <c r="AF842" s="7"/>
      <c r="AG842" s="7"/>
      <c r="AH842" s="7"/>
      <c r="AI842" s="7"/>
    </row>
    <row r="843" spans="12:35">
      <c r="L843" s="7">
        <v>27</v>
      </c>
      <c r="M843" s="7">
        <v>31</v>
      </c>
      <c r="N843" s="7" t="b">
        <f>AND($N$5,$N$5,16&lt;=$M$5,20&lt;=$M$5)</f>
        <v>0</v>
      </c>
      <c r="O843" s="7">
        <f>(P27-N27)*(O31-O27)-(Q27-O27)*(N31-N27)</f>
        <v>0</v>
      </c>
      <c r="P843" s="7">
        <f>(P27-N27)*(Q31-O27)-(Q27-O27)*(P31-N27)</f>
        <v>0</v>
      </c>
      <c r="Q843" s="7">
        <f>(P31-N31)*(O27-O31)-(Q31-O31)*(N27-N31)</f>
        <v>0</v>
      </c>
      <c r="R843" s="7">
        <f>(P31-N31)*(Q27-O31)-(Q31-O31)*(P27-N31)</f>
        <v>0</v>
      </c>
      <c r="S843" s="7">
        <f>IF(N843,IF(AND(O843*P843&lt;=0,Q843*R843&lt;=0,MAX(MIN(N27,P27),MIN(N31,P31))&lt;=MIN(MAX(N27,P27),MAX(N31,P31)),MAX(MIN(O27,Q27),MIN(O31,Q31))&lt;=MIN(MAX(O27,Q27),MAX(O31,Q31))),1,0),0)</f>
        <v>0</v>
      </c>
      <c r="T843" s="7"/>
      <c r="U843" s="7"/>
      <c r="V843" s="7"/>
      <c r="W843" s="7"/>
      <c r="X843" s="7"/>
      <c r="Y843" s="7"/>
      <c r="Z843" s="7"/>
      <c r="AA843" s="7"/>
      <c r="AB843" s="7"/>
      <c r="AC843" s="7"/>
      <c r="AD843" s="7"/>
      <c r="AE843" s="7"/>
      <c r="AF843" s="7"/>
      <c r="AG843" s="7"/>
      <c r="AH843" s="7"/>
      <c r="AI843" s="7"/>
    </row>
    <row r="844" spans="12:35">
      <c r="L844" s="7">
        <v>27</v>
      </c>
      <c r="M844" s="7">
        <v>32</v>
      </c>
      <c r="N844" s="7" t="b">
        <f>AND($N$5,$N$6,16&lt;=$M$5,1&lt;=$M$6)</f>
        <v>0</v>
      </c>
      <c r="O844" s="7">
        <f>(P27-N27)*(O32-O27)-(Q27-O27)*(N32-N27)</f>
        <v>0</v>
      </c>
      <c r="P844" s="7">
        <f>(P27-N27)*(Q32-O27)-(Q27-O27)*(P32-N27)</f>
        <v>0</v>
      </c>
      <c r="Q844" s="7">
        <f>(P32-N32)*(O27-O32)-(Q32-O32)*(N27-N32)</f>
        <v>0</v>
      </c>
      <c r="R844" s="7">
        <f>(P32-N32)*(Q27-O32)-(Q32-O32)*(P27-N32)</f>
        <v>0</v>
      </c>
      <c r="S844" s="7">
        <f>IF(N844,IF(AND(O844*P844&lt;=0,Q844*R844&lt;=0,MAX(MIN(N27,P27),MIN(N32,P32))&lt;=MIN(MAX(N27,P27),MAX(N32,P32)),MAX(MIN(O27,Q27),MIN(O32,Q32))&lt;=MIN(MAX(O27,Q27),MAX(O32,Q32))),1,0),0)</f>
        <v>0</v>
      </c>
      <c r="T844" s="7"/>
      <c r="U844" s="7"/>
      <c r="V844" s="7"/>
      <c r="W844" s="7"/>
      <c r="X844" s="7"/>
      <c r="Y844" s="7"/>
      <c r="Z844" s="7"/>
      <c r="AA844" s="7"/>
      <c r="AB844" s="7"/>
      <c r="AC844" s="7"/>
      <c r="AD844" s="7"/>
      <c r="AE844" s="7"/>
      <c r="AF844" s="7"/>
      <c r="AG844" s="7"/>
      <c r="AH844" s="7"/>
      <c r="AI844" s="7"/>
    </row>
    <row r="845" spans="12:35">
      <c r="L845" s="7">
        <v>27</v>
      </c>
      <c r="M845" s="7">
        <v>33</v>
      </c>
      <c r="N845" s="7" t="b">
        <f>AND($N$5,$N$6,16&lt;=$M$5,2&lt;=$M$6)</f>
        <v>0</v>
      </c>
      <c r="O845" s="7">
        <f>(P27-N27)*(O33-O27)-(Q27-O27)*(N33-N27)</f>
        <v>0</v>
      </c>
      <c r="P845" s="7">
        <f>(P27-N27)*(Q33-O27)-(Q27-O27)*(P33-N27)</f>
        <v>0</v>
      </c>
      <c r="Q845" s="7">
        <f>(P33-N33)*(O27-O33)-(Q33-O33)*(N27-N33)</f>
        <v>0</v>
      </c>
      <c r="R845" s="7">
        <f>(P33-N33)*(Q27-O33)-(Q33-O33)*(P27-N33)</f>
        <v>0</v>
      </c>
      <c r="S845" s="7">
        <f>IF(N845,IF(AND(O845*P845&lt;=0,Q845*R845&lt;=0,MAX(MIN(N27,P27),MIN(N33,P33))&lt;=MIN(MAX(N27,P27),MAX(N33,P33)),MAX(MIN(O27,Q27),MIN(O33,Q33))&lt;=MIN(MAX(O27,Q27),MAX(O33,Q33))),1,0),0)</f>
        <v>0</v>
      </c>
      <c r="T845" s="7"/>
      <c r="U845" s="7"/>
      <c r="V845" s="7"/>
      <c r="W845" s="7"/>
      <c r="X845" s="7"/>
      <c r="Y845" s="7"/>
      <c r="Z845" s="7"/>
      <c r="AA845" s="7"/>
      <c r="AB845" s="7"/>
      <c r="AC845" s="7"/>
      <c r="AD845" s="7"/>
      <c r="AE845" s="7"/>
      <c r="AF845" s="7"/>
      <c r="AG845" s="7"/>
      <c r="AH845" s="7"/>
      <c r="AI845" s="7"/>
    </row>
    <row r="846" spans="12:35">
      <c r="L846" s="7">
        <v>27</v>
      </c>
      <c r="M846" s="7">
        <v>34</v>
      </c>
      <c r="N846" s="7" t="b">
        <f>AND($N$5,$N$6,16&lt;=$M$5,3&lt;=$M$6)</f>
        <v>0</v>
      </c>
      <c r="O846" s="7">
        <f>(P27-N27)*(O34-O27)-(Q27-O27)*(N34-N27)</f>
        <v>0</v>
      </c>
      <c r="P846" s="7">
        <f>(P27-N27)*(Q34-O27)-(Q27-O27)*(P34-N27)</f>
        <v>0</v>
      </c>
      <c r="Q846" s="7">
        <f>(P34-N34)*(O27-O34)-(Q34-O34)*(N27-N34)</f>
        <v>0</v>
      </c>
      <c r="R846" s="7">
        <f>(P34-N34)*(Q27-O34)-(Q34-O34)*(P27-N34)</f>
        <v>0</v>
      </c>
      <c r="S846" s="7">
        <f>IF(N846,IF(AND(O846*P846&lt;=0,Q846*R846&lt;=0,MAX(MIN(N27,P27),MIN(N34,P34))&lt;=MIN(MAX(N27,P27),MAX(N34,P34)),MAX(MIN(O27,Q27),MIN(O34,Q34))&lt;=MIN(MAX(O27,Q27),MAX(O34,Q34))),1,0),0)</f>
        <v>0</v>
      </c>
      <c r="T846" s="7"/>
      <c r="U846" s="7"/>
      <c r="V846" s="7"/>
      <c r="W846" s="7"/>
      <c r="X846" s="7"/>
      <c r="Y846" s="7"/>
      <c r="Z846" s="7"/>
      <c r="AA846" s="7"/>
      <c r="AB846" s="7"/>
      <c r="AC846" s="7"/>
      <c r="AD846" s="7"/>
      <c r="AE846" s="7"/>
      <c r="AF846" s="7"/>
      <c r="AG846" s="7"/>
      <c r="AH846" s="7"/>
      <c r="AI846" s="7"/>
    </row>
    <row r="847" spans="12:35">
      <c r="L847" s="7">
        <v>27</v>
      </c>
      <c r="M847" s="7">
        <v>35</v>
      </c>
      <c r="N847" s="7" t="b">
        <f>AND($N$5,$N$6,16&lt;=$M$5,4&lt;=$M$6)</f>
        <v>0</v>
      </c>
      <c r="O847" s="7">
        <f>(P27-N27)*(O35-O27)-(Q27-O27)*(N35-N27)</f>
        <v>0</v>
      </c>
      <c r="P847" s="7">
        <f>(P27-N27)*(Q35-O27)-(Q27-O27)*(P35-N27)</f>
        <v>0</v>
      </c>
      <c r="Q847" s="7">
        <f>(P35-N35)*(O27-O35)-(Q35-O35)*(N27-N35)</f>
        <v>0</v>
      </c>
      <c r="R847" s="7">
        <f>(P35-N35)*(Q27-O35)-(Q35-O35)*(P27-N35)</f>
        <v>0</v>
      </c>
      <c r="S847" s="7">
        <f>IF(N847,IF(AND(O847*P847&lt;=0,Q847*R847&lt;=0,MAX(MIN(N27,P27),MIN(N35,P35))&lt;=MIN(MAX(N27,P27),MAX(N35,P35)),MAX(MIN(O27,Q27),MIN(O35,Q35))&lt;=MIN(MAX(O27,Q27),MAX(O35,Q35))),1,0),0)</f>
        <v>0</v>
      </c>
      <c r="T847" s="7"/>
      <c r="U847" s="7"/>
      <c r="V847" s="7"/>
      <c r="W847" s="7"/>
      <c r="X847" s="7"/>
      <c r="Y847" s="7"/>
      <c r="Z847" s="7"/>
      <c r="AA847" s="7"/>
      <c r="AB847" s="7"/>
      <c r="AC847" s="7"/>
      <c r="AD847" s="7"/>
      <c r="AE847" s="7"/>
      <c r="AF847" s="7"/>
      <c r="AG847" s="7"/>
      <c r="AH847" s="7"/>
      <c r="AI847" s="7"/>
    </row>
    <row r="848" spans="12:35">
      <c r="L848" s="7">
        <v>27</v>
      </c>
      <c r="M848" s="7">
        <v>36</v>
      </c>
      <c r="N848" s="7" t="b">
        <f>AND($N$5,$N$6,16&lt;=$M$5,5&lt;=$M$6)</f>
        <v>0</v>
      </c>
      <c r="O848" s="7">
        <f>(P27-N27)*(O36-O27)-(Q27-O27)*(N36-N27)</f>
        <v>0</v>
      </c>
      <c r="P848" s="7">
        <f>(P27-N27)*(Q36-O27)-(Q27-O27)*(P36-N27)</f>
        <v>0</v>
      </c>
      <c r="Q848" s="7">
        <f>(P36-N36)*(O27-O36)-(Q36-O36)*(N27-N36)</f>
        <v>0</v>
      </c>
      <c r="R848" s="7">
        <f>(P36-N36)*(Q27-O36)-(Q36-O36)*(P27-N36)</f>
        <v>0</v>
      </c>
      <c r="S848" s="7">
        <f>IF(N848,IF(AND(O848*P848&lt;=0,Q848*R848&lt;=0,MAX(MIN(N27,P27),MIN(N36,P36))&lt;=MIN(MAX(N27,P27),MAX(N36,P36)),MAX(MIN(O27,Q27),MIN(O36,Q36))&lt;=MIN(MAX(O27,Q27),MAX(O36,Q36))),1,0),0)</f>
        <v>0</v>
      </c>
      <c r="T848" s="7"/>
      <c r="U848" s="7"/>
      <c r="V848" s="7"/>
      <c r="W848" s="7"/>
      <c r="X848" s="7"/>
      <c r="Y848" s="7"/>
      <c r="Z848" s="7"/>
      <c r="AA848" s="7"/>
      <c r="AB848" s="7"/>
      <c r="AC848" s="7"/>
      <c r="AD848" s="7"/>
      <c r="AE848" s="7"/>
      <c r="AF848" s="7"/>
      <c r="AG848" s="7"/>
      <c r="AH848" s="7"/>
      <c r="AI848" s="7"/>
    </row>
    <row r="849" spans="12:35">
      <c r="L849" s="7">
        <v>27</v>
      </c>
      <c r="M849" s="7">
        <v>37</v>
      </c>
      <c r="N849" s="7" t="b">
        <f>AND($N$5,$N$6,16&lt;=$M$5,6&lt;=$M$6)</f>
        <v>0</v>
      </c>
      <c r="O849" s="7">
        <f>(P27-N27)*(O37-O27)-(Q27-O27)*(N37-N27)</f>
        <v>0</v>
      </c>
      <c r="P849" s="7">
        <f>(P27-N27)*(Q37-O27)-(Q27-O27)*(P37-N27)</f>
        <v>0</v>
      </c>
      <c r="Q849" s="7">
        <f>(P37-N37)*(O27-O37)-(Q37-O37)*(N27-N37)</f>
        <v>0</v>
      </c>
      <c r="R849" s="7">
        <f>(P37-N37)*(Q27-O37)-(Q37-O37)*(P27-N37)</f>
        <v>0</v>
      </c>
      <c r="S849" s="7">
        <f>IF(N849,IF(AND(O849*P849&lt;=0,Q849*R849&lt;=0,MAX(MIN(N27,P27),MIN(N37,P37))&lt;=MIN(MAX(N27,P27),MAX(N37,P37)),MAX(MIN(O27,Q27),MIN(O37,Q37))&lt;=MIN(MAX(O27,Q27),MAX(O37,Q37))),1,0),0)</f>
        <v>0</v>
      </c>
      <c r="T849" s="7"/>
      <c r="U849" s="7"/>
      <c r="V849" s="7"/>
      <c r="W849" s="7"/>
      <c r="X849" s="7"/>
      <c r="Y849" s="7"/>
      <c r="Z849" s="7"/>
      <c r="AA849" s="7"/>
      <c r="AB849" s="7"/>
      <c r="AC849" s="7"/>
      <c r="AD849" s="7"/>
      <c r="AE849" s="7"/>
      <c r="AF849" s="7"/>
      <c r="AG849" s="7"/>
      <c r="AH849" s="7"/>
      <c r="AI849" s="7"/>
    </row>
    <row r="850" spans="12:35">
      <c r="L850" s="7">
        <v>27</v>
      </c>
      <c r="M850" s="7">
        <v>38</v>
      </c>
      <c r="N850" s="7" t="b">
        <f>AND($N$5,$N$6,16&lt;=$M$5,7&lt;=$M$6)</f>
        <v>0</v>
      </c>
      <c r="O850" s="7">
        <f>(P27-N27)*(O38-O27)-(Q27-O27)*(N38-N27)</f>
        <v>0</v>
      </c>
      <c r="P850" s="7">
        <f>(P27-N27)*(Q38-O27)-(Q27-O27)*(P38-N27)</f>
        <v>0</v>
      </c>
      <c r="Q850" s="7">
        <f>(P38-N38)*(O27-O38)-(Q38-O38)*(N27-N38)</f>
        <v>0</v>
      </c>
      <c r="R850" s="7">
        <f>(P38-N38)*(Q27-O38)-(Q38-O38)*(P27-N38)</f>
        <v>0</v>
      </c>
      <c r="S850" s="7">
        <f>IF(N850,IF(AND(O850*P850&lt;=0,Q850*R850&lt;=0,MAX(MIN(N27,P27),MIN(N38,P38))&lt;=MIN(MAX(N27,P27),MAX(N38,P38)),MAX(MIN(O27,Q27),MIN(O38,Q38))&lt;=MIN(MAX(O27,Q27),MAX(O38,Q38))),1,0),0)</f>
        <v>0</v>
      </c>
      <c r="T850" s="7"/>
      <c r="U850" s="7"/>
      <c r="V850" s="7"/>
      <c r="W850" s="7"/>
      <c r="X850" s="7"/>
      <c r="Y850" s="7"/>
      <c r="Z850" s="7"/>
      <c r="AA850" s="7"/>
      <c r="AB850" s="7"/>
      <c r="AC850" s="7"/>
      <c r="AD850" s="7"/>
      <c r="AE850" s="7"/>
      <c r="AF850" s="7"/>
      <c r="AG850" s="7"/>
      <c r="AH850" s="7"/>
      <c r="AI850" s="7"/>
    </row>
    <row r="851" spans="12:35">
      <c r="L851" s="7">
        <v>27</v>
      </c>
      <c r="M851" s="7">
        <v>39</v>
      </c>
      <c r="N851" s="7" t="b">
        <f>AND($N$5,$N$6,16&lt;=$M$5,8&lt;=$M$6)</f>
        <v>0</v>
      </c>
      <c r="O851" s="7">
        <f>(P27-N27)*(O39-O27)-(Q27-O27)*(N39-N27)</f>
        <v>0</v>
      </c>
      <c r="P851" s="7">
        <f>(P27-N27)*(Q39-O27)-(Q27-O27)*(P39-N27)</f>
        <v>0</v>
      </c>
      <c r="Q851" s="7">
        <f>(P39-N39)*(O27-O39)-(Q39-O39)*(N27-N39)</f>
        <v>0</v>
      </c>
      <c r="R851" s="7">
        <f>(P39-N39)*(Q27-O39)-(Q39-O39)*(P27-N39)</f>
        <v>0</v>
      </c>
      <c r="S851" s="7">
        <f>IF(N851,IF(AND(O851*P851&lt;=0,Q851*R851&lt;=0,MAX(MIN(N27,P27),MIN(N39,P39))&lt;=MIN(MAX(N27,P27),MAX(N39,P39)),MAX(MIN(O27,Q27),MIN(O39,Q39))&lt;=MIN(MAX(O27,Q27),MAX(O39,Q39))),1,0),0)</f>
        <v>0</v>
      </c>
      <c r="T851" s="7"/>
      <c r="U851" s="7"/>
      <c r="V851" s="7"/>
      <c r="W851" s="7"/>
      <c r="X851" s="7"/>
      <c r="Y851" s="7"/>
      <c r="Z851" s="7"/>
      <c r="AA851" s="7"/>
      <c r="AB851" s="7"/>
      <c r="AC851" s="7"/>
      <c r="AD851" s="7"/>
      <c r="AE851" s="7"/>
      <c r="AF851" s="7"/>
      <c r="AG851" s="7"/>
      <c r="AH851" s="7"/>
      <c r="AI851" s="7"/>
    </row>
    <row r="852" spans="12:35">
      <c r="L852" s="7">
        <v>27</v>
      </c>
      <c r="M852" s="7">
        <v>40</v>
      </c>
      <c r="N852" s="7" t="b">
        <f>AND($N$5,$N$6,16&lt;=$M$5,9&lt;=$M$6)</f>
        <v>0</v>
      </c>
      <c r="O852" s="7">
        <f>(P27-N27)*(O40-O27)-(Q27-O27)*(N40-N27)</f>
        <v>0</v>
      </c>
      <c r="P852" s="7">
        <f>(P27-N27)*(Q40-O27)-(Q27-O27)*(P40-N27)</f>
        <v>0</v>
      </c>
      <c r="Q852" s="7">
        <f>(P40-N40)*(O27-O40)-(Q40-O40)*(N27-N40)</f>
        <v>0</v>
      </c>
      <c r="R852" s="7">
        <f>(P40-N40)*(Q27-O40)-(Q40-O40)*(P27-N40)</f>
        <v>0</v>
      </c>
      <c r="S852" s="7">
        <f>IF(N852,IF(AND(O852*P852&lt;=0,Q852*R852&lt;=0,MAX(MIN(N27,P27),MIN(N40,P40))&lt;=MIN(MAX(N27,P27),MAX(N40,P40)),MAX(MIN(O27,Q27),MIN(O40,Q40))&lt;=MIN(MAX(O27,Q27),MAX(O40,Q40))),1,0),0)</f>
        <v>0</v>
      </c>
      <c r="T852" s="7"/>
      <c r="U852" s="7"/>
      <c r="V852" s="7"/>
      <c r="W852" s="7"/>
      <c r="X852" s="7"/>
      <c r="Y852" s="7"/>
      <c r="Z852" s="7"/>
      <c r="AA852" s="7"/>
      <c r="AB852" s="7"/>
      <c r="AC852" s="7"/>
      <c r="AD852" s="7"/>
      <c r="AE852" s="7"/>
      <c r="AF852" s="7"/>
      <c r="AG852" s="7"/>
      <c r="AH852" s="7"/>
      <c r="AI852" s="7"/>
    </row>
    <row r="853" spans="12:35">
      <c r="L853" s="7">
        <v>27</v>
      </c>
      <c r="M853" s="7">
        <v>41</v>
      </c>
      <c r="N853" s="7" t="b">
        <f>AND($N$5,$N$6,16&lt;=$M$5,10&lt;=$M$6)</f>
        <v>0</v>
      </c>
      <c r="O853" s="7">
        <f>(P27-N27)*(O41-O27)-(Q27-O27)*(N41-N27)</f>
        <v>0</v>
      </c>
      <c r="P853" s="7">
        <f>(P27-N27)*(Q41-O27)-(Q27-O27)*(P41-N27)</f>
        <v>0</v>
      </c>
      <c r="Q853" s="7">
        <f>(P41-N41)*(O27-O41)-(Q41-O41)*(N27-N41)</f>
        <v>0</v>
      </c>
      <c r="R853" s="7">
        <f>(P41-N41)*(Q27-O41)-(Q41-O41)*(P27-N41)</f>
        <v>0</v>
      </c>
      <c r="S853" s="7">
        <f>IF(N853,IF(AND(O853*P853&lt;=0,Q853*R853&lt;=0,MAX(MIN(N27,P27),MIN(N41,P41))&lt;=MIN(MAX(N27,P27),MAX(N41,P41)),MAX(MIN(O27,Q27),MIN(O41,Q41))&lt;=MIN(MAX(O27,Q27),MAX(O41,Q41))),1,0),0)</f>
        <v>0</v>
      </c>
      <c r="T853" s="7"/>
      <c r="U853" s="7"/>
      <c r="V853" s="7"/>
      <c r="W853" s="7"/>
      <c r="X853" s="7"/>
      <c r="Y853" s="7"/>
      <c r="Z853" s="7"/>
      <c r="AA853" s="7"/>
      <c r="AB853" s="7"/>
      <c r="AC853" s="7"/>
      <c r="AD853" s="7"/>
      <c r="AE853" s="7"/>
      <c r="AF853" s="7"/>
      <c r="AG853" s="7"/>
      <c r="AH853" s="7"/>
      <c r="AI853" s="7"/>
    </row>
    <row r="854" spans="12:35">
      <c r="L854" s="7">
        <v>27</v>
      </c>
      <c r="M854" s="7">
        <v>42</v>
      </c>
      <c r="N854" s="7" t="b">
        <f>AND($N$5,$N$6,16&lt;=$M$5,11&lt;=$M$6)</f>
        <v>0</v>
      </c>
      <c r="O854" s="7">
        <f>(P27-N27)*(O42-O27)-(Q27-O27)*(N42-N27)</f>
        <v>0</v>
      </c>
      <c r="P854" s="7">
        <f>(P27-N27)*(Q42-O27)-(Q27-O27)*(P42-N27)</f>
        <v>0</v>
      </c>
      <c r="Q854" s="7">
        <f>(P42-N42)*(O27-O42)-(Q42-O42)*(N27-N42)</f>
        <v>0</v>
      </c>
      <c r="R854" s="7">
        <f>(P42-N42)*(Q27-O42)-(Q42-O42)*(P27-N42)</f>
        <v>0</v>
      </c>
      <c r="S854" s="7">
        <f>IF(N854,IF(AND(O854*P854&lt;=0,Q854*R854&lt;=0,MAX(MIN(N27,P27),MIN(N42,P42))&lt;=MIN(MAX(N27,P27),MAX(N42,P42)),MAX(MIN(O27,Q27),MIN(O42,Q42))&lt;=MIN(MAX(O27,Q27),MAX(O42,Q42))),1,0),0)</f>
        <v>0</v>
      </c>
      <c r="T854" s="7"/>
      <c r="U854" s="7"/>
      <c r="V854" s="7"/>
      <c r="W854" s="7"/>
      <c r="X854" s="7"/>
      <c r="Y854" s="7"/>
      <c r="Z854" s="7"/>
      <c r="AA854" s="7"/>
      <c r="AB854" s="7"/>
      <c r="AC854" s="7"/>
      <c r="AD854" s="7"/>
      <c r="AE854" s="7"/>
      <c r="AF854" s="7"/>
      <c r="AG854" s="7"/>
      <c r="AH854" s="7"/>
      <c r="AI854" s="7"/>
    </row>
    <row r="855" spans="12:35">
      <c r="L855" s="7">
        <v>27</v>
      </c>
      <c r="M855" s="7">
        <v>43</v>
      </c>
      <c r="N855" s="7" t="b">
        <f>AND($N$5,$N$6,16&lt;=$M$5,12&lt;=$M$6)</f>
        <v>0</v>
      </c>
      <c r="O855" s="7">
        <f>(P27-N27)*(O43-O27)-(Q27-O27)*(N43-N27)</f>
        <v>0</v>
      </c>
      <c r="P855" s="7">
        <f>(P27-N27)*(Q43-O27)-(Q27-O27)*(P43-N27)</f>
        <v>0</v>
      </c>
      <c r="Q855" s="7">
        <f>(P43-N43)*(O27-O43)-(Q43-O43)*(N27-N43)</f>
        <v>0</v>
      </c>
      <c r="R855" s="7">
        <f>(P43-N43)*(Q27-O43)-(Q43-O43)*(P27-N43)</f>
        <v>0</v>
      </c>
      <c r="S855" s="7">
        <f>IF(N855,IF(AND(O855*P855&lt;=0,Q855*R855&lt;=0,MAX(MIN(N27,P27),MIN(N43,P43))&lt;=MIN(MAX(N27,P27),MAX(N43,P43)),MAX(MIN(O27,Q27),MIN(O43,Q43))&lt;=MIN(MAX(O27,Q27),MAX(O43,Q43))),1,0),0)</f>
        <v>0</v>
      </c>
      <c r="T855" s="7"/>
      <c r="U855" s="7"/>
      <c r="V855" s="7"/>
      <c r="W855" s="7"/>
      <c r="X855" s="7"/>
      <c r="Y855" s="7"/>
      <c r="Z855" s="7"/>
      <c r="AA855" s="7"/>
      <c r="AB855" s="7"/>
      <c r="AC855" s="7"/>
      <c r="AD855" s="7"/>
      <c r="AE855" s="7"/>
      <c r="AF855" s="7"/>
      <c r="AG855" s="7"/>
      <c r="AH855" s="7"/>
      <c r="AI855" s="7"/>
    </row>
    <row r="856" spans="12:35">
      <c r="L856" s="7">
        <v>27</v>
      </c>
      <c r="M856" s="7">
        <v>44</v>
      </c>
      <c r="N856" s="7" t="b">
        <f>AND($N$5,$N$6,16&lt;=$M$5,13&lt;=$M$6)</f>
        <v>0</v>
      </c>
      <c r="O856" s="7">
        <f>(P27-N27)*(O44-O27)-(Q27-O27)*(N44-N27)</f>
        <v>0</v>
      </c>
      <c r="P856" s="7">
        <f>(P27-N27)*(Q44-O27)-(Q27-O27)*(P44-N27)</f>
        <v>0</v>
      </c>
      <c r="Q856" s="7">
        <f>(P44-N44)*(O27-O44)-(Q44-O44)*(N27-N44)</f>
        <v>0</v>
      </c>
      <c r="R856" s="7">
        <f>(P44-N44)*(Q27-O44)-(Q44-O44)*(P27-N44)</f>
        <v>0</v>
      </c>
      <c r="S856" s="7">
        <f>IF(N856,IF(AND(O856*P856&lt;=0,Q856*R856&lt;=0,MAX(MIN(N27,P27),MIN(N44,P44))&lt;=MIN(MAX(N27,P27),MAX(N44,P44)),MAX(MIN(O27,Q27),MIN(O44,Q44))&lt;=MIN(MAX(O27,Q27),MAX(O44,Q44))),1,0),0)</f>
        <v>0</v>
      </c>
      <c r="T856" s="7"/>
      <c r="U856" s="7"/>
      <c r="V856" s="7"/>
      <c r="W856" s="7"/>
      <c r="X856" s="7"/>
      <c r="Y856" s="7"/>
      <c r="Z856" s="7"/>
      <c r="AA856" s="7"/>
      <c r="AB856" s="7"/>
      <c r="AC856" s="7"/>
      <c r="AD856" s="7"/>
      <c r="AE856" s="7"/>
      <c r="AF856" s="7"/>
      <c r="AG856" s="7"/>
      <c r="AH856" s="7"/>
      <c r="AI856" s="7"/>
    </row>
    <row r="857" spans="12:35">
      <c r="L857" s="7">
        <v>27</v>
      </c>
      <c r="M857" s="7">
        <v>45</v>
      </c>
      <c r="N857" s="7" t="b">
        <f>AND($N$5,$N$6,16&lt;=$M$5,14&lt;=$M$6)</f>
        <v>0</v>
      </c>
      <c r="O857" s="7">
        <f>(P27-N27)*(O45-O27)-(Q27-O27)*(N45-N27)</f>
        <v>0</v>
      </c>
      <c r="P857" s="7">
        <f>(P27-N27)*(Q45-O27)-(Q27-O27)*(P45-N27)</f>
        <v>0</v>
      </c>
      <c r="Q857" s="7">
        <f>(P45-N45)*(O27-O45)-(Q45-O45)*(N27-N45)</f>
        <v>0</v>
      </c>
      <c r="R857" s="7">
        <f>(P45-N45)*(Q27-O45)-(Q45-O45)*(P27-N45)</f>
        <v>0</v>
      </c>
      <c r="S857" s="7">
        <f>IF(N857,IF(AND(O857*P857&lt;=0,Q857*R857&lt;=0,MAX(MIN(N27,P27),MIN(N45,P45))&lt;=MIN(MAX(N27,P27),MAX(N45,P45)),MAX(MIN(O27,Q27),MIN(O45,Q45))&lt;=MIN(MAX(O27,Q27),MAX(O45,Q45))),1,0),0)</f>
        <v>0</v>
      </c>
      <c r="T857" s="7"/>
      <c r="U857" s="7"/>
      <c r="V857" s="7"/>
      <c r="W857" s="7"/>
      <c r="X857" s="7"/>
      <c r="Y857" s="7"/>
      <c r="Z857" s="7"/>
      <c r="AA857" s="7"/>
      <c r="AB857" s="7"/>
      <c r="AC857" s="7"/>
      <c r="AD857" s="7"/>
      <c r="AE857" s="7"/>
      <c r="AF857" s="7"/>
      <c r="AG857" s="7"/>
      <c r="AH857" s="7"/>
      <c r="AI857" s="7"/>
    </row>
    <row r="858" spans="12:35">
      <c r="L858" s="7">
        <v>27</v>
      </c>
      <c r="M858" s="7">
        <v>46</v>
      </c>
      <c r="N858" s="7" t="b">
        <f>AND($N$5,$N$6,16&lt;=$M$5,15&lt;=$M$6)</f>
        <v>0</v>
      </c>
      <c r="O858" s="7">
        <f>(P27-N27)*(O46-O27)-(Q27-O27)*(N46-N27)</f>
        <v>0</v>
      </c>
      <c r="P858" s="7">
        <f>(P27-N27)*(Q46-O27)-(Q27-O27)*(P46-N27)</f>
        <v>0</v>
      </c>
      <c r="Q858" s="7">
        <f>(P46-N46)*(O27-O46)-(Q46-O46)*(N27-N46)</f>
        <v>0</v>
      </c>
      <c r="R858" s="7">
        <f>(P46-N46)*(Q27-O46)-(Q46-O46)*(P27-N46)</f>
        <v>0</v>
      </c>
      <c r="S858" s="7">
        <f>IF(N858,IF(AND(O858*P858&lt;=0,Q858*R858&lt;=0,MAX(MIN(N27,P27),MIN(N46,P46))&lt;=MIN(MAX(N27,P27),MAX(N46,P46)),MAX(MIN(O27,Q27),MIN(O46,Q46))&lt;=MIN(MAX(O27,Q27),MAX(O46,Q46))),1,0),0)</f>
        <v>0</v>
      </c>
      <c r="T858" s="7"/>
      <c r="U858" s="7"/>
      <c r="V858" s="7"/>
      <c r="W858" s="7"/>
      <c r="X858" s="7"/>
      <c r="Y858" s="7"/>
      <c r="Z858" s="7"/>
      <c r="AA858" s="7"/>
      <c r="AB858" s="7"/>
      <c r="AC858" s="7"/>
      <c r="AD858" s="7"/>
      <c r="AE858" s="7"/>
      <c r="AF858" s="7"/>
      <c r="AG858" s="7"/>
      <c r="AH858" s="7"/>
      <c r="AI858" s="7"/>
    </row>
    <row r="859" spans="12:35">
      <c r="L859" s="7">
        <v>27</v>
      </c>
      <c r="M859" s="7">
        <v>47</v>
      </c>
      <c r="N859" s="7" t="b">
        <f>AND($N$5,$N$6,16&lt;=$M$5,16&lt;=$M$6)</f>
        <v>0</v>
      </c>
      <c r="O859" s="7">
        <f>(P27-N27)*(O47-O27)-(Q27-O27)*(N47-N27)</f>
        <v>0</v>
      </c>
      <c r="P859" s="7">
        <f>(P27-N27)*(Q47-O27)-(Q27-O27)*(P47-N27)</f>
        <v>0</v>
      </c>
      <c r="Q859" s="7">
        <f>(P47-N47)*(O27-O47)-(Q47-O47)*(N27-N47)</f>
        <v>0</v>
      </c>
      <c r="R859" s="7">
        <f>(P47-N47)*(Q27-O47)-(Q47-O47)*(P27-N47)</f>
        <v>0</v>
      </c>
      <c r="S859" s="7">
        <f>IF(N859,IF(AND(O859*P859&lt;=0,Q859*R859&lt;=0,MAX(MIN(N27,P27),MIN(N47,P47))&lt;=MIN(MAX(N27,P27),MAX(N47,P47)),MAX(MIN(O27,Q27),MIN(O47,Q47))&lt;=MIN(MAX(O27,Q27),MAX(O47,Q47))),1,0),0)</f>
        <v>0</v>
      </c>
      <c r="T859" s="7"/>
      <c r="U859" s="7"/>
      <c r="V859" s="7"/>
      <c r="W859" s="7"/>
      <c r="X859" s="7"/>
      <c r="Y859" s="7"/>
      <c r="Z859" s="7"/>
      <c r="AA859" s="7"/>
      <c r="AB859" s="7"/>
      <c r="AC859" s="7"/>
      <c r="AD859" s="7"/>
      <c r="AE859" s="7"/>
      <c r="AF859" s="7"/>
      <c r="AG859" s="7"/>
      <c r="AH859" s="7"/>
      <c r="AI859" s="7"/>
    </row>
    <row r="860" spans="12:35">
      <c r="L860" s="7">
        <v>27</v>
      </c>
      <c r="M860" s="7">
        <v>48</v>
      </c>
      <c r="N860" s="7" t="b">
        <f>AND($N$5,$N$6,16&lt;=$M$5,17&lt;=$M$6)</f>
        <v>0</v>
      </c>
      <c r="O860" s="7">
        <f>(P27-N27)*(O48-O27)-(Q27-O27)*(N48-N27)</f>
        <v>0</v>
      </c>
      <c r="P860" s="7">
        <f>(P27-N27)*(Q48-O27)-(Q27-O27)*(P48-N27)</f>
        <v>0</v>
      </c>
      <c r="Q860" s="7">
        <f>(P48-N48)*(O27-O48)-(Q48-O48)*(N27-N48)</f>
        <v>0</v>
      </c>
      <c r="R860" s="7">
        <f>(P48-N48)*(Q27-O48)-(Q48-O48)*(P27-N48)</f>
        <v>0</v>
      </c>
      <c r="S860" s="7">
        <f>IF(N860,IF(AND(O860*P860&lt;=0,Q860*R860&lt;=0,MAX(MIN(N27,P27),MIN(N48,P48))&lt;=MIN(MAX(N27,P27),MAX(N48,P48)),MAX(MIN(O27,Q27),MIN(O48,Q48))&lt;=MIN(MAX(O27,Q27),MAX(O48,Q48))),1,0),0)</f>
        <v>0</v>
      </c>
      <c r="T860" s="7"/>
      <c r="U860" s="7"/>
      <c r="V860" s="7"/>
      <c r="W860" s="7"/>
      <c r="X860" s="7"/>
      <c r="Y860" s="7"/>
      <c r="Z860" s="7"/>
      <c r="AA860" s="7"/>
      <c r="AB860" s="7"/>
      <c r="AC860" s="7"/>
      <c r="AD860" s="7"/>
      <c r="AE860" s="7"/>
      <c r="AF860" s="7"/>
      <c r="AG860" s="7"/>
      <c r="AH860" s="7"/>
      <c r="AI860" s="7"/>
    </row>
    <row r="861" spans="12:35">
      <c r="L861" s="7">
        <v>27</v>
      </c>
      <c r="M861" s="7">
        <v>49</v>
      </c>
      <c r="N861" s="7" t="b">
        <f>AND($N$5,$N$6,16&lt;=$M$5,18&lt;=$M$6)</f>
        <v>0</v>
      </c>
      <c r="O861" s="7">
        <f>(P27-N27)*(O49-O27)-(Q27-O27)*(N49-N27)</f>
        <v>0</v>
      </c>
      <c r="P861" s="7">
        <f>(P27-N27)*(Q49-O27)-(Q27-O27)*(P49-N27)</f>
        <v>0</v>
      </c>
      <c r="Q861" s="7">
        <f>(P49-N49)*(O27-O49)-(Q49-O49)*(N27-N49)</f>
        <v>0</v>
      </c>
      <c r="R861" s="7">
        <f>(P49-N49)*(Q27-O49)-(Q49-O49)*(P27-N49)</f>
        <v>0</v>
      </c>
      <c r="S861" s="7">
        <f>IF(N861,IF(AND(O861*P861&lt;=0,Q861*R861&lt;=0,MAX(MIN(N27,P27),MIN(N49,P49))&lt;=MIN(MAX(N27,P27),MAX(N49,P49)),MAX(MIN(O27,Q27),MIN(O49,Q49))&lt;=MIN(MAX(O27,Q27),MAX(O49,Q49))),1,0),0)</f>
        <v>0</v>
      </c>
      <c r="T861" s="7"/>
      <c r="U861" s="7"/>
      <c r="V861" s="7"/>
      <c r="W861" s="7"/>
      <c r="X861" s="7"/>
      <c r="Y861" s="7"/>
      <c r="Z861" s="7"/>
      <c r="AA861" s="7"/>
      <c r="AB861" s="7"/>
      <c r="AC861" s="7"/>
      <c r="AD861" s="7"/>
      <c r="AE861" s="7"/>
      <c r="AF861" s="7"/>
      <c r="AG861" s="7"/>
      <c r="AH861" s="7"/>
      <c r="AI861" s="7"/>
    </row>
    <row r="862" spans="12:35">
      <c r="L862" s="7">
        <v>27</v>
      </c>
      <c r="M862" s="7">
        <v>50</v>
      </c>
      <c r="N862" s="7" t="b">
        <f>AND($N$5,$N$6,16&lt;=$M$5,19&lt;=$M$6)</f>
        <v>0</v>
      </c>
      <c r="O862" s="7">
        <f>(P27-N27)*(O50-O27)-(Q27-O27)*(N50-N27)</f>
        <v>0</v>
      </c>
      <c r="P862" s="7">
        <f>(P27-N27)*(Q50-O27)-(Q27-O27)*(P50-N27)</f>
        <v>0</v>
      </c>
      <c r="Q862" s="7">
        <f>(P50-N50)*(O27-O50)-(Q50-O50)*(N27-N50)</f>
        <v>0</v>
      </c>
      <c r="R862" s="7">
        <f>(P50-N50)*(Q27-O50)-(Q50-O50)*(P27-N50)</f>
        <v>0</v>
      </c>
      <c r="S862" s="7">
        <f>IF(N862,IF(AND(O862*P862&lt;=0,Q862*R862&lt;=0,MAX(MIN(N27,P27),MIN(N50,P50))&lt;=MIN(MAX(N27,P27),MAX(N50,P50)),MAX(MIN(O27,Q27),MIN(O50,Q50))&lt;=MIN(MAX(O27,Q27),MAX(O50,Q50))),1,0),0)</f>
        <v>0</v>
      </c>
      <c r="T862" s="7"/>
      <c r="U862" s="7"/>
      <c r="V862" s="7"/>
      <c r="W862" s="7"/>
      <c r="X862" s="7"/>
      <c r="Y862" s="7"/>
      <c r="Z862" s="7"/>
      <c r="AA862" s="7"/>
      <c r="AB862" s="7"/>
      <c r="AC862" s="7"/>
      <c r="AD862" s="7"/>
      <c r="AE862" s="7"/>
      <c r="AF862" s="7"/>
      <c r="AG862" s="7"/>
      <c r="AH862" s="7"/>
      <c r="AI862" s="7"/>
    </row>
    <row r="863" spans="12:35">
      <c r="L863" s="7">
        <v>27</v>
      </c>
      <c r="M863" s="7">
        <v>51</v>
      </c>
      <c r="N863" s="7" t="b">
        <f>AND($N$5,$N$6,16&lt;=$M$5,20&lt;=$M$6)</f>
        <v>0</v>
      </c>
      <c r="O863" s="7">
        <f>(P27-N27)*(O51-O27)-(Q27-O27)*(N51-N27)</f>
        <v>0</v>
      </c>
      <c r="P863" s="7">
        <f>(P27-N27)*(Q51-O27)-(Q27-O27)*(P51-N27)</f>
        <v>0</v>
      </c>
      <c r="Q863" s="7">
        <f>(P51-N51)*(O27-O51)-(Q51-O51)*(N27-N51)</f>
        <v>0</v>
      </c>
      <c r="R863" s="7">
        <f>(P51-N51)*(Q27-O51)-(Q51-O51)*(P27-N51)</f>
        <v>0</v>
      </c>
      <c r="S863" s="7">
        <f>IF(N863,IF(AND(O863*P863&lt;=0,Q863*R863&lt;=0,MAX(MIN(N27,P27),MIN(N51,P51))&lt;=MIN(MAX(N27,P27),MAX(N51,P51)),MAX(MIN(O27,Q27),MIN(O51,Q51))&lt;=MIN(MAX(O27,Q27),MAX(O51,Q51))),1,0),0)</f>
        <v>0</v>
      </c>
      <c r="T863" s="7"/>
      <c r="U863" s="7"/>
      <c r="V863" s="7"/>
      <c r="W863" s="7"/>
      <c r="X863" s="7"/>
      <c r="Y863" s="7"/>
      <c r="Z863" s="7"/>
      <c r="AA863" s="7"/>
      <c r="AB863" s="7"/>
      <c r="AC863" s="7"/>
      <c r="AD863" s="7"/>
      <c r="AE863" s="7"/>
      <c r="AF863" s="7"/>
      <c r="AG863" s="7"/>
      <c r="AH863" s="7"/>
      <c r="AI863" s="7"/>
    </row>
    <row r="864" spans="12:35">
      <c r="L864" s="7">
        <v>27</v>
      </c>
      <c r="M864" s="7">
        <v>52</v>
      </c>
      <c r="N864" s="7" t="b">
        <f>AND($N$5,$N$7,16&lt;=$M$5,1&lt;=$M$7)</f>
        <v>0</v>
      </c>
      <c r="O864" s="7">
        <f>(P27-N27)*(O52-O27)-(Q27-O27)*(N52-N27)</f>
        <v>0</v>
      </c>
      <c r="P864" s="7">
        <f>(P27-N27)*(Q52-O27)-(Q27-O27)*(P52-N27)</f>
        <v>0</v>
      </c>
      <c r="Q864" s="7">
        <f>(P52-N52)*(O27-O52)-(Q52-O52)*(N27-N52)</f>
        <v>0</v>
      </c>
      <c r="R864" s="7">
        <f>(P52-N52)*(Q27-O52)-(Q52-O52)*(P27-N52)</f>
        <v>0</v>
      </c>
      <c r="S864" s="7">
        <f>IF(N864,IF(AND(O864*P864&lt;=0,Q864*R864&lt;=0,MAX(MIN(N27,P27),MIN(N52,P52))&lt;=MIN(MAX(N27,P27),MAX(N52,P52)),MAX(MIN(O27,Q27),MIN(O52,Q52))&lt;=MIN(MAX(O27,Q27),MAX(O52,Q52))),1,0),0)</f>
        <v>0</v>
      </c>
      <c r="T864" s="7"/>
      <c r="U864" s="7"/>
      <c r="V864" s="7"/>
      <c r="W864" s="7"/>
      <c r="X864" s="7"/>
      <c r="Y864" s="7"/>
      <c r="Z864" s="7"/>
      <c r="AA864" s="7"/>
      <c r="AB864" s="7"/>
      <c r="AC864" s="7"/>
      <c r="AD864" s="7"/>
      <c r="AE864" s="7"/>
      <c r="AF864" s="7"/>
      <c r="AG864" s="7"/>
      <c r="AH864" s="7"/>
      <c r="AI864" s="7"/>
    </row>
    <row r="865" spans="12:35">
      <c r="L865" s="7">
        <v>27</v>
      </c>
      <c r="M865" s="7">
        <v>53</v>
      </c>
      <c r="N865" s="7" t="b">
        <f>AND($N$5,$N$7,16&lt;=$M$5,2&lt;=$M$7)</f>
        <v>0</v>
      </c>
      <c r="O865" s="7">
        <f>(P27-N27)*(O53-O27)-(Q27-O27)*(N53-N27)</f>
        <v>0</v>
      </c>
      <c r="P865" s="7">
        <f>(P27-N27)*(Q53-O27)-(Q27-O27)*(P53-N27)</f>
        <v>0</v>
      </c>
      <c r="Q865" s="7">
        <f>(P53-N53)*(O27-O53)-(Q53-O53)*(N27-N53)</f>
        <v>0</v>
      </c>
      <c r="R865" s="7">
        <f>(P53-N53)*(Q27-O53)-(Q53-O53)*(P27-N53)</f>
        <v>0</v>
      </c>
      <c r="S865" s="7">
        <f>IF(N865,IF(AND(O865*P865&lt;=0,Q865*R865&lt;=0,MAX(MIN(N27,P27),MIN(N53,P53))&lt;=MIN(MAX(N27,P27),MAX(N53,P53)),MAX(MIN(O27,Q27),MIN(O53,Q53))&lt;=MIN(MAX(O27,Q27),MAX(O53,Q53))),1,0),0)</f>
        <v>0</v>
      </c>
      <c r="T865" s="7"/>
      <c r="U865" s="7"/>
      <c r="V865" s="7"/>
      <c r="W865" s="7"/>
      <c r="X865" s="7"/>
      <c r="Y865" s="7"/>
      <c r="Z865" s="7"/>
      <c r="AA865" s="7"/>
      <c r="AB865" s="7"/>
      <c r="AC865" s="7"/>
      <c r="AD865" s="7"/>
      <c r="AE865" s="7"/>
      <c r="AF865" s="7"/>
      <c r="AG865" s="7"/>
      <c r="AH865" s="7"/>
      <c r="AI865" s="7"/>
    </row>
    <row r="866" spans="12:35">
      <c r="L866" s="7">
        <v>27</v>
      </c>
      <c r="M866" s="7">
        <v>54</v>
      </c>
      <c r="N866" s="7" t="b">
        <f>AND($N$5,$N$7,16&lt;=$M$5,3&lt;=$M$7)</f>
        <v>0</v>
      </c>
      <c r="O866" s="7">
        <f>(P27-N27)*(O54-O27)-(Q27-O27)*(N54-N27)</f>
        <v>0</v>
      </c>
      <c r="P866" s="7">
        <f>(P27-N27)*(Q54-O27)-(Q27-O27)*(P54-N27)</f>
        <v>0</v>
      </c>
      <c r="Q866" s="7">
        <f>(P54-N54)*(O27-O54)-(Q54-O54)*(N27-N54)</f>
        <v>0</v>
      </c>
      <c r="R866" s="7">
        <f>(P54-N54)*(Q27-O54)-(Q54-O54)*(P27-N54)</f>
        <v>0</v>
      </c>
      <c r="S866" s="7">
        <f>IF(N866,IF(AND(O866*P866&lt;=0,Q866*R866&lt;=0,MAX(MIN(N27,P27),MIN(N54,P54))&lt;=MIN(MAX(N27,P27),MAX(N54,P54)),MAX(MIN(O27,Q27),MIN(O54,Q54))&lt;=MIN(MAX(O27,Q27),MAX(O54,Q54))),1,0),0)</f>
        <v>0</v>
      </c>
      <c r="T866" s="7"/>
      <c r="U866" s="7"/>
      <c r="V866" s="7"/>
      <c r="W866" s="7"/>
      <c r="X866" s="7"/>
      <c r="Y866" s="7"/>
      <c r="Z866" s="7"/>
      <c r="AA866" s="7"/>
      <c r="AB866" s="7"/>
      <c r="AC866" s="7"/>
      <c r="AD866" s="7"/>
      <c r="AE866" s="7"/>
      <c r="AF866" s="7"/>
      <c r="AG866" s="7"/>
      <c r="AH866" s="7"/>
      <c r="AI866" s="7"/>
    </row>
    <row r="867" spans="12:35">
      <c r="L867" s="7">
        <v>27</v>
      </c>
      <c r="M867" s="7">
        <v>55</v>
      </c>
      <c r="N867" s="7" t="b">
        <f>AND($N$5,$N$7,16&lt;=$M$5,4&lt;=$M$7)</f>
        <v>0</v>
      </c>
      <c r="O867" s="7">
        <f>(P27-N27)*(O55-O27)-(Q27-O27)*(N55-N27)</f>
        <v>0</v>
      </c>
      <c r="P867" s="7">
        <f>(P27-N27)*(Q55-O27)-(Q27-O27)*(P55-N27)</f>
        <v>0</v>
      </c>
      <c r="Q867" s="7">
        <f>(P55-N55)*(O27-O55)-(Q55-O55)*(N27-N55)</f>
        <v>0</v>
      </c>
      <c r="R867" s="7">
        <f>(P55-N55)*(Q27-O55)-(Q55-O55)*(P27-N55)</f>
        <v>0</v>
      </c>
      <c r="S867" s="7">
        <f>IF(N867,IF(AND(O867*P867&lt;=0,Q867*R867&lt;=0,MAX(MIN(N27,P27),MIN(N55,P55))&lt;=MIN(MAX(N27,P27),MAX(N55,P55)),MAX(MIN(O27,Q27),MIN(O55,Q55))&lt;=MIN(MAX(O27,Q27),MAX(O55,Q55))),1,0),0)</f>
        <v>0</v>
      </c>
      <c r="T867" s="7"/>
      <c r="U867" s="7"/>
      <c r="V867" s="7"/>
      <c r="W867" s="7"/>
      <c r="X867" s="7"/>
      <c r="Y867" s="7"/>
      <c r="Z867" s="7"/>
      <c r="AA867" s="7"/>
      <c r="AB867" s="7"/>
      <c r="AC867" s="7"/>
      <c r="AD867" s="7"/>
      <c r="AE867" s="7"/>
      <c r="AF867" s="7"/>
      <c r="AG867" s="7"/>
      <c r="AH867" s="7"/>
      <c r="AI867" s="7"/>
    </row>
    <row r="868" spans="12:35">
      <c r="L868" s="7">
        <v>27</v>
      </c>
      <c r="M868" s="7">
        <v>56</v>
      </c>
      <c r="N868" s="7" t="b">
        <f>AND($N$5,$N$7,16&lt;=$M$5,5&lt;=$M$7)</f>
        <v>0</v>
      </c>
      <c r="O868" s="7">
        <f>(P27-N27)*(O56-O27)-(Q27-O27)*(N56-N27)</f>
        <v>0</v>
      </c>
      <c r="P868" s="7">
        <f>(P27-N27)*(Q56-O27)-(Q27-O27)*(P56-N27)</f>
        <v>0</v>
      </c>
      <c r="Q868" s="7">
        <f>(P56-N56)*(O27-O56)-(Q56-O56)*(N27-N56)</f>
        <v>0</v>
      </c>
      <c r="R868" s="7">
        <f>(P56-N56)*(Q27-O56)-(Q56-O56)*(P27-N56)</f>
        <v>0</v>
      </c>
      <c r="S868" s="7">
        <f>IF(N868,IF(AND(O868*P868&lt;=0,Q868*R868&lt;=0,MAX(MIN(N27,P27),MIN(N56,P56))&lt;=MIN(MAX(N27,P27),MAX(N56,P56)),MAX(MIN(O27,Q27),MIN(O56,Q56))&lt;=MIN(MAX(O27,Q27),MAX(O56,Q56))),1,0),0)</f>
        <v>0</v>
      </c>
      <c r="T868" s="7"/>
      <c r="U868" s="7"/>
      <c r="V868" s="7"/>
      <c r="W868" s="7"/>
      <c r="X868" s="7"/>
      <c r="Y868" s="7"/>
      <c r="Z868" s="7"/>
      <c r="AA868" s="7"/>
      <c r="AB868" s="7"/>
      <c r="AC868" s="7"/>
      <c r="AD868" s="7"/>
      <c r="AE868" s="7"/>
      <c r="AF868" s="7"/>
      <c r="AG868" s="7"/>
      <c r="AH868" s="7"/>
      <c r="AI868" s="7"/>
    </row>
    <row r="869" spans="12:35">
      <c r="L869" s="7">
        <v>27</v>
      </c>
      <c r="M869" s="7">
        <v>57</v>
      </c>
      <c r="N869" s="7" t="b">
        <f>AND($N$5,$N$7,16&lt;=$M$5,6&lt;=$M$7)</f>
        <v>0</v>
      </c>
      <c r="O869" s="7">
        <f>(P27-N27)*(O57-O27)-(Q27-O27)*(N57-N27)</f>
        <v>0</v>
      </c>
      <c r="P869" s="7">
        <f>(P27-N27)*(Q57-O27)-(Q27-O27)*(P57-N27)</f>
        <v>0</v>
      </c>
      <c r="Q869" s="7">
        <f>(P57-N57)*(O27-O57)-(Q57-O57)*(N27-N57)</f>
        <v>0</v>
      </c>
      <c r="R869" s="7">
        <f>(P57-N57)*(Q27-O57)-(Q57-O57)*(P27-N57)</f>
        <v>0</v>
      </c>
      <c r="S869" s="7">
        <f>IF(N869,IF(AND(O869*P869&lt;=0,Q869*R869&lt;=0,MAX(MIN(N27,P27),MIN(N57,P57))&lt;=MIN(MAX(N27,P27),MAX(N57,P57)),MAX(MIN(O27,Q27),MIN(O57,Q57))&lt;=MIN(MAX(O27,Q27),MAX(O57,Q57))),1,0),0)</f>
        <v>0</v>
      </c>
      <c r="T869" s="7"/>
      <c r="U869" s="7"/>
      <c r="V869" s="7"/>
      <c r="W869" s="7"/>
      <c r="X869" s="7"/>
      <c r="Y869" s="7"/>
      <c r="Z869" s="7"/>
      <c r="AA869" s="7"/>
      <c r="AB869" s="7"/>
      <c r="AC869" s="7"/>
      <c r="AD869" s="7"/>
      <c r="AE869" s="7"/>
      <c r="AF869" s="7"/>
      <c r="AG869" s="7"/>
      <c r="AH869" s="7"/>
      <c r="AI869" s="7"/>
    </row>
    <row r="870" spans="12:35">
      <c r="L870" s="7">
        <v>27</v>
      </c>
      <c r="M870" s="7">
        <v>58</v>
      </c>
      <c r="N870" s="7" t="b">
        <f>AND($N$5,$N$7,16&lt;=$M$5,7&lt;=$M$7)</f>
        <v>0</v>
      </c>
      <c r="O870" s="7">
        <f>(P27-N27)*(O58-O27)-(Q27-O27)*(N58-N27)</f>
        <v>0</v>
      </c>
      <c r="P870" s="7">
        <f>(P27-N27)*(Q58-O27)-(Q27-O27)*(P58-N27)</f>
        <v>0</v>
      </c>
      <c r="Q870" s="7">
        <f>(P58-N58)*(O27-O58)-(Q58-O58)*(N27-N58)</f>
        <v>0</v>
      </c>
      <c r="R870" s="7">
        <f>(P58-N58)*(Q27-O58)-(Q58-O58)*(P27-N58)</f>
        <v>0</v>
      </c>
      <c r="S870" s="7">
        <f>IF(N870,IF(AND(O870*P870&lt;=0,Q870*R870&lt;=0,MAX(MIN(N27,P27),MIN(N58,P58))&lt;=MIN(MAX(N27,P27),MAX(N58,P58)),MAX(MIN(O27,Q27),MIN(O58,Q58))&lt;=MIN(MAX(O27,Q27),MAX(O58,Q58))),1,0),0)</f>
        <v>0</v>
      </c>
      <c r="T870" s="7"/>
      <c r="U870" s="7"/>
      <c r="V870" s="7"/>
      <c r="W870" s="7"/>
      <c r="X870" s="7"/>
      <c r="Y870" s="7"/>
      <c r="Z870" s="7"/>
      <c r="AA870" s="7"/>
      <c r="AB870" s="7"/>
      <c r="AC870" s="7"/>
      <c r="AD870" s="7"/>
      <c r="AE870" s="7"/>
      <c r="AF870" s="7"/>
      <c r="AG870" s="7"/>
      <c r="AH870" s="7"/>
      <c r="AI870" s="7"/>
    </row>
    <row r="871" spans="12:35">
      <c r="L871" s="7">
        <v>27</v>
      </c>
      <c r="M871" s="7">
        <v>59</v>
      </c>
      <c r="N871" s="7" t="b">
        <f>AND($N$5,$N$7,16&lt;=$M$5,8&lt;=$M$7)</f>
        <v>0</v>
      </c>
      <c r="O871" s="7">
        <f>(P27-N27)*(O59-O27)-(Q27-O27)*(N59-N27)</f>
        <v>0</v>
      </c>
      <c r="P871" s="7">
        <f>(P27-N27)*(Q59-O27)-(Q27-O27)*(P59-N27)</f>
        <v>0</v>
      </c>
      <c r="Q871" s="7">
        <f>(P59-N59)*(O27-O59)-(Q59-O59)*(N27-N59)</f>
        <v>0</v>
      </c>
      <c r="R871" s="7">
        <f>(P59-N59)*(Q27-O59)-(Q59-O59)*(P27-N59)</f>
        <v>0</v>
      </c>
      <c r="S871" s="7">
        <f>IF(N871,IF(AND(O871*P871&lt;=0,Q871*R871&lt;=0,MAX(MIN(N27,P27),MIN(N59,P59))&lt;=MIN(MAX(N27,P27),MAX(N59,P59)),MAX(MIN(O27,Q27),MIN(O59,Q59))&lt;=MIN(MAX(O27,Q27),MAX(O59,Q59))),1,0),0)</f>
        <v>0</v>
      </c>
      <c r="T871" s="7"/>
      <c r="U871" s="7"/>
      <c r="V871" s="7"/>
      <c r="W871" s="7"/>
      <c r="X871" s="7"/>
      <c r="Y871" s="7"/>
      <c r="Z871" s="7"/>
      <c r="AA871" s="7"/>
      <c r="AB871" s="7"/>
      <c r="AC871" s="7"/>
      <c r="AD871" s="7"/>
      <c r="AE871" s="7"/>
      <c r="AF871" s="7"/>
      <c r="AG871" s="7"/>
      <c r="AH871" s="7"/>
      <c r="AI871" s="7"/>
    </row>
    <row r="872" spans="12:35">
      <c r="L872" s="7">
        <v>27</v>
      </c>
      <c r="M872" s="7">
        <v>60</v>
      </c>
      <c r="N872" s="7" t="b">
        <f>AND($N$5,$N$7,16&lt;=$M$5,9&lt;=$M$7)</f>
        <v>0</v>
      </c>
      <c r="O872" s="7">
        <f>(P27-N27)*(O60-O27)-(Q27-O27)*(N60-N27)</f>
        <v>0</v>
      </c>
      <c r="P872" s="7">
        <f>(P27-N27)*(Q60-O27)-(Q27-O27)*(P60-N27)</f>
        <v>0</v>
      </c>
      <c r="Q872" s="7">
        <f>(P60-N60)*(O27-O60)-(Q60-O60)*(N27-N60)</f>
        <v>0</v>
      </c>
      <c r="R872" s="7">
        <f>(P60-N60)*(Q27-O60)-(Q60-O60)*(P27-N60)</f>
        <v>0</v>
      </c>
      <c r="S872" s="7">
        <f>IF(N872,IF(AND(O872*P872&lt;=0,Q872*R872&lt;=0,MAX(MIN(N27,P27),MIN(N60,P60))&lt;=MIN(MAX(N27,P27),MAX(N60,P60)),MAX(MIN(O27,Q27),MIN(O60,Q60))&lt;=MIN(MAX(O27,Q27),MAX(O60,Q60))),1,0),0)</f>
        <v>0</v>
      </c>
      <c r="T872" s="7"/>
      <c r="U872" s="7"/>
      <c r="V872" s="7"/>
      <c r="W872" s="7"/>
      <c r="X872" s="7"/>
      <c r="Y872" s="7"/>
      <c r="Z872" s="7"/>
      <c r="AA872" s="7"/>
      <c r="AB872" s="7"/>
      <c r="AC872" s="7"/>
      <c r="AD872" s="7"/>
      <c r="AE872" s="7"/>
      <c r="AF872" s="7"/>
      <c r="AG872" s="7"/>
      <c r="AH872" s="7"/>
      <c r="AI872" s="7"/>
    </row>
    <row r="873" spans="12:35">
      <c r="L873" s="7">
        <v>27</v>
      </c>
      <c r="M873" s="7">
        <v>61</v>
      </c>
      <c r="N873" s="7" t="b">
        <f>AND($N$5,$N$7,16&lt;=$M$5,10&lt;=$M$7)</f>
        <v>0</v>
      </c>
      <c r="O873" s="7">
        <f>(P27-N27)*(O61-O27)-(Q27-O27)*(N61-N27)</f>
        <v>0</v>
      </c>
      <c r="P873" s="7">
        <f>(P27-N27)*(Q61-O27)-(Q27-O27)*(P61-N27)</f>
        <v>0</v>
      </c>
      <c r="Q873" s="7">
        <f>(P61-N61)*(O27-O61)-(Q61-O61)*(N27-N61)</f>
        <v>0</v>
      </c>
      <c r="R873" s="7">
        <f>(P61-N61)*(Q27-O61)-(Q61-O61)*(P27-N61)</f>
        <v>0</v>
      </c>
      <c r="S873" s="7">
        <f>IF(N873,IF(AND(O873*P873&lt;=0,Q873*R873&lt;=0,MAX(MIN(N27,P27),MIN(N61,P61))&lt;=MIN(MAX(N27,P27),MAX(N61,P61)),MAX(MIN(O27,Q27),MIN(O61,Q61))&lt;=MIN(MAX(O27,Q27),MAX(O61,Q61))),1,0),0)</f>
        <v>0</v>
      </c>
      <c r="T873" s="7"/>
      <c r="U873" s="7"/>
      <c r="V873" s="7"/>
      <c r="W873" s="7"/>
      <c r="X873" s="7"/>
      <c r="Y873" s="7"/>
      <c r="Z873" s="7"/>
      <c r="AA873" s="7"/>
      <c r="AB873" s="7"/>
      <c r="AC873" s="7"/>
      <c r="AD873" s="7"/>
      <c r="AE873" s="7"/>
      <c r="AF873" s="7"/>
      <c r="AG873" s="7"/>
      <c r="AH873" s="7"/>
      <c r="AI873" s="7"/>
    </row>
    <row r="874" spans="12:35">
      <c r="L874" s="7">
        <v>27</v>
      </c>
      <c r="M874" s="7">
        <v>62</v>
      </c>
      <c r="N874" s="7" t="b">
        <f>AND($N$5,$N$7,16&lt;=$M$5,11&lt;=$M$7)</f>
        <v>0</v>
      </c>
      <c r="O874" s="7">
        <f>(P27-N27)*(O62-O27)-(Q27-O27)*(N62-N27)</f>
        <v>0</v>
      </c>
      <c r="P874" s="7">
        <f>(P27-N27)*(Q62-O27)-(Q27-O27)*(P62-N27)</f>
        <v>0</v>
      </c>
      <c r="Q874" s="7">
        <f>(P62-N62)*(O27-O62)-(Q62-O62)*(N27-N62)</f>
        <v>0</v>
      </c>
      <c r="R874" s="7">
        <f>(P62-N62)*(Q27-O62)-(Q62-O62)*(P27-N62)</f>
        <v>0</v>
      </c>
      <c r="S874" s="7">
        <f>IF(N874,IF(AND(O874*P874&lt;=0,Q874*R874&lt;=0,MAX(MIN(N27,P27),MIN(N62,P62))&lt;=MIN(MAX(N27,P27),MAX(N62,P62)),MAX(MIN(O27,Q27),MIN(O62,Q62))&lt;=MIN(MAX(O27,Q27),MAX(O62,Q62))),1,0),0)</f>
        <v>0</v>
      </c>
      <c r="T874" s="7"/>
      <c r="U874" s="7"/>
      <c r="V874" s="7"/>
      <c r="W874" s="7"/>
      <c r="X874" s="7"/>
      <c r="Y874" s="7"/>
      <c r="Z874" s="7"/>
      <c r="AA874" s="7"/>
      <c r="AB874" s="7"/>
      <c r="AC874" s="7"/>
      <c r="AD874" s="7"/>
      <c r="AE874" s="7"/>
      <c r="AF874" s="7"/>
      <c r="AG874" s="7"/>
      <c r="AH874" s="7"/>
      <c r="AI874" s="7"/>
    </row>
    <row r="875" spans="12:35">
      <c r="L875" s="7">
        <v>27</v>
      </c>
      <c r="M875" s="7">
        <v>63</v>
      </c>
      <c r="N875" s="7" t="b">
        <f>AND($N$5,$N$7,16&lt;=$M$5,12&lt;=$M$7)</f>
        <v>0</v>
      </c>
      <c r="O875" s="7">
        <f>(P27-N27)*(O63-O27)-(Q27-O27)*(N63-N27)</f>
        <v>0</v>
      </c>
      <c r="P875" s="7">
        <f>(P27-N27)*(Q63-O27)-(Q27-O27)*(P63-N27)</f>
        <v>0</v>
      </c>
      <c r="Q875" s="7">
        <f>(P63-N63)*(O27-O63)-(Q63-O63)*(N27-N63)</f>
        <v>0</v>
      </c>
      <c r="R875" s="7">
        <f>(P63-N63)*(Q27-O63)-(Q63-O63)*(P27-N63)</f>
        <v>0</v>
      </c>
      <c r="S875" s="7">
        <f>IF(N875,IF(AND(O875*P875&lt;=0,Q875*R875&lt;=0,MAX(MIN(N27,P27),MIN(N63,P63))&lt;=MIN(MAX(N27,P27),MAX(N63,P63)),MAX(MIN(O27,Q27),MIN(O63,Q63))&lt;=MIN(MAX(O27,Q27),MAX(O63,Q63))),1,0),0)</f>
        <v>0</v>
      </c>
      <c r="T875" s="7"/>
      <c r="U875" s="7"/>
      <c r="V875" s="7"/>
      <c r="W875" s="7"/>
      <c r="X875" s="7"/>
      <c r="Y875" s="7"/>
      <c r="Z875" s="7"/>
      <c r="AA875" s="7"/>
      <c r="AB875" s="7"/>
      <c r="AC875" s="7"/>
      <c r="AD875" s="7"/>
      <c r="AE875" s="7"/>
      <c r="AF875" s="7"/>
      <c r="AG875" s="7"/>
      <c r="AH875" s="7"/>
      <c r="AI875" s="7"/>
    </row>
    <row r="876" spans="12:35">
      <c r="L876" s="7">
        <v>27</v>
      </c>
      <c r="M876" s="7">
        <v>64</v>
      </c>
      <c r="N876" s="7" t="b">
        <f>AND($N$5,$N$7,16&lt;=$M$5,13&lt;=$M$7)</f>
        <v>0</v>
      </c>
      <c r="O876" s="7">
        <f>(P27-N27)*(O64-O27)-(Q27-O27)*(N64-N27)</f>
        <v>0</v>
      </c>
      <c r="P876" s="7">
        <f>(P27-N27)*(Q64-O27)-(Q27-O27)*(P64-N27)</f>
        <v>0</v>
      </c>
      <c r="Q876" s="7">
        <f>(P64-N64)*(O27-O64)-(Q64-O64)*(N27-N64)</f>
        <v>0</v>
      </c>
      <c r="R876" s="7">
        <f>(P64-N64)*(Q27-O64)-(Q64-O64)*(P27-N64)</f>
        <v>0</v>
      </c>
      <c r="S876" s="7">
        <f>IF(N876,IF(AND(O876*P876&lt;=0,Q876*R876&lt;=0,MAX(MIN(N27,P27),MIN(N64,P64))&lt;=MIN(MAX(N27,P27),MAX(N64,P64)),MAX(MIN(O27,Q27),MIN(O64,Q64))&lt;=MIN(MAX(O27,Q27),MAX(O64,Q64))),1,0),0)</f>
        <v>0</v>
      </c>
      <c r="T876" s="7"/>
      <c r="U876" s="7"/>
      <c r="V876" s="7"/>
      <c r="W876" s="7"/>
      <c r="X876" s="7"/>
      <c r="Y876" s="7"/>
      <c r="Z876" s="7"/>
      <c r="AA876" s="7"/>
      <c r="AB876" s="7"/>
      <c r="AC876" s="7"/>
      <c r="AD876" s="7"/>
      <c r="AE876" s="7"/>
      <c r="AF876" s="7"/>
      <c r="AG876" s="7"/>
      <c r="AH876" s="7"/>
      <c r="AI876" s="7"/>
    </row>
    <row r="877" spans="12:35">
      <c r="L877" s="7">
        <v>27</v>
      </c>
      <c r="M877" s="7">
        <v>65</v>
      </c>
      <c r="N877" s="7" t="b">
        <f>AND($N$5,$N$7,16&lt;=$M$5,14&lt;=$M$7)</f>
        <v>0</v>
      </c>
      <c r="O877" s="7">
        <f>(P27-N27)*(O65-O27)-(Q27-O27)*(N65-N27)</f>
        <v>0</v>
      </c>
      <c r="P877" s="7">
        <f>(P27-N27)*(Q65-O27)-(Q27-O27)*(P65-N27)</f>
        <v>0</v>
      </c>
      <c r="Q877" s="7">
        <f>(P65-N65)*(O27-O65)-(Q65-O65)*(N27-N65)</f>
        <v>0</v>
      </c>
      <c r="R877" s="7">
        <f>(P65-N65)*(Q27-O65)-(Q65-O65)*(P27-N65)</f>
        <v>0</v>
      </c>
      <c r="S877" s="7">
        <f>IF(N877,IF(AND(O877*P877&lt;=0,Q877*R877&lt;=0,MAX(MIN(N27,P27),MIN(N65,P65))&lt;=MIN(MAX(N27,P27),MAX(N65,P65)),MAX(MIN(O27,Q27),MIN(O65,Q65))&lt;=MIN(MAX(O27,Q27),MAX(O65,Q65))),1,0),0)</f>
        <v>0</v>
      </c>
      <c r="T877" s="7"/>
      <c r="U877" s="7"/>
      <c r="V877" s="7"/>
      <c r="W877" s="7"/>
      <c r="X877" s="7"/>
      <c r="Y877" s="7"/>
      <c r="Z877" s="7"/>
      <c r="AA877" s="7"/>
      <c r="AB877" s="7"/>
      <c r="AC877" s="7"/>
      <c r="AD877" s="7"/>
      <c r="AE877" s="7"/>
      <c r="AF877" s="7"/>
      <c r="AG877" s="7"/>
      <c r="AH877" s="7"/>
      <c r="AI877" s="7"/>
    </row>
    <row r="878" spans="12:35">
      <c r="L878" s="7">
        <v>27</v>
      </c>
      <c r="M878" s="7">
        <v>66</v>
      </c>
      <c r="N878" s="7" t="b">
        <f>AND($N$5,$N$7,16&lt;=$M$5,15&lt;=$M$7)</f>
        <v>0</v>
      </c>
      <c r="O878" s="7">
        <f>(P27-N27)*(O66-O27)-(Q27-O27)*(N66-N27)</f>
        <v>0</v>
      </c>
      <c r="P878" s="7">
        <f>(P27-N27)*(Q66-O27)-(Q27-O27)*(P66-N27)</f>
        <v>0</v>
      </c>
      <c r="Q878" s="7">
        <f>(P66-N66)*(O27-O66)-(Q66-O66)*(N27-N66)</f>
        <v>0</v>
      </c>
      <c r="R878" s="7">
        <f>(P66-N66)*(Q27-O66)-(Q66-O66)*(P27-N66)</f>
        <v>0</v>
      </c>
      <c r="S878" s="7">
        <f>IF(N878,IF(AND(O878*P878&lt;=0,Q878*R878&lt;=0,MAX(MIN(N27,P27),MIN(N66,P66))&lt;=MIN(MAX(N27,P27),MAX(N66,P66)),MAX(MIN(O27,Q27),MIN(O66,Q66))&lt;=MIN(MAX(O27,Q27),MAX(O66,Q66))),1,0),0)</f>
        <v>0</v>
      </c>
      <c r="T878" s="7"/>
      <c r="U878" s="7"/>
      <c r="V878" s="7"/>
      <c r="W878" s="7"/>
      <c r="X878" s="7"/>
      <c r="Y878" s="7"/>
      <c r="Z878" s="7"/>
      <c r="AA878" s="7"/>
      <c r="AB878" s="7"/>
      <c r="AC878" s="7"/>
      <c r="AD878" s="7"/>
      <c r="AE878" s="7"/>
      <c r="AF878" s="7"/>
      <c r="AG878" s="7"/>
      <c r="AH878" s="7"/>
      <c r="AI878" s="7"/>
    </row>
    <row r="879" spans="12:35">
      <c r="L879" s="7">
        <v>27</v>
      </c>
      <c r="M879" s="7">
        <v>67</v>
      </c>
      <c r="N879" s="7" t="b">
        <f>AND($N$5,$N$7,16&lt;=$M$5,16&lt;=$M$7)</f>
        <v>0</v>
      </c>
      <c r="O879" s="7">
        <f>(P27-N27)*(O67-O27)-(Q27-O27)*(N67-N27)</f>
        <v>0</v>
      </c>
      <c r="P879" s="7">
        <f>(P27-N27)*(Q67-O27)-(Q27-O27)*(P67-N27)</f>
        <v>0</v>
      </c>
      <c r="Q879" s="7">
        <f>(P67-N67)*(O27-O67)-(Q67-O67)*(N27-N67)</f>
        <v>0</v>
      </c>
      <c r="R879" s="7">
        <f>(P67-N67)*(Q27-O67)-(Q67-O67)*(P27-N67)</f>
        <v>0</v>
      </c>
      <c r="S879" s="7">
        <f>IF(N879,IF(AND(O879*P879&lt;=0,Q879*R879&lt;=0,MAX(MIN(N27,P27),MIN(N67,P67))&lt;=MIN(MAX(N27,P27),MAX(N67,P67)),MAX(MIN(O27,Q27),MIN(O67,Q67))&lt;=MIN(MAX(O27,Q27),MAX(O67,Q67))),1,0),0)</f>
        <v>0</v>
      </c>
      <c r="T879" s="7"/>
      <c r="U879" s="7"/>
      <c r="V879" s="7"/>
      <c r="W879" s="7"/>
      <c r="X879" s="7"/>
      <c r="Y879" s="7"/>
      <c r="Z879" s="7"/>
      <c r="AA879" s="7"/>
      <c r="AB879" s="7"/>
      <c r="AC879" s="7"/>
      <c r="AD879" s="7"/>
      <c r="AE879" s="7"/>
      <c r="AF879" s="7"/>
      <c r="AG879" s="7"/>
      <c r="AH879" s="7"/>
      <c r="AI879" s="7"/>
    </row>
    <row r="880" spans="12:35">
      <c r="L880" s="7">
        <v>27</v>
      </c>
      <c r="M880" s="7">
        <v>68</v>
      </c>
      <c r="N880" s="7" t="b">
        <f>AND($N$5,$N$7,16&lt;=$M$5,17&lt;=$M$7)</f>
        <v>0</v>
      </c>
      <c r="O880" s="7">
        <f>(P27-N27)*(O68-O27)-(Q27-O27)*(N68-N27)</f>
        <v>0</v>
      </c>
      <c r="P880" s="7">
        <f>(P27-N27)*(Q68-O27)-(Q27-O27)*(P68-N27)</f>
        <v>0</v>
      </c>
      <c r="Q880" s="7">
        <f>(P68-N68)*(O27-O68)-(Q68-O68)*(N27-N68)</f>
        <v>0</v>
      </c>
      <c r="R880" s="7">
        <f>(P68-N68)*(Q27-O68)-(Q68-O68)*(P27-N68)</f>
        <v>0</v>
      </c>
      <c r="S880" s="7">
        <f>IF(N880,IF(AND(O880*P880&lt;=0,Q880*R880&lt;=0,MAX(MIN(N27,P27),MIN(N68,P68))&lt;=MIN(MAX(N27,P27),MAX(N68,P68)),MAX(MIN(O27,Q27),MIN(O68,Q68))&lt;=MIN(MAX(O27,Q27),MAX(O68,Q68))),1,0),0)</f>
        <v>0</v>
      </c>
      <c r="T880" s="7"/>
      <c r="U880" s="7"/>
      <c r="V880" s="7"/>
      <c r="W880" s="7"/>
      <c r="X880" s="7"/>
      <c r="Y880" s="7"/>
      <c r="Z880" s="7"/>
      <c r="AA880" s="7"/>
      <c r="AB880" s="7"/>
      <c r="AC880" s="7"/>
      <c r="AD880" s="7"/>
      <c r="AE880" s="7"/>
      <c r="AF880" s="7"/>
      <c r="AG880" s="7"/>
      <c r="AH880" s="7"/>
      <c r="AI880" s="7"/>
    </row>
    <row r="881" spans="12:35">
      <c r="L881" s="7">
        <v>27</v>
      </c>
      <c r="M881" s="7">
        <v>69</v>
      </c>
      <c r="N881" s="7" t="b">
        <f>AND($N$5,$N$7,16&lt;=$M$5,18&lt;=$M$7)</f>
        <v>0</v>
      </c>
      <c r="O881" s="7">
        <f>(P27-N27)*(O69-O27)-(Q27-O27)*(N69-N27)</f>
        <v>0</v>
      </c>
      <c r="P881" s="7">
        <f>(P27-N27)*(Q69-O27)-(Q27-O27)*(P69-N27)</f>
        <v>0</v>
      </c>
      <c r="Q881" s="7">
        <f>(P69-N69)*(O27-O69)-(Q69-O69)*(N27-N69)</f>
        <v>0</v>
      </c>
      <c r="R881" s="7">
        <f>(P69-N69)*(Q27-O69)-(Q69-O69)*(P27-N69)</f>
        <v>0</v>
      </c>
      <c r="S881" s="7">
        <f>IF(N881,IF(AND(O881*P881&lt;=0,Q881*R881&lt;=0,MAX(MIN(N27,P27),MIN(N69,P69))&lt;=MIN(MAX(N27,P27),MAX(N69,P69)),MAX(MIN(O27,Q27),MIN(O69,Q69))&lt;=MIN(MAX(O27,Q27),MAX(O69,Q69))),1,0),0)</f>
        <v>0</v>
      </c>
      <c r="T881" s="7"/>
      <c r="U881" s="7"/>
      <c r="V881" s="7"/>
      <c r="W881" s="7"/>
      <c r="X881" s="7"/>
      <c r="Y881" s="7"/>
      <c r="Z881" s="7"/>
      <c r="AA881" s="7"/>
      <c r="AB881" s="7"/>
      <c r="AC881" s="7"/>
      <c r="AD881" s="7"/>
      <c r="AE881" s="7"/>
      <c r="AF881" s="7"/>
      <c r="AG881" s="7"/>
      <c r="AH881" s="7"/>
      <c r="AI881" s="7"/>
    </row>
    <row r="882" spans="12:35">
      <c r="L882" s="7">
        <v>27</v>
      </c>
      <c r="M882" s="7">
        <v>70</v>
      </c>
      <c r="N882" s="7" t="b">
        <f>AND($N$5,$N$7,16&lt;=$M$5,19&lt;=$M$7)</f>
        <v>0</v>
      </c>
      <c r="O882" s="7">
        <f>(P27-N27)*(O70-O27)-(Q27-O27)*(N70-N27)</f>
        <v>0</v>
      </c>
      <c r="P882" s="7">
        <f>(P27-N27)*(Q70-O27)-(Q27-O27)*(P70-N27)</f>
        <v>0</v>
      </c>
      <c r="Q882" s="7">
        <f>(P70-N70)*(O27-O70)-(Q70-O70)*(N27-N70)</f>
        <v>0</v>
      </c>
      <c r="R882" s="7">
        <f>(P70-N70)*(Q27-O70)-(Q70-O70)*(P27-N70)</f>
        <v>0</v>
      </c>
      <c r="S882" s="7">
        <f>IF(N882,IF(AND(O882*P882&lt;=0,Q882*R882&lt;=0,MAX(MIN(N27,P27),MIN(N70,P70))&lt;=MIN(MAX(N27,P27),MAX(N70,P70)),MAX(MIN(O27,Q27),MIN(O70,Q70))&lt;=MIN(MAX(O27,Q27),MAX(O70,Q70))),1,0),0)</f>
        <v>0</v>
      </c>
      <c r="T882" s="7"/>
      <c r="U882" s="7"/>
      <c r="V882" s="7"/>
      <c r="W882" s="7"/>
      <c r="X882" s="7"/>
      <c r="Y882" s="7"/>
      <c r="Z882" s="7"/>
      <c r="AA882" s="7"/>
      <c r="AB882" s="7"/>
      <c r="AC882" s="7"/>
      <c r="AD882" s="7"/>
      <c r="AE882" s="7"/>
      <c r="AF882" s="7"/>
      <c r="AG882" s="7"/>
      <c r="AH882" s="7"/>
      <c r="AI882" s="7"/>
    </row>
    <row r="883" spans="12:35">
      <c r="L883" s="7">
        <v>27</v>
      </c>
      <c r="M883" s="7">
        <v>71</v>
      </c>
      <c r="N883" s="7" t="b">
        <f>AND($N$5,$N$7,16&lt;=$M$5,20&lt;=$M$7)</f>
        <v>0</v>
      </c>
      <c r="O883" s="7">
        <f>(P27-N27)*(O71-O27)-(Q27-O27)*(N71-N27)</f>
        <v>0</v>
      </c>
      <c r="P883" s="7">
        <f>(P27-N27)*(Q71-O27)-(Q27-O27)*(P71-N27)</f>
        <v>0</v>
      </c>
      <c r="Q883" s="7">
        <f>(P71-N71)*(O27-O71)-(Q71-O71)*(N27-N71)</f>
        <v>0</v>
      </c>
      <c r="R883" s="7">
        <f>(P71-N71)*(Q27-O71)-(Q71-O71)*(P27-N71)</f>
        <v>0</v>
      </c>
      <c r="S883" s="7">
        <f>IF(N883,IF(AND(O883*P883&lt;=0,Q883*R883&lt;=0,MAX(MIN(N27,P27),MIN(N71,P71))&lt;=MIN(MAX(N27,P27),MAX(N71,P71)),MAX(MIN(O27,Q27),MIN(O71,Q71))&lt;=MIN(MAX(O27,Q27),MAX(O71,Q71))),1,0),0)</f>
        <v>0</v>
      </c>
      <c r="T883" s="7"/>
      <c r="U883" s="7"/>
      <c r="V883" s="7"/>
      <c r="W883" s="7"/>
      <c r="X883" s="7"/>
      <c r="Y883" s="7"/>
      <c r="Z883" s="7"/>
      <c r="AA883" s="7"/>
      <c r="AB883" s="7"/>
      <c r="AC883" s="7"/>
      <c r="AD883" s="7"/>
      <c r="AE883" s="7"/>
      <c r="AF883" s="7"/>
      <c r="AG883" s="7"/>
      <c r="AH883" s="7"/>
      <c r="AI883" s="7"/>
    </row>
    <row r="884" spans="12:35">
      <c r="L884" s="7">
        <v>28</v>
      </c>
      <c r="M884" s="7">
        <v>30</v>
      </c>
      <c r="N884" s="7" t="b">
        <f>AND($N$5,$N$5,17&lt;=$M$5,19&lt;=$M$5)</f>
        <v>0</v>
      </c>
      <c r="O884" s="7">
        <f>(P28-N28)*(O30-O28)-(Q28-O28)*(N30-N28)</f>
        <v>0</v>
      </c>
      <c r="P884" s="7">
        <f>(P28-N28)*(Q30-O28)-(Q28-O28)*(P30-N28)</f>
        <v>0</v>
      </c>
      <c r="Q884" s="7">
        <f>(P30-N30)*(O28-O30)-(Q30-O30)*(N28-N30)</f>
        <v>0</v>
      </c>
      <c r="R884" s="7">
        <f>(P30-N30)*(Q28-O30)-(Q30-O30)*(P28-N30)</f>
        <v>0</v>
      </c>
      <c r="S884" s="7">
        <f>IF(N884,IF(AND(O884*P884&lt;=0,Q884*R884&lt;=0,MAX(MIN(N28,P28),MIN(N30,P30))&lt;=MIN(MAX(N28,P28),MAX(N30,P30)),MAX(MIN(O28,Q28),MIN(O30,Q30))&lt;=MIN(MAX(O28,Q28),MAX(O30,Q30))),1,0),0)</f>
        <v>0</v>
      </c>
      <c r="T884" s="7"/>
      <c r="U884" s="7"/>
      <c r="V884" s="7"/>
      <c r="W884" s="7"/>
      <c r="X884" s="7"/>
      <c r="Y884" s="7"/>
      <c r="Z884" s="7"/>
      <c r="AA884" s="7"/>
      <c r="AB884" s="7"/>
      <c r="AC884" s="7"/>
      <c r="AD884" s="7"/>
      <c r="AE884" s="7"/>
      <c r="AF884" s="7"/>
      <c r="AG884" s="7"/>
      <c r="AH884" s="7"/>
      <c r="AI884" s="7"/>
    </row>
    <row r="885" spans="12:35">
      <c r="L885" s="7">
        <v>28</v>
      </c>
      <c r="M885" s="7">
        <v>31</v>
      </c>
      <c r="N885" s="7" t="b">
        <f>AND($N$5,$N$5,17&lt;=$M$5,20&lt;=$M$5)</f>
        <v>0</v>
      </c>
      <c r="O885" s="7">
        <f>(P28-N28)*(O31-O28)-(Q28-O28)*(N31-N28)</f>
        <v>0</v>
      </c>
      <c r="P885" s="7">
        <f>(P28-N28)*(Q31-O28)-(Q28-O28)*(P31-N28)</f>
        <v>0</v>
      </c>
      <c r="Q885" s="7">
        <f>(P31-N31)*(O28-O31)-(Q31-O31)*(N28-N31)</f>
        <v>0</v>
      </c>
      <c r="R885" s="7">
        <f>(P31-N31)*(Q28-O31)-(Q31-O31)*(P28-N31)</f>
        <v>0</v>
      </c>
      <c r="S885" s="7">
        <f>IF(N885,IF(AND(O885*P885&lt;=0,Q885*R885&lt;=0,MAX(MIN(N28,P28),MIN(N31,P31))&lt;=MIN(MAX(N28,P28),MAX(N31,P31)),MAX(MIN(O28,Q28),MIN(O31,Q31))&lt;=MIN(MAX(O28,Q28),MAX(O31,Q31))),1,0),0)</f>
        <v>0</v>
      </c>
      <c r="T885" s="7"/>
      <c r="U885" s="7"/>
      <c r="V885" s="7"/>
      <c r="W885" s="7"/>
      <c r="X885" s="7"/>
      <c r="Y885" s="7"/>
      <c r="Z885" s="7"/>
      <c r="AA885" s="7"/>
      <c r="AB885" s="7"/>
      <c r="AC885" s="7"/>
      <c r="AD885" s="7"/>
      <c r="AE885" s="7"/>
      <c r="AF885" s="7"/>
      <c r="AG885" s="7"/>
      <c r="AH885" s="7"/>
      <c r="AI885" s="7"/>
    </row>
    <row r="886" spans="12:35">
      <c r="L886" s="7">
        <v>28</v>
      </c>
      <c r="M886" s="7">
        <v>32</v>
      </c>
      <c r="N886" s="7" t="b">
        <f>AND($N$5,$N$6,17&lt;=$M$5,1&lt;=$M$6)</f>
        <v>0</v>
      </c>
      <c r="O886" s="7">
        <f>(P28-N28)*(O32-O28)-(Q28-O28)*(N32-N28)</f>
        <v>0</v>
      </c>
      <c r="P886" s="7">
        <f>(P28-N28)*(Q32-O28)-(Q28-O28)*(P32-N28)</f>
        <v>0</v>
      </c>
      <c r="Q886" s="7">
        <f>(P32-N32)*(O28-O32)-(Q32-O32)*(N28-N32)</f>
        <v>0</v>
      </c>
      <c r="R886" s="7">
        <f>(P32-N32)*(Q28-O32)-(Q32-O32)*(P28-N32)</f>
        <v>0</v>
      </c>
      <c r="S886" s="7">
        <f>IF(N886,IF(AND(O886*P886&lt;=0,Q886*R886&lt;=0,MAX(MIN(N28,P28),MIN(N32,P32))&lt;=MIN(MAX(N28,P28),MAX(N32,P32)),MAX(MIN(O28,Q28),MIN(O32,Q32))&lt;=MIN(MAX(O28,Q28),MAX(O32,Q32))),1,0),0)</f>
        <v>0</v>
      </c>
      <c r="T886" s="7"/>
      <c r="U886" s="7"/>
      <c r="V886" s="7"/>
      <c r="W886" s="7"/>
      <c r="X886" s="7"/>
      <c r="Y886" s="7"/>
      <c r="Z886" s="7"/>
      <c r="AA886" s="7"/>
      <c r="AB886" s="7"/>
      <c r="AC886" s="7"/>
      <c r="AD886" s="7"/>
      <c r="AE886" s="7"/>
      <c r="AF886" s="7"/>
      <c r="AG886" s="7"/>
      <c r="AH886" s="7"/>
      <c r="AI886" s="7"/>
    </row>
    <row r="887" spans="12:35">
      <c r="L887" s="7">
        <v>28</v>
      </c>
      <c r="M887" s="7">
        <v>33</v>
      </c>
      <c r="N887" s="7" t="b">
        <f>AND($N$5,$N$6,17&lt;=$M$5,2&lt;=$M$6)</f>
        <v>0</v>
      </c>
      <c r="O887" s="7">
        <f>(P28-N28)*(O33-O28)-(Q28-O28)*(N33-N28)</f>
        <v>0</v>
      </c>
      <c r="P887" s="7">
        <f>(P28-N28)*(Q33-O28)-(Q28-O28)*(P33-N28)</f>
        <v>0</v>
      </c>
      <c r="Q887" s="7">
        <f>(P33-N33)*(O28-O33)-(Q33-O33)*(N28-N33)</f>
        <v>0</v>
      </c>
      <c r="R887" s="7">
        <f>(P33-N33)*(Q28-O33)-(Q33-O33)*(P28-N33)</f>
        <v>0</v>
      </c>
      <c r="S887" s="7">
        <f>IF(N887,IF(AND(O887*P887&lt;=0,Q887*R887&lt;=0,MAX(MIN(N28,P28),MIN(N33,P33))&lt;=MIN(MAX(N28,P28),MAX(N33,P33)),MAX(MIN(O28,Q28),MIN(O33,Q33))&lt;=MIN(MAX(O28,Q28),MAX(O33,Q33))),1,0),0)</f>
        <v>0</v>
      </c>
      <c r="T887" s="7"/>
      <c r="U887" s="7"/>
      <c r="V887" s="7"/>
      <c r="W887" s="7"/>
      <c r="X887" s="7"/>
      <c r="Y887" s="7"/>
      <c r="Z887" s="7"/>
      <c r="AA887" s="7"/>
      <c r="AB887" s="7"/>
      <c r="AC887" s="7"/>
      <c r="AD887" s="7"/>
      <c r="AE887" s="7"/>
      <c r="AF887" s="7"/>
      <c r="AG887" s="7"/>
      <c r="AH887" s="7"/>
      <c r="AI887" s="7"/>
    </row>
    <row r="888" spans="12:35">
      <c r="L888" s="7">
        <v>28</v>
      </c>
      <c r="M888" s="7">
        <v>34</v>
      </c>
      <c r="N888" s="7" t="b">
        <f>AND($N$5,$N$6,17&lt;=$M$5,3&lt;=$M$6)</f>
        <v>0</v>
      </c>
      <c r="O888" s="7">
        <f>(P28-N28)*(O34-O28)-(Q28-O28)*(N34-N28)</f>
        <v>0</v>
      </c>
      <c r="P888" s="7">
        <f>(P28-N28)*(Q34-O28)-(Q28-O28)*(P34-N28)</f>
        <v>0</v>
      </c>
      <c r="Q888" s="7">
        <f>(P34-N34)*(O28-O34)-(Q34-O34)*(N28-N34)</f>
        <v>0</v>
      </c>
      <c r="R888" s="7">
        <f>(P34-N34)*(Q28-O34)-(Q34-O34)*(P28-N34)</f>
        <v>0</v>
      </c>
      <c r="S888" s="7">
        <f>IF(N888,IF(AND(O888*P888&lt;=0,Q888*R888&lt;=0,MAX(MIN(N28,P28),MIN(N34,P34))&lt;=MIN(MAX(N28,P28),MAX(N34,P34)),MAX(MIN(O28,Q28),MIN(O34,Q34))&lt;=MIN(MAX(O28,Q28),MAX(O34,Q34))),1,0),0)</f>
        <v>0</v>
      </c>
      <c r="T888" s="7"/>
      <c r="U888" s="7"/>
      <c r="V888" s="7"/>
      <c r="W888" s="7"/>
      <c r="X888" s="7"/>
      <c r="Y888" s="7"/>
      <c r="Z888" s="7"/>
      <c r="AA888" s="7"/>
      <c r="AB888" s="7"/>
      <c r="AC888" s="7"/>
      <c r="AD888" s="7"/>
      <c r="AE888" s="7"/>
      <c r="AF888" s="7"/>
      <c r="AG888" s="7"/>
      <c r="AH888" s="7"/>
      <c r="AI888" s="7"/>
    </row>
    <row r="889" spans="12:35">
      <c r="L889" s="7">
        <v>28</v>
      </c>
      <c r="M889" s="7">
        <v>35</v>
      </c>
      <c r="N889" s="7" t="b">
        <f>AND($N$5,$N$6,17&lt;=$M$5,4&lt;=$M$6)</f>
        <v>0</v>
      </c>
      <c r="O889" s="7">
        <f>(P28-N28)*(O35-O28)-(Q28-O28)*(N35-N28)</f>
        <v>0</v>
      </c>
      <c r="P889" s="7">
        <f>(P28-N28)*(Q35-O28)-(Q28-O28)*(P35-N28)</f>
        <v>0</v>
      </c>
      <c r="Q889" s="7">
        <f>(P35-N35)*(O28-O35)-(Q35-O35)*(N28-N35)</f>
        <v>0</v>
      </c>
      <c r="R889" s="7">
        <f>(P35-N35)*(Q28-O35)-(Q35-O35)*(P28-N35)</f>
        <v>0</v>
      </c>
      <c r="S889" s="7">
        <f>IF(N889,IF(AND(O889*P889&lt;=0,Q889*R889&lt;=0,MAX(MIN(N28,P28),MIN(N35,P35))&lt;=MIN(MAX(N28,P28),MAX(N35,P35)),MAX(MIN(O28,Q28),MIN(O35,Q35))&lt;=MIN(MAX(O28,Q28),MAX(O35,Q35))),1,0),0)</f>
        <v>0</v>
      </c>
      <c r="T889" s="7"/>
      <c r="U889" s="7"/>
      <c r="V889" s="7"/>
      <c r="W889" s="7"/>
      <c r="X889" s="7"/>
      <c r="Y889" s="7"/>
      <c r="Z889" s="7"/>
      <c r="AA889" s="7"/>
      <c r="AB889" s="7"/>
      <c r="AC889" s="7"/>
      <c r="AD889" s="7"/>
      <c r="AE889" s="7"/>
      <c r="AF889" s="7"/>
      <c r="AG889" s="7"/>
      <c r="AH889" s="7"/>
      <c r="AI889" s="7"/>
    </row>
    <row r="890" spans="12:35">
      <c r="L890" s="7">
        <v>28</v>
      </c>
      <c r="M890" s="7">
        <v>36</v>
      </c>
      <c r="N890" s="7" t="b">
        <f>AND($N$5,$N$6,17&lt;=$M$5,5&lt;=$M$6)</f>
        <v>0</v>
      </c>
      <c r="O890" s="7">
        <f>(P28-N28)*(O36-O28)-(Q28-O28)*(N36-N28)</f>
        <v>0</v>
      </c>
      <c r="P890" s="7">
        <f>(P28-N28)*(Q36-O28)-(Q28-O28)*(P36-N28)</f>
        <v>0</v>
      </c>
      <c r="Q890" s="7">
        <f>(P36-N36)*(O28-O36)-(Q36-O36)*(N28-N36)</f>
        <v>0</v>
      </c>
      <c r="R890" s="7">
        <f>(P36-N36)*(Q28-O36)-(Q36-O36)*(P28-N36)</f>
        <v>0</v>
      </c>
      <c r="S890" s="7">
        <f>IF(N890,IF(AND(O890*P890&lt;=0,Q890*R890&lt;=0,MAX(MIN(N28,P28),MIN(N36,P36))&lt;=MIN(MAX(N28,P28),MAX(N36,P36)),MAX(MIN(O28,Q28),MIN(O36,Q36))&lt;=MIN(MAX(O28,Q28),MAX(O36,Q36))),1,0),0)</f>
        <v>0</v>
      </c>
      <c r="T890" s="7"/>
      <c r="U890" s="7"/>
      <c r="V890" s="7"/>
      <c r="W890" s="7"/>
      <c r="X890" s="7"/>
      <c r="Y890" s="7"/>
      <c r="Z890" s="7"/>
      <c r="AA890" s="7"/>
      <c r="AB890" s="7"/>
      <c r="AC890" s="7"/>
      <c r="AD890" s="7"/>
      <c r="AE890" s="7"/>
      <c r="AF890" s="7"/>
      <c r="AG890" s="7"/>
      <c r="AH890" s="7"/>
      <c r="AI890" s="7"/>
    </row>
    <row r="891" spans="12:35">
      <c r="L891" s="7">
        <v>28</v>
      </c>
      <c r="M891" s="7">
        <v>37</v>
      </c>
      <c r="N891" s="7" t="b">
        <f>AND($N$5,$N$6,17&lt;=$M$5,6&lt;=$M$6)</f>
        <v>0</v>
      </c>
      <c r="O891" s="7">
        <f>(P28-N28)*(O37-O28)-(Q28-O28)*(N37-N28)</f>
        <v>0</v>
      </c>
      <c r="P891" s="7">
        <f>(P28-N28)*(Q37-O28)-(Q28-O28)*(P37-N28)</f>
        <v>0</v>
      </c>
      <c r="Q891" s="7">
        <f>(P37-N37)*(O28-O37)-(Q37-O37)*(N28-N37)</f>
        <v>0</v>
      </c>
      <c r="R891" s="7">
        <f>(P37-N37)*(Q28-O37)-(Q37-O37)*(P28-N37)</f>
        <v>0</v>
      </c>
      <c r="S891" s="7">
        <f>IF(N891,IF(AND(O891*P891&lt;=0,Q891*R891&lt;=0,MAX(MIN(N28,P28),MIN(N37,P37))&lt;=MIN(MAX(N28,P28),MAX(N37,P37)),MAX(MIN(O28,Q28),MIN(O37,Q37))&lt;=MIN(MAX(O28,Q28),MAX(O37,Q37))),1,0),0)</f>
        <v>0</v>
      </c>
      <c r="T891" s="7"/>
      <c r="U891" s="7"/>
      <c r="V891" s="7"/>
      <c r="W891" s="7"/>
      <c r="X891" s="7"/>
      <c r="Y891" s="7"/>
      <c r="Z891" s="7"/>
      <c r="AA891" s="7"/>
      <c r="AB891" s="7"/>
      <c r="AC891" s="7"/>
      <c r="AD891" s="7"/>
      <c r="AE891" s="7"/>
      <c r="AF891" s="7"/>
      <c r="AG891" s="7"/>
      <c r="AH891" s="7"/>
      <c r="AI891" s="7"/>
    </row>
    <row r="892" spans="12:35">
      <c r="L892" s="7">
        <v>28</v>
      </c>
      <c r="M892" s="7">
        <v>38</v>
      </c>
      <c r="N892" s="7" t="b">
        <f>AND($N$5,$N$6,17&lt;=$M$5,7&lt;=$M$6)</f>
        <v>0</v>
      </c>
      <c r="O892" s="7">
        <f>(P28-N28)*(O38-O28)-(Q28-O28)*(N38-N28)</f>
        <v>0</v>
      </c>
      <c r="P892" s="7">
        <f>(P28-N28)*(Q38-O28)-(Q28-O28)*(P38-N28)</f>
        <v>0</v>
      </c>
      <c r="Q892" s="7">
        <f>(P38-N38)*(O28-O38)-(Q38-O38)*(N28-N38)</f>
        <v>0</v>
      </c>
      <c r="R892" s="7">
        <f>(P38-N38)*(Q28-O38)-(Q38-O38)*(P28-N38)</f>
        <v>0</v>
      </c>
      <c r="S892" s="7">
        <f>IF(N892,IF(AND(O892*P892&lt;=0,Q892*R892&lt;=0,MAX(MIN(N28,P28),MIN(N38,P38))&lt;=MIN(MAX(N28,P28),MAX(N38,P38)),MAX(MIN(O28,Q28),MIN(O38,Q38))&lt;=MIN(MAX(O28,Q28),MAX(O38,Q38))),1,0),0)</f>
        <v>0</v>
      </c>
      <c r="T892" s="7"/>
      <c r="U892" s="7"/>
      <c r="V892" s="7"/>
      <c r="W892" s="7"/>
      <c r="X892" s="7"/>
      <c r="Y892" s="7"/>
      <c r="Z892" s="7"/>
      <c r="AA892" s="7"/>
      <c r="AB892" s="7"/>
      <c r="AC892" s="7"/>
      <c r="AD892" s="7"/>
      <c r="AE892" s="7"/>
      <c r="AF892" s="7"/>
      <c r="AG892" s="7"/>
      <c r="AH892" s="7"/>
      <c r="AI892" s="7"/>
    </row>
    <row r="893" spans="12:35">
      <c r="L893" s="7">
        <v>28</v>
      </c>
      <c r="M893" s="7">
        <v>39</v>
      </c>
      <c r="N893" s="7" t="b">
        <f>AND($N$5,$N$6,17&lt;=$M$5,8&lt;=$M$6)</f>
        <v>0</v>
      </c>
      <c r="O893" s="7">
        <f>(P28-N28)*(O39-O28)-(Q28-O28)*(N39-N28)</f>
        <v>0</v>
      </c>
      <c r="P893" s="7">
        <f>(P28-N28)*(Q39-O28)-(Q28-O28)*(P39-N28)</f>
        <v>0</v>
      </c>
      <c r="Q893" s="7">
        <f>(P39-N39)*(O28-O39)-(Q39-O39)*(N28-N39)</f>
        <v>0</v>
      </c>
      <c r="R893" s="7">
        <f>(P39-N39)*(Q28-O39)-(Q39-O39)*(P28-N39)</f>
        <v>0</v>
      </c>
      <c r="S893" s="7">
        <f>IF(N893,IF(AND(O893*P893&lt;=0,Q893*R893&lt;=0,MAX(MIN(N28,P28),MIN(N39,P39))&lt;=MIN(MAX(N28,P28),MAX(N39,P39)),MAX(MIN(O28,Q28),MIN(O39,Q39))&lt;=MIN(MAX(O28,Q28),MAX(O39,Q39))),1,0),0)</f>
        <v>0</v>
      </c>
      <c r="T893" s="7"/>
      <c r="U893" s="7"/>
      <c r="V893" s="7"/>
      <c r="W893" s="7"/>
      <c r="X893" s="7"/>
      <c r="Y893" s="7"/>
      <c r="Z893" s="7"/>
      <c r="AA893" s="7"/>
      <c r="AB893" s="7"/>
      <c r="AC893" s="7"/>
      <c r="AD893" s="7"/>
      <c r="AE893" s="7"/>
      <c r="AF893" s="7"/>
      <c r="AG893" s="7"/>
      <c r="AH893" s="7"/>
      <c r="AI893" s="7"/>
    </row>
    <row r="894" spans="12:35">
      <c r="L894" s="7">
        <v>28</v>
      </c>
      <c r="M894" s="7">
        <v>40</v>
      </c>
      <c r="N894" s="7" t="b">
        <f>AND($N$5,$N$6,17&lt;=$M$5,9&lt;=$M$6)</f>
        <v>0</v>
      </c>
      <c r="O894" s="7">
        <f>(P28-N28)*(O40-O28)-(Q28-O28)*(N40-N28)</f>
        <v>0</v>
      </c>
      <c r="P894" s="7">
        <f>(P28-N28)*(Q40-O28)-(Q28-O28)*(P40-N28)</f>
        <v>0</v>
      </c>
      <c r="Q894" s="7">
        <f>(P40-N40)*(O28-O40)-(Q40-O40)*(N28-N40)</f>
        <v>0</v>
      </c>
      <c r="R894" s="7">
        <f>(P40-N40)*(Q28-O40)-(Q40-O40)*(P28-N40)</f>
        <v>0</v>
      </c>
      <c r="S894" s="7">
        <f>IF(N894,IF(AND(O894*P894&lt;=0,Q894*R894&lt;=0,MAX(MIN(N28,P28),MIN(N40,P40))&lt;=MIN(MAX(N28,P28),MAX(N40,P40)),MAX(MIN(O28,Q28),MIN(O40,Q40))&lt;=MIN(MAX(O28,Q28),MAX(O40,Q40))),1,0),0)</f>
        <v>0</v>
      </c>
      <c r="T894" s="7"/>
      <c r="U894" s="7"/>
      <c r="V894" s="7"/>
      <c r="W894" s="7"/>
      <c r="X894" s="7"/>
      <c r="Y894" s="7"/>
      <c r="Z894" s="7"/>
      <c r="AA894" s="7"/>
      <c r="AB894" s="7"/>
      <c r="AC894" s="7"/>
      <c r="AD894" s="7"/>
      <c r="AE894" s="7"/>
      <c r="AF894" s="7"/>
      <c r="AG894" s="7"/>
      <c r="AH894" s="7"/>
      <c r="AI894" s="7"/>
    </row>
    <row r="895" spans="12:35">
      <c r="L895" s="7">
        <v>28</v>
      </c>
      <c r="M895" s="7">
        <v>41</v>
      </c>
      <c r="N895" s="7" t="b">
        <f>AND($N$5,$N$6,17&lt;=$M$5,10&lt;=$M$6)</f>
        <v>0</v>
      </c>
      <c r="O895" s="7">
        <f>(P28-N28)*(O41-O28)-(Q28-O28)*(N41-N28)</f>
        <v>0</v>
      </c>
      <c r="P895" s="7">
        <f>(P28-N28)*(Q41-O28)-(Q28-O28)*(P41-N28)</f>
        <v>0</v>
      </c>
      <c r="Q895" s="7">
        <f>(P41-N41)*(O28-O41)-(Q41-O41)*(N28-N41)</f>
        <v>0</v>
      </c>
      <c r="R895" s="7">
        <f>(P41-N41)*(Q28-O41)-(Q41-O41)*(P28-N41)</f>
        <v>0</v>
      </c>
      <c r="S895" s="7">
        <f>IF(N895,IF(AND(O895*P895&lt;=0,Q895*R895&lt;=0,MAX(MIN(N28,P28),MIN(N41,P41))&lt;=MIN(MAX(N28,P28),MAX(N41,P41)),MAX(MIN(O28,Q28),MIN(O41,Q41))&lt;=MIN(MAX(O28,Q28),MAX(O41,Q41))),1,0),0)</f>
        <v>0</v>
      </c>
      <c r="T895" s="7"/>
      <c r="U895" s="7"/>
      <c r="V895" s="7"/>
      <c r="W895" s="7"/>
      <c r="X895" s="7"/>
      <c r="Y895" s="7"/>
      <c r="Z895" s="7"/>
      <c r="AA895" s="7"/>
      <c r="AB895" s="7"/>
      <c r="AC895" s="7"/>
      <c r="AD895" s="7"/>
      <c r="AE895" s="7"/>
      <c r="AF895" s="7"/>
      <c r="AG895" s="7"/>
      <c r="AH895" s="7"/>
      <c r="AI895" s="7"/>
    </row>
    <row r="896" spans="12:35">
      <c r="L896" s="7">
        <v>28</v>
      </c>
      <c r="M896" s="7">
        <v>42</v>
      </c>
      <c r="N896" s="7" t="b">
        <f>AND($N$5,$N$6,17&lt;=$M$5,11&lt;=$M$6)</f>
        <v>0</v>
      </c>
      <c r="O896" s="7">
        <f>(P28-N28)*(O42-O28)-(Q28-O28)*(N42-N28)</f>
        <v>0</v>
      </c>
      <c r="P896" s="7">
        <f>(P28-N28)*(Q42-O28)-(Q28-O28)*(P42-N28)</f>
        <v>0</v>
      </c>
      <c r="Q896" s="7">
        <f>(P42-N42)*(O28-O42)-(Q42-O42)*(N28-N42)</f>
        <v>0</v>
      </c>
      <c r="R896" s="7">
        <f>(P42-N42)*(Q28-O42)-(Q42-O42)*(P28-N42)</f>
        <v>0</v>
      </c>
      <c r="S896" s="7">
        <f>IF(N896,IF(AND(O896*P896&lt;=0,Q896*R896&lt;=0,MAX(MIN(N28,P28),MIN(N42,P42))&lt;=MIN(MAX(N28,P28),MAX(N42,P42)),MAX(MIN(O28,Q28),MIN(O42,Q42))&lt;=MIN(MAX(O28,Q28),MAX(O42,Q42))),1,0),0)</f>
        <v>0</v>
      </c>
      <c r="T896" s="7"/>
      <c r="U896" s="7"/>
      <c r="V896" s="7"/>
      <c r="W896" s="7"/>
      <c r="X896" s="7"/>
      <c r="Y896" s="7"/>
      <c r="Z896" s="7"/>
      <c r="AA896" s="7"/>
      <c r="AB896" s="7"/>
      <c r="AC896" s="7"/>
      <c r="AD896" s="7"/>
      <c r="AE896" s="7"/>
      <c r="AF896" s="7"/>
      <c r="AG896" s="7"/>
      <c r="AH896" s="7"/>
      <c r="AI896" s="7"/>
    </row>
    <row r="897" spans="12:35">
      <c r="L897" s="7">
        <v>28</v>
      </c>
      <c r="M897" s="7">
        <v>43</v>
      </c>
      <c r="N897" s="7" t="b">
        <f>AND($N$5,$N$6,17&lt;=$M$5,12&lt;=$M$6)</f>
        <v>0</v>
      </c>
      <c r="O897" s="7">
        <f>(P28-N28)*(O43-O28)-(Q28-O28)*(N43-N28)</f>
        <v>0</v>
      </c>
      <c r="P897" s="7">
        <f>(P28-N28)*(Q43-O28)-(Q28-O28)*(P43-N28)</f>
        <v>0</v>
      </c>
      <c r="Q897" s="7">
        <f>(P43-N43)*(O28-O43)-(Q43-O43)*(N28-N43)</f>
        <v>0</v>
      </c>
      <c r="R897" s="7">
        <f>(P43-N43)*(Q28-O43)-(Q43-O43)*(P28-N43)</f>
        <v>0</v>
      </c>
      <c r="S897" s="7">
        <f>IF(N897,IF(AND(O897*P897&lt;=0,Q897*R897&lt;=0,MAX(MIN(N28,P28),MIN(N43,P43))&lt;=MIN(MAX(N28,P28),MAX(N43,P43)),MAX(MIN(O28,Q28),MIN(O43,Q43))&lt;=MIN(MAX(O28,Q28),MAX(O43,Q43))),1,0),0)</f>
        <v>0</v>
      </c>
      <c r="T897" s="7"/>
      <c r="U897" s="7"/>
      <c r="V897" s="7"/>
      <c r="W897" s="7"/>
      <c r="X897" s="7"/>
      <c r="Y897" s="7"/>
      <c r="Z897" s="7"/>
      <c r="AA897" s="7"/>
      <c r="AB897" s="7"/>
      <c r="AC897" s="7"/>
      <c r="AD897" s="7"/>
      <c r="AE897" s="7"/>
      <c r="AF897" s="7"/>
      <c r="AG897" s="7"/>
      <c r="AH897" s="7"/>
      <c r="AI897" s="7"/>
    </row>
    <row r="898" spans="12:35">
      <c r="L898" s="7">
        <v>28</v>
      </c>
      <c r="M898" s="7">
        <v>44</v>
      </c>
      <c r="N898" s="7" t="b">
        <f>AND($N$5,$N$6,17&lt;=$M$5,13&lt;=$M$6)</f>
        <v>0</v>
      </c>
      <c r="O898" s="7">
        <f>(P28-N28)*(O44-O28)-(Q28-O28)*(N44-N28)</f>
        <v>0</v>
      </c>
      <c r="P898" s="7">
        <f>(P28-N28)*(Q44-O28)-(Q28-O28)*(P44-N28)</f>
        <v>0</v>
      </c>
      <c r="Q898" s="7">
        <f>(P44-N44)*(O28-O44)-(Q44-O44)*(N28-N44)</f>
        <v>0</v>
      </c>
      <c r="R898" s="7">
        <f>(P44-N44)*(Q28-O44)-(Q44-O44)*(P28-N44)</f>
        <v>0</v>
      </c>
      <c r="S898" s="7">
        <f>IF(N898,IF(AND(O898*P898&lt;=0,Q898*R898&lt;=0,MAX(MIN(N28,P28),MIN(N44,P44))&lt;=MIN(MAX(N28,P28),MAX(N44,P44)),MAX(MIN(O28,Q28),MIN(O44,Q44))&lt;=MIN(MAX(O28,Q28),MAX(O44,Q44))),1,0),0)</f>
        <v>0</v>
      </c>
      <c r="T898" s="7"/>
      <c r="U898" s="7"/>
      <c r="V898" s="7"/>
      <c r="W898" s="7"/>
      <c r="X898" s="7"/>
      <c r="Y898" s="7"/>
      <c r="Z898" s="7"/>
      <c r="AA898" s="7"/>
      <c r="AB898" s="7"/>
      <c r="AC898" s="7"/>
      <c r="AD898" s="7"/>
      <c r="AE898" s="7"/>
      <c r="AF898" s="7"/>
      <c r="AG898" s="7"/>
      <c r="AH898" s="7"/>
      <c r="AI898" s="7"/>
    </row>
    <row r="899" spans="12:35">
      <c r="L899" s="7">
        <v>28</v>
      </c>
      <c r="M899" s="7">
        <v>45</v>
      </c>
      <c r="N899" s="7" t="b">
        <f>AND($N$5,$N$6,17&lt;=$M$5,14&lt;=$M$6)</f>
        <v>0</v>
      </c>
      <c r="O899" s="7">
        <f>(P28-N28)*(O45-O28)-(Q28-O28)*(N45-N28)</f>
        <v>0</v>
      </c>
      <c r="P899" s="7">
        <f>(P28-N28)*(Q45-O28)-(Q28-O28)*(P45-N28)</f>
        <v>0</v>
      </c>
      <c r="Q899" s="7">
        <f>(P45-N45)*(O28-O45)-(Q45-O45)*(N28-N45)</f>
        <v>0</v>
      </c>
      <c r="R899" s="7">
        <f>(P45-N45)*(Q28-O45)-(Q45-O45)*(P28-N45)</f>
        <v>0</v>
      </c>
      <c r="S899" s="7">
        <f>IF(N899,IF(AND(O899*P899&lt;=0,Q899*R899&lt;=0,MAX(MIN(N28,P28),MIN(N45,P45))&lt;=MIN(MAX(N28,P28),MAX(N45,P45)),MAX(MIN(O28,Q28),MIN(O45,Q45))&lt;=MIN(MAX(O28,Q28),MAX(O45,Q45))),1,0),0)</f>
        <v>0</v>
      </c>
      <c r="T899" s="7"/>
      <c r="U899" s="7"/>
      <c r="V899" s="7"/>
      <c r="W899" s="7"/>
      <c r="X899" s="7"/>
      <c r="Y899" s="7"/>
      <c r="Z899" s="7"/>
      <c r="AA899" s="7"/>
      <c r="AB899" s="7"/>
      <c r="AC899" s="7"/>
      <c r="AD899" s="7"/>
      <c r="AE899" s="7"/>
      <c r="AF899" s="7"/>
      <c r="AG899" s="7"/>
      <c r="AH899" s="7"/>
      <c r="AI899" s="7"/>
    </row>
    <row r="900" spans="12:35">
      <c r="L900" s="7">
        <v>28</v>
      </c>
      <c r="M900" s="7">
        <v>46</v>
      </c>
      <c r="N900" s="7" t="b">
        <f>AND($N$5,$N$6,17&lt;=$M$5,15&lt;=$M$6)</f>
        <v>0</v>
      </c>
      <c r="O900" s="7">
        <f>(P28-N28)*(O46-O28)-(Q28-O28)*(N46-N28)</f>
        <v>0</v>
      </c>
      <c r="P900" s="7">
        <f>(P28-N28)*(Q46-O28)-(Q28-O28)*(P46-N28)</f>
        <v>0</v>
      </c>
      <c r="Q900" s="7">
        <f>(P46-N46)*(O28-O46)-(Q46-O46)*(N28-N46)</f>
        <v>0</v>
      </c>
      <c r="R900" s="7">
        <f>(P46-N46)*(Q28-O46)-(Q46-O46)*(P28-N46)</f>
        <v>0</v>
      </c>
      <c r="S900" s="7">
        <f>IF(N900,IF(AND(O900*P900&lt;=0,Q900*R900&lt;=0,MAX(MIN(N28,P28),MIN(N46,P46))&lt;=MIN(MAX(N28,P28),MAX(N46,P46)),MAX(MIN(O28,Q28),MIN(O46,Q46))&lt;=MIN(MAX(O28,Q28),MAX(O46,Q46))),1,0),0)</f>
        <v>0</v>
      </c>
      <c r="T900" s="7"/>
      <c r="U900" s="7"/>
      <c r="V900" s="7"/>
      <c r="W900" s="7"/>
      <c r="X900" s="7"/>
      <c r="Y900" s="7"/>
      <c r="Z900" s="7"/>
      <c r="AA900" s="7"/>
      <c r="AB900" s="7"/>
      <c r="AC900" s="7"/>
      <c r="AD900" s="7"/>
      <c r="AE900" s="7"/>
      <c r="AF900" s="7"/>
      <c r="AG900" s="7"/>
      <c r="AH900" s="7"/>
      <c r="AI900" s="7"/>
    </row>
    <row r="901" spans="12:35">
      <c r="L901" s="7">
        <v>28</v>
      </c>
      <c r="M901" s="7">
        <v>47</v>
      </c>
      <c r="N901" s="7" t="b">
        <f>AND($N$5,$N$6,17&lt;=$M$5,16&lt;=$M$6)</f>
        <v>0</v>
      </c>
      <c r="O901" s="7">
        <f>(P28-N28)*(O47-O28)-(Q28-O28)*(N47-N28)</f>
        <v>0</v>
      </c>
      <c r="P901" s="7">
        <f>(P28-N28)*(Q47-O28)-(Q28-O28)*(P47-N28)</f>
        <v>0</v>
      </c>
      <c r="Q901" s="7">
        <f>(P47-N47)*(O28-O47)-(Q47-O47)*(N28-N47)</f>
        <v>0</v>
      </c>
      <c r="R901" s="7">
        <f>(P47-N47)*(Q28-O47)-(Q47-O47)*(P28-N47)</f>
        <v>0</v>
      </c>
      <c r="S901" s="7">
        <f>IF(N901,IF(AND(O901*P901&lt;=0,Q901*R901&lt;=0,MAX(MIN(N28,P28),MIN(N47,P47))&lt;=MIN(MAX(N28,P28),MAX(N47,P47)),MAX(MIN(O28,Q28),MIN(O47,Q47))&lt;=MIN(MAX(O28,Q28),MAX(O47,Q47))),1,0),0)</f>
        <v>0</v>
      </c>
      <c r="T901" s="7"/>
      <c r="U901" s="7"/>
      <c r="V901" s="7"/>
      <c r="W901" s="7"/>
      <c r="X901" s="7"/>
      <c r="Y901" s="7"/>
      <c r="Z901" s="7"/>
      <c r="AA901" s="7"/>
      <c r="AB901" s="7"/>
      <c r="AC901" s="7"/>
      <c r="AD901" s="7"/>
      <c r="AE901" s="7"/>
      <c r="AF901" s="7"/>
      <c r="AG901" s="7"/>
      <c r="AH901" s="7"/>
      <c r="AI901" s="7"/>
    </row>
    <row r="902" spans="12:35">
      <c r="L902" s="7">
        <v>28</v>
      </c>
      <c r="M902" s="7">
        <v>48</v>
      </c>
      <c r="N902" s="7" t="b">
        <f>AND($N$5,$N$6,17&lt;=$M$5,17&lt;=$M$6)</f>
        <v>0</v>
      </c>
      <c r="O902" s="7">
        <f>(P28-N28)*(O48-O28)-(Q28-O28)*(N48-N28)</f>
        <v>0</v>
      </c>
      <c r="P902" s="7">
        <f>(P28-N28)*(Q48-O28)-(Q28-O28)*(P48-N28)</f>
        <v>0</v>
      </c>
      <c r="Q902" s="7">
        <f>(P48-N48)*(O28-O48)-(Q48-O48)*(N28-N48)</f>
        <v>0</v>
      </c>
      <c r="R902" s="7">
        <f>(P48-N48)*(Q28-O48)-(Q48-O48)*(P28-N48)</f>
        <v>0</v>
      </c>
      <c r="S902" s="7">
        <f>IF(N902,IF(AND(O902*P902&lt;=0,Q902*R902&lt;=0,MAX(MIN(N28,P28),MIN(N48,P48))&lt;=MIN(MAX(N28,P28),MAX(N48,P48)),MAX(MIN(O28,Q28),MIN(O48,Q48))&lt;=MIN(MAX(O28,Q28),MAX(O48,Q48))),1,0),0)</f>
        <v>0</v>
      </c>
      <c r="T902" s="7"/>
      <c r="U902" s="7"/>
      <c r="V902" s="7"/>
      <c r="W902" s="7"/>
      <c r="X902" s="7"/>
      <c r="Y902" s="7"/>
      <c r="Z902" s="7"/>
      <c r="AA902" s="7"/>
      <c r="AB902" s="7"/>
      <c r="AC902" s="7"/>
      <c r="AD902" s="7"/>
      <c r="AE902" s="7"/>
      <c r="AF902" s="7"/>
      <c r="AG902" s="7"/>
      <c r="AH902" s="7"/>
      <c r="AI902" s="7"/>
    </row>
    <row r="903" spans="12:35">
      <c r="L903" s="7">
        <v>28</v>
      </c>
      <c r="M903" s="7">
        <v>49</v>
      </c>
      <c r="N903" s="7" t="b">
        <f>AND($N$5,$N$6,17&lt;=$M$5,18&lt;=$M$6)</f>
        <v>0</v>
      </c>
      <c r="O903" s="7">
        <f>(P28-N28)*(O49-O28)-(Q28-O28)*(N49-N28)</f>
        <v>0</v>
      </c>
      <c r="P903" s="7">
        <f>(P28-N28)*(Q49-O28)-(Q28-O28)*(P49-N28)</f>
        <v>0</v>
      </c>
      <c r="Q903" s="7">
        <f>(P49-N49)*(O28-O49)-(Q49-O49)*(N28-N49)</f>
        <v>0</v>
      </c>
      <c r="R903" s="7">
        <f>(P49-N49)*(Q28-O49)-(Q49-O49)*(P28-N49)</f>
        <v>0</v>
      </c>
      <c r="S903" s="7">
        <f>IF(N903,IF(AND(O903*P903&lt;=0,Q903*R903&lt;=0,MAX(MIN(N28,P28),MIN(N49,P49))&lt;=MIN(MAX(N28,P28),MAX(N49,P49)),MAX(MIN(O28,Q28),MIN(O49,Q49))&lt;=MIN(MAX(O28,Q28),MAX(O49,Q49))),1,0),0)</f>
        <v>0</v>
      </c>
      <c r="T903" s="7"/>
      <c r="U903" s="7"/>
      <c r="V903" s="7"/>
      <c r="W903" s="7"/>
      <c r="X903" s="7"/>
      <c r="Y903" s="7"/>
      <c r="Z903" s="7"/>
      <c r="AA903" s="7"/>
      <c r="AB903" s="7"/>
      <c r="AC903" s="7"/>
      <c r="AD903" s="7"/>
      <c r="AE903" s="7"/>
      <c r="AF903" s="7"/>
      <c r="AG903" s="7"/>
      <c r="AH903" s="7"/>
      <c r="AI903" s="7"/>
    </row>
    <row r="904" spans="12:35">
      <c r="L904" s="7">
        <v>28</v>
      </c>
      <c r="M904" s="7">
        <v>50</v>
      </c>
      <c r="N904" s="7" t="b">
        <f>AND($N$5,$N$6,17&lt;=$M$5,19&lt;=$M$6)</f>
        <v>0</v>
      </c>
      <c r="O904" s="7">
        <f>(P28-N28)*(O50-O28)-(Q28-O28)*(N50-N28)</f>
        <v>0</v>
      </c>
      <c r="P904" s="7">
        <f>(P28-N28)*(Q50-O28)-(Q28-O28)*(P50-N28)</f>
        <v>0</v>
      </c>
      <c r="Q904" s="7">
        <f>(P50-N50)*(O28-O50)-(Q50-O50)*(N28-N50)</f>
        <v>0</v>
      </c>
      <c r="R904" s="7">
        <f>(P50-N50)*(Q28-O50)-(Q50-O50)*(P28-N50)</f>
        <v>0</v>
      </c>
      <c r="S904" s="7">
        <f>IF(N904,IF(AND(O904*P904&lt;=0,Q904*R904&lt;=0,MAX(MIN(N28,P28),MIN(N50,P50))&lt;=MIN(MAX(N28,P28),MAX(N50,P50)),MAX(MIN(O28,Q28),MIN(O50,Q50))&lt;=MIN(MAX(O28,Q28),MAX(O50,Q50))),1,0),0)</f>
        <v>0</v>
      </c>
      <c r="T904" s="7"/>
      <c r="U904" s="7"/>
      <c r="V904" s="7"/>
      <c r="W904" s="7"/>
      <c r="X904" s="7"/>
      <c r="Y904" s="7"/>
      <c r="Z904" s="7"/>
      <c r="AA904" s="7"/>
      <c r="AB904" s="7"/>
      <c r="AC904" s="7"/>
      <c r="AD904" s="7"/>
      <c r="AE904" s="7"/>
      <c r="AF904" s="7"/>
      <c r="AG904" s="7"/>
      <c r="AH904" s="7"/>
      <c r="AI904" s="7"/>
    </row>
    <row r="905" spans="12:35">
      <c r="L905" s="7">
        <v>28</v>
      </c>
      <c r="M905" s="7">
        <v>51</v>
      </c>
      <c r="N905" s="7" t="b">
        <f>AND($N$5,$N$6,17&lt;=$M$5,20&lt;=$M$6)</f>
        <v>0</v>
      </c>
      <c r="O905" s="7">
        <f>(P28-N28)*(O51-O28)-(Q28-O28)*(N51-N28)</f>
        <v>0</v>
      </c>
      <c r="P905" s="7">
        <f>(P28-N28)*(Q51-O28)-(Q28-O28)*(P51-N28)</f>
        <v>0</v>
      </c>
      <c r="Q905" s="7">
        <f>(P51-N51)*(O28-O51)-(Q51-O51)*(N28-N51)</f>
        <v>0</v>
      </c>
      <c r="R905" s="7">
        <f>(P51-N51)*(Q28-O51)-(Q51-O51)*(P28-N51)</f>
        <v>0</v>
      </c>
      <c r="S905" s="7">
        <f>IF(N905,IF(AND(O905*P905&lt;=0,Q905*R905&lt;=0,MAX(MIN(N28,P28),MIN(N51,P51))&lt;=MIN(MAX(N28,P28),MAX(N51,P51)),MAX(MIN(O28,Q28),MIN(O51,Q51))&lt;=MIN(MAX(O28,Q28),MAX(O51,Q51))),1,0),0)</f>
        <v>0</v>
      </c>
      <c r="T905" s="7"/>
      <c r="U905" s="7"/>
      <c r="V905" s="7"/>
      <c r="W905" s="7"/>
      <c r="X905" s="7"/>
      <c r="Y905" s="7"/>
      <c r="Z905" s="7"/>
      <c r="AA905" s="7"/>
      <c r="AB905" s="7"/>
      <c r="AC905" s="7"/>
      <c r="AD905" s="7"/>
      <c r="AE905" s="7"/>
      <c r="AF905" s="7"/>
      <c r="AG905" s="7"/>
      <c r="AH905" s="7"/>
      <c r="AI905" s="7"/>
    </row>
    <row r="906" spans="12:35">
      <c r="L906" s="7">
        <v>28</v>
      </c>
      <c r="M906" s="7">
        <v>52</v>
      </c>
      <c r="N906" s="7" t="b">
        <f>AND($N$5,$N$7,17&lt;=$M$5,1&lt;=$M$7)</f>
        <v>0</v>
      </c>
      <c r="O906" s="7">
        <f>(P28-N28)*(O52-O28)-(Q28-O28)*(N52-N28)</f>
        <v>0</v>
      </c>
      <c r="P906" s="7">
        <f>(P28-N28)*(Q52-O28)-(Q28-O28)*(P52-N28)</f>
        <v>0</v>
      </c>
      <c r="Q906" s="7">
        <f>(P52-N52)*(O28-O52)-(Q52-O52)*(N28-N52)</f>
        <v>0</v>
      </c>
      <c r="R906" s="7">
        <f>(P52-N52)*(Q28-O52)-(Q52-O52)*(P28-N52)</f>
        <v>0</v>
      </c>
      <c r="S906" s="7">
        <f>IF(N906,IF(AND(O906*P906&lt;=0,Q906*R906&lt;=0,MAX(MIN(N28,P28),MIN(N52,P52))&lt;=MIN(MAX(N28,P28),MAX(N52,P52)),MAX(MIN(O28,Q28),MIN(O52,Q52))&lt;=MIN(MAX(O28,Q28),MAX(O52,Q52))),1,0),0)</f>
        <v>0</v>
      </c>
      <c r="T906" s="7"/>
      <c r="U906" s="7"/>
      <c r="V906" s="7"/>
      <c r="W906" s="7"/>
      <c r="X906" s="7"/>
      <c r="Y906" s="7"/>
      <c r="Z906" s="7"/>
      <c r="AA906" s="7"/>
      <c r="AB906" s="7"/>
      <c r="AC906" s="7"/>
      <c r="AD906" s="7"/>
      <c r="AE906" s="7"/>
      <c r="AF906" s="7"/>
      <c r="AG906" s="7"/>
      <c r="AH906" s="7"/>
      <c r="AI906" s="7"/>
    </row>
    <row r="907" spans="12:35">
      <c r="L907" s="7">
        <v>28</v>
      </c>
      <c r="M907" s="7">
        <v>53</v>
      </c>
      <c r="N907" s="7" t="b">
        <f>AND($N$5,$N$7,17&lt;=$M$5,2&lt;=$M$7)</f>
        <v>0</v>
      </c>
      <c r="O907" s="7">
        <f>(P28-N28)*(O53-O28)-(Q28-O28)*(N53-N28)</f>
        <v>0</v>
      </c>
      <c r="P907" s="7">
        <f>(P28-N28)*(Q53-O28)-(Q28-O28)*(P53-N28)</f>
        <v>0</v>
      </c>
      <c r="Q907" s="7">
        <f>(P53-N53)*(O28-O53)-(Q53-O53)*(N28-N53)</f>
        <v>0</v>
      </c>
      <c r="R907" s="7">
        <f>(P53-N53)*(Q28-O53)-(Q53-O53)*(P28-N53)</f>
        <v>0</v>
      </c>
      <c r="S907" s="7">
        <f>IF(N907,IF(AND(O907*P907&lt;=0,Q907*R907&lt;=0,MAX(MIN(N28,P28),MIN(N53,P53))&lt;=MIN(MAX(N28,P28),MAX(N53,P53)),MAX(MIN(O28,Q28),MIN(O53,Q53))&lt;=MIN(MAX(O28,Q28),MAX(O53,Q53))),1,0),0)</f>
        <v>0</v>
      </c>
      <c r="T907" s="7"/>
      <c r="U907" s="7"/>
      <c r="V907" s="7"/>
      <c r="W907" s="7"/>
      <c r="X907" s="7"/>
      <c r="Y907" s="7"/>
      <c r="Z907" s="7"/>
      <c r="AA907" s="7"/>
      <c r="AB907" s="7"/>
      <c r="AC907" s="7"/>
      <c r="AD907" s="7"/>
      <c r="AE907" s="7"/>
      <c r="AF907" s="7"/>
      <c r="AG907" s="7"/>
      <c r="AH907" s="7"/>
      <c r="AI907" s="7"/>
    </row>
    <row r="908" spans="12:35">
      <c r="L908" s="7">
        <v>28</v>
      </c>
      <c r="M908" s="7">
        <v>54</v>
      </c>
      <c r="N908" s="7" t="b">
        <f>AND($N$5,$N$7,17&lt;=$M$5,3&lt;=$M$7)</f>
        <v>0</v>
      </c>
      <c r="O908" s="7">
        <f>(P28-N28)*(O54-O28)-(Q28-O28)*(N54-N28)</f>
        <v>0</v>
      </c>
      <c r="P908" s="7">
        <f>(P28-N28)*(Q54-O28)-(Q28-O28)*(P54-N28)</f>
        <v>0</v>
      </c>
      <c r="Q908" s="7">
        <f>(P54-N54)*(O28-O54)-(Q54-O54)*(N28-N54)</f>
        <v>0</v>
      </c>
      <c r="R908" s="7">
        <f>(P54-N54)*(Q28-O54)-(Q54-O54)*(P28-N54)</f>
        <v>0</v>
      </c>
      <c r="S908" s="7">
        <f>IF(N908,IF(AND(O908*P908&lt;=0,Q908*R908&lt;=0,MAX(MIN(N28,P28),MIN(N54,P54))&lt;=MIN(MAX(N28,P28),MAX(N54,P54)),MAX(MIN(O28,Q28),MIN(O54,Q54))&lt;=MIN(MAX(O28,Q28),MAX(O54,Q54))),1,0),0)</f>
        <v>0</v>
      </c>
      <c r="T908" s="7"/>
      <c r="U908" s="7"/>
      <c r="V908" s="7"/>
      <c r="W908" s="7"/>
      <c r="X908" s="7"/>
      <c r="Y908" s="7"/>
      <c r="Z908" s="7"/>
      <c r="AA908" s="7"/>
      <c r="AB908" s="7"/>
      <c r="AC908" s="7"/>
      <c r="AD908" s="7"/>
      <c r="AE908" s="7"/>
      <c r="AF908" s="7"/>
      <c r="AG908" s="7"/>
      <c r="AH908" s="7"/>
      <c r="AI908" s="7"/>
    </row>
    <row r="909" spans="12:35">
      <c r="L909" s="7">
        <v>28</v>
      </c>
      <c r="M909" s="7">
        <v>55</v>
      </c>
      <c r="N909" s="7" t="b">
        <f>AND($N$5,$N$7,17&lt;=$M$5,4&lt;=$M$7)</f>
        <v>0</v>
      </c>
      <c r="O909" s="7">
        <f>(P28-N28)*(O55-O28)-(Q28-O28)*(N55-N28)</f>
        <v>0</v>
      </c>
      <c r="P909" s="7">
        <f>(P28-N28)*(Q55-O28)-(Q28-O28)*(P55-N28)</f>
        <v>0</v>
      </c>
      <c r="Q909" s="7">
        <f>(P55-N55)*(O28-O55)-(Q55-O55)*(N28-N55)</f>
        <v>0</v>
      </c>
      <c r="R909" s="7">
        <f>(P55-N55)*(Q28-O55)-(Q55-O55)*(P28-N55)</f>
        <v>0</v>
      </c>
      <c r="S909" s="7">
        <f>IF(N909,IF(AND(O909*P909&lt;=0,Q909*R909&lt;=0,MAX(MIN(N28,P28),MIN(N55,P55))&lt;=MIN(MAX(N28,P28),MAX(N55,P55)),MAX(MIN(O28,Q28),MIN(O55,Q55))&lt;=MIN(MAX(O28,Q28),MAX(O55,Q55))),1,0),0)</f>
        <v>0</v>
      </c>
      <c r="T909" s="7"/>
      <c r="U909" s="7"/>
      <c r="V909" s="7"/>
      <c r="W909" s="7"/>
      <c r="X909" s="7"/>
      <c r="Y909" s="7"/>
      <c r="Z909" s="7"/>
      <c r="AA909" s="7"/>
      <c r="AB909" s="7"/>
      <c r="AC909" s="7"/>
      <c r="AD909" s="7"/>
      <c r="AE909" s="7"/>
      <c r="AF909" s="7"/>
      <c r="AG909" s="7"/>
      <c r="AH909" s="7"/>
      <c r="AI909" s="7"/>
    </row>
    <row r="910" spans="12:35">
      <c r="L910" s="7">
        <v>28</v>
      </c>
      <c r="M910" s="7">
        <v>56</v>
      </c>
      <c r="N910" s="7" t="b">
        <f>AND($N$5,$N$7,17&lt;=$M$5,5&lt;=$M$7)</f>
        <v>0</v>
      </c>
      <c r="O910" s="7">
        <f>(P28-N28)*(O56-O28)-(Q28-O28)*(N56-N28)</f>
        <v>0</v>
      </c>
      <c r="P910" s="7">
        <f>(P28-N28)*(Q56-O28)-(Q28-O28)*(P56-N28)</f>
        <v>0</v>
      </c>
      <c r="Q910" s="7">
        <f>(P56-N56)*(O28-O56)-(Q56-O56)*(N28-N56)</f>
        <v>0</v>
      </c>
      <c r="R910" s="7">
        <f>(P56-N56)*(Q28-O56)-(Q56-O56)*(P28-N56)</f>
        <v>0</v>
      </c>
      <c r="S910" s="7">
        <f>IF(N910,IF(AND(O910*P910&lt;=0,Q910*R910&lt;=0,MAX(MIN(N28,P28),MIN(N56,P56))&lt;=MIN(MAX(N28,P28),MAX(N56,P56)),MAX(MIN(O28,Q28),MIN(O56,Q56))&lt;=MIN(MAX(O28,Q28),MAX(O56,Q56))),1,0),0)</f>
        <v>0</v>
      </c>
      <c r="T910" s="7"/>
      <c r="U910" s="7"/>
      <c r="V910" s="7"/>
      <c r="W910" s="7"/>
      <c r="X910" s="7"/>
      <c r="Y910" s="7"/>
      <c r="Z910" s="7"/>
      <c r="AA910" s="7"/>
      <c r="AB910" s="7"/>
      <c r="AC910" s="7"/>
      <c r="AD910" s="7"/>
      <c r="AE910" s="7"/>
      <c r="AF910" s="7"/>
      <c r="AG910" s="7"/>
      <c r="AH910" s="7"/>
      <c r="AI910" s="7"/>
    </row>
    <row r="911" spans="12:35">
      <c r="L911" s="7">
        <v>28</v>
      </c>
      <c r="M911" s="7">
        <v>57</v>
      </c>
      <c r="N911" s="7" t="b">
        <f>AND($N$5,$N$7,17&lt;=$M$5,6&lt;=$M$7)</f>
        <v>0</v>
      </c>
      <c r="O911" s="7">
        <f>(P28-N28)*(O57-O28)-(Q28-O28)*(N57-N28)</f>
        <v>0</v>
      </c>
      <c r="P911" s="7">
        <f>(P28-N28)*(Q57-O28)-(Q28-O28)*(P57-N28)</f>
        <v>0</v>
      </c>
      <c r="Q911" s="7">
        <f>(P57-N57)*(O28-O57)-(Q57-O57)*(N28-N57)</f>
        <v>0</v>
      </c>
      <c r="R911" s="7">
        <f>(P57-N57)*(Q28-O57)-(Q57-O57)*(P28-N57)</f>
        <v>0</v>
      </c>
      <c r="S911" s="7">
        <f>IF(N911,IF(AND(O911*P911&lt;=0,Q911*R911&lt;=0,MAX(MIN(N28,P28),MIN(N57,P57))&lt;=MIN(MAX(N28,P28),MAX(N57,P57)),MAX(MIN(O28,Q28),MIN(O57,Q57))&lt;=MIN(MAX(O28,Q28),MAX(O57,Q57))),1,0),0)</f>
        <v>0</v>
      </c>
      <c r="T911" s="7"/>
      <c r="U911" s="7"/>
      <c r="V911" s="7"/>
      <c r="W911" s="7"/>
      <c r="X911" s="7"/>
      <c r="Y911" s="7"/>
      <c r="Z911" s="7"/>
      <c r="AA911" s="7"/>
      <c r="AB911" s="7"/>
      <c r="AC911" s="7"/>
      <c r="AD911" s="7"/>
      <c r="AE911" s="7"/>
      <c r="AF911" s="7"/>
      <c r="AG911" s="7"/>
      <c r="AH911" s="7"/>
      <c r="AI911" s="7"/>
    </row>
    <row r="912" spans="12:35">
      <c r="L912" s="7">
        <v>28</v>
      </c>
      <c r="M912" s="7">
        <v>58</v>
      </c>
      <c r="N912" s="7" t="b">
        <f>AND($N$5,$N$7,17&lt;=$M$5,7&lt;=$M$7)</f>
        <v>0</v>
      </c>
      <c r="O912" s="7">
        <f>(P28-N28)*(O58-O28)-(Q28-O28)*(N58-N28)</f>
        <v>0</v>
      </c>
      <c r="P912" s="7">
        <f>(P28-N28)*(Q58-O28)-(Q28-O28)*(P58-N28)</f>
        <v>0</v>
      </c>
      <c r="Q912" s="7">
        <f>(P58-N58)*(O28-O58)-(Q58-O58)*(N28-N58)</f>
        <v>0</v>
      </c>
      <c r="R912" s="7">
        <f>(P58-N58)*(Q28-O58)-(Q58-O58)*(P28-N58)</f>
        <v>0</v>
      </c>
      <c r="S912" s="7">
        <f>IF(N912,IF(AND(O912*P912&lt;=0,Q912*R912&lt;=0,MAX(MIN(N28,P28),MIN(N58,P58))&lt;=MIN(MAX(N28,P28),MAX(N58,P58)),MAX(MIN(O28,Q28),MIN(O58,Q58))&lt;=MIN(MAX(O28,Q28),MAX(O58,Q58))),1,0),0)</f>
        <v>0</v>
      </c>
      <c r="T912" s="7"/>
      <c r="U912" s="7"/>
      <c r="V912" s="7"/>
      <c r="W912" s="7"/>
      <c r="X912" s="7"/>
      <c r="Y912" s="7"/>
      <c r="Z912" s="7"/>
      <c r="AA912" s="7"/>
      <c r="AB912" s="7"/>
      <c r="AC912" s="7"/>
      <c r="AD912" s="7"/>
      <c r="AE912" s="7"/>
      <c r="AF912" s="7"/>
      <c r="AG912" s="7"/>
      <c r="AH912" s="7"/>
      <c r="AI912" s="7"/>
    </row>
    <row r="913" spans="12:35">
      <c r="L913" s="7">
        <v>28</v>
      </c>
      <c r="M913" s="7">
        <v>59</v>
      </c>
      <c r="N913" s="7" t="b">
        <f>AND($N$5,$N$7,17&lt;=$M$5,8&lt;=$M$7)</f>
        <v>0</v>
      </c>
      <c r="O913" s="7">
        <f>(P28-N28)*(O59-O28)-(Q28-O28)*(N59-N28)</f>
        <v>0</v>
      </c>
      <c r="P913" s="7">
        <f>(P28-N28)*(Q59-O28)-(Q28-O28)*(P59-N28)</f>
        <v>0</v>
      </c>
      <c r="Q913" s="7">
        <f>(P59-N59)*(O28-O59)-(Q59-O59)*(N28-N59)</f>
        <v>0</v>
      </c>
      <c r="R913" s="7">
        <f>(P59-N59)*(Q28-O59)-(Q59-O59)*(P28-N59)</f>
        <v>0</v>
      </c>
      <c r="S913" s="7">
        <f>IF(N913,IF(AND(O913*P913&lt;=0,Q913*R913&lt;=0,MAX(MIN(N28,P28),MIN(N59,P59))&lt;=MIN(MAX(N28,P28),MAX(N59,P59)),MAX(MIN(O28,Q28),MIN(O59,Q59))&lt;=MIN(MAX(O28,Q28),MAX(O59,Q59))),1,0),0)</f>
        <v>0</v>
      </c>
      <c r="T913" s="7"/>
      <c r="U913" s="7"/>
      <c r="V913" s="7"/>
      <c r="W913" s="7"/>
      <c r="X913" s="7"/>
      <c r="Y913" s="7"/>
      <c r="Z913" s="7"/>
      <c r="AA913" s="7"/>
      <c r="AB913" s="7"/>
      <c r="AC913" s="7"/>
      <c r="AD913" s="7"/>
      <c r="AE913" s="7"/>
      <c r="AF913" s="7"/>
      <c r="AG913" s="7"/>
      <c r="AH913" s="7"/>
      <c r="AI913" s="7"/>
    </row>
    <row r="914" spans="12:35">
      <c r="L914" s="7">
        <v>28</v>
      </c>
      <c r="M914" s="7">
        <v>60</v>
      </c>
      <c r="N914" s="7" t="b">
        <f>AND($N$5,$N$7,17&lt;=$M$5,9&lt;=$M$7)</f>
        <v>0</v>
      </c>
      <c r="O914" s="7">
        <f>(P28-N28)*(O60-O28)-(Q28-O28)*(N60-N28)</f>
        <v>0</v>
      </c>
      <c r="P914" s="7">
        <f>(P28-N28)*(Q60-O28)-(Q28-O28)*(P60-N28)</f>
        <v>0</v>
      </c>
      <c r="Q914" s="7">
        <f>(P60-N60)*(O28-O60)-(Q60-O60)*(N28-N60)</f>
        <v>0</v>
      </c>
      <c r="R914" s="7">
        <f>(P60-N60)*(Q28-O60)-(Q60-O60)*(P28-N60)</f>
        <v>0</v>
      </c>
      <c r="S914" s="7">
        <f>IF(N914,IF(AND(O914*P914&lt;=0,Q914*R914&lt;=0,MAX(MIN(N28,P28),MIN(N60,P60))&lt;=MIN(MAX(N28,P28),MAX(N60,P60)),MAX(MIN(O28,Q28),MIN(O60,Q60))&lt;=MIN(MAX(O28,Q28),MAX(O60,Q60))),1,0),0)</f>
        <v>0</v>
      </c>
      <c r="T914" s="7"/>
      <c r="U914" s="7"/>
      <c r="V914" s="7"/>
      <c r="W914" s="7"/>
      <c r="X914" s="7"/>
      <c r="Y914" s="7"/>
      <c r="Z914" s="7"/>
      <c r="AA914" s="7"/>
      <c r="AB914" s="7"/>
      <c r="AC914" s="7"/>
      <c r="AD914" s="7"/>
      <c r="AE914" s="7"/>
      <c r="AF914" s="7"/>
      <c r="AG914" s="7"/>
      <c r="AH914" s="7"/>
      <c r="AI914" s="7"/>
    </row>
    <row r="915" spans="12:35">
      <c r="L915" s="7">
        <v>28</v>
      </c>
      <c r="M915" s="7">
        <v>61</v>
      </c>
      <c r="N915" s="7" t="b">
        <f>AND($N$5,$N$7,17&lt;=$M$5,10&lt;=$M$7)</f>
        <v>0</v>
      </c>
      <c r="O915" s="7">
        <f>(P28-N28)*(O61-O28)-(Q28-O28)*(N61-N28)</f>
        <v>0</v>
      </c>
      <c r="P915" s="7">
        <f>(P28-N28)*(Q61-O28)-(Q28-O28)*(P61-N28)</f>
        <v>0</v>
      </c>
      <c r="Q915" s="7">
        <f>(P61-N61)*(O28-O61)-(Q61-O61)*(N28-N61)</f>
        <v>0</v>
      </c>
      <c r="R915" s="7">
        <f>(P61-N61)*(Q28-O61)-(Q61-O61)*(P28-N61)</f>
        <v>0</v>
      </c>
      <c r="S915" s="7">
        <f>IF(N915,IF(AND(O915*P915&lt;=0,Q915*R915&lt;=0,MAX(MIN(N28,P28),MIN(N61,P61))&lt;=MIN(MAX(N28,P28),MAX(N61,P61)),MAX(MIN(O28,Q28),MIN(O61,Q61))&lt;=MIN(MAX(O28,Q28),MAX(O61,Q61))),1,0),0)</f>
        <v>0</v>
      </c>
      <c r="T915" s="7"/>
      <c r="U915" s="7"/>
      <c r="V915" s="7"/>
      <c r="W915" s="7"/>
      <c r="X915" s="7"/>
      <c r="Y915" s="7"/>
      <c r="Z915" s="7"/>
      <c r="AA915" s="7"/>
      <c r="AB915" s="7"/>
      <c r="AC915" s="7"/>
      <c r="AD915" s="7"/>
      <c r="AE915" s="7"/>
      <c r="AF915" s="7"/>
      <c r="AG915" s="7"/>
      <c r="AH915" s="7"/>
      <c r="AI915" s="7"/>
    </row>
    <row r="916" spans="12:35">
      <c r="L916" s="7">
        <v>28</v>
      </c>
      <c r="M916" s="7">
        <v>62</v>
      </c>
      <c r="N916" s="7" t="b">
        <f>AND($N$5,$N$7,17&lt;=$M$5,11&lt;=$M$7)</f>
        <v>0</v>
      </c>
      <c r="O916" s="7">
        <f>(P28-N28)*(O62-O28)-(Q28-O28)*(N62-N28)</f>
        <v>0</v>
      </c>
      <c r="P916" s="7">
        <f>(P28-N28)*(Q62-O28)-(Q28-O28)*(P62-N28)</f>
        <v>0</v>
      </c>
      <c r="Q916" s="7">
        <f>(P62-N62)*(O28-O62)-(Q62-O62)*(N28-N62)</f>
        <v>0</v>
      </c>
      <c r="R916" s="7">
        <f>(P62-N62)*(Q28-O62)-(Q62-O62)*(P28-N62)</f>
        <v>0</v>
      </c>
      <c r="S916" s="7">
        <f>IF(N916,IF(AND(O916*P916&lt;=0,Q916*R916&lt;=0,MAX(MIN(N28,P28),MIN(N62,P62))&lt;=MIN(MAX(N28,P28),MAX(N62,P62)),MAX(MIN(O28,Q28),MIN(O62,Q62))&lt;=MIN(MAX(O28,Q28),MAX(O62,Q62))),1,0),0)</f>
        <v>0</v>
      </c>
      <c r="T916" s="7"/>
      <c r="U916" s="7"/>
      <c r="V916" s="7"/>
      <c r="W916" s="7"/>
      <c r="X916" s="7"/>
      <c r="Y916" s="7"/>
      <c r="Z916" s="7"/>
      <c r="AA916" s="7"/>
      <c r="AB916" s="7"/>
      <c r="AC916" s="7"/>
      <c r="AD916" s="7"/>
      <c r="AE916" s="7"/>
      <c r="AF916" s="7"/>
      <c r="AG916" s="7"/>
      <c r="AH916" s="7"/>
      <c r="AI916" s="7"/>
    </row>
    <row r="917" spans="12:35">
      <c r="L917" s="7">
        <v>28</v>
      </c>
      <c r="M917" s="7">
        <v>63</v>
      </c>
      <c r="N917" s="7" t="b">
        <f>AND($N$5,$N$7,17&lt;=$M$5,12&lt;=$M$7)</f>
        <v>0</v>
      </c>
      <c r="O917" s="7">
        <f>(P28-N28)*(O63-O28)-(Q28-O28)*(N63-N28)</f>
        <v>0</v>
      </c>
      <c r="P917" s="7">
        <f>(P28-N28)*(Q63-O28)-(Q28-O28)*(P63-N28)</f>
        <v>0</v>
      </c>
      <c r="Q917" s="7">
        <f>(P63-N63)*(O28-O63)-(Q63-O63)*(N28-N63)</f>
        <v>0</v>
      </c>
      <c r="R917" s="7">
        <f>(P63-N63)*(Q28-O63)-(Q63-O63)*(P28-N63)</f>
        <v>0</v>
      </c>
      <c r="S917" s="7">
        <f>IF(N917,IF(AND(O917*P917&lt;=0,Q917*R917&lt;=0,MAX(MIN(N28,P28),MIN(N63,P63))&lt;=MIN(MAX(N28,P28),MAX(N63,P63)),MAX(MIN(O28,Q28),MIN(O63,Q63))&lt;=MIN(MAX(O28,Q28),MAX(O63,Q63))),1,0),0)</f>
        <v>0</v>
      </c>
      <c r="T917" s="7"/>
      <c r="U917" s="7"/>
      <c r="V917" s="7"/>
      <c r="W917" s="7"/>
      <c r="X917" s="7"/>
      <c r="Y917" s="7"/>
      <c r="Z917" s="7"/>
      <c r="AA917" s="7"/>
      <c r="AB917" s="7"/>
      <c r="AC917" s="7"/>
      <c r="AD917" s="7"/>
      <c r="AE917" s="7"/>
      <c r="AF917" s="7"/>
      <c r="AG917" s="7"/>
      <c r="AH917" s="7"/>
      <c r="AI917" s="7"/>
    </row>
    <row r="918" spans="12:35">
      <c r="L918" s="7">
        <v>28</v>
      </c>
      <c r="M918" s="7">
        <v>64</v>
      </c>
      <c r="N918" s="7" t="b">
        <f>AND($N$5,$N$7,17&lt;=$M$5,13&lt;=$M$7)</f>
        <v>0</v>
      </c>
      <c r="O918" s="7">
        <f>(P28-N28)*(O64-O28)-(Q28-O28)*(N64-N28)</f>
        <v>0</v>
      </c>
      <c r="P918" s="7">
        <f>(P28-N28)*(Q64-O28)-(Q28-O28)*(P64-N28)</f>
        <v>0</v>
      </c>
      <c r="Q918" s="7">
        <f>(P64-N64)*(O28-O64)-(Q64-O64)*(N28-N64)</f>
        <v>0</v>
      </c>
      <c r="R918" s="7">
        <f>(P64-N64)*(Q28-O64)-(Q64-O64)*(P28-N64)</f>
        <v>0</v>
      </c>
      <c r="S918" s="7">
        <f>IF(N918,IF(AND(O918*P918&lt;=0,Q918*R918&lt;=0,MAX(MIN(N28,P28),MIN(N64,P64))&lt;=MIN(MAX(N28,P28),MAX(N64,P64)),MAX(MIN(O28,Q28),MIN(O64,Q64))&lt;=MIN(MAX(O28,Q28),MAX(O64,Q64))),1,0),0)</f>
        <v>0</v>
      </c>
      <c r="T918" s="7"/>
      <c r="U918" s="7"/>
      <c r="V918" s="7"/>
      <c r="W918" s="7"/>
      <c r="X918" s="7"/>
      <c r="Y918" s="7"/>
      <c r="Z918" s="7"/>
      <c r="AA918" s="7"/>
      <c r="AB918" s="7"/>
      <c r="AC918" s="7"/>
      <c r="AD918" s="7"/>
      <c r="AE918" s="7"/>
      <c r="AF918" s="7"/>
      <c r="AG918" s="7"/>
      <c r="AH918" s="7"/>
      <c r="AI918" s="7"/>
    </row>
    <row r="919" spans="12:35">
      <c r="L919" s="7">
        <v>28</v>
      </c>
      <c r="M919" s="7">
        <v>65</v>
      </c>
      <c r="N919" s="7" t="b">
        <f>AND($N$5,$N$7,17&lt;=$M$5,14&lt;=$M$7)</f>
        <v>0</v>
      </c>
      <c r="O919" s="7">
        <f>(P28-N28)*(O65-O28)-(Q28-O28)*(N65-N28)</f>
        <v>0</v>
      </c>
      <c r="P919" s="7">
        <f>(P28-N28)*(Q65-O28)-(Q28-O28)*(P65-N28)</f>
        <v>0</v>
      </c>
      <c r="Q919" s="7">
        <f>(P65-N65)*(O28-O65)-(Q65-O65)*(N28-N65)</f>
        <v>0</v>
      </c>
      <c r="R919" s="7">
        <f>(P65-N65)*(Q28-O65)-(Q65-O65)*(P28-N65)</f>
        <v>0</v>
      </c>
      <c r="S919" s="7">
        <f>IF(N919,IF(AND(O919*P919&lt;=0,Q919*R919&lt;=0,MAX(MIN(N28,P28),MIN(N65,P65))&lt;=MIN(MAX(N28,P28),MAX(N65,P65)),MAX(MIN(O28,Q28),MIN(O65,Q65))&lt;=MIN(MAX(O28,Q28),MAX(O65,Q65))),1,0),0)</f>
        <v>0</v>
      </c>
      <c r="T919" s="7"/>
      <c r="U919" s="7"/>
      <c r="V919" s="7"/>
      <c r="W919" s="7"/>
      <c r="X919" s="7"/>
      <c r="Y919" s="7"/>
      <c r="Z919" s="7"/>
      <c r="AA919" s="7"/>
      <c r="AB919" s="7"/>
      <c r="AC919" s="7"/>
      <c r="AD919" s="7"/>
      <c r="AE919" s="7"/>
      <c r="AF919" s="7"/>
      <c r="AG919" s="7"/>
      <c r="AH919" s="7"/>
      <c r="AI919" s="7"/>
    </row>
    <row r="920" spans="12:35">
      <c r="L920" s="7">
        <v>28</v>
      </c>
      <c r="M920" s="7">
        <v>66</v>
      </c>
      <c r="N920" s="7" t="b">
        <f>AND($N$5,$N$7,17&lt;=$M$5,15&lt;=$M$7)</f>
        <v>0</v>
      </c>
      <c r="O920" s="7">
        <f>(P28-N28)*(O66-O28)-(Q28-O28)*(N66-N28)</f>
        <v>0</v>
      </c>
      <c r="P920" s="7">
        <f>(P28-N28)*(Q66-O28)-(Q28-O28)*(P66-N28)</f>
        <v>0</v>
      </c>
      <c r="Q920" s="7">
        <f>(P66-N66)*(O28-O66)-(Q66-O66)*(N28-N66)</f>
        <v>0</v>
      </c>
      <c r="R920" s="7">
        <f>(P66-N66)*(Q28-O66)-(Q66-O66)*(P28-N66)</f>
        <v>0</v>
      </c>
      <c r="S920" s="7">
        <f>IF(N920,IF(AND(O920*P920&lt;=0,Q920*R920&lt;=0,MAX(MIN(N28,P28),MIN(N66,P66))&lt;=MIN(MAX(N28,P28),MAX(N66,P66)),MAX(MIN(O28,Q28),MIN(O66,Q66))&lt;=MIN(MAX(O28,Q28),MAX(O66,Q66))),1,0),0)</f>
        <v>0</v>
      </c>
      <c r="T920" s="7"/>
      <c r="U920" s="7"/>
      <c r="V920" s="7"/>
      <c r="W920" s="7"/>
      <c r="X920" s="7"/>
      <c r="Y920" s="7"/>
      <c r="Z920" s="7"/>
      <c r="AA920" s="7"/>
      <c r="AB920" s="7"/>
      <c r="AC920" s="7"/>
      <c r="AD920" s="7"/>
      <c r="AE920" s="7"/>
      <c r="AF920" s="7"/>
      <c r="AG920" s="7"/>
      <c r="AH920" s="7"/>
      <c r="AI920" s="7"/>
    </row>
    <row r="921" spans="12:35">
      <c r="L921" s="7">
        <v>28</v>
      </c>
      <c r="M921" s="7">
        <v>67</v>
      </c>
      <c r="N921" s="7" t="b">
        <f>AND($N$5,$N$7,17&lt;=$M$5,16&lt;=$M$7)</f>
        <v>0</v>
      </c>
      <c r="O921" s="7">
        <f>(P28-N28)*(O67-O28)-(Q28-O28)*(N67-N28)</f>
        <v>0</v>
      </c>
      <c r="P921" s="7">
        <f>(P28-N28)*(Q67-O28)-(Q28-O28)*(P67-N28)</f>
        <v>0</v>
      </c>
      <c r="Q921" s="7">
        <f>(P67-N67)*(O28-O67)-(Q67-O67)*(N28-N67)</f>
        <v>0</v>
      </c>
      <c r="R921" s="7">
        <f>(P67-N67)*(Q28-O67)-(Q67-O67)*(P28-N67)</f>
        <v>0</v>
      </c>
      <c r="S921" s="7">
        <f>IF(N921,IF(AND(O921*P921&lt;=0,Q921*R921&lt;=0,MAX(MIN(N28,P28),MIN(N67,P67))&lt;=MIN(MAX(N28,P28),MAX(N67,P67)),MAX(MIN(O28,Q28),MIN(O67,Q67))&lt;=MIN(MAX(O28,Q28),MAX(O67,Q67))),1,0),0)</f>
        <v>0</v>
      </c>
      <c r="T921" s="7"/>
      <c r="U921" s="7"/>
      <c r="V921" s="7"/>
      <c r="W921" s="7"/>
      <c r="X921" s="7"/>
      <c r="Y921" s="7"/>
      <c r="Z921" s="7"/>
      <c r="AA921" s="7"/>
      <c r="AB921" s="7"/>
      <c r="AC921" s="7"/>
      <c r="AD921" s="7"/>
      <c r="AE921" s="7"/>
      <c r="AF921" s="7"/>
      <c r="AG921" s="7"/>
      <c r="AH921" s="7"/>
      <c r="AI921" s="7"/>
    </row>
    <row r="922" spans="12:35">
      <c r="L922" s="7">
        <v>28</v>
      </c>
      <c r="M922" s="7">
        <v>68</v>
      </c>
      <c r="N922" s="7" t="b">
        <f>AND($N$5,$N$7,17&lt;=$M$5,17&lt;=$M$7)</f>
        <v>0</v>
      </c>
      <c r="O922" s="7">
        <f>(P28-N28)*(O68-O28)-(Q28-O28)*(N68-N28)</f>
        <v>0</v>
      </c>
      <c r="P922" s="7">
        <f>(P28-N28)*(Q68-O28)-(Q28-O28)*(P68-N28)</f>
        <v>0</v>
      </c>
      <c r="Q922" s="7">
        <f>(P68-N68)*(O28-O68)-(Q68-O68)*(N28-N68)</f>
        <v>0</v>
      </c>
      <c r="R922" s="7">
        <f>(P68-N68)*(Q28-O68)-(Q68-O68)*(P28-N68)</f>
        <v>0</v>
      </c>
      <c r="S922" s="7">
        <f>IF(N922,IF(AND(O922*P922&lt;=0,Q922*R922&lt;=0,MAX(MIN(N28,P28),MIN(N68,P68))&lt;=MIN(MAX(N28,P28),MAX(N68,P68)),MAX(MIN(O28,Q28),MIN(O68,Q68))&lt;=MIN(MAX(O28,Q28),MAX(O68,Q68))),1,0),0)</f>
        <v>0</v>
      </c>
      <c r="T922" s="7"/>
      <c r="U922" s="7"/>
      <c r="V922" s="7"/>
      <c r="W922" s="7"/>
      <c r="X922" s="7"/>
      <c r="Y922" s="7"/>
      <c r="Z922" s="7"/>
      <c r="AA922" s="7"/>
      <c r="AB922" s="7"/>
      <c r="AC922" s="7"/>
      <c r="AD922" s="7"/>
      <c r="AE922" s="7"/>
      <c r="AF922" s="7"/>
      <c r="AG922" s="7"/>
      <c r="AH922" s="7"/>
      <c r="AI922" s="7"/>
    </row>
    <row r="923" spans="12:35">
      <c r="L923" s="7">
        <v>28</v>
      </c>
      <c r="M923" s="7">
        <v>69</v>
      </c>
      <c r="N923" s="7" t="b">
        <f>AND($N$5,$N$7,17&lt;=$M$5,18&lt;=$M$7)</f>
        <v>0</v>
      </c>
      <c r="O923" s="7">
        <f>(P28-N28)*(O69-O28)-(Q28-O28)*(N69-N28)</f>
        <v>0</v>
      </c>
      <c r="P923" s="7">
        <f>(P28-N28)*(Q69-O28)-(Q28-O28)*(P69-N28)</f>
        <v>0</v>
      </c>
      <c r="Q923" s="7">
        <f>(P69-N69)*(O28-O69)-(Q69-O69)*(N28-N69)</f>
        <v>0</v>
      </c>
      <c r="R923" s="7">
        <f>(P69-N69)*(Q28-O69)-(Q69-O69)*(P28-N69)</f>
        <v>0</v>
      </c>
      <c r="S923" s="7">
        <f>IF(N923,IF(AND(O923*P923&lt;=0,Q923*R923&lt;=0,MAX(MIN(N28,P28),MIN(N69,P69))&lt;=MIN(MAX(N28,P28),MAX(N69,P69)),MAX(MIN(O28,Q28),MIN(O69,Q69))&lt;=MIN(MAX(O28,Q28),MAX(O69,Q69))),1,0),0)</f>
        <v>0</v>
      </c>
      <c r="T923" s="7"/>
      <c r="U923" s="7"/>
      <c r="V923" s="7"/>
      <c r="W923" s="7"/>
      <c r="X923" s="7"/>
      <c r="Y923" s="7"/>
      <c r="Z923" s="7"/>
      <c r="AA923" s="7"/>
      <c r="AB923" s="7"/>
      <c r="AC923" s="7"/>
      <c r="AD923" s="7"/>
      <c r="AE923" s="7"/>
      <c r="AF923" s="7"/>
      <c r="AG923" s="7"/>
      <c r="AH923" s="7"/>
      <c r="AI923" s="7"/>
    </row>
    <row r="924" spans="12:35">
      <c r="L924" s="7">
        <v>28</v>
      </c>
      <c r="M924" s="7">
        <v>70</v>
      </c>
      <c r="N924" s="7" t="b">
        <f>AND($N$5,$N$7,17&lt;=$M$5,19&lt;=$M$7)</f>
        <v>0</v>
      </c>
      <c r="O924" s="7">
        <f>(P28-N28)*(O70-O28)-(Q28-O28)*(N70-N28)</f>
        <v>0</v>
      </c>
      <c r="P924" s="7">
        <f>(P28-N28)*(Q70-O28)-(Q28-O28)*(P70-N28)</f>
        <v>0</v>
      </c>
      <c r="Q924" s="7">
        <f>(P70-N70)*(O28-O70)-(Q70-O70)*(N28-N70)</f>
        <v>0</v>
      </c>
      <c r="R924" s="7">
        <f>(P70-N70)*(Q28-O70)-(Q70-O70)*(P28-N70)</f>
        <v>0</v>
      </c>
      <c r="S924" s="7">
        <f>IF(N924,IF(AND(O924*P924&lt;=0,Q924*R924&lt;=0,MAX(MIN(N28,P28),MIN(N70,P70))&lt;=MIN(MAX(N28,P28),MAX(N70,P70)),MAX(MIN(O28,Q28),MIN(O70,Q70))&lt;=MIN(MAX(O28,Q28),MAX(O70,Q70))),1,0),0)</f>
        <v>0</v>
      </c>
      <c r="T924" s="7"/>
      <c r="U924" s="7"/>
      <c r="V924" s="7"/>
      <c r="W924" s="7"/>
      <c r="X924" s="7"/>
      <c r="Y924" s="7"/>
      <c r="Z924" s="7"/>
      <c r="AA924" s="7"/>
      <c r="AB924" s="7"/>
      <c r="AC924" s="7"/>
      <c r="AD924" s="7"/>
      <c r="AE924" s="7"/>
      <c r="AF924" s="7"/>
      <c r="AG924" s="7"/>
      <c r="AH924" s="7"/>
      <c r="AI924" s="7"/>
    </row>
    <row r="925" spans="12:35">
      <c r="L925" s="7">
        <v>28</v>
      </c>
      <c r="M925" s="7">
        <v>71</v>
      </c>
      <c r="N925" s="7" t="b">
        <f>AND($N$5,$N$7,17&lt;=$M$5,20&lt;=$M$7)</f>
        <v>0</v>
      </c>
      <c r="O925" s="7">
        <f>(P28-N28)*(O71-O28)-(Q28-O28)*(N71-N28)</f>
        <v>0</v>
      </c>
      <c r="P925" s="7">
        <f>(P28-N28)*(Q71-O28)-(Q28-O28)*(P71-N28)</f>
        <v>0</v>
      </c>
      <c r="Q925" s="7">
        <f>(P71-N71)*(O28-O71)-(Q71-O71)*(N28-N71)</f>
        <v>0</v>
      </c>
      <c r="R925" s="7">
        <f>(P71-N71)*(Q28-O71)-(Q71-O71)*(P28-N71)</f>
        <v>0</v>
      </c>
      <c r="S925" s="7">
        <f>IF(N925,IF(AND(O925*P925&lt;=0,Q925*R925&lt;=0,MAX(MIN(N28,P28),MIN(N71,P71))&lt;=MIN(MAX(N28,P28),MAX(N71,P71)),MAX(MIN(O28,Q28),MIN(O71,Q71))&lt;=MIN(MAX(O28,Q28),MAX(O71,Q71))),1,0),0)</f>
        <v>0</v>
      </c>
      <c r="T925" s="7"/>
      <c r="U925" s="7"/>
      <c r="V925" s="7"/>
      <c r="W925" s="7"/>
      <c r="X925" s="7"/>
      <c r="Y925" s="7"/>
      <c r="Z925" s="7"/>
      <c r="AA925" s="7"/>
      <c r="AB925" s="7"/>
      <c r="AC925" s="7"/>
      <c r="AD925" s="7"/>
      <c r="AE925" s="7"/>
      <c r="AF925" s="7"/>
      <c r="AG925" s="7"/>
      <c r="AH925" s="7"/>
      <c r="AI925" s="7"/>
    </row>
    <row r="926" spans="12:35">
      <c r="L926" s="7">
        <v>29</v>
      </c>
      <c r="M926" s="7">
        <v>31</v>
      </c>
      <c r="N926" s="7" t="b">
        <f>AND($N$5,$N$5,18&lt;=$M$5,20&lt;=$M$5)</f>
        <v>0</v>
      </c>
      <c r="O926" s="7">
        <f>(P29-N29)*(O31-O29)-(Q29-O29)*(N31-N29)</f>
        <v>0</v>
      </c>
      <c r="P926" s="7">
        <f>(P29-N29)*(Q31-O29)-(Q29-O29)*(P31-N29)</f>
        <v>0</v>
      </c>
      <c r="Q926" s="7">
        <f>(P31-N31)*(O29-O31)-(Q31-O31)*(N29-N31)</f>
        <v>0</v>
      </c>
      <c r="R926" s="7">
        <f>(P31-N31)*(Q29-O31)-(Q31-O31)*(P29-N31)</f>
        <v>0</v>
      </c>
      <c r="S926" s="7">
        <f>IF(N926,IF(AND(O926*P926&lt;=0,Q926*R926&lt;=0,MAX(MIN(N29,P29),MIN(N31,P31))&lt;=MIN(MAX(N29,P29),MAX(N31,P31)),MAX(MIN(O29,Q29),MIN(O31,Q31))&lt;=MIN(MAX(O29,Q29),MAX(O31,Q31))),1,0),0)</f>
        <v>0</v>
      </c>
      <c r="T926" s="7"/>
      <c r="U926" s="7"/>
      <c r="V926" s="7"/>
      <c r="W926" s="7"/>
      <c r="X926" s="7"/>
      <c r="Y926" s="7"/>
      <c r="Z926" s="7"/>
      <c r="AA926" s="7"/>
      <c r="AB926" s="7"/>
      <c r="AC926" s="7"/>
      <c r="AD926" s="7"/>
      <c r="AE926" s="7"/>
      <c r="AF926" s="7"/>
      <c r="AG926" s="7"/>
      <c r="AH926" s="7"/>
      <c r="AI926" s="7"/>
    </row>
    <row r="927" spans="12:35">
      <c r="L927" s="7">
        <v>29</v>
      </c>
      <c r="M927" s="7">
        <v>32</v>
      </c>
      <c r="N927" s="7" t="b">
        <f>AND($N$5,$N$6,18&lt;=$M$5,1&lt;=$M$6)</f>
        <v>0</v>
      </c>
      <c r="O927" s="7">
        <f>(P29-N29)*(O32-O29)-(Q29-O29)*(N32-N29)</f>
        <v>0</v>
      </c>
      <c r="P927" s="7">
        <f>(P29-N29)*(Q32-O29)-(Q29-O29)*(P32-N29)</f>
        <v>0</v>
      </c>
      <c r="Q927" s="7">
        <f>(P32-N32)*(O29-O32)-(Q32-O32)*(N29-N32)</f>
        <v>0</v>
      </c>
      <c r="R927" s="7">
        <f>(P32-N32)*(Q29-O32)-(Q32-O32)*(P29-N32)</f>
        <v>0</v>
      </c>
      <c r="S927" s="7">
        <f>IF(N927,IF(AND(O927*P927&lt;=0,Q927*R927&lt;=0,MAX(MIN(N29,P29),MIN(N32,P32))&lt;=MIN(MAX(N29,P29),MAX(N32,P32)),MAX(MIN(O29,Q29),MIN(O32,Q32))&lt;=MIN(MAX(O29,Q29),MAX(O32,Q32))),1,0),0)</f>
        <v>0</v>
      </c>
      <c r="T927" s="7"/>
      <c r="U927" s="7"/>
      <c r="V927" s="7"/>
      <c r="W927" s="7"/>
      <c r="X927" s="7"/>
      <c r="Y927" s="7"/>
      <c r="Z927" s="7"/>
      <c r="AA927" s="7"/>
      <c r="AB927" s="7"/>
      <c r="AC927" s="7"/>
      <c r="AD927" s="7"/>
      <c r="AE927" s="7"/>
      <c r="AF927" s="7"/>
      <c r="AG927" s="7"/>
      <c r="AH927" s="7"/>
      <c r="AI927" s="7"/>
    </row>
    <row r="928" spans="12:35">
      <c r="L928" s="7">
        <v>29</v>
      </c>
      <c r="M928" s="7">
        <v>33</v>
      </c>
      <c r="N928" s="7" t="b">
        <f>AND($N$5,$N$6,18&lt;=$M$5,2&lt;=$M$6)</f>
        <v>0</v>
      </c>
      <c r="O928" s="7">
        <f>(P29-N29)*(O33-O29)-(Q29-O29)*(N33-N29)</f>
        <v>0</v>
      </c>
      <c r="P928" s="7">
        <f>(P29-N29)*(Q33-O29)-(Q29-O29)*(P33-N29)</f>
        <v>0</v>
      </c>
      <c r="Q928" s="7">
        <f>(P33-N33)*(O29-O33)-(Q33-O33)*(N29-N33)</f>
        <v>0</v>
      </c>
      <c r="R928" s="7">
        <f>(P33-N33)*(Q29-O33)-(Q33-O33)*(P29-N33)</f>
        <v>0</v>
      </c>
      <c r="S928" s="7">
        <f>IF(N928,IF(AND(O928*P928&lt;=0,Q928*R928&lt;=0,MAX(MIN(N29,P29),MIN(N33,P33))&lt;=MIN(MAX(N29,P29),MAX(N33,P33)),MAX(MIN(O29,Q29),MIN(O33,Q33))&lt;=MIN(MAX(O29,Q29),MAX(O33,Q33))),1,0),0)</f>
        <v>0</v>
      </c>
      <c r="T928" s="7"/>
      <c r="U928" s="7"/>
      <c r="V928" s="7"/>
      <c r="W928" s="7"/>
      <c r="X928" s="7"/>
      <c r="Y928" s="7"/>
      <c r="Z928" s="7"/>
      <c r="AA928" s="7"/>
      <c r="AB928" s="7"/>
      <c r="AC928" s="7"/>
      <c r="AD928" s="7"/>
      <c r="AE928" s="7"/>
      <c r="AF928" s="7"/>
      <c r="AG928" s="7"/>
      <c r="AH928" s="7"/>
      <c r="AI928" s="7"/>
    </row>
    <row r="929" spans="12:35">
      <c r="L929" s="7">
        <v>29</v>
      </c>
      <c r="M929" s="7">
        <v>34</v>
      </c>
      <c r="N929" s="7" t="b">
        <f>AND($N$5,$N$6,18&lt;=$M$5,3&lt;=$M$6)</f>
        <v>0</v>
      </c>
      <c r="O929" s="7">
        <f>(P29-N29)*(O34-O29)-(Q29-O29)*(N34-N29)</f>
        <v>0</v>
      </c>
      <c r="P929" s="7">
        <f>(P29-N29)*(Q34-O29)-(Q29-O29)*(P34-N29)</f>
        <v>0</v>
      </c>
      <c r="Q929" s="7">
        <f>(P34-N34)*(O29-O34)-(Q34-O34)*(N29-N34)</f>
        <v>0</v>
      </c>
      <c r="R929" s="7">
        <f>(P34-N34)*(Q29-O34)-(Q34-O34)*(P29-N34)</f>
        <v>0</v>
      </c>
      <c r="S929" s="7">
        <f>IF(N929,IF(AND(O929*P929&lt;=0,Q929*R929&lt;=0,MAX(MIN(N29,P29),MIN(N34,P34))&lt;=MIN(MAX(N29,P29),MAX(N34,P34)),MAX(MIN(O29,Q29),MIN(O34,Q34))&lt;=MIN(MAX(O29,Q29),MAX(O34,Q34))),1,0),0)</f>
        <v>0</v>
      </c>
      <c r="T929" s="7"/>
      <c r="U929" s="7"/>
      <c r="V929" s="7"/>
      <c r="W929" s="7"/>
      <c r="X929" s="7"/>
      <c r="Y929" s="7"/>
      <c r="Z929" s="7"/>
      <c r="AA929" s="7"/>
      <c r="AB929" s="7"/>
      <c r="AC929" s="7"/>
      <c r="AD929" s="7"/>
      <c r="AE929" s="7"/>
      <c r="AF929" s="7"/>
      <c r="AG929" s="7"/>
      <c r="AH929" s="7"/>
      <c r="AI929" s="7"/>
    </row>
    <row r="930" spans="12:35">
      <c r="L930" s="7">
        <v>29</v>
      </c>
      <c r="M930" s="7">
        <v>35</v>
      </c>
      <c r="N930" s="7" t="b">
        <f>AND($N$5,$N$6,18&lt;=$M$5,4&lt;=$M$6)</f>
        <v>0</v>
      </c>
      <c r="O930" s="7">
        <f>(P29-N29)*(O35-O29)-(Q29-O29)*(N35-N29)</f>
        <v>0</v>
      </c>
      <c r="P930" s="7">
        <f>(P29-N29)*(Q35-O29)-(Q29-O29)*(P35-N29)</f>
        <v>0</v>
      </c>
      <c r="Q930" s="7">
        <f>(P35-N35)*(O29-O35)-(Q35-O35)*(N29-N35)</f>
        <v>0</v>
      </c>
      <c r="R930" s="7">
        <f>(P35-N35)*(Q29-O35)-(Q35-O35)*(P29-N35)</f>
        <v>0</v>
      </c>
      <c r="S930" s="7">
        <f>IF(N930,IF(AND(O930*P930&lt;=0,Q930*R930&lt;=0,MAX(MIN(N29,P29),MIN(N35,P35))&lt;=MIN(MAX(N29,P29),MAX(N35,P35)),MAX(MIN(O29,Q29),MIN(O35,Q35))&lt;=MIN(MAX(O29,Q29),MAX(O35,Q35))),1,0),0)</f>
        <v>0</v>
      </c>
      <c r="T930" s="7"/>
      <c r="U930" s="7"/>
      <c r="V930" s="7"/>
      <c r="W930" s="7"/>
      <c r="X930" s="7"/>
      <c r="Y930" s="7"/>
      <c r="Z930" s="7"/>
      <c r="AA930" s="7"/>
      <c r="AB930" s="7"/>
      <c r="AC930" s="7"/>
      <c r="AD930" s="7"/>
      <c r="AE930" s="7"/>
      <c r="AF930" s="7"/>
      <c r="AG930" s="7"/>
      <c r="AH930" s="7"/>
      <c r="AI930" s="7"/>
    </row>
    <row r="931" spans="12:35">
      <c r="L931" s="7">
        <v>29</v>
      </c>
      <c r="M931" s="7">
        <v>36</v>
      </c>
      <c r="N931" s="7" t="b">
        <f>AND($N$5,$N$6,18&lt;=$M$5,5&lt;=$M$6)</f>
        <v>0</v>
      </c>
      <c r="O931" s="7">
        <f>(P29-N29)*(O36-O29)-(Q29-O29)*(N36-N29)</f>
        <v>0</v>
      </c>
      <c r="P931" s="7">
        <f>(P29-N29)*(Q36-O29)-(Q29-O29)*(P36-N29)</f>
        <v>0</v>
      </c>
      <c r="Q931" s="7">
        <f>(P36-N36)*(O29-O36)-(Q36-O36)*(N29-N36)</f>
        <v>0</v>
      </c>
      <c r="R931" s="7">
        <f>(P36-N36)*(Q29-O36)-(Q36-O36)*(P29-N36)</f>
        <v>0</v>
      </c>
      <c r="S931" s="7">
        <f>IF(N931,IF(AND(O931*P931&lt;=0,Q931*R931&lt;=0,MAX(MIN(N29,P29),MIN(N36,P36))&lt;=MIN(MAX(N29,P29),MAX(N36,P36)),MAX(MIN(O29,Q29),MIN(O36,Q36))&lt;=MIN(MAX(O29,Q29),MAX(O36,Q36))),1,0),0)</f>
        <v>0</v>
      </c>
      <c r="T931" s="7"/>
      <c r="U931" s="7"/>
      <c r="V931" s="7"/>
      <c r="W931" s="7"/>
      <c r="X931" s="7"/>
      <c r="Y931" s="7"/>
      <c r="Z931" s="7"/>
      <c r="AA931" s="7"/>
      <c r="AB931" s="7"/>
      <c r="AC931" s="7"/>
      <c r="AD931" s="7"/>
      <c r="AE931" s="7"/>
      <c r="AF931" s="7"/>
      <c r="AG931" s="7"/>
      <c r="AH931" s="7"/>
      <c r="AI931" s="7"/>
    </row>
    <row r="932" spans="12:35">
      <c r="L932" s="7">
        <v>29</v>
      </c>
      <c r="M932" s="7">
        <v>37</v>
      </c>
      <c r="N932" s="7" t="b">
        <f>AND($N$5,$N$6,18&lt;=$M$5,6&lt;=$M$6)</f>
        <v>0</v>
      </c>
      <c r="O932" s="7">
        <f>(P29-N29)*(O37-O29)-(Q29-O29)*(N37-N29)</f>
        <v>0</v>
      </c>
      <c r="P932" s="7">
        <f>(P29-N29)*(Q37-O29)-(Q29-O29)*(P37-N29)</f>
        <v>0</v>
      </c>
      <c r="Q932" s="7">
        <f>(P37-N37)*(O29-O37)-(Q37-O37)*(N29-N37)</f>
        <v>0</v>
      </c>
      <c r="R932" s="7">
        <f>(P37-N37)*(Q29-O37)-(Q37-O37)*(P29-N37)</f>
        <v>0</v>
      </c>
      <c r="S932" s="7">
        <f>IF(N932,IF(AND(O932*P932&lt;=0,Q932*R932&lt;=0,MAX(MIN(N29,P29),MIN(N37,P37))&lt;=MIN(MAX(N29,P29),MAX(N37,P37)),MAX(MIN(O29,Q29),MIN(O37,Q37))&lt;=MIN(MAX(O29,Q29),MAX(O37,Q37))),1,0),0)</f>
        <v>0</v>
      </c>
      <c r="T932" s="7"/>
      <c r="U932" s="7"/>
      <c r="V932" s="7"/>
      <c r="W932" s="7"/>
      <c r="X932" s="7"/>
      <c r="Y932" s="7"/>
      <c r="Z932" s="7"/>
      <c r="AA932" s="7"/>
      <c r="AB932" s="7"/>
      <c r="AC932" s="7"/>
      <c r="AD932" s="7"/>
      <c r="AE932" s="7"/>
      <c r="AF932" s="7"/>
      <c r="AG932" s="7"/>
      <c r="AH932" s="7"/>
      <c r="AI932" s="7"/>
    </row>
    <row r="933" spans="12:35">
      <c r="L933" s="7">
        <v>29</v>
      </c>
      <c r="M933" s="7">
        <v>38</v>
      </c>
      <c r="N933" s="7" t="b">
        <f>AND($N$5,$N$6,18&lt;=$M$5,7&lt;=$M$6)</f>
        <v>0</v>
      </c>
      <c r="O933" s="7">
        <f>(P29-N29)*(O38-O29)-(Q29-O29)*(N38-N29)</f>
        <v>0</v>
      </c>
      <c r="P933" s="7">
        <f>(P29-N29)*(Q38-O29)-(Q29-O29)*(P38-N29)</f>
        <v>0</v>
      </c>
      <c r="Q933" s="7">
        <f>(P38-N38)*(O29-O38)-(Q38-O38)*(N29-N38)</f>
        <v>0</v>
      </c>
      <c r="R933" s="7">
        <f>(P38-N38)*(Q29-O38)-(Q38-O38)*(P29-N38)</f>
        <v>0</v>
      </c>
      <c r="S933" s="7">
        <f>IF(N933,IF(AND(O933*P933&lt;=0,Q933*R933&lt;=0,MAX(MIN(N29,P29),MIN(N38,P38))&lt;=MIN(MAX(N29,P29),MAX(N38,P38)),MAX(MIN(O29,Q29),MIN(O38,Q38))&lt;=MIN(MAX(O29,Q29),MAX(O38,Q38))),1,0),0)</f>
        <v>0</v>
      </c>
      <c r="T933" s="7"/>
      <c r="U933" s="7"/>
      <c r="V933" s="7"/>
      <c r="W933" s="7"/>
      <c r="X933" s="7"/>
      <c r="Y933" s="7"/>
      <c r="Z933" s="7"/>
      <c r="AA933" s="7"/>
      <c r="AB933" s="7"/>
      <c r="AC933" s="7"/>
      <c r="AD933" s="7"/>
      <c r="AE933" s="7"/>
      <c r="AF933" s="7"/>
      <c r="AG933" s="7"/>
      <c r="AH933" s="7"/>
      <c r="AI933" s="7"/>
    </row>
    <row r="934" spans="12:35">
      <c r="L934" s="7">
        <v>29</v>
      </c>
      <c r="M934" s="7">
        <v>39</v>
      </c>
      <c r="N934" s="7" t="b">
        <f>AND($N$5,$N$6,18&lt;=$M$5,8&lt;=$M$6)</f>
        <v>0</v>
      </c>
      <c r="O934" s="7">
        <f>(P29-N29)*(O39-O29)-(Q29-O29)*(N39-N29)</f>
        <v>0</v>
      </c>
      <c r="P934" s="7">
        <f>(P29-N29)*(Q39-O29)-(Q29-O29)*(P39-N29)</f>
        <v>0</v>
      </c>
      <c r="Q934" s="7">
        <f>(P39-N39)*(O29-O39)-(Q39-O39)*(N29-N39)</f>
        <v>0</v>
      </c>
      <c r="R934" s="7">
        <f>(P39-N39)*(Q29-O39)-(Q39-O39)*(P29-N39)</f>
        <v>0</v>
      </c>
      <c r="S934" s="7">
        <f>IF(N934,IF(AND(O934*P934&lt;=0,Q934*R934&lt;=0,MAX(MIN(N29,P29),MIN(N39,P39))&lt;=MIN(MAX(N29,P29),MAX(N39,P39)),MAX(MIN(O29,Q29),MIN(O39,Q39))&lt;=MIN(MAX(O29,Q29),MAX(O39,Q39))),1,0),0)</f>
        <v>0</v>
      </c>
      <c r="T934" s="7"/>
      <c r="U934" s="7"/>
      <c r="V934" s="7"/>
      <c r="W934" s="7"/>
      <c r="X934" s="7"/>
      <c r="Y934" s="7"/>
      <c r="Z934" s="7"/>
      <c r="AA934" s="7"/>
      <c r="AB934" s="7"/>
      <c r="AC934" s="7"/>
      <c r="AD934" s="7"/>
      <c r="AE934" s="7"/>
      <c r="AF934" s="7"/>
      <c r="AG934" s="7"/>
      <c r="AH934" s="7"/>
      <c r="AI934" s="7"/>
    </row>
    <row r="935" spans="12:35">
      <c r="L935" s="7">
        <v>29</v>
      </c>
      <c r="M935" s="7">
        <v>40</v>
      </c>
      <c r="N935" s="7" t="b">
        <f>AND($N$5,$N$6,18&lt;=$M$5,9&lt;=$M$6)</f>
        <v>0</v>
      </c>
      <c r="O935" s="7">
        <f>(P29-N29)*(O40-O29)-(Q29-O29)*(N40-N29)</f>
        <v>0</v>
      </c>
      <c r="P935" s="7">
        <f>(P29-N29)*(Q40-O29)-(Q29-O29)*(P40-N29)</f>
        <v>0</v>
      </c>
      <c r="Q935" s="7">
        <f>(P40-N40)*(O29-O40)-(Q40-O40)*(N29-N40)</f>
        <v>0</v>
      </c>
      <c r="R935" s="7">
        <f>(P40-N40)*(Q29-O40)-(Q40-O40)*(P29-N40)</f>
        <v>0</v>
      </c>
      <c r="S935" s="7">
        <f>IF(N935,IF(AND(O935*P935&lt;=0,Q935*R935&lt;=0,MAX(MIN(N29,P29),MIN(N40,P40))&lt;=MIN(MAX(N29,P29),MAX(N40,P40)),MAX(MIN(O29,Q29),MIN(O40,Q40))&lt;=MIN(MAX(O29,Q29),MAX(O40,Q40))),1,0),0)</f>
        <v>0</v>
      </c>
      <c r="T935" s="7"/>
      <c r="U935" s="7"/>
      <c r="V935" s="7"/>
      <c r="W935" s="7"/>
      <c r="X935" s="7"/>
      <c r="Y935" s="7"/>
      <c r="Z935" s="7"/>
      <c r="AA935" s="7"/>
      <c r="AB935" s="7"/>
      <c r="AC935" s="7"/>
      <c r="AD935" s="7"/>
      <c r="AE935" s="7"/>
      <c r="AF935" s="7"/>
      <c r="AG935" s="7"/>
      <c r="AH935" s="7"/>
      <c r="AI935" s="7"/>
    </row>
    <row r="936" spans="12:35">
      <c r="L936" s="7">
        <v>29</v>
      </c>
      <c r="M936" s="7">
        <v>41</v>
      </c>
      <c r="N936" s="7" t="b">
        <f>AND($N$5,$N$6,18&lt;=$M$5,10&lt;=$M$6)</f>
        <v>0</v>
      </c>
      <c r="O936" s="7">
        <f>(P29-N29)*(O41-O29)-(Q29-O29)*(N41-N29)</f>
        <v>0</v>
      </c>
      <c r="P936" s="7">
        <f>(P29-N29)*(Q41-O29)-(Q29-O29)*(P41-N29)</f>
        <v>0</v>
      </c>
      <c r="Q936" s="7">
        <f>(P41-N41)*(O29-O41)-(Q41-O41)*(N29-N41)</f>
        <v>0</v>
      </c>
      <c r="R936" s="7">
        <f>(P41-N41)*(Q29-O41)-(Q41-O41)*(P29-N41)</f>
        <v>0</v>
      </c>
      <c r="S936" s="7">
        <f>IF(N936,IF(AND(O936*P936&lt;=0,Q936*R936&lt;=0,MAX(MIN(N29,P29),MIN(N41,P41))&lt;=MIN(MAX(N29,P29),MAX(N41,P41)),MAX(MIN(O29,Q29),MIN(O41,Q41))&lt;=MIN(MAX(O29,Q29),MAX(O41,Q41))),1,0),0)</f>
        <v>0</v>
      </c>
      <c r="T936" s="7"/>
      <c r="U936" s="7"/>
      <c r="V936" s="7"/>
      <c r="W936" s="7"/>
      <c r="X936" s="7"/>
      <c r="Y936" s="7"/>
      <c r="Z936" s="7"/>
      <c r="AA936" s="7"/>
      <c r="AB936" s="7"/>
      <c r="AC936" s="7"/>
      <c r="AD936" s="7"/>
      <c r="AE936" s="7"/>
      <c r="AF936" s="7"/>
      <c r="AG936" s="7"/>
      <c r="AH936" s="7"/>
      <c r="AI936" s="7"/>
    </row>
    <row r="937" spans="12:35">
      <c r="L937" s="7">
        <v>29</v>
      </c>
      <c r="M937" s="7">
        <v>42</v>
      </c>
      <c r="N937" s="7" t="b">
        <f>AND($N$5,$N$6,18&lt;=$M$5,11&lt;=$M$6)</f>
        <v>0</v>
      </c>
      <c r="O937" s="7">
        <f>(P29-N29)*(O42-O29)-(Q29-O29)*(N42-N29)</f>
        <v>0</v>
      </c>
      <c r="P937" s="7">
        <f>(P29-N29)*(Q42-O29)-(Q29-O29)*(P42-N29)</f>
        <v>0</v>
      </c>
      <c r="Q937" s="7">
        <f>(P42-N42)*(O29-O42)-(Q42-O42)*(N29-N42)</f>
        <v>0</v>
      </c>
      <c r="R937" s="7">
        <f>(P42-N42)*(Q29-O42)-(Q42-O42)*(P29-N42)</f>
        <v>0</v>
      </c>
      <c r="S937" s="7">
        <f>IF(N937,IF(AND(O937*P937&lt;=0,Q937*R937&lt;=0,MAX(MIN(N29,P29),MIN(N42,P42))&lt;=MIN(MAX(N29,P29),MAX(N42,P42)),MAX(MIN(O29,Q29),MIN(O42,Q42))&lt;=MIN(MAX(O29,Q29),MAX(O42,Q42))),1,0),0)</f>
        <v>0</v>
      </c>
      <c r="T937" s="7"/>
      <c r="U937" s="7"/>
      <c r="V937" s="7"/>
      <c r="W937" s="7"/>
      <c r="X937" s="7"/>
      <c r="Y937" s="7"/>
      <c r="Z937" s="7"/>
      <c r="AA937" s="7"/>
      <c r="AB937" s="7"/>
      <c r="AC937" s="7"/>
      <c r="AD937" s="7"/>
      <c r="AE937" s="7"/>
      <c r="AF937" s="7"/>
      <c r="AG937" s="7"/>
      <c r="AH937" s="7"/>
      <c r="AI937" s="7"/>
    </row>
    <row r="938" spans="12:35">
      <c r="L938" s="7">
        <v>29</v>
      </c>
      <c r="M938" s="7">
        <v>43</v>
      </c>
      <c r="N938" s="7" t="b">
        <f>AND($N$5,$N$6,18&lt;=$M$5,12&lt;=$M$6)</f>
        <v>0</v>
      </c>
      <c r="O938" s="7">
        <f>(P29-N29)*(O43-O29)-(Q29-O29)*(N43-N29)</f>
        <v>0</v>
      </c>
      <c r="P938" s="7">
        <f>(P29-N29)*(Q43-O29)-(Q29-O29)*(P43-N29)</f>
        <v>0</v>
      </c>
      <c r="Q938" s="7">
        <f>(P43-N43)*(O29-O43)-(Q43-O43)*(N29-N43)</f>
        <v>0</v>
      </c>
      <c r="R938" s="7">
        <f>(P43-N43)*(Q29-O43)-(Q43-O43)*(P29-N43)</f>
        <v>0</v>
      </c>
      <c r="S938" s="7">
        <f>IF(N938,IF(AND(O938*P938&lt;=0,Q938*R938&lt;=0,MAX(MIN(N29,P29),MIN(N43,P43))&lt;=MIN(MAX(N29,P29),MAX(N43,P43)),MAX(MIN(O29,Q29),MIN(O43,Q43))&lt;=MIN(MAX(O29,Q29),MAX(O43,Q43))),1,0),0)</f>
        <v>0</v>
      </c>
      <c r="T938" s="7"/>
      <c r="U938" s="7"/>
      <c r="V938" s="7"/>
      <c r="W938" s="7"/>
      <c r="X938" s="7"/>
      <c r="Y938" s="7"/>
      <c r="Z938" s="7"/>
      <c r="AA938" s="7"/>
      <c r="AB938" s="7"/>
      <c r="AC938" s="7"/>
      <c r="AD938" s="7"/>
      <c r="AE938" s="7"/>
      <c r="AF938" s="7"/>
      <c r="AG938" s="7"/>
      <c r="AH938" s="7"/>
      <c r="AI938" s="7"/>
    </row>
    <row r="939" spans="12:35">
      <c r="L939" s="7">
        <v>29</v>
      </c>
      <c r="M939" s="7">
        <v>44</v>
      </c>
      <c r="N939" s="7" t="b">
        <f>AND($N$5,$N$6,18&lt;=$M$5,13&lt;=$M$6)</f>
        <v>0</v>
      </c>
      <c r="O939" s="7">
        <f>(P29-N29)*(O44-O29)-(Q29-O29)*(N44-N29)</f>
        <v>0</v>
      </c>
      <c r="P939" s="7">
        <f>(P29-N29)*(Q44-O29)-(Q29-O29)*(P44-N29)</f>
        <v>0</v>
      </c>
      <c r="Q939" s="7">
        <f>(P44-N44)*(O29-O44)-(Q44-O44)*(N29-N44)</f>
        <v>0</v>
      </c>
      <c r="R939" s="7">
        <f>(P44-N44)*(Q29-O44)-(Q44-O44)*(P29-N44)</f>
        <v>0</v>
      </c>
      <c r="S939" s="7">
        <f>IF(N939,IF(AND(O939*P939&lt;=0,Q939*R939&lt;=0,MAX(MIN(N29,P29),MIN(N44,P44))&lt;=MIN(MAX(N29,P29),MAX(N44,P44)),MAX(MIN(O29,Q29),MIN(O44,Q44))&lt;=MIN(MAX(O29,Q29),MAX(O44,Q44))),1,0),0)</f>
        <v>0</v>
      </c>
      <c r="T939" s="7"/>
      <c r="U939" s="7"/>
      <c r="V939" s="7"/>
      <c r="W939" s="7"/>
      <c r="X939" s="7"/>
      <c r="Y939" s="7"/>
      <c r="Z939" s="7"/>
      <c r="AA939" s="7"/>
      <c r="AB939" s="7"/>
      <c r="AC939" s="7"/>
      <c r="AD939" s="7"/>
      <c r="AE939" s="7"/>
      <c r="AF939" s="7"/>
      <c r="AG939" s="7"/>
      <c r="AH939" s="7"/>
      <c r="AI939" s="7"/>
    </row>
    <row r="940" spans="12:35">
      <c r="L940" s="7">
        <v>29</v>
      </c>
      <c r="M940" s="7">
        <v>45</v>
      </c>
      <c r="N940" s="7" t="b">
        <f>AND($N$5,$N$6,18&lt;=$M$5,14&lt;=$M$6)</f>
        <v>0</v>
      </c>
      <c r="O940" s="7">
        <f>(P29-N29)*(O45-O29)-(Q29-O29)*(N45-N29)</f>
        <v>0</v>
      </c>
      <c r="P940" s="7">
        <f>(P29-N29)*(Q45-O29)-(Q29-O29)*(P45-N29)</f>
        <v>0</v>
      </c>
      <c r="Q940" s="7">
        <f>(P45-N45)*(O29-O45)-(Q45-O45)*(N29-N45)</f>
        <v>0</v>
      </c>
      <c r="R940" s="7">
        <f>(P45-N45)*(Q29-O45)-(Q45-O45)*(P29-N45)</f>
        <v>0</v>
      </c>
      <c r="S940" s="7">
        <f>IF(N940,IF(AND(O940*P940&lt;=0,Q940*R940&lt;=0,MAX(MIN(N29,P29),MIN(N45,P45))&lt;=MIN(MAX(N29,P29),MAX(N45,P45)),MAX(MIN(O29,Q29),MIN(O45,Q45))&lt;=MIN(MAX(O29,Q29),MAX(O45,Q45))),1,0),0)</f>
        <v>0</v>
      </c>
      <c r="T940" s="7"/>
      <c r="U940" s="7"/>
      <c r="V940" s="7"/>
      <c r="W940" s="7"/>
      <c r="X940" s="7"/>
      <c r="Y940" s="7"/>
      <c r="Z940" s="7"/>
      <c r="AA940" s="7"/>
      <c r="AB940" s="7"/>
      <c r="AC940" s="7"/>
      <c r="AD940" s="7"/>
      <c r="AE940" s="7"/>
      <c r="AF940" s="7"/>
      <c r="AG940" s="7"/>
      <c r="AH940" s="7"/>
      <c r="AI940" s="7"/>
    </row>
    <row r="941" spans="12:35">
      <c r="L941" s="7">
        <v>29</v>
      </c>
      <c r="M941" s="7">
        <v>46</v>
      </c>
      <c r="N941" s="7" t="b">
        <f>AND($N$5,$N$6,18&lt;=$M$5,15&lt;=$M$6)</f>
        <v>0</v>
      </c>
      <c r="O941" s="7">
        <f>(P29-N29)*(O46-O29)-(Q29-O29)*(N46-N29)</f>
        <v>0</v>
      </c>
      <c r="P941" s="7">
        <f>(P29-N29)*(Q46-O29)-(Q29-O29)*(P46-N29)</f>
        <v>0</v>
      </c>
      <c r="Q941" s="7">
        <f>(P46-N46)*(O29-O46)-(Q46-O46)*(N29-N46)</f>
        <v>0</v>
      </c>
      <c r="R941" s="7">
        <f>(P46-N46)*(Q29-O46)-(Q46-O46)*(P29-N46)</f>
        <v>0</v>
      </c>
      <c r="S941" s="7">
        <f>IF(N941,IF(AND(O941*P941&lt;=0,Q941*R941&lt;=0,MAX(MIN(N29,P29),MIN(N46,P46))&lt;=MIN(MAX(N29,P29),MAX(N46,P46)),MAX(MIN(O29,Q29),MIN(O46,Q46))&lt;=MIN(MAX(O29,Q29),MAX(O46,Q46))),1,0),0)</f>
        <v>0</v>
      </c>
      <c r="T941" s="7"/>
      <c r="U941" s="7"/>
      <c r="V941" s="7"/>
      <c r="W941" s="7"/>
      <c r="X941" s="7"/>
      <c r="Y941" s="7"/>
      <c r="Z941" s="7"/>
      <c r="AA941" s="7"/>
      <c r="AB941" s="7"/>
      <c r="AC941" s="7"/>
      <c r="AD941" s="7"/>
      <c r="AE941" s="7"/>
      <c r="AF941" s="7"/>
      <c r="AG941" s="7"/>
      <c r="AH941" s="7"/>
      <c r="AI941" s="7"/>
    </row>
    <row r="942" spans="12:35">
      <c r="L942" s="7">
        <v>29</v>
      </c>
      <c r="M942" s="7">
        <v>47</v>
      </c>
      <c r="N942" s="7" t="b">
        <f>AND($N$5,$N$6,18&lt;=$M$5,16&lt;=$M$6)</f>
        <v>0</v>
      </c>
      <c r="O942" s="7">
        <f>(P29-N29)*(O47-O29)-(Q29-O29)*(N47-N29)</f>
        <v>0</v>
      </c>
      <c r="P942" s="7">
        <f>(P29-N29)*(Q47-O29)-(Q29-O29)*(P47-N29)</f>
        <v>0</v>
      </c>
      <c r="Q942" s="7">
        <f>(P47-N47)*(O29-O47)-(Q47-O47)*(N29-N47)</f>
        <v>0</v>
      </c>
      <c r="R942" s="7">
        <f>(P47-N47)*(Q29-O47)-(Q47-O47)*(P29-N47)</f>
        <v>0</v>
      </c>
      <c r="S942" s="7">
        <f>IF(N942,IF(AND(O942*P942&lt;=0,Q942*R942&lt;=0,MAX(MIN(N29,P29),MIN(N47,P47))&lt;=MIN(MAX(N29,P29),MAX(N47,P47)),MAX(MIN(O29,Q29),MIN(O47,Q47))&lt;=MIN(MAX(O29,Q29),MAX(O47,Q47))),1,0),0)</f>
        <v>0</v>
      </c>
      <c r="T942" s="7"/>
      <c r="U942" s="7"/>
      <c r="V942" s="7"/>
      <c r="W942" s="7"/>
      <c r="X942" s="7"/>
      <c r="Y942" s="7"/>
      <c r="Z942" s="7"/>
      <c r="AA942" s="7"/>
      <c r="AB942" s="7"/>
      <c r="AC942" s="7"/>
      <c r="AD942" s="7"/>
      <c r="AE942" s="7"/>
      <c r="AF942" s="7"/>
      <c r="AG942" s="7"/>
      <c r="AH942" s="7"/>
      <c r="AI942" s="7"/>
    </row>
    <row r="943" spans="12:35">
      <c r="L943" s="7">
        <v>29</v>
      </c>
      <c r="M943" s="7">
        <v>48</v>
      </c>
      <c r="N943" s="7" t="b">
        <f>AND($N$5,$N$6,18&lt;=$M$5,17&lt;=$M$6)</f>
        <v>0</v>
      </c>
      <c r="O943" s="7">
        <f>(P29-N29)*(O48-O29)-(Q29-O29)*(N48-N29)</f>
        <v>0</v>
      </c>
      <c r="P943" s="7">
        <f>(P29-N29)*(Q48-O29)-(Q29-O29)*(P48-N29)</f>
        <v>0</v>
      </c>
      <c r="Q943" s="7">
        <f>(P48-N48)*(O29-O48)-(Q48-O48)*(N29-N48)</f>
        <v>0</v>
      </c>
      <c r="R943" s="7">
        <f>(P48-N48)*(Q29-O48)-(Q48-O48)*(P29-N48)</f>
        <v>0</v>
      </c>
      <c r="S943" s="7">
        <f>IF(N943,IF(AND(O943*P943&lt;=0,Q943*R943&lt;=0,MAX(MIN(N29,P29),MIN(N48,P48))&lt;=MIN(MAX(N29,P29),MAX(N48,P48)),MAX(MIN(O29,Q29),MIN(O48,Q48))&lt;=MIN(MAX(O29,Q29),MAX(O48,Q48))),1,0),0)</f>
        <v>0</v>
      </c>
      <c r="T943" s="7"/>
      <c r="U943" s="7"/>
      <c r="V943" s="7"/>
      <c r="W943" s="7"/>
      <c r="X943" s="7"/>
      <c r="Y943" s="7"/>
      <c r="Z943" s="7"/>
      <c r="AA943" s="7"/>
      <c r="AB943" s="7"/>
      <c r="AC943" s="7"/>
      <c r="AD943" s="7"/>
      <c r="AE943" s="7"/>
      <c r="AF943" s="7"/>
      <c r="AG943" s="7"/>
      <c r="AH943" s="7"/>
      <c r="AI943" s="7"/>
    </row>
    <row r="944" spans="12:35">
      <c r="L944" s="7">
        <v>29</v>
      </c>
      <c r="M944" s="7">
        <v>49</v>
      </c>
      <c r="N944" s="7" t="b">
        <f>AND($N$5,$N$6,18&lt;=$M$5,18&lt;=$M$6)</f>
        <v>0</v>
      </c>
      <c r="O944" s="7">
        <f>(P29-N29)*(O49-O29)-(Q29-O29)*(N49-N29)</f>
        <v>0</v>
      </c>
      <c r="P944" s="7">
        <f>(P29-N29)*(Q49-O29)-(Q29-O29)*(P49-N29)</f>
        <v>0</v>
      </c>
      <c r="Q944" s="7">
        <f>(P49-N49)*(O29-O49)-(Q49-O49)*(N29-N49)</f>
        <v>0</v>
      </c>
      <c r="R944" s="7">
        <f>(P49-N49)*(Q29-O49)-(Q49-O49)*(P29-N49)</f>
        <v>0</v>
      </c>
      <c r="S944" s="7">
        <f>IF(N944,IF(AND(O944*P944&lt;=0,Q944*R944&lt;=0,MAX(MIN(N29,P29),MIN(N49,P49))&lt;=MIN(MAX(N29,P29),MAX(N49,P49)),MAX(MIN(O29,Q29),MIN(O49,Q49))&lt;=MIN(MAX(O29,Q29),MAX(O49,Q49))),1,0),0)</f>
        <v>0</v>
      </c>
      <c r="T944" s="7"/>
      <c r="U944" s="7"/>
      <c r="V944" s="7"/>
      <c r="W944" s="7"/>
      <c r="X944" s="7"/>
      <c r="Y944" s="7"/>
      <c r="Z944" s="7"/>
      <c r="AA944" s="7"/>
      <c r="AB944" s="7"/>
      <c r="AC944" s="7"/>
      <c r="AD944" s="7"/>
      <c r="AE944" s="7"/>
      <c r="AF944" s="7"/>
      <c r="AG944" s="7"/>
      <c r="AH944" s="7"/>
      <c r="AI944" s="7"/>
    </row>
    <row r="945" spans="12:35">
      <c r="L945" s="7">
        <v>29</v>
      </c>
      <c r="M945" s="7">
        <v>50</v>
      </c>
      <c r="N945" s="7" t="b">
        <f>AND($N$5,$N$6,18&lt;=$M$5,19&lt;=$M$6)</f>
        <v>0</v>
      </c>
      <c r="O945" s="7">
        <f>(P29-N29)*(O50-O29)-(Q29-O29)*(N50-N29)</f>
        <v>0</v>
      </c>
      <c r="P945" s="7">
        <f>(P29-N29)*(Q50-O29)-(Q29-O29)*(P50-N29)</f>
        <v>0</v>
      </c>
      <c r="Q945" s="7">
        <f>(P50-N50)*(O29-O50)-(Q50-O50)*(N29-N50)</f>
        <v>0</v>
      </c>
      <c r="R945" s="7">
        <f>(P50-N50)*(Q29-O50)-(Q50-O50)*(P29-N50)</f>
        <v>0</v>
      </c>
      <c r="S945" s="7">
        <f>IF(N945,IF(AND(O945*P945&lt;=0,Q945*R945&lt;=0,MAX(MIN(N29,P29),MIN(N50,P50))&lt;=MIN(MAX(N29,P29),MAX(N50,P50)),MAX(MIN(O29,Q29),MIN(O50,Q50))&lt;=MIN(MAX(O29,Q29),MAX(O50,Q50))),1,0),0)</f>
        <v>0</v>
      </c>
      <c r="T945" s="7"/>
      <c r="U945" s="7"/>
      <c r="V945" s="7"/>
      <c r="W945" s="7"/>
      <c r="X945" s="7"/>
      <c r="Y945" s="7"/>
      <c r="Z945" s="7"/>
      <c r="AA945" s="7"/>
      <c r="AB945" s="7"/>
      <c r="AC945" s="7"/>
      <c r="AD945" s="7"/>
      <c r="AE945" s="7"/>
      <c r="AF945" s="7"/>
      <c r="AG945" s="7"/>
      <c r="AH945" s="7"/>
      <c r="AI945" s="7"/>
    </row>
    <row r="946" spans="12:35">
      <c r="L946" s="7">
        <v>29</v>
      </c>
      <c r="M946" s="7">
        <v>51</v>
      </c>
      <c r="N946" s="7" t="b">
        <f>AND($N$5,$N$6,18&lt;=$M$5,20&lt;=$M$6)</f>
        <v>0</v>
      </c>
      <c r="O946" s="7">
        <f>(P29-N29)*(O51-O29)-(Q29-O29)*(N51-N29)</f>
        <v>0</v>
      </c>
      <c r="P946" s="7">
        <f>(P29-N29)*(Q51-O29)-(Q29-O29)*(P51-N29)</f>
        <v>0</v>
      </c>
      <c r="Q946" s="7">
        <f>(P51-N51)*(O29-O51)-(Q51-O51)*(N29-N51)</f>
        <v>0</v>
      </c>
      <c r="R946" s="7">
        <f>(P51-N51)*(Q29-O51)-(Q51-O51)*(P29-N51)</f>
        <v>0</v>
      </c>
      <c r="S946" s="7">
        <f>IF(N946,IF(AND(O946*P946&lt;=0,Q946*R946&lt;=0,MAX(MIN(N29,P29),MIN(N51,P51))&lt;=MIN(MAX(N29,P29),MAX(N51,P51)),MAX(MIN(O29,Q29),MIN(O51,Q51))&lt;=MIN(MAX(O29,Q29),MAX(O51,Q51))),1,0),0)</f>
        <v>0</v>
      </c>
      <c r="T946" s="7"/>
      <c r="U946" s="7"/>
      <c r="V946" s="7"/>
      <c r="W946" s="7"/>
      <c r="X946" s="7"/>
      <c r="Y946" s="7"/>
      <c r="Z946" s="7"/>
      <c r="AA946" s="7"/>
      <c r="AB946" s="7"/>
      <c r="AC946" s="7"/>
      <c r="AD946" s="7"/>
      <c r="AE946" s="7"/>
      <c r="AF946" s="7"/>
      <c r="AG946" s="7"/>
      <c r="AH946" s="7"/>
      <c r="AI946" s="7"/>
    </row>
    <row r="947" spans="12:35">
      <c r="L947" s="7">
        <v>29</v>
      </c>
      <c r="M947" s="7">
        <v>52</v>
      </c>
      <c r="N947" s="7" t="b">
        <f>AND($N$5,$N$7,18&lt;=$M$5,1&lt;=$M$7)</f>
        <v>0</v>
      </c>
      <c r="O947" s="7">
        <f>(P29-N29)*(O52-O29)-(Q29-O29)*(N52-N29)</f>
        <v>0</v>
      </c>
      <c r="P947" s="7">
        <f>(P29-N29)*(Q52-O29)-(Q29-O29)*(P52-N29)</f>
        <v>0</v>
      </c>
      <c r="Q947" s="7">
        <f>(P52-N52)*(O29-O52)-(Q52-O52)*(N29-N52)</f>
        <v>0</v>
      </c>
      <c r="R947" s="7">
        <f>(P52-N52)*(Q29-O52)-(Q52-O52)*(P29-N52)</f>
        <v>0</v>
      </c>
      <c r="S947" s="7">
        <f>IF(N947,IF(AND(O947*P947&lt;=0,Q947*R947&lt;=0,MAX(MIN(N29,P29),MIN(N52,P52))&lt;=MIN(MAX(N29,P29),MAX(N52,P52)),MAX(MIN(O29,Q29),MIN(O52,Q52))&lt;=MIN(MAX(O29,Q29),MAX(O52,Q52))),1,0),0)</f>
        <v>0</v>
      </c>
      <c r="T947" s="7"/>
      <c r="U947" s="7"/>
      <c r="V947" s="7"/>
      <c r="W947" s="7"/>
      <c r="X947" s="7"/>
      <c r="Y947" s="7"/>
      <c r="Z947" s="7"/>
      <c r="AA947" s="7"/>
      <c r="AB947" s="7"/>
      <c r="AC947" s="7"/>
      <c r="AD947" s="7"/>
      <c r="AE947" s="7"/>
      <c r="AF947" s="7"/>
      <c r="AG947" s="7"/>
      <c r="AH947" s="7"/>
      <c r="AI947" s="7"/>
    </row>
    <row r="948" spans="12:35">
      <c r="L948" s="7">
        <v>29</v>
      </c>
      <c r="M948" s="7">
        <v>53</v>
      </c>
      <c r="N948" s="7" t="b">
        <f>AND($N$5,$N$7,18&lt;=$M$5,2&lt;=$M$7)</f>
        <v>0</v>
      </c>
      <c r="O948" s="7">
        <f>(P29-N29)*(O53-O29)-(Q29-O29)*(N53-N29)</f>
        <v>0</v>
      </c>
      <c r="P948" s="7">
        <f>(P29-N29)*(Q53-O29)-(Q29-O29)*(P53-N29)</f>
        <v>0</v>
      </c>
      <c r="Q948" s="7">
        <f>(P53-N53)*(O29-O53)-(Q53-O53)*(N29-N53)</f>
        <v>0</v>
      </c>
      <c r="R948" s="7">
        <f>(P53-N53)*(Q29-O53)-(Q53-O53)*(P29-N53)</f>
        <v>0</v>
      </c>
      <c r="S948" s="7">
        <f>IF(N948,IF(AND(O948*P948&lt;=0,Q948*R948&lt;=0,MAX(MIN(N29,P29),MIN(N53,P53))&lt;=MIN(MAX(N29,P29),MAX(N53,P53)),MAX(MIN(O29,Q29),MIN(O53,Q53))&lt;=MIN(MAX(O29,Q29),MAX(O53,Q53))),1,0),0)</f>
        <v>0</v>
      </c>
      <c r="T948" s="7"/>
      <c r="U948" s="7"/>
      <c r="V948" s="7"/>
      <c r="W948" s="7"/>
      <c r="X948" s="7"/>
      <c r="Y948" s="7"/>
      <c r="Z948" s="7"/>
      <c r="AA948" s="7"/>
      <c r="AB948" s="7"/>
      <c r="AC948" s="7"/>
      <c r="AD948" s="7"/>
      <c r="AE948" s="7"/>
      <c r="AF948" s="7"/>
      <c r="AG948" s="7"/>
      <c r="AH948" s="7"/>
      <c r="AI948" s="7"/>
    </row>
    <row r="949" spans="12:35">
      <c r="L949" s="7">
        <v>29</v>
      </c>
      <c r="M949" s="7">
        <v>54</v>
      </c>
      <c r="N949" s="7" t="b">
        <f>AND($N$5,$N$7,18&lt;=$M$5,3&lt;=$M$7)</f>
        <v>0</v>
      </c>
      <c r="O949" s="7">
        <f>(P29-N29)*(O54-O29)-(Q29-O29)*(N54-N29)</f>
        <v>0</v>
      </c>
      <c r="P949" s="7">
        <f>(P29-N29)*(Q54-O29)-(Q29-O29)*(P54-N29)</f>
        <v>0</v>
      </c>
      <c r="Q949" s="7">
        <f>(P54-N54)*(O29-O54)-(Q54-O54)*(N29-N54)</f>
        <v>0</v>
      </c>
      <c r="R949" s="7">
        <f>(P54-N54)*(Q29-O54)-(Q54-O54)*(P29-N54)</f>
        <v>0</v>
      </c>
      <c r="S949" s="7">
        <f>IF(N949,IF(AND(O949*P949&lt;=0,Q949*R949&lt;=0,MAX(MIN(N29,P29),MIN(N54,P54))&lt;=MIN(MAX(N29,P29),MAX(N54,P54)),MAX(MIN(O29,Q29),MIN(O54,Q54))&lt;=MIN(MAX(O29,Q29),MAX(O54,Q54))),1,0),0)</f>
        <v>0</v>
      </c>
      <c r="T949" s="7"/>
      <c r="U949" s="7"/>
      <c r="V949" s="7"/>
      <c r="W949" s="7"/>
      <c r="X949" s="7"/>
      <c r="Y949" s="7"/>
      <c r="Z949" s="7"/>
      <c r="AA949" s="7"/>
      <c r="AB949" s="7"/>
      <c r="AC949" s="7"/>
      <c r="AD949" s="7"/>
      <c r="AE949" s="7"/>
      <c r="AF949" s="7"/>
      <c r="AG949" s="7"/>
      <c r="AH949" s="7"/>
      <c r="AI949" s="7"/>
    </row>
    <row r="950" spans="12:35">
      <c r="L950" s="7">
        <v>29</v>
      </c>
      <c r="M950" s="7">
        <v>55</v>
      </c>
      <c r="N950" s="7" t="b">
        <f>AND($N$5,$N$7,18&lt;=$M$5,4&lt;=$M$7)</f>
        <v>0</v>
      </c>
      <c r="O950" s="7">
        <f>(P29-N29)*(O55-O29)-(Q29-O29)*(N55-N29)</f>
        <v>0</v>
      </c>
      <c r="P950" s="7">
        <f>(P29-N29)*(Q55-O29)-(Q29-O29)*(P55-N29)</f>
        <v>0</v>
      </c>
      <c r="Q950" s="7">
        <f>(P55-N55)*(O29-O55)-(Q55-O55)*(N29-N55)</f>
        <v>0</v>
      </c>
      <c r="R950" s="7">
        <f>(P55-N55)*(Q29-O55)-(Q55-O55)*(P29-N55)</f>
        <v>0</v>
      </c>
      <c r="S950" s="7">
        <f>IF(N950,IF(AND(O950*P950&lt;=0,Q950*R950&lt;=0,MAX(MIN(N29,P29),MIN(N55,P55))&lt;=MIN(MAX(N29,P29),MAX(N55,P55)),MAX(MIN(O29,Q29),MIN(O55,Q55))&lt;=MIN(MAX(O29,Q29),MAX(O55,Q55))),1,0),0)</f>
        <v>0</v>
      </c>
      <c r="T950" s="7"/>
      <c r="U950" s="7"/>
      <c r="V950" s="7"/>
      <c r="W950" s="7"/>
      <c r="X950" s="7"/>
      <c r="Y950" s="7"/>
      <c r="Z950" s="7"/>
      <c r="AA950" s="7"/>
      <c r="AB950" s="7"/>
      <c r="AC950" s="7"/>
      <c r="AD950" s="7"/>
      <c r="AE950" s="7"/>
      <c r="AF950" s="7"/>
      <c r="AG950" s="7"/>
      <c r="AH950" s="7"/>
      <c r="AI950" s="7"/>
    </row>
    <row r="951" spans="12:35">
      <c r="L951" s="7">
        <v>29</v>
      </c>
      <c r="M951" s="7">
        <v>56</v>
      </c>
      <c r="N951" s="7" t="b">
        <f>AND($N$5,$N$7,18&lt;=$M$5,5&lt;=$M$7)</f>
        <v>0</v>
      </c>
      <c r="O951" s="7">
        <f>(P29-N29)*(O56-O29)-(Q29-O29)*(N56-N29)</f>
        <v>0</v>
      </c>
      <c r="P951" s="7">
        <f>(P29-N29)*(Q56-O29)-(Q29-O29)*(P56-N29)</f>
        <v>0</v>
      </c>
      <c r="Q951" s="7">
        <f>(P56-N56)*(O29-O56)-(Q56-O56)*(N29-N56)</f>
        <v>0</v>
      </c>
      <c r="R951" s="7">
        <f>(P56-N56)*(Q29-O56)-(Q56-O56)*(P29-N56)</f>
        <v>0</v>
      </c>
      <c r="S951" s="7">
        <f>IF(N951,IF(AND(O951*P951&lt;=0,Q951*R951&lt;=0,MAX(MIN(N29,P29),MIN(N56,P56))&lt;=MIN(MAX(N29,P29),MAX(N56,P56)),MAX(MIN(O29,Q29),MIN(O56,Q56))&lt;=MIN(MAX(O29,Q29),MAX(O56,Q56))),1,0),0)</f>
        <v>0</v>
      </c>
      <c r="T951" s="7"/>
      <c r="U951" s="7"/>
      <c r="V951" s="7"/>
      <c r="W951" s="7"/>
      <c r="X951" s="7"/>
      <c r="Y951" s="7"/>
      <c r="Z951" s="7"/>
      <c r="AA951" s="7"/>
      <c r="AB951" s="7"/>
      <c r="AC951" s="7"/>
      <c r="AD951" s="7"/>
      <c r="AE951" s="7"/>
      <c r="AF951" s="7"/>
      <c r="AG951" s="7"/>
      <c r="AH951" s="7"/>
      <c r="AI951" s="7"/>
    </row>
    <row r="952" spans="12:35">
      <c r="L952" s="7">
        <v>29</v>
      </c>
      <c r="M952" s="7">
        <v>57</v>
      </c>
      <c r="N952" s="7" t="b">
        <f>AND($N$5,$N$7,18&lt;=$M$5,6&lt;=$M$7)</f>
        <v>0</v>
      </c>
      <c r="O952" s="7">
        <f>(P29-N29)*(O57-O29)-(Q29-O29)*(N57-N29)</f>
        <v>0</v>
      </c>
      <c r="P952" s="7">
        <f>(P29-N29)*(Q57-O29)-(Q29-O29)*(P57-N29)</f>
        <v>0</v>
      </c>
      <c r="Q952" s="7">
        <f>(P57-N57)*(O29-O57)-(Q57-O57)*(N29-N57)</f>
        <v>0</v>
      </c>
      <c r="R952" s="7">
        <f>(P57-N57)*(Q29-O57)-(Q57-O57)*(P29-N57)</f>
        <v>0</v>
      </c>
      <c r="S952" s="7">
        <f>IF(N952,IF(AND(O952*P952&lt;=0,Q952*R952&lt;=0,MAX(MIN(N29,P29),MIN(N57,P57))&lt;=MIN(MAX(N29,P29),MAX(N57,P57)),MAX(MIN(O29,Q29),MIN(O57,Q57))&lt;=MIN(MAX(O29,Q29),MAX(O57,Q57))),1,0),0)</f>
        <v>0</v>
      </c>
      <c r="T952" s="7"/>
      <c r="U952" s="7"/>
      <c r="V952" s="7"/>
      <c r="W952" s="7"/>
      <c r="X952" s="7"/>
      <c r="Y952" s="7"/>
      <c r="Z952" s="7"/>
      <c r="AA952" s="7"/>
      <c r="AB952" s="7"/>
      <c r="AC952" s="7"/>
      <c r="AD952" s="7"/>
      <c r="AE952" s="7"/>
      <c r="AF952" s="7"/>
      <c r="AG952" s="7"/>
      <c r="AH952" s="7"/>
      <c r="AI952" s="7"/>
    </row>
    <row r="953" spans="12:35">
      <c r="L953" s="7">
        <v>29</v>
      </c>
      <c r="M953" s="7">
        <v>58</v>
      </c>
      <c r="N953" s="7" t="b">
        <f>AND($N$5,$N$7,18&lt;=$M$5,7&lt;=$M$7)</f>
        <v>0</v>
      </c>
      <c r="O953" s="7">
        <f>(P29-N29)*(O58-O29)-(Q29-O29)*(N58-N29)</f>
        <v>0</v>
      </c>
      <c r="P953" s="7">
        <f>(P29-N29)*(Q58-O29)-(Q29-O29)*(P58-N29)</f>
        <v>0</v>
      </c>
      <c r="Q953" s="7">
        <f>(P58-N58)*(O29-O58)-(Q58-O58)*(N29-N58)</f>
        <v>0</v>
      </c>
      <c r="R953" s="7">
        <f>(P58-N58)*(Q29-O58)-(Q58-O58)*(P29-N58)</f>
        <v>0</v>
      </c>
      <c r="S953" s="7">
        <f>IF(N953,IF(AND(O953*P953&lt;=0,Q953*R953&lt;=0,MAX(MIN(N29,P29),MIN(N58,P58))&lt;=MIN(MAX(N29,P29),MAX(N58,P58)),MAX(MIN(O29,Q29),MIN(O58,Q58))&lt;=MIN(MAX(O29,Q29),MAX(O58,Q58))),1,0),0)</f>
        <v>0</v>
      </c>
      <c r="T953" s="7"/>
      <c r="U953" s="7"/>
      <c r="V953" s="7"/>
      <c r="W953" s="7"/>
      <c r="X953" s="7"/>
      <c r="Y953" s="7"/>
      <c r="Z953" s="7"/>
      <c r="AA953" s="7"/>
      <c r="AB953" s="7"/>
      <c r="AC953" s="7"/>
      <c r="AD953" s="7"/>
      <c r="AE953" s="7"/>
      <c r="AF953" s="7"/>
      <c r="AG953" s="7"/>
      <c r="AH953" s="7"/>
      <c r="AI953" s="7"/>
    </row>
    <row r="954" spans="12:35">
      <c r="L954" s="7">
        <v>29</v>
      </c>
      <c r="M954" s="7">
        <v>59</v>
      </c>
      <c r="N954" s="7" t="b">
        <f>AND($N$5,$N$7,18&lt;=$M$5,8&lt;=$M$7)</f>
        <v>0</v>
      </c>
      <c r="O954" s="7">
        <f>(P29-N29)*(O59-O29)-(Q29-O29)*(N59-N29)</f>
        <v>0</v>
      </c>
      <c r="P954" s="7">
        <f>(P29-N29)*(Q59-O29)-(Q29-O29)*(P59-N29)</f>
        <v>0</v>
      </c>
      <c r="Q954" s="7">
        <f>(P59-N59)*(O29-O59)-(Q59-O59)*(N29-N59)</f>
        <v>0</v>
      </c>
      <c r="R954" s="7">
        <f>(P59-N59)*(Q29-O59)-(Q59-O59)*(P29-N59)</f>
        <v>0</v>
      </c>
      <c r="S954" s="7">
        <f>IF(N954,IF(AND(O954*P954&lt;=0,Q954*R954&lt;=0,MAX(MIN(N29,P29),MIN(N59,P59))&lt;=MIN(MAX(N29,P29),MAX(N59,P59)),MAX(MIN(O29,Q29),MIN(O59,Q59))&lt;=MIN(MAX(O29,Q29),MAX(O59,Q59))),1,0),0)</f>
        <v>0</v>
      </c>
      <c r="T954" s="7"/>
      <c r="U954" s="7"/>
      <c r="V954" s="7"/>
      <c r="W954" s="7"/>
      <c r="X954" s="7"/>
      <c r="Y954" s="7"/>
      <c r="Z954" s="7"/>
      <c r="AA954" s="7"/>
      <c r="AB954" s="7"/>
      <c r="AC954" s="7"/>
      <c r="AD954" s="7"/>
      <c r="AE954" s="7"/>
      <c r="AF954" s="7"/>
      <c r="AG954" s="7"/>
      <c r="AH954" s="7"/>
      <c r="AI954" s="7"/>
    </row>
    <row r="955" spans="12:35">
      <c r="L955" s="7">
        <v>29</v>
      </c>
      <c r="M955" s="7">
        <v>60</v>
      </c>
      <c r="N955" s="7" t="b">
        <f>AND($N$5,$N$7,18&lt;=$M$5,9&lt;=$M$7)</f>
        <v>0</v>
      </c>
      <c r="O955" s="7">
        <f>(P29-N29)*(O60-O29)-(Q29-O29)*(N60-N29)</f>
        <v>0</v>
      </c>
      <c r="P955" s="7">
        <f>(P29-N29)*(Q60-O29)-(Q29-O29)*(P60-N29)</f>
        <v>0</v>
      </c>
      <c r="Q955" s="7">
        <f>(P60-N60)*(O29-O60)-(Q60-O60)*(N29-N60)</f>
        <v>0</v>
      </c>
      <c r="R955" s="7">
        <f>(P60-N60)*(Q29-O60)-(Q60-O60)*(P29-N60)</f>
        <v>0</v>
      </c>
      <c r="S955" s="7">
        <f>IF(N955,IF(AND(O955*P955&lt;=0,Q955*R955&lt;=0,MAX(MIN(N29,P29),MIN(N60,P60))&lt;=MIN(MAX(N29,P29),MAX(N60,P60)),MAX(MIN(O29,Q29),MIN(O60,Q60))&lt;=MIN(MAX(O29,Q29),MAX(O60,Q60))),1,0),0)</f>
        <v>0</v>
      </c>
      <c r="T955" s="7"/>
      <c r="U955" s="7"/>
      <c r="V955" s="7"/>
      <c r="W955" s="7"/>
      <c r="X955" s="7"/>
      <c r="Y955" s="7"/>
      <c r="Z955" s="7"/>
      <c r="AA955" s="7"/>
      <c r="AB955" s="7"/>
      <c r="AC955" s="7"/>
      <c r="AD955" s="7"/>
      <c r="AE955" s="7"/>
      <c r="AF955" s="7"/>
      <c r="AG955" s="7"/>
      <c r="AH955" s="7"/>
      <c r="AI955" s="7"/>
    </row>
    <row r="956" spans="12:35">
      <c r="L956" s="7">
        <v>29</v>
      </c>
      <c r="M956" s="7">
        <v>61</v>
      </c>
      <c r="N956" s="7" t="b">
        <f>AND($N$5,$N$7,18&lt;=$M$5,10&lt;=$M$7)</f>
        <v>0</v>
      </c>
      <c r="O956" s="7">
        <f>(P29-N29)*(O61-O29)-(Q29-O29)*(N61-N29)</f>
        <v>0</v>
      </c>
      <c r="P956" s="7">
        <f>(P29-N29)*(Q61-O29)-(Q29-O29)*(P61-N29)</f>
        <v>0</v>
      </c>
      <c r="Q956" s="7">
        <f>(P61-N61)*(O29-O61)-(Q61-O61)*(N29-N61)</f>
        <v>0</v>
      </c>
      <c r="R956" s="7">
        <f>(P61-N61)*(Q29-O61)-(Q61-O61)*(P29-N61)</f>
        <v>0</v>
      </c>
      <c r="S956" s="7">
        <f>IF(N956,IF(AND(O956*P956&lt;=0,Q956*R956&lt;=0,MAX(MIN(N29,P29),MIN(N61,P61))&lt;=MIN(MAX(N29,P29),MAX(N61,P61)),MAX(MIN(O29,Q29),MIN(O61,Q61))&lt;=MIN(MAX(O29,Q29),MAX(O61,Q61))),1,0),0)</f>
        <v>0</v>
      </c>
      <c r="T956" s="7"/>
      <c r="U956" s="7"/>
      <c r="V956" s="7"/>
      <c r="W956" s="7"/>
      <c r="X956" s="7"/>
      <c r="Y956" s="7"/>
      <c r="Z956" s="7"/>
      <c r="AA956" s="7"/>
      <c r="AB956" s="7"/>
      <c r="AC956" s="7"/>
      <c r="AD956" s="7"/>
      <c r="AE956" s="7"/>
      <c r="AF956" s="7"/>
      <c r="AG956" s="7"/>
      <c r="AH956" s="7"/>
      <c r="AI956" s="7"/>
    </row>
    <row r="957" spans="12:35">
      <c r="L957" s="7">
        <v>29</v>
      </c>
      <c r="M957" s="7">
        <v>62</v>
      </c>
      <c r="N957" s="7" t="b">
        <f>AND($N$5,$N$7,18&lt;=$M$5,11&lt;=$M$7)</f>
        <v>0</v>
      </c>
      <c r="O957" s="7">
        <f>(P29-N29)*(O62-O29)-(Q29-O29)*(N62-N29)</f>
        <v>0</v>
      </c>
      <c r="P957" s="7">
        <f>(P29-N29)*(Q62-O29)-(Q29-O29)*(P62-N29)</f>
        <v>0</v>
      </c>
      <c r="Q957" s="7">
        <f>(P62-N62)*(O29-O62)-(Q62-O62)*(N29-N62)</f>
        <v>0</v>
      </c>
      <c r="R957" s="7">
        <f>(P62-N62)*(Q29-O62)-(Q62-O62)*(P29-N62)</f>
        <v>0</v>
      </c>
      <c r="S957" s="7">
        <f>IF(N957,IF(AND(O957*P957&lt;=0,Q957*R957&lt;=0,MAX(MIN(N29,P29),MIN(N62,P62))&lt;=MIN(MAX(N29,P29),MAX(N62,P62)),MAX(MIN(O29,Q29),MIN(O62,Q62))&lt;=MIN(MAX(O29,Q29),MAX(O62,Q62))),1,0),0)</f>
        <v>0</v>
      </c>
      <c r="T957" s="7"/>
      <c r="U957" s="7"/>
      <c r="V957" s="7"/>
      <c r="W957" s="7"/>
      <c r="X957" s="7"/>
      <c r="Y957" s="7"/>
      <c r="Z957" s="7"/>
      <c r="AA957" s="7"/>
      <c r="AB957" s="7"/>
      <c r="AC957" s="7"/>
      <c r="AD957" s="7"/>
      <c r="AE957" s="7"/>
      <c r="AF957" s="7"/>
      <c r="AG957" s="7"/>
      <c r="AH957" s="7"/>
      <c r="AI957" s="7"/>
    </row>
    <row r="958" spans="12:35">
      <c r="L958" s="7">
        <v>29</v>
      </c>
      <c r="M958" s="7">
        <v>63</v>
      </c>
      <c r="N958" s="7" t="b">
        <f>AND($N$5,$N$7,18&lt;=$M$5,12&lt;=$M$7)</f>
        <v>0</v>
      </c>
      <c r="O958" s="7">
        <f>(P29-N29)*(O63-O29)-(Q29-O29)*(N63-N29)</f>
        <v>0</v>
      </c>
      <c r="P958" s="7">
        <f>(P29-N29)*(Q63-O29)-(Q29-O29)*(P63-N29)</f>
        <v>0</v>
      </c>
      <c r="Q958" s="7">
        <f>(P63-N63)*(O29-O63)-(Q63-O63)*(N29-N63)</f>
        <v>0</v>
      </c>
      <c r="R958" s="7">
        <f>(P63-N63)*(Q29-O63)-(Q63-O63)*(P29-N63)</f>
        <v>0</v>
      </c>
      <c r="S958" s="7">
        <f>IF(N958,IF(AND(O958*P958&lt;=0,Q958*R958&lt;=0,MAX(MIN(N29,P29),MIN(N63,P63))&lt;=MIN(MAX(N29,P29),MAX(N63,P63)),MAX(MIN(O29,Q29),MIN(O63,Q63))&lt;=MIN(MAX(O29,Q29),MAX(O63,Q63))),1,0),0)</f>
        <v>0</v>
      </c>
      <c r="T958" s="7"/>
      <c r="U958" s="7"/>
      <c r="V958" s="7"/>
      <c r="W958" s="7"/>
      <c r="X958" s="7"/>
      <c r="Y958" s="7"/>
      <c r="Z958" s="7"/>
      <c r="AA958" s="7"/>
      <c r="AB958" s="7"/>
      <c r="AC958" s="7"/>
      <c r="AD958" s="7"/>
      <c r="AE958" s="7"/>
      <c r="AF958" s="7"/>
      <c r="AG958" s="7"/>
      <c r="AH958" s="7"/>
      <c r="AI958" s="7"/>
    </row>
    <row r="959" spans="12:35">
      <c r="L959" s="7">
        <v>29</v>
      </c>
      <c r="M959" s="7">
        <v>64</v>
      </c>
      <c r="N959" s="7" t="b">
        <f>AND($N$5,$N$7,18&lt;=$M$5,13&lt;=$M$7)</f>
        <v>0</v>
      </c>
      <c r="O959" s="7">
        <f>(P29-N29)*(O64-O29)-(Q29-O29)*(N64-N29)</f>
        <v>0</v>
      </c>
      <c r="P959" s="7">
        <f>(P29-N29)*(Q64-O29)-(Q29-O29)*(P64-N29)</f>
        <v>0</v>
      </c>
      <c r="Q959" s="7">
        <f>(P64-N64)*(O29-O64)-(Q64-O64)*(N29-N64)</f>
        <v>0</v>
      </c>
      <c r="R959" s="7">
        <f>(P64-N64)*(Q29-O64)-(Q64-O64)*(P29-N64)</f>
        <v>0</v>
      </c>
      <c r="S959" s="7">
        <f>IF(N959,IF(AND(O959*P959&lt;=0,Q959*R959&lt;=0,MAX(MIN(N29,P29),MIN(N64,P64))&lt;=MIN(MAX(N29,P29),MAX(N64,P64)),MAX(MIN(O29,Q29),MIN(O64,Q64))&lt;=MIN(MAX(O29,Q29),MAX(O64,Q64))),1,0),0)</f>
        <v>0</v>
      </c>
      <c r="T959" s="7"/>
      <c r="U959" s="7"/>
      <c r="V959" s="7"/>
      <c r="W959" s="7"/>
      <c r="X959" s="7"/>
      <c r="Y959" s="7"/>
      <c r="Z959" s="7"/>
      <c r="AA959" s="7"/>
      <c r="AB959" s="7"/>
      <c r="AC959" s="7"/>
      <c r="AD959" s="7"/>
      <c r="AE959" s="7"/>
      <c r="AF959" s="7"/>
      <c r="AG959" s="7"/>
      <c r="AH959" s="7"/>
      <c r="AI959" s="7"/>
    </row>
    <row r="960" spans="12:35">
      <c r="L960" s="7">
        <v>29</v>
      </c>
      <c r="M960" s="7">
        <v>65</v>
      </c>
      <c r="N960" s="7" t="b">
        <f>AND($N$5,$N$7,18&lt;=$M$5,14&lt;=$M$7)</f>
        <v>0</v>
      </c>
      <c r="O960" s="7">
        <f>(P29-N29)*(O65-O29)-(Q29-O29)*(N65-N29)</f>
        <v>0</v>
      </c>
      <c r="P960" s="7">
        <f>(P29-N29)*(Q65-O29)-(Q29-O29)*(P65-N29)</f>
        <v>0</v>
      </c>
      <c r="Q960" s="7">
        <f>(P65-N65)*(O29-O65)-(Q65-O65)*(N29-N65)</f>
        <v>0</v>
      </c>
      <c r="R960" s="7">
        <f>(P65-N65)*(Q29-O65)-(Q65-O65)*(P29-N65)</f>
        <v>0</v>
      </c>
      <c r="S960" s="7">
        <f>IF(N960,IF(AND(O960*P960&lt;=0,Q960*R960&lt;=0,MAX(MIN(N29,P29),MIN(N65,P65))&lt;=MIN(MAX(N29,P29),MAX(N65,P65)),MAX(MIN(O29,Q29),MIN(O65,Q65))&lt;=MIN(MAX(O29,Q29),MAX(O65,Q65))),1,0),0)</f>
        <v>0</v>
      </c>
      <c r="T960" s="7"/>
      <c r="U960" s="7"/>
      <c r="V960" s="7"/>
      <c r="W960" s="7"/>
      <c r="X960" s="7"/>
      <c r="Y960" s="7"/>
      <c r="Z960" s="7"/>
      <c r="AA960" s="7"/>
      <c r="AB960" s="7"/>
      <c r="AC960" s="7"/>
      <c r="AD960" s="7"/>
      <c r="AE960" s="7"/>
      <c r="AF960" s="7"/>
      <c r="AG960" s="7"/>
      <c r="AH960" s="7"/>
      <c r="AI960" s="7"/>
    </row>
    <row r="961" spans="12:35">
      <c r="L961" s="7">
        <v>29</v>
      </c>
      <c r="M961" s="7">
        <v>66</v>
      </c>
      <c r="N961" s="7" t="b">
        <f>AND($N$5,$N$7,18&lt;=$M$5,15&lt;=$M$7)</f>
        <v>0</v>
      </c>
      <c r="O961" s="7">
        <f>(P29-N29)*(O66-O29)-(Q29-O29)*(N66-N29)</f>
        <v>0</v>
      </c>
      <c r="P961" s="7">
        <f>(P29-N29)*(Q66-O29)-(Q29-O29)*(P66-N29)</f>
        <v>0</v>
      </c>
      <c r="Q961" s="7">
        <f>(P66-N66)*(O29-O66)-(Q66-O66)*(N29-N66)</f>
        <v>0</v>
      </c>
      <c r="R961" s="7">
        <f>(P66-N66)*(Q29-O66)-(Q66-O66)*(P29-N66)</f>
        <v>0</v>
      </c>
      <c r="S961" s="7">
        <f>IF(N961,IF(AND(O961*P961&lt;=0,Q961*R961&lt;=0,MAX(MIN(N29,P29),MIN(N66,P66))&lt;=MIN(MAX(N29,P29),MAX(N66,P66)),MAX(MIN(O29,Q29),MIN(O66,Q66))&lt;=MIN(MAX(O29,Q29),MAX(O66,Q66))),1,0),0)</f>
        <v>0</v>
      </c>
      <c r="T961" s="7"/>
      <c r="U961" s="7"/>
      <c r="V961" s="7"/>
      <c r="W961" s="7"/>
      <c r="X961" s="7"/>
      <c r="Y961" s="7"/>
      <c r="Z961" s="7"/>
      <c r="AA961" s="7"/>
      <c r="AB961" s="7"/>
      <c r="AC961" s="7"/>
      <c r="AD961" s="7"/>
      <c r="AE961" s="7"/>
      <c r="AF961" s="7"/>
      <c r="AG961" s="7"/>
      <c r="AH961" s="7"/>
      <c r="AI961" s="7"/>
    </row>
    <row r="962" spans="12:35">
      <c r="L962" s="7">
        <v>29</v>
      </c>
      <c r="M962" s="7">
        <v>67</v>
      </c>
      <c r="N962" s="7" t="b">
        <f>AND($N$5,$N$7,18&lt;=$M$5,16&lt;=$M$7)</f>
        <v>0</v>
      </c>
      <c r="O962" s="7">
        <f>(P29-N29)*(O67-O29)-(Q29-O29)*(N67-N29)</f>
        <v>0</v>
      </c>
      <c r="P962" s="7">
        <f>(P29-N29)*(Q67-O29)-(Q29-O29)*(P67-N29)</f>
        <v>0</v>
      </c>
      <c r="Q962" s="7">
        <f>(P67-N67)*(O29-O67)-(Q67-O67)*(N29-N67)</f>
        <v>0</v>
      </c>
      <c r="R962" s="7">
        <f>(P67-N67)*(Q29-O67)-(Q67-O67)*(P29-N67)</f>
        <v>0</v>
      </c>
      <c r="S962" s="7">
        <f>IF(N962,IF(AND(O962*P962&lt;=0,Q962*R962&lt;=0,MAX(MIN(N29,P29),MIN(N67,P67))&lt;=MIN(MAX(N29,P29),MAX(N67,P67)),MAX(MIN(O29,Q29),MIN(O67,Q67))&lt;=MIN(MAX(O29,Q29),MAX(O67,Q67))),1,0),0)</f>
        <v>0</v>
      </c>
      <c r="T962" s="7"/>
      <c r="U962" s="7"/>
      <c r="V962" s="7"/>
      <c r="W962" s="7"/>
      <c r="X962" s="7"/>
      <c r="Y962" s="7"/>
      <c r="Z962" s="7"/>
      <c r="AA962" s="7"/>
      <c r="AB962" s="7"/>
      <c r="AC962" s="7"/>
      <c r="AD962" s="7"/>
      <c r="AE962" s="7"/>
      <c r="AF962" s="7"/>
      <c r="AG962" s="7"/>
      <c r="AH962" s="7"/>
      <c r="AI962" s="7"/>
    </row>
    <row r="963" spans="12:35">
      <c r="L963" s="7">
        <v>29</v>
      </c>
      <c r="M963" s="7">
        <v>68</v>
      </c>
      <c r="N963" s="7" t="b">
        <f>AND($N$5,$N$7,18&lt;=$M$5,17&lt;=$M$7)</f>
        <v>0</v>
      </c>
      <c r="O963" s="7">
        <f>(P29-N29)*(O68-O29)-(Q29-O29)*(N68-N29)</f>
        <v>0</v>
      </c>
      <c r="P963" s="7">
        <f>(P29-N29)*(Q68-O29)-(Q29-O29)*(P68-N29)</f>
        <v>0</v>
      </c>
      <c r="Q963" s="7">
        <f>(P68-N68)*(O29-O68)-(Q68-O68)*(N29-N68)</f>
        <v>0</v>
      </c>
      <c r="R963" s="7">
        <f>(P68-N68)*(Q29-O68)-(Q68-O68)*(P29-N68)</f>
        <v>0</v>
      </c>
      <c r="S963" s="7">
        <f>IF(N963,IF(AND(O963*P963&lt;=0,Q963*R963&lt;=0,MAX(MIN(N29,P29),MIN(N68,P68))&lt;=MIN(MAX(N29,P29),MAX(N68,P68)),MAX(MIN(O29,Q29),MIN(O68,Q68))&lt;=MIN(MAX(O29,Q29),MAX(O68,Q68))),1,0),0)</f>
        <v>0</v>
      </c>
      <c r="T963" s="7"/>
      <c r="U963" s="7"/>
      <c r="V963" s="7"/>
      <c r="W963" s="7"/>
      <c r="X963" s="7"/>
      <c r="Y963" s="7"/>
      <c r="Z963" s="7"/>
      <c r="AA963" s="7"/>
      <c r="AB963" s="7"/>
      <c r="AC963" s="7"/>
      <c r="AD963" s="7"/>
      <c r="AE963" s="7"/>
      <c r="AF963" s="7"/>
      <c r="AG963" s="7"/>
      <c r="AH963" s="7"/>
      <c r="AI963" s="7"/>
    </row>
    <row r="964" spans="12:35">
      <c r="L964" s="7">
        <v>29</v>
      </c>
      <c r="M964" s="7">
        <v>69</v>
      </c>
      <c r="N964" s="7" t="b">
        <f>AND($N$5,$N$7,18&lt;=$M$5,18&lt;=$M$7)</f>
        <v>0</v>
      </c>
      <c r="O964" s="7">
        <f>(P29-N29)*(O69-O29)-(Q29-O29)*(N69-N29)</f>
        <v>0</v>
      </c>
      <c r="P964" s="7">
        <f>(P29-N29)*(Q69-O29)-(Q29-O29)*(P69-N29)</f>
        <v>0</v>
      </c>
      <c r="Q964" s="7">
        <f>(P69-N69)*(O29-O69)-(Q69-O69)*(N29-N69)</f>
        <v>0</v>
      </c>
      <c r="R964" s="7">
        <f>(P69-N69)*(Q29-O69)-(Q69-O69)*(P29-N69)</f>
        <v>0</v>
      </c>
      <c r="S964" s="7">
        <f>IF(N964,IF(AND(O964*P964&lt;=0,Q964*R964&lt;=0,MAX(MIN(N29,P29),MIN(N69,P69))&lt;=MIN(MAX(N29,P29),MAX(N69,P69)),MAX(MIN(O29,Q29),MIN(O69,Q69))&lt;=MIN(MAX(O29,Q29),MAX(O69,Q69))),1,0),0)</f>
        <v>0</v>
      </c>
      <c r="T964" s="7"/>
      <c r="U964" s="7"/>
      <c r="V964" s="7"/>
      <c r="W964" s="7"/>
      <c r="X964" s="7"/>
      <c r="Y964" s="7"/>
      <c r="Z964" s="7"/>
      <c r="AA964" s="7"/>
      <c r="AB964" s="7"/>
      <c r="AC964" s="7"/>
      <c r="AD964" s="7"/>
      <c r="AE964" s="7"/>
      <c r="AF964" s="7"/>
      <c r="AG964" s="7"/>
      <c r="AH964" s="7"/>
      <c r="AI964" s="7"/>
    </row>
    <row r="965" spans="12:35">
      <c r="L965" s="7">
        <v>29</v>
      </c>
      <c r="M965" s="7">
        <v>70</v>
      </c>
      <c r="N965" s="7" t="b">
        <f>AND($N$5,$N$7,18&lt;=$M$5,19&lt;=$M$7)</f>
        <v>0</v>
      </c>
      <c r="O965" s="7">
        <f>(P29-N29)*(O70-O29)-(Q29-O29)*(N70-N29)</f>
        <v>0</v>
      </c>
      <c r="P965" s="7">
        <f>(P29-N29)*(Q70-O29)-(Q29-O29)*(P70-N29)</f>
        <v>0</v>
      </c>
      <c r="Q965" s="7">
        <f>(P70-N70)*(O29-O70)-(Q70-O70)*(N29-N70)</f>
        <v>0</v>
      </c>
      <c r="R965" s="7">
        <f>(P70-N70)*(Q29-O70)-(Q70-O70)*(P29-N70)</f>
        <v>0</v>
      </c>
      <c r="S965" s="7">
        <f>IF(N965,IF(AND(O965*P965&lt;=0,Q965*R965&lt;=0,MAX(MIN(N29,P29),MIN(N70,P70))&lt;=MIN(MAX(N29,P29),MAX(N70,P70)),MAX(MIN(O29,Q29),MIN(O70,Q70))&lt;=MIN(MAX(O29,Q29),MAX(O70,Q70))),1,0),0)</f>
        <v>0</v>
      </c>
      <c r="T965" s="7"/>
      <c r="U965" s="7"/>
      <c r="V965" s="7"/>
      <c r="W965" s="7"/>
      <c r="X965" s="7"/>
      <c r="Y965" s="7"/>
      <c r="Z965" s="7"/>
      <c r="AA965" s="7"/>
      <c r="AB965" s="7"/>
      <c r="AC965" s="7"/>
      <c r="AD965" s="7"/>
      <c r="AE965" s="7"/>
      <c r="AF965" s="7"/>
      <c r="AG965" s="7"/>
      <c r="AH965" s="7"/>
      <c r="AI965" s="7"/>
    </row>
    <row r="966" spans="12:35">
      <c r="L966" s="7">
        <v>29</v>
      </c>
      <c r="M966" s="7">
        <v>71</v>
      </c>
      <c r="N966" s="7" t="b">
        <f>AND($N$5,$N$7,18&lt;=$M$5,20&lt;=$M$7)</f>
        <v>0</v>
      </c>
      <c r="O966" s="7">
        <f>(P29-N29)*(O71-O29)-(Q29-O29)*(N71-N29)</f>
        <v>0</v>
      </c>
      <c r="P966" s="7">
        <f>(P29-N29)*(Q71-O29)-(Q29-O29)*(P71-N29)</f>
        <v>0</v>
      </c>
      <c r="Q966" s="7">
        <f>(P71-N71)*(O29-O71)-(Q71-O71)*(N29-N71)</f>
        <v>0</v>
      </c>
      <c r="R966" s="7">
        <f>(P71-N71)*(Q29-O71)-(Q71-O71)*(P29-N71)</f>
        <v>0</v>
      </c>
      <c r="S966" s="7">
        <f>IF(N966,IF(AND(O966*P966&lt;=0,Q966*R966&lt;=0,MAX(MIN(N29,P29),MIN(N71,P71))&lt;=MIN(MAX(N29,P29),MAX(N71,P71)),MAX(MIN(O29,Q29),MIN(O71,Q71))&lt;=MIN(MAX(O29,Q29),MAX(O71,Q71))),1,0),0)</f>
        <v>0</v>
      </c>
      <c r="T966" s="7"/>
      <c r="U966" s="7"/>
      <c r="V966" s="7"/>
      <c r="W966" s="7"/>
      <c r="X966" s="7"/>
      <c r="Y966" s="7"/>
      <c r="Z966" s="7"/>
      <c r="AA966" s="7"/>
      <c r="AB966" s="7"/>
      <c r="AC966" s="7"/>
      <c r="AD966" s="7"/>
      <c r="AE966" s="7"/>
      <c r="AF966" s="7"/>
      <c r="AG966" s="7"/>
      <c r="AH966" s="7"/>
      <c r="AI966" s="7"/>
    </row>
    <row r="967" spans="12:35">
      <c r="L967" s="7">
        <v>30</v>
      </c>
      <c r="M967" s="7">
        <v>32</v>
      </c>
      <c r="N967" s="7" t="b">
        <f>AND($N$5,$N$6,19&lt;=$M$5,1&lt;=$M$6)</f>
        <v>0</v>
      </c>
      <c r="O967" s="7">
        <f>(P30-N30)*(O32-O30)-(Q30-O30)*(N32-N30)</f>
        <v>0</v>
      </c>
      <c r="P967" s="7">
        <f>(P30-N30)*(Q32-O30)-(Q30-O30)*(P32-N30)</f>
        <v>0</v>
      </c>
      <c r="Q967" s="7">
        <f>(P32-N32)*(O30-O32)-(Q32-O32)*(N30-N32)</f>
        <v>0</v>
      </c>
      <c r="R967" s="7">
        <f>(P32-N32)*(Q30-O32)-(Q32-O32)*(P30-N32)</f>
        <v>0</v>
      </c>
      <c r="S967" s="7">
        <f>IF(N967,IF(AND(O967*P967&lt;=0,Q967*R967&lt;=0,MAX(MIN(N30,P30),MIN(N32,P32))&lt;=MIN(MAX(N30,P30),MAX(N32,P32)),MAX(MIN(O30,Q30),MIN(O32,Q32))&lt;=MIN(MAX(O30,Q30),MAX(O32,Q32))),1,0),0)</f>
        <v>0</v>
      </c>
      <c r="T967" s="7"/>
      <c r="U967" s="7"/>
      <c r="V967" s="7"/>
      <c r="W967" s="7"/>
      <c r="X967" s="7"/>
      <c r="Y967" s="7"/>
      <c r="Z967" s="7"/>
      <c r="AA967" s="7"/>
      <c r="AB967" s="7"/>
      <c r="AC967" s="7"/>
      <c r="AD967" s="7"/>
      <c r="AE967" s="7"/>
      <c r="AF967" s="7"/>
      <c r="AG967" s="7"/>
      <c r="AH967" s="7"/>
      <c r="AI967" s="7"/>
    </row>
    <row r="968" spans="12:35">
      <c r="L968" s="7">
        <v>30</v>
      </c>
      <c r="M968" s="7">
        <v>33</v>
      </c>
      <c r="N968" s="7" t="b">
        <f>AND($N$5,$N$6,19&lt;=$M$5,2&lt;=$M$6)</f>
        <v>0</v>
      </c>
      <c r="O968" s="7">
        <f>(P30-N30)*(O33-O30)-(Q30-O30)*(N33-N30)</f>
        <v>0</v>
      </c>
      <c r="P968" s="7">
        <f>(P30-N30)*(Q33-O30)-(Q30-O30)*(P33-N30)</f>
        <v>0</v>
      </c>
      <c r="Q968" s="7">
        <f>(P33-N33)*(O30-O33)-(Q33-O33)*(N30-N33)</f>
        <v>0</v>
      </c>
      <c r="R968" s="7">
        <f>(P33-N33)*(Q30-O33)-(Q33-O33)*(P30-N33)</f>
        <v>0</v>
      </c>
      <c r="S968" s="7">
        <f>IF(N968,IF(AND(O968*P968&lt;=0,Q968*R968&lt;=0,MAX(MIN(N30,P30),MIN(N33,P33))&lt;=MIN(MAX(N30,P30),MAX(N33,P33)),MAX(MIN(O30,Q30),MIN(O33,Q33))&lt;=MIN(MAX(O30,Q30),MAX(O33,Q33))),1,0),0)</f>
        <v>0</v>
      </c>
      <c r="T968" s="7"/>
      <c r="U968" s="7"/>
      <c r="V968" s="7"/>
      <c r="W968" s="7"/>
      <c r="X968" s="7"/>
      <c r="Y968" s="7"/>
      <c r="Z968" s="7"/>
      <c r="AA968" s="7"/>
      <c r="AB968" s="7"/>
      <c r="AC968" s="7"/>
      <c r="AD968" s="7"/>
      <c r="AE968" s="7"/>
      <c r="AF968" s="7"/>
      <c r="AG968" s="7"/>
      <c r="AH968" s="7"/>
      <c r="AI968" s="7"/>
    </row>
    <row r="969" spans="12:35">
      <c r="L969" s="7">
        <v>30</v>
      </c>
      <c r="M969" s="7">
        <v>34</v>
      </c>
      <c r="N969" s="7" t="b">
        <f>AND($N$5,$N$6,19&lt;=$M$5,3&lt;=$M$6)</f>
        <v>0</v>
      </c>
      <c r="O969" s="7">
        <f>(P30-N30)*(O34-O30)-(Q30-O30)*(N34-N30)</f>
        <v>0</v>
      </c>
      <c r="P969" s="7">
        <f>(P30-N30)*(Q34-O30)-(Q30-O30)*(P34-N30)</f>
        <v>0</v>
      </c>
      <c r="Q969" s="7">
        <f>(P34-N34)*(O30-O34)-(Q34-O34)*(N30-N34)</f>
        <v>0</v>
      </c>
      <c r="R969" s="7">
        <f>(P34-N34)*(Q30-O34)-(Q34-O34)*(P30-N34)</f>
        <v>0</v>
      </c>
      <c r="S969" s="7">
        <f>IF(N969,IF(AND(O969*P969&lt;=0,Q969*R969&lt;=0,MAX(MIN(N30,P30),MIN(N34,P34))&lt;=MIN(MAX(N30,P30),MAX(N34,P34)),MAX(MIN(O30,Q30),MIN(O34,Q34))&lt;=MIN(MAX(O30,Q30),MAX(O34,Q34))),1,0),0)</f>
        <v>0</v>
      </c>
      <c r="T969" s="7"/>
      <c r="U969" s="7"/>
      <c r="V969" s="7"/>
      <c r="W969" s="7"/>
      <c r="X969" s="7"/>
      <c r="Y969" s="7"/>
      <c r="Z969" s="7"/>
      <c r="AA969" s="7"/>
      <c r="AB969" s="7"/>
      <c r="AC969" s="7"/>
      <c r="AD969" s="7"/>
      <c r="AE969" s="7"/>
      <c r="AF969" s="7"/>
      <c r="AG969" s="7"/>
      <c r="AH969" s="7"/>
      <c r="AI969" s="7"/>
    </row>
    <row r="970" spans="12:35">
      <c r="L970" s="7">
        <v>30</v>
      </c>
      <c r="M970" s="7">
        <v>35</v>
      </c>
      <c r="N970" s="7" t="b">
        <f>AND($N$5,$N$6,19&lt;=$M$5,4&lt;=$M$6)</f>
        <v>0</v>
      </c>
      <c r="O970" s="7">
        <f>(P30-N30)*(O35-O30)-(Q30-O30)*(N35-N30)</f>
        <v>0</v>
      </c>
      <c r="P970" s="7">
        <f>(P30-N30)*(Q35-O30)-(Q30-O30)*(P35-N30)</f>
        <v>0</v>
      </c>
      <c r="Q970" s="7">
        <f>(P35-N35)*(O30-O35)-(Q35-O35)*(N30-N35)</f>
        <v>0</v>
      </c>
      <c r="R970" s="7">
        <f>(P35-N35)*(Q30-O35)-(Q35-O35)*(P30-N35)</f>
        <v>0</v>
      </c>
      <c r="S970" s="7">
        <f>IF(N970,IF(AND(O970*P970&lt;=0,Q970*R970&lt;=0,MAX(MIN(N30,P30),MIN(N35,P35))&lt;=MIN(MAX(N30,P30),MAX(N35,P35)),MAX(MIN(O30,Q30),MIN(O35,Q35))&lt;=MIN(MAX(O30,Q30),MAX(O35,Q35))),1,0),0)</f>
        <v>0</v>
      </c>
      <c r="T970" s="7"/>
      <c r="U970" s="7"/>
      <c r="V970" s="7"/>
      <c r="W970" s="7"/>
      <c r="X970" s="7"/>
      <c r="Y970" s="7"/>
      <c r="Z970" s="7"/>
      <c r="AA970" s="7"/>
      <c r="AB970" s="7"/>
      <c r="AC970" s="7"/>
      <c r="AD970" s="7"/>
      <c r="AE970" s="7"/>
      <c r="AF970" s="7"/>
      <c r="AG970" s="7"/>
      <c r="AH970" s="7"/>
      <c r="AI970" s="7"/>
    </row>
    <row r="971" spans="12:35">
      <c r="L971" s="7">
        <v>30</v>
      </c>
      <c r="M971" s="7">
        <v>36</v>
      </c>
      <c r="N971" s="7" t="b">
        <f>AND($N$5,$N$6,19&lt;=$M$5,5&lt;=$M$6)</f>
        <v>0</v>
      </c>
      <c r="O971" s="7">
        <f>(P30-N30)*(O36-O30)-(Q30-O30)*(N36-N30)</f>
        <v>0</v>
      </c>
      <c r="P971" s="7">
        <f>(P30-N30)*(Q36-O30)-(Q30-O30)*(P36-N30)</f>
        <v>0</v>
      </c>
      <c r="Q971" s="7">
        <f>(P36-N36)*(O30-O36)-(Q36-O36)*(N30-N36)</f>
        <v>0</v>
      </c>
      <c r="R971" s="7">
        <f>(P36-N36)*(Q30-O36)-(Q36-O36)*(P30-N36)</f>
        <v>0</v>
      </c>
      <c r="S971" s="7">
        <f>IF(N971,IF(AND(O971*P971&lt;=0,Q971*R971&lt;=0,MAX(MIN(N30,P30),MIN(N36,P36))&lt;=MIN(MAX(N30,P30),MAX(N36,P36)),MAX(MIN(O30,Q30),MIN(O36,Q36))&lt;=MIN(MAX(O30,Q30),MAX(O36,Q36))),1,0),0)</f>
        <v>0</v>
      </c>
      <c r="T971" s="7"/>
      <c r="U971" s="7"/>
      <c r="V971" s="7"/>
      <c r="W971" s="7"/>
      <c r="X971" s="7"/>
      <c r="Y971" s="7"/>
      <c r="Z971" s="7"/>
      <c r="AA971" s="7"/>
      <c r="AB971" s="7"/>
      <c r="AC971" s="7"/>
      <c r="AD971" s="7"/>
      <c r="AE971" s="7"/>
      <c r="AF971" s="7"/>
      <c r="AG971" s="7"/>
      <c r="AH971" s="7"/>
      <c r="AI971" s="7"/>
    </row>
    <row r="972" spans="12:35">
      <c r="L972" s="7">
        <v>30</v>
      </c>
      <c r="M972" s="7">
        <v>37</v>
      </c>
      <c r="N972" s="7" t="b">
        <f>AND($N$5,$N$6,19&lt;=$M$5,6&lt;=$M$6)</f>
        <v>0</v>
      </c>
      <c r="O972" s="7">
        <f>(P30-N30)*(O37-O30)-(Q30-O30)*(N37-N30)</f>
        <v>0</v>
      </c>
      <c r="P972" s="7">
        <f>(P30-N30)*(Q37-O30)-(Q30-O30)*(P37-N30)</f>
        <v>0</v>
      </c>
      <c r="Q972" s="7">
        <f>(P37-N37)*(O30-O37)-(Q37-O37)*(N30-N37)</f>
        <v>0</v>
      </c>
      <c r="R972" s="7">
        <f>(P37-N37)*(Q30-O37)-(Q37-O37)*(P30-N37)</f>
        <v>0</v>
      </c>
      <c r="S972" s="7">
        <f>IF(N972,IF(AND(O972*P972&lt;=0,Q972*R972&lt;=0,MAX(MIN(N30,P30),MIN(N37,P37))&lt;=MIN(MAX(N30,P30),MAX(N37,P37)),MAX(MIN(O30,Q30),MIN(O37,Q37))&lt;=MIN(MAX(O30,Q30),MAX(O37,Q37))),1,0),0)</f>
        <v>0</v>
      </c>
      <c r="T972" s="7"/>
      <c r="U972" s="7"/>
      <c r="V972" s="7"/>
      <c r="W972" s="7"/>
      <c r="X972" s="7"/>
      <c r="Y972" s="7"/>
      <c r="Z972" s="7"/>
      <c r="AA972" s="7"/>
      <c r="AB972" s="7"/>
      <c r="AC972" s="7"/>
      <c r="AD972" s="7"/>
      <c r="AE972" s="7"/>
      <c r="AF972" s="7"/>
      <c r="AG972" s="7"/>
      <c r="AH972" s="7"/>
      <c r="AI972" s="7"/>
    </row>
    <row r="973" spans="12:35">
      <c r="L973" s="7">
        <v>30</v>
      </c>
      <c r="M973" s="7">
        <v>38</v>
      </c>
      <c r="N973" s="7" t="b">
        <f>AND($N$5,$N$6,19&lt;=$M$5,7&lt;=$M$6)</f>
        <v>0</v>
      </c>
      <c r="O973" s="7">
        <f>(P30-N30)*(O38-O30)-(Q30-O30)*(N38-N30)</f>
        <v>0</v>
      </c>
      <c r="P973" s="7">
        <f>(P30-N30)*(Q38-O30)-(Q30-O30)*(P38-N30)</f>
        <v>0</v>
      </c>
      <c r="Q973" s="7">
        <f>(P38-N38)*(O30-O38)-(Q38-O38)*(N30-N38)</f>
        <v>0</v>
      </c>
      <c r="R973" s="7">
        <f>(P38-N38)*(Q30-O38)-(Q38-O38)*(P30-N38)</f>
        <v>0</v>
      </c>
      <c r="S973" s="7">
        <f>IF(N973,IF(AND(O973*P973&lt;=0,Q973*R973&lt;=0,MAX(MIN(N30,P30),MIN(N38,P38))&lt;=MIN(MAX(N30,P30),MAX(N38,P38)),MAX(MIN(O30,Q30),MIN(O38,Q38))&lt;=MIN(MAX(O30,Q30),MAX(O38,Q38))),1,0),0)</f>
        <v>0</v>
      </c>
      <c r="T973" s="7"/>
      <c r="U973" s="7"/>
      <c r="V973" s="7"/>
      <c r="W973" s="7"/>
      <c r="X973" s="7"/>
      <c r="Y973" s="7"/>
      <c r="Z973" s="7"/>
      <c r="AA973" s="7"/>
      <c r="AB973" s="7"/>
      <c r="AC973" s="7"/>
      <c r="AD973" s="7"/>
      <c r="AE973" s="7"/>
      <c r="AF973" s="7"/>
      <c r="AG973" s="7"/>
      <c r="AH973" s="7"/>
      <c r="AI973" s="7"/>
    </row>
    <row r="974" spans="12:35">
      <c r="L974" s="7">
        <v>30</v>
      </c>
      <c r="M974" s="7">
        <v>39</v>
      </c>
      <c r="N974" s="7" t="b">
        <f>AND($N$5,$N$6,19&lt;=$M$5,8&lt;=$M$6)</f>
        <v>0</v>
      </c>
      <c r="O974" s="7">
        <f>(P30-N30)*(O39-O30)-(Q30-O30)*(N39-N30)</f>
        <v>0</v>
      </c>
      <c r="P974" s="7">
        <f>(P30-N30)*(Q39-O30)-(Q30-O30)*(P39-N30)</f>
        <v>0</v>
      </c>
      <c r="Q974" s="7">
        <f>(P39-N39)*(O30-O39)-(Q39-O39)*(N30-N39)</f>
        <v>0</v>
      </c>
      <c r="R974" s="7">
        <f>(P39-N39)*(Q30-O39)-(Q39-O39)*(P30-N39)</f>
        <v>0</v>
      </c>
      <c r="S974" s="7">
        <f>IF(N974,IF(AND(O974*P974&lt;=0,Q974*R974&lt;=0,MAX(MIN(N30,P30),MIN(N39,P39))&lt;=MIN(MAX(N30,P30),MAX(N39,P39)),MAX(MIN(O30,Q30),MIN(O39,Q39))&lt;=MIN(MAX(O30,Q30),MAX(O39,Q39))),1,0),0)</f>
        <v>0</v>
      </c>
      <c r="T974" s="7"/>
      <c r="U974" s="7"/>
      <c r="V974" s="7"/>
      <c r="W974" s="7"/>
      <c r="X974" s="7"/>
      <c r="Y974" s="7"/>
      <c r="Z974" s="7"/>
      <c r="AA974" s="7"/>
      <c r="AB974" s="7"/>
      <c r="AC974" s="7"/>
      <c r="AD974" s="7"/>
      <c r="AE974" s="7"/>
      <c r="AF974" s="7"/>
      <c r="AG974" s="7"/>
      <c r="AH974" s="7"/>
      <c r="AI974" s="7"/>
    </row>
    <row r="975" spans="12:35">
      <c r="L975" s="7">
        <v>30</v>
      </c>
      <c r="M975" s="7">
        <v>40</v>
      </c>
      <c r="N975" s="7" t="b">
        <f>AND($N$5,$N$6,19&lt;=$M$5,9&lt;=$M$6)</f>
        <v>0</v>
      </c>
      <c r="O975" s="7">
        <f>(P30-N30)*(O40-O30)-(Q30-O30)*(N40-N30)</f>
        <v>0</v>
      </c>
      <c r="P975" s="7">
        <f>(P30-N30)*(Q40-O30)-(Q30-O30)*(P40-N30)</f>
        <v>0</v>
      </c>
      <c r="Q975" s="7">
        <f>(P40-N40)*(O30-O40)-(Q40-O40)*(N30-N40)</f>
        <v>0</v>
      </c>
      <c r="R975" s="7">
        <f>(P40-N40)*(Q30-O40)-(Q40-O40)*(P30-N40)</f>
        <v>0</v>
      </c>
      <c r="S975" s="7">
        <f>IF(N975,IF(AND(O975*P975&lt;=0,Q975*R975&lt;=0,MAX(MIN(N30,P30),MIN(N40,P40))&lt;=MIN(MAX(N30,P30),MAX(N40,P40)),MAX(MIN(O30,Q30),MIN(O40,Q40))&lt;=MIN(MAX(O30,Q30),MAX(O40,Q40))),1,0),0)</f>
        <v>0</v>
      </c>
      <c r="T975" s="7"/>
      <c r="U975" s="7"/>
      <c r="V975" s="7"/>
      <c r="W975" s="7"/>
      <c r="X975" s="7"/>
      <c r="Y975" s="7"/>
      <c r="Z975" s="7"/>
      <c r="AA975" s="7"/>
      <c r="AB975" s="7"/>
      <c r="AC975" s="7"/>
      <c r="AD975" s="7"/>
      <c r="AE975" s="7"/>
      <c r="AF975" s="7"/>
      <c r="AG975" s="7"/>
      <c r="AH975" s="7"/>
      <c r="AI975" s="7"/>
    </row>
    <row r="976" spans="12:35">
      <c r="L976" s="7">
        <v>30</v>
      </c>
      <c r="M976" s="7">
        <v>41</v>
      </c>
      <c r="N976" s="7" t="b">
        <f>AND($N$5,$N$6,19&lt;=$M$5,10&lt;=$M$6)</f>
        <v>0</v>
      </c>
      <c r="O976" s="7">
        <f>(P30-N30)*(O41-O30)-(Q30-O30)*(N41-N30)</f>
        <v>0</v>
      </c>
      <c r="P976" s="7">
        <f>(P30-N30)*(Q41-O30)-(Q30-O30)*(P41-N30)</f>
        <v>0</v>
      </c>
      <c r="Q976" s="7">
        <f>(P41-N41)*(O30-O41)-(Q41-O41)*(N30-N41)</f>
        <v>0</v>
      </c>
      <c r="R976" s="7">
        <f>(P41-N41)*(Q30-O41)-(Q41-O41)*(P30-N41)</f>
        <v>0</v>
      </c>
      <c r="S976" s="7">
        <f>IF(N976,IF(AND(O976*P976&lt;=0,Q976*R976&lt;=0,MAX(MIN(N30,P30),MIN(N41,P41))&lt;=MIN(MAX(N30,P30),MAX(N41,P41)),MAX(MIN(O30,Q30),MIN(O41,Q41))&lt;=MIN(MAX(O30,Q30),MAX(O41,Q41))),1,0),0)</f>
        <v>0</v>
      </c>
      <c r="T976" s="7"/>
      <c r="U976" s="7"/>
      <c r="V976" s="7"/>
      <c r="W976" s="7"/>
      <c r="X976" s="7"/>
      <c r="Y976" s="7"/>
      <c r="Z976" s="7"/>
      <c r="AA976" s="7"/>
      <c r="AB976" s="7"/>
      <c r="AC976" s="7"/>
      <c r="AD976" s="7"/>
      <c r="AE976" s="7"/>
      <c r="AF976" s="7"/>
      <c r="AG976" s="7"/>
      <c r="AH976" s="7"/>
      <c r="AI976" s="7"/>
    </row>
    <row r="977" spans="12:35">
      <c r="L977" s="7">
        <v>30</v>
      </c>
      <c r="M977" s="7">
        <v>42</v>
      </c>
      <c r="N977" s="7" t="b">
        <f>AND($N$5,$N$6,19&lt;=$M$5,11&lt;=$M$6)</f>
        <v>0</v>
      </c>
      <c r="O977" s="7">
        <f>(P30-N30)*(O42-O30)-(Q30-O30)*(N42-N30)</f>
        <v>0</v>
      </c>
      <c r="P977" s="7">
        <f>(P30-N30)*(Q42-O30)-(Q30-O30)*(P42-N30)</f>
        <v>0</v>
      </c>
      <c r="Q977" s="7">
        <f>(P42-N42)*(O30-O42)-(Q42-O42)*(N30-N42)</f>
        <v>0</v>
      </c>
      <c r="R977" s="7">
        <f>(P42-N42)*(Q30-O42)-(Q42-O42)*(P30-N42)</f>
        <v>0</v>
      </c>
      <c r="S977" s="7">
        <f>IF(N977,IF(AND(O977*P977&lt;=0,Q977*R977&lt;=0,MAX(MIN(N30,P30),MIN(N42,P42))&lt;=MIN(MAX(N30,P30),MAX(N42,P42)),MAX(MIN(O30,Q30),MIN(O42,Q42))&lt;=MIN(MAX(O30,Q30),MAX(O42,Q42))),1,0),0)</f>
        <v>0</v>
      </c>
      <c r="T977" s="7"/>
      <c r="U977" s="7"/>
      <c r="V977" s="7"/>
      <c r="W977" s="7"/>
      <c r="X977" s="7"/>
      <c r="Y977" s="7"/>
      <c r="Z977" s="7"/>
      <c r="AA977" s="7"/>
      <c r="AB977" s="7"/>
      <c r="AC977" s="7"/>
      <c r="AD977" s="7"/>
      <c r="AE977" s="7"/>
      <c r="AF977" s="7"/>
      <c r="AG977" s="7"/>
      <c r="AH977" s="7"/>
      <c r="AI977" s="7"/>
    </row>
    <row r="978" spans="12:35">
      <c r="L978" s="7">
        <v>30</v>
      </c>
      <c r="M978" s="7">
        <v>43</v>
      </c>
      <c r="N978" s="7" t="b">
        <f>AND($N$5,$N$6,19&lt;=$M$5,12&lt;=$M$6)</f>
        <v>0</v>
      </c>
      <c r="O978" s="7">
        <f>(P30-N30)*(O43-O30)-(Q30-O30)*(N43-N30)</f>
        <v>0</v>
      </c>
      <c r="P978" s="7">
        <f>(P30-N30)*(Q43-O30)-(Q30-O30)*(P43-N30)</f>
        <v>0</v>
      </c>
      <c r="Q978" s="7">
        <f>(P43-N43)*(O30-O43)-(Q43-O43)*(N30-N43)</f>
        <v>0</v>
      </c>
      <c r="R978" s="7">
        <f>(P43-N43)*(Q30-O43)-(Q43-O43)*(P30-N43)</f>
        <v>0</v>
      </c>
      <c r="S978" s="7">
        <f>IF(N978,IF(AND(O978*P978&lt;=0,Q978*R978&lt;=0,MAX(MIN(N30,P30),MIN(N43,P43))&lt;=MIN(MAX(N30,P30),MAX(N43,P43)),MAX(MIN(O30,Q30),MIN(O43,Q43))&lt;=MIN(MAX(O30,Q30),MAX(O43,Q43))),1,0),0)</f>
        <v>0</v>
      </c>
      <c r="T978" s="7"/>
      <c r="U978" s="7"/>
      <c r="V978" s="7"/>
      <c r="W978" s="7"/>
      <c r="X978" s="7"/>
      <c r="Y978" s="7"/>
      <c r="Z978" s="7"/>
      <c r="AA978" s="7"/>
      <c r="AB978" s="7"/>
      <c r="AC978" s="7"/>
      <c r="AD978" s="7"/>
      <c r="AE978" s="7"/>
      <c r="AF978" s="7"/>
      <c r="AG978" s="7"/>
      <c r="AH978" s="7"/>
      <c r="AI978" s="7"/>
    </row>
    <row r="979" spans="12:35">
      <c r="L979" s="7">
        <v>30</v>
      </c>
      <c r="M979" s="7">
        <v>44</v>
      </c>
      <c r="N979" s="7" t="b">
        <f>AND($N$5,$N$6,19&lt;=$M$5,13&lt;=$M$6)</f>
        <v>0</v>
      </c>
      <c r="O979" s="7">
        <f>(P30-N30)*(O44-O30)-(Q30-O30)*(N44-N30)</f>
        <v>0</v>
      </c>
      <c r="P979" s="7">
        <f>(P30-N30)*(Q44-O30)-(Q30-O30)*(P44-N30)</f>
        <v>0</v>
      </c>
      <c r="Q979" s="7">
        <f>(P44-N44)*(O30-O44)-(Q44-O44)*(N30-N44)</f>
        <v>0</v>
      </c>
      <c r="R979" s="7">
        <f>(P44-N44)*(Q30-O44)-(Q44-O44)*(P30-N44)</f>
        <v>0</v>
      </c>
      <c r="S979" s="7">
        <f>IF(N979,IF(AND(O979*P979&lt;=0,Q979*R979&lt;=0,MAX(MIN(N30,P30),MIN(N44,P44))&lt;=MIN(MAX(N30,P30),MAX(N44,P44)),MAX(MIN(O30,Q30),MIN(O44,Q44))&lt;=MIN(MAX(O30,Q30),MAX(O44,Q44))),1,0),0)</f>
        <v>0</v>
      </c>
      <c r="T979" s="7"/>
      <c r="U979" s="7"/>
      <c r="V979" s="7"/>
      <c r="W979" s="7"/>
      <c r="X979" s="7"/>
      <c r="Y979" s="7"/>
      <c r="Z979" s="7"/>
      <c r="AA979" s="7"/>
      <c r="AB979" s="7"/>
      <c r="AC979" s="7"/>
      <c r="AD979" s="7"/>
      <c r="AE979" s="7"/>
      <c r="AF979" s="7"/>
      <c r="AG979" s="7"/>
      <c r="AH979" s="7"/>
      <c r="AI979" s="7"/>
    </row>
    <row r="980" spans="12:35">
      <c r="L980" s="7">
        <v>30</v>
      </c>
      <c r="M980" s="7">
        <v>45</v>
      </c>
      <c r="N980" s="7" t="b">
        <f>AND($N$5,$N$6,19&lt;=$M$5,14&lt;=$M$6)</f>
        <v>0</v>
      </c>
      <c r="O980" s="7">
        <f>(P30-N30)*(O45-O30)-(Q30-O30)*(N45-N30)</f>
        <v>0</v>
      </c>
      <c r="P980" s="7">
        <f>(P30-N30)*(Q45-O30)-(Q30-O30)*(P45-N30)</f>
        <v>0</v>
      </c>
      <c r="Q980" s="7">
        <f>(P45-N45)*(O30-O45)-(Q45-O45)*(N30-N45)</f>
        <v>0</v>
      </c>
      <c r="R980" s="7">
        <f>(P45-N45)*(Q30-O45)-(Q45-O45)*(P30-N45)</f>
        <v>0</v>
      </c>
      <c r="S980" s="7">
        <f>IF(N980,IF(AND(O980*P980&lt;=0,Q980*R980&lt;=0,MAX(MIN(N30,P30),MIN(N45,P45))&lt;=MIN(MAX(N30,P30),MAX(N45,P45)),MAX(MIN(O30,Q30),MIN(O45,Q45))&lt;=MIN(MAX(O30,Q30),MAX(O45,Q45))),1,0),0)</f>
        <v>0</v>
      </c>
      <c r="T980" s="7"/>
      <c r="U980" s="7"/>
      <c r="V980" s="7"/>
      <c r="W980" s="7"/>
      <c r="X980" s="7"/>
      <c r="Y980" s="7"/>
      <c r="Z980" s="7"/>
      <c r="AA980" s="7"/>
      <c r="AB980" s="7"/>
      <c r="AC980" s="7"/>
      <c r="AD980" s="7"/>
      <c r="AE980" s="7"/>
      <c r="AF980" s="7"/>
      <c r="AG980" s="7"/>
      <c r="AH980" s="7"/>
      <c r="AI980" s="7"/>
    </row>
    <row r="981" spans="12:35">
      <c r="L981" s="7">
        <v>30</v>
      </c>
      <c r="M981" s="7">
        <v>46</v>
      </c>
      <c r="N981" s="7" t="b">
        <f>AND($N$5,$N$6,19&lt;=$M$5,15&lt;=$M$6)</f>
        <v>0</v>
      </c>
      <c r="O981" s="7">
        <f>(P30-N30)*(O46-O30)-(Q30-O30)*(N46-N30)</f>
        <v>0</v>
      </c>
      <c r="P981" s="7">
        <f>(P30-N30)*(Q46-O30)-(Q30-O30)*(P46-N30)</f>
        <v>0</v>
      </c>
      <c r="Q981" s="7">
        <f>(P46-N46)*(O30-O46)-(Q46-O46)*(N30-N46)</f>
        <v>0</v>
      </c>
      <c r="R981" s="7">
        <f>(P46-N46)*(Q30-O46)-(Q46-O46)*(P30-N46)</f>
        <v>0</v>
      </c>
      <c r="S981" s="7">
        <f>IF(N981,IF(AND(O981*P981&lt;=0,Q981*R981&lt;=0,MAX(MIN(N30,P30),MIN(N46,P46))&lt;=MIN(MAX(N30,P30),MAX(N46,P46)),MAX(MIN(O30,Q30),MIN(O46,Q46))&lt;=MIN(MAX(O30,Q30),MAX(O46,Q46))),1,0),0)</f>
        <v>0</v>
      </c>
      <c r="T981" s="7"/>
      <c r="U981" s="7"/>
      <c r="V981" s="7"/>
      <c r="W981" s="7"/>
      <c r="X981" s="7"/>
      <c r="Y981" s="7"/>
      <c r="Z981" s="7"/>
      <c r="AA981" s="7"/>
      <c r="AB981" s="7"/>
      <c r="AC981" s="7"/>
      <c r="AD981" s="7"/>
      <c r="AE981" s="7"/>
      <c r="AF981" s="7"/>
      <c r="AG981" s="7"/>
      <c r="AH981" s="7"/>
      <c r="AI981" s="7"/>
    </row>
    <row r="982" spans="12:35">
      <c r="L982" s="7">
        <v>30</v>
      </c>
      <c r="M982" s="7">
        <v>47</v>
      </c>
      <c r="N982" s="7" t="b">
        <f>AND($N$5,$N$6,19&lt;=$M$5,16&lt;=$M$6)</f>
        <v>0</v>
      </c>
      <c r="O982" s="7">
        <f>(P30-N30)*(O47-O30)-(Q30-O30)*(N47-N30)</f>
        <v>0</v>
      </c>
      <c r="P982" s="7">
        <f>(P30-N30)*(Q47-O30)-(Q30-O30)*(P47-N30)</f>
        <v>0</v>
      </c>
      <c r="Q982" s="7">
        <f>(P47-N47)*(O30-O47)-(Q47-O47)*(N30-N47)</f>
        <v>0</v>
      </c>
      <c r="R982" s="7">
        <f>(P47-N47)*(Q30-O47)-(Q47-O47)*(P30-N47)</f>
        <v>0</v>
      </c>
      <c r="S982" s="7">
        <f>IF(N982,IF(AND(O982*P982&lt;=0,Q982*R982&lt;=0,MAX(MIN(N30,P30),MIN(N47,P47))&lt;=MIN(MAX(N30,P30),MAX(N47,P47)),MAX(MIN(O30,Q30),MIN(O47,Q47))&lt;=MIN(MAX(O30,Q30),MAX(O47,Q47))),1,0),0)</f>
        <v>0</v>
      </c>
      <c r="T982" s="7"/>
      <c r="U982" s="7"/>
      <c r="V982" s="7"/>
      <c r="W982" s="7"/>
      <c r="X982" s="7"/>
      <c r="Y982" s="7"/>
      <c r="Z982" s="7"/>
      <c r="AA982" s="7"/>
      <c r="AB982" s="7"/>
      <c r="AC982" s="7"/>
      <c r="AD982" s="7"/>
      <c r="AE982" s="7"/>
      <c r="AF982" s="7"/>
      <c r="AG982" s="7"/>
      <c r="AH982" s="7"/>
      <c r="AI982" s="7"/>
    </row>
    <row r="983" spans="12:35">
      <c r="L983" s="7">
        <v>30</v>
      </c>
      <c r="M983" s="7">
        <v>48</v>
      </c>
      <c r="N983" s="7" t="b">
        <f>AND($N$5,$N$6,19&lt;=$M$5,17&lt;=$M$6)</f>
        <v>0</v>
      </c>
      <c r="O983" s="7">
        <f>(P30-N30)*(O48-O30)-(Q30-O30)*(N48-N30)</f>
        <v>0</v>
      </c>
      <c r="P983" s="7">
        <f>(P30-N30)*(Q48-O30)-(Q30-O30)*(P48-N30)</f>
        <v>0</v>
      </c>
      <c r="Q983" s="7">
        <f>(P48-N48)*(O30-O48)-(Q48-O48)*(N30-N48)</f>
        <v>0</v>
      </c>
      <c r="R983" s="7">
        <f>(P48-N48)*(Q30-O48)-(Q48-O48)*(P30-N48)</f>
        <v>0</v>
      </c>
      <c r="S983" s="7">
        <f>IF(N983,IF(AND(O983*P983&lt;=0,Q983*R983&lt;=0,MAX(MIN(N30,P30),MIN(N48,P48))&lt;=MIN(MAX(N30,P30),MAX(N48,P48)),MAX(MIN(O30,Q30),MIN(O48,Q48))&lt;=MIN(MAX(O30,Q30),MAX(O48,Q48))),1,0),0)</f>
        <v>0</v>
      </c>
      <c r="T983" s="7"/>
      <c r="U983" s="7"/>
      <c r="V983" s="7"/>
      <c r="W983" s="7"/>
      <c r="X983" s="7"/>
      <c r="Y983" s="7"/>
      <c r="Z983" s="7"/>
      <c r="AA983" s="7"/>
      <c r="AB983" s="7"/>
      <c r="AC983" s="7"/>
      <c r="AD983" s="7"/>
      <c r="AE983" s="7"/>
      <c r="AF983" s="7"/>
      <c r="AG983" s="7"/>
      <c r="AH983" s="7"/>
      <c r="AI983" s="7"/>
    </row>
    <row r="984" spans="12:35">
      <c r="L984" s="7">
        <v>30</v>
      </c>
      <c r="M984" s="7">
        <v>49</v>
      </c>
      <c r="N984" s="7" t="b">
        <f>AND($N$5,$N$6,19&lt;=$M$5,18&lt;=$M$6)</f>
        <v>0</v>
      </c>
      <c r="O984" s="7">
        <f>(P30-N30)*(O49-O30)-(Q30-O30)*(N49-N30)</f>
        <v>0</v>
      </c>
      <c r="P984" s="7">
        <f>(P30-N30)*(Q49-O30)-(Q30-O30)*(P49-N30)</f>
        <v>0</v>
      </c>
      <c r="Q984" s="7">
        <f>(P49-N49)*(O30-O49)-(Q49-O49)*(N30-N49)</f>
        <v>0</v>
      </c>
      <c r="R984" s="7">
        <f>(P49-N49)*(Q30-O49)-(Q49-O49)*(P30-N49)</f>
        <v>0</v>
      </c>
      <c r="S984" s="7">
        <f>IF(N984,IF(AND(O984*P984&lt;=0,Q984*R984&lt;=0,MAX(MIN(N30,P30),MIN(N49,P49))&lt;=MIN(MAX(N30,P30),MAX(N49,P49)),MAX(MIN(O30,Q30),MIN(O49,Q49))&lt;=MIN(MAX(O30,Q30),MAX(O49,Q49))),1,0),0)</f>
        <v>0</v>
      </c>
      <c r="T984" s="7"/>
      <c r="U984" s="7"/>
      <c r="V984" s="7"/>
      <c r="W984" s="7"/>
      <c r="X984" s="7"/>
      <c r="Y984" s="7"/>
      <c r="Z984" s="7"/>
      <c r="AA984" s="7"/>
      <c r="AB984" s="7"/>
      <c r="AC984" s="7"/>
      <c r="AD984" s="7"/>
      <c r="AE984" s="7"/>
      <c r="AF984" s="7"/>
      <c r="AG984" s="7"/>
      <c r="AH984" s="7"/>
      <c r="AI984" s="7"/>
    </row>
    <row r="985" spans="12:35">
      <c r="L985" s="7">
        <v>30</v>
      </c>
      <c r="M985" s="7">
        <v>50</v>
      </c>
      <c r="N985" s="7" t="b">
        <f>AND($N$5,$N$6,19&lt;=$M$5,19&lt;=$M$6)</f>
        <v>0</v>
      </c>
      <c r="O985" s="7">
        <f>(P30-N30)*(O50-O30)-(Q30-O30)*(N50-N30)</f>
        <v>0</v>
      </c>
      <c r="P985" s="7">
        <f>(P30-N30)*(Q50-O30)-(Q30-O30)*(P50-N30)</f>
        <v>0</v>
      </c>
      <c r="Q985" s="7">
        <f>(P50-N50)*(O30-O50)-(Q50-O50)*(N30-N50)</f>
        <v>0</v>
      </c>
      <c r="R985" s="7">
        <f>(P50-N50)*(Q30-O50)-(Q50-O50)*(P30-N50)</f>
        <v>0</v>
      </c>
      <c r="S985" s="7">
        <f>IF(N985,IF(AND(O985*P985&lt;=0,Q985*R985&lt;=0,MAX(MIN(N30,P30),MIN(N50,P50))&lt;=MIN(MAX(N30,P30),MAX(N50,P50)),MAX(MIN(O30,Q30),MIN(O50,Q50))&lt;=MIN(MAX(O30,Q30),MAX(O50,Q50))),1,0),0)</f>
        <v>0</v>
      </c>
      <c r="T985" s="7"/>
      <c r="U985" s="7"/>
      <c r="V985" s="7"/>
      <c r="W985" s="7"/>
      <c r="X985" s="7"/>
      <c r="Y985" s="7"/>
      <c r="Z985" s="7"/>
      <c r="AA985" s="7"/>
      <c r="AB985" s="7"/>
      <c r="AC985" s="7"/>
      <c r="AD985" s="7"/>
      <c r="AE985" s="7"/>
      <c r="AF985" s="7"/>
      <c r="AG985" s="7"/>
      <c r="AH985" s="7"/>
      <c r="AI985" s="7"/>
    </row>
    <row r="986" spans="12:35">
      <c r="L986" s="7">
        <v>30</v>
      </c>
      <c r="M986" s="7">
        <v>51</v>
      </c>
      <c r="N986" s="7" t="b">
        <f>AND($N$5,$N$6,19&lt;=$M$5,20&lt;=$M$6)</f>
        <v>0</v>
      </c>
      <c r="O986" s="7">
        <f>(P30-N30)*(O51-O30)-(Q30-O30)*(N51-N30)</f>
        <v>0</v>
      </c>
      <c r="P986" s="7">
        <f>(P30-N30)*(Q51-O30)-(Q30-O30)*(P51-N30)</f>
        <v>0</v>
      </c>
      <c r="Q986" s="7">
        <f>(P51-N51)*(O30-O51)-(Q51-O51)*(N30-N51)</f>
        <v>0</v>
      </c>
      <c r="R986" s="7">
        <f>(P51-N51)*(Q30-O51)-(Q51-O51)*(P30-N51)</f>
        <v>0</v>
      </c>
      <c r="S986" s="7">
        <f>IF(N986,IF(AND(O986*P986&lt;=0,Q986*R986&lt;=0,MAX(MIN(N30,P30),MIN(N51,P51))&lt;=MIN(MAX(N30,P30),MAX(N51,P51)),MAX(MIN(O30,Q30),MIN(O51,Q51))&lt;=MIN(MAX(O30,Q30),MAX(O51,Q51))),1,0),0)</f>
        <v>0</v>
      </c>
      <c r="T986" s="7"/>
      <c r="U986" s="7"/>
      <c r="V986" s="7"/>
      <c r="W986" s="7"/>
      <c r="X986" s="7"/>
      <c r="Y986" s="7"/>
      <c r="Z986" s="7"/>
      <c r="AA986" s="7"/>
      <c r="AB986" s="7"/>
      <c r="AC986" s="7"/>
      <c r="AD986" s="7"/>
      <c r="AE986" s="7"/>
      <c r="AF986" s="7"/>
      <c r="AG986" s="7"/>
      <c r="AH986" s="7"/>
      <c r="AI986" s="7"/>
    </row>
    <row r="987" spans="12:35">
      <c r="L987" s="7">
        <v>30</v>
      </c>
      <c r="M987" s="7">
        <v>52</v>
      </c>
      <c r="N987" s="7" t="b">
        <f>AND($N$5,$N$7,19&lt;=$M$5,1&lt;=$M$7)</f>
        <v>0</v>
      </c>
      <c r="O987" s="7">
        <f>(P30-N30)*(O52-O30)-(Q30-O30)*(N52-N30)</f>
        <v>0</v>
      </c>
      <c r="P987" s="7">
        <f>(P30-N30)*(Q52-O30)-(Q30-O30)*(P52-N30)</f>
        <v>0</v>
      </c>
      <c r="Q987" s="7">
        <f>(P52-N52)*(O30-O52)-(Q52-O52)*(N30-N52)</f>
        <v>0</v>
      </c>
      <c r="R987" s="7">
        <f>(P52-N52)*(Q30-O52)-(Q52-O52)*(P30-N52)</f>
        <v>0</v>
      </c>
      <c r="S987" s="7">
        <f>IF(N987,IF(AND(O987*P987&lt;=0,Q987*R987&lt;=0,MAX(MIN(N30,P30),MIN(N52,P52))&lt;=MIN(MAX(N30,P30),MAX(N52,P52)),MAX(MIN(O30,Q30),MIN(O52,Q52))&lt;=MIN(MAX(O30,Q30),MAX(O52,Q52))),1,0),0)</f>
        <v>0</v>
      </c>
      <c r="T987" s="7"/>
      <c r="U987" s="7"/>
      <c r="V987" s="7"/>
      <c r="W987" s="7"/>
      <c r="X987" s="7"/>
      <c r="Y987" s="7"/>
      <c r="Z987" s="7"/>
      <c r="AA987" s="7"/>
      <c r="AB987" s="7"/>
      <c r="AC987" s="7"/>
      <c r="AD987" s="7"/>
      <c r="AE987" s="7"/>
      <c r="AF987" s="7"/>
      <c r="AG987" s="7"/>
      <c r="AH987" s="7"/>
      <c r="AI987" s="7"/>
    </row>
    <row r="988" spans="12:35">
      <c r="L988" s="7">
        <v>30</v>
      </c>
      <c r="M988" s="7">
        <v>53</v>
      </c>
      <c r="N988" s="7" t="b">
        <f>AND($N$5,$N$7,19&lt;=$M$5,2&lt;=$M$7)</f>
        <v>0</v>
      </c>
      <c r="O988" s="7">
        <f>(P30-N30)*(O53-O30)-(Q30-O30)*(N53-N30)</f>
        <v>0</v>
      </c>
      <c r="P988" s="7">
        <f>(P30-N30)*(Q53-O30)-(Q30-O30)*(P53-N30)</f>
        <v>0</v>
      </c>
      <c r="Q988" s="7">
        <f>(P53-N53)*(O30-O53)-(Q53-O53)*(N30-N53)</f>
        <v>0</v>
      </c>
      <c r="R988" s="7">
        <f>(P53-N53)*(Q30-O53)-(Q53-O53)*(P30-N53)</f>
        <v>0</v>
      </c>
      <c r="S988" s="7">
        <f>IF(N988,IF(AND(O988*P988&lt;=0,Q988*R988&lt;=0,MAX(MIN(N30,P30),MIN(N53,P53))&lt;=MIN(MAX(N30,P30),MAX(N53,P53)),MAX(MIN(O30,Q30),MIN(O53,Q53))&lt;=MIN(MAX(O30,Q30),MAX(O53,Q53))),1,0),0)</f>
        <v>0</v>
      </c>
      <c r="T988" s="7"/>
      <c r="U988" s="7"/>
      <c r="V988" s="7"/>
      <c r="W988" s="7"/>
      <c r="X988" s="7"/>
      <c r="Y988" s="7"/>
      <c r="Z988" s="7"/>
      <c r="AA988" s="7"/>
      <c r="AB988" s="7"/>
      <c r="AC988" s="7"/>
      <c r="AD988" s="7"/>
      <c r="AE988" s="7"/>
      <c r="AF988" s="7"/>
      <c r="AG988" s="7"/>
      <c r="AH988" s="7"/>
      <c r="AI988" s="7"/>
    </row>
    <row r="989" spans="12:35">
      <c r="L989" s="7">
        <v>30</v>
      </c>
      <c r="M989" s="7">
        <v>54</v>
      </c>
      <c r="N989" s="7" t="b">
        <f>AND($N$5,$N$7,19&lt;=$M$5,3&lt;=$M$7)</f>
        <v>0</v>
      </c>
      <c r="O989" s="7">
        <f>(P30-N30)*(O54-O30)-(Q30-O30)*(N54-N30)</f>
        <v>0</v>
      </c>
      <c r="P989" s="7">
        <f>(P30-N30)*(Q54-O30)-(Q30-O30)*(P54-N30)</f>
        <v>0</v>
      </c>
      <c r="Q989" s="7">
        <f>(P54-N54)*(O30-O54)-(Q54-O54)*(N30-N54)</f>
        <v>0</v>
      </c>
      <c r="R989" s="7">
        <f>(P54-N54)*(Q30-O54)-(Q54-O54)*(P30-N54)</f>
        <v>0</v>
      </c>
      <c r="S989" s="7">
        <f>IF(N989,IF(AND(O989*P989&lt;=0,Q989*R989&lt;=0,MAX(MIN(N30,P30),MIN(N54,P54))&lt;=MIN(MAX(N30,P30),MAX(N54,P54)),MAX(MIN(O30,Q30),MIN(O54,Q54))&lt;=MIN(MAX(O30,Q30),MAX(O54,Q54))),1,0),0)</f>
        <v>0</v>
      </c>
      <c r="T989" s="7"/>
      <c r="U989" s="7"/>
      <c r="V989" s="7"/>
      <c r="W989" s="7"/>
      <c r="X989" s="7"/>
      <c r="Y989" s="7"/>
      <c r="Z989" s="7"/>
      <c r="AA989" s="7"/>
      <c r="AB989" s="7"/>
      <c r="AC989" s="7"/>
      <c r="AD989" s="7"/>
      <c r="AE989" s="7"/>
      <c r="AF989" s="7"/>
      <c r="AG989" s="7"/>
      <c r="AH989" s="7"/>
      <c r="AI989" s="7"/>
    </row>
    <row r="990" spans="12:35">
      <c r="L990" s="7">
        <v>30</v>
      </c>
      <c r="M990" s="7">
        <v>55</v>
      </c>
      <c r="N990" s="7" t="b">
        <f>AND($N$5,$N$7,19&lt;=$M$5,4&lt;=$M$7)</f>
        <v>0</v>
      </c>
      <c r="O990" s="7">
        <f>(P30-N30)*(O55-O30)-(Q30-O30)*(N55-N30)</f>
        <v>0</v>
      </c>
      <c r="P990" s="7">
        <f>(P30-N30)*(Q55-O30)-(Q30-O30)*(P55-N30)</f>
        <v>0</v>
      </c>
      <c r="Q990" s="7">
        <f>(P55-N55)*(O30-O55)-(Q55-O55)*(N30-N55)</f>
        <v>0</v>
      </c>
      <c r="R990" s="7">
        <f>(P55-N55)*(Q30-O55)-(Q55-O55)*(P30-N55)</f>
        <v>0</v>
      </c>
      <c r="S990" s="7">
        <f>IF(N990,IF(AND(O990*P990&lt;=0,Q990*R990&lt;=0,MAX(MIN(N30,P30),MIN(N55,P55))&lt;=MIN(MAX(N30,P30),MAX(N55,P55)),MAX(MIN(O30,Q30),MIN(O55,Q55))&lt;=MIN(MAX(O30,Q30),MAX(O55,Q55))),1,0),0)</f>
        <v>0</v>
      </c>
      <c r="T990" s="7"/>
      <c r="U990" s="7"/>
      <c r="V990" s="7"/>
      <c r="W990" s="7"/>
      <c r="X990" s="7"/>
      <c r="Y990" s="7"/>
      <c r="Z990" s="7"/>
      <c r="AA990" s="7"/>
      <c r="AB990" s="7"/>
      <c r="AC990" s="7"/>
      <c r="AD990" s="7"/>
      <c r="AE990" s="7"/>
      <c r="AF990" s="7"/>
      <c r="AG990" s="7"/>
      <c r="AH990" s="7"/>
      <c r="AI990" s="7"/>
    </row>
    <row r="991" spans="12:35">
      <c r="L991" s="7">
        <v>30</v>
      </c>
      <c r="M991" s="7">
        <v>56</v>
      </c>
      <c r="N991" s="7" t="b">
        <f>AND($N$5,$N$7,19&lt;=$M$5,5&lt;=$M$7)</f>
        <v>0</v>
      </c>
      <c r="O991" s="7">
        <f>(P30-N30)*(O56-O30)-(Q30-O30)*(N56-N30)</f>
        <v>0</v>
      </c>
      <c r="P991" s="7">
        <f>(P30-N30)*(Q56-O30)-(Q30-O30)*(P56-N30)</f>
        <v>0</v>
      </c>
      <c r="Q991" s="7">
        <f>(P56-N56)*(O30-O56)-(Q56-O56)*(N30-N56)</f>
        <v>0</v>
      </c>
      <c r="R991" s="7">
        <f>(P56-N56)*(Q30-O56)-(Q56-O56)*(P30-N56)</f>
        <v>0</v>
      </c>
      <c r="S991" s="7">
        <f>IF(N991,IF(AND(O991*P991&lt;=0,Q991*R991&lt;=0,MAX(MIN(N30,P30),MIN(N56,P56))&lt;=MIN(MAX(N30,P30),MAX(N56,P56)),MAX(MIN(O30,Q30),MIN(O56,Q56))&lt;=MIN(MAX(O30,Q30),MAX(O56,Q56))),1,0),0)</f>
        <v>0</v>
      </c>
      <c r="T991" s="7"/>
      <c r="U991" s="7"/>
      <c r="V991" s="7"/>
      <c r="W991" s="7"/>
      <c r="X991" s="7"/>
      <c r="Y991" s="7"/>
      <c r="Z991" s="7"/>
      <c r="AA991" s="7"/>
      <c r="AB991" s="7"/>
      <c r="AC991" s="7"/>
      <c r="AD991" s="7"/>
      <c r="AE991" s="7"/>
      <c r="AF991" s="7"/>
      <c r="AG991" s="7"/>
      <c r="AH991" s="7"/>
      <c r="AI991" s="7"/>
    </row>
    <row r="992" spans="12:35">
      <c r="L992" s="7">
        <v>30</v>
      </c>
      <c r="M992" s="7">
        <v>57</v>
      </c>
      <c r="N992" s="7" t="b">
        <f>AND($N$5,$N$7,19&lt;=$M$5,6&lt;=$M$7)</f>
        <v>0</v>
      </c>
      <c r="O992" s="7">
        <f>(P30-N30)*(O57-O30)-(Q30-O30)*(N57-N30)</f>
        <v>0</v>
      </c>
      <c r="P992" s="7">
        <f>(P30-N30)*(Q57-O30)-(Q30-O30)*(P57-N30)</f>
        <v>0</v>
      </c>
      <c r="Q992" s="7">
        <f>(P57-N57)*(O30-O57)-(Q57-O57)*(N30-N57)</f>
        <v>0</v>
      </c>
      <c r="R992" s="7">
        <f>(P57-N57)*(Q30-O57)-(Q57-O57)*(P30-N57)</f>
        <v>0</v>
      </c>
      <c r="S992" s="7">
        <f>IF(N992,IF(AND(O992*P992&lt;=0,Q992*R992&lt;=0,MAX(MIN(N30,P30),MIN(N57,P57))&lt;=MIN(MAX(N30,P30),MAX(N57,P57)),MAX(MIN(O30,Q30),MIN(O57,Q57))&lt;=MIN(MAX(O30,Q30),MAX(O57,Q57))),1,0),0)</f>
        <v>0</v>
      </c>
      <c r="T992" s="7"/>
      <c r="U992" s="7"/>
      <c r="V992" s="7"/>
      <c r="W992" s="7"/>
      <c r="X992" s="7"/>
      <c r="Y992" s="7"/>
      <c r="Z992" s="7"/>
      <c r="AA992" s="7"/>
      <c r="AB992" s="7"/>
      <c r="AC992" s="7"/>
      <c r="AD992" s="7"/>
      <c r="AE992" s="7"/>
      <c r="AF992" s="7"/>
      <c r="AG992" s="7"/>
      <c r="AH992" s="7"/>
      <c r="AI992" s="7"/>
    </row>
    <row r="993" spans="12:35">
      <c r="L993" s="7">
        <v>30</v>
      </c>
      <c r="M993" s="7">
        <v>58</v>
      </c>
      <c r="N993" s="7" t="b">
        <f>AND($N$5,$N$7,19&lt;=$M$5,7&lt;=$M$7)</f>
        <v>0</v>
      </c>
      <c r="O993" s="7">
        <f>(P30-N30)*(O58-O30)-(Q30-O30)*(N58-N30)</f>
        <v>0</v>
      </c>
      <c r="P993" s="7">
        <f>(P30-N30)*(Q58-O30)-(Q30-O30)*(P58-N30)</f>
        <v>0</v>
      </c>
      <c r="Q993" s="7">
        <f>(P58-N58)*(O30-O58)-(Q58-O58)*(N30-N58)</f>
        <v>0</v>
      </c>
      <c r="R993" s="7">
        <f>(P58-N58)*(Q30-O58)-(Q58-O58)*(P30-N58)</f>
        <v>0</v>
      </c>
      <c r="S993" s="7">
        <f>IF(N993,IF(AND(O993*P993&lt;=0,Q993*R993&lt;=0,MAX(MIN(N30,P30),MIN(N58,P58))&lt;=MIN(MAX(N30,P30),MAX(N58,P58)),MAX(MIN(O30,Q30),MIN(O58,Q58))&lt;=MIN(MAX(O30,Q30),MAX(O58,Q58))),1,0),0)</f>
        <v>0</v>
      </c>
      <c r="T993" s="7"/>
      <c r="U993" s="7"/>
      <c r="V993" s="7"/>
      <c r="W993" s="7"/>
      <c r="X993" s="7"/>
      <c r="Y993" s="7"/>
      <c r="Z993" s="7"/>
      <c r="AA993" s="7"/>
      <c r="AB993" s="7"/>
      <c r="AC993" s="7"/>
      <c r="AD993" s="7"/>
      <c r="AE993" s="7"/>
      <c r="AF993" s="7"/>
      <c r="AG993" s="7"/>
      <c r="AH993" s="7"/>
      <c r="AI993" s="7"/>
    </row>
    <row r="994" spans="12:35">
      <c r="L994" s="7">
        <v>30</v>
      </c>
      <c r="M994" s="7">
        <v>59</v>
      </c>
      <c r="N994" s="7" t="b">
        <f>AND($N$5,$N$7,19&lt;=$M$5,8&lt;=$M$7)</f>
        <v>0</v>
      </c>
      <c r="O994" s="7">
        <f>(P30-N30)*(O59-O30)-(Q30-O30)*(N59-N30)</f>
        <v>0</v>
      </c>
      <c r="P994" s="7">
        <f>(P30-N30)*(Q59-O30)-(Q30-O30)*(P59-N30)</f>
        <v>0</v>
      </c>
      <c r="Q994" s="7">
        <f>(P59-N59)*(O30-O59)-(Q59-O59)*(N30-N59)</f>
        <v>0</v>
      </c>
      <c r="R994" s="7">
        <f>(P59-N59)*(Q30-O59)-(Q59-O59)*(P30-N59)</f>
        <v>0</v>
      </c>
      <c r="S994" s="7">
        <f>IF(N994,IF(AND(O994*P994&lt;=0,Q994*R994&lt;=0,MAX(MIN(N30,P30),MIN(N59,P59))&lt;=MIN(MAX(N30,P30),MAX(N59,P59)),MAX(MIN(O30,Q30),MIN(O59,Q59))&lt;=MIN(MAX(O30,Q30),MAX(O59,Q59))),1,0),0)</f>
        <v>0</v>
      </c>
      <c r="T994" s="7"/>
      <c r="U994" s="7"/>
      <c r="V994" s="7"/>
      <c r="W994" s="7"/>
      <c r="X994" s="7"/>
      <c r="Y994" s="7"/>
      <c r="Z994" s="7"/>
      <c r="AA994" s="7"/>
      <c r="AB994" s="7"/>
      <c r="AC994" s="7"/>
      <c r="AD994" s="7"/>
      <c r="AE994" s="7"/>
      <c r="AF994" s="7"/>
      <c r="AG994" s="7"/>
      <c r="AH994" s="7"/>
      <c r="AI994" s="7"/>
    </row>
    <row r="995" spans="12:35">
      <c r="L995" s="7">
        <v>30</v>
      </c>
      <c r="M995" s="7">
        <v>60</v>
      </c>
      <c r="N995" s="7" t="b">
        <f>AND($N$5,$N$7,19&lt;=$M$5,9&lt;=$M$7)</f>
        <v>0</v>
      </c>
      <c r="O995" s="7">
        <f>(P30-N30)*(O60-O30)-(Q30-O30)*(N60-N30)</f>
        <v>0</v>
      </c>
      <c r="P995" s="7">
        <f>(P30-N30)*(Q60-O30)-(Q30-O30)*(P60-N30)</f>
        <v>0</v>
      </c>
      <c r="Q995" s="7">
        <f>(P60-N60)*(O30-O60)-(Q60-O60)*(N30-N60)</f>
        <v>0</v>
      </c>
      <c r="R995" s="7">
        <f>(P60-N60)*(Q30-O60)-(Q60-O60)*(P30-N60)</f>
        <v>0</v>
      </c>
      <c r="S995" s="7">
        <f>IF(N995,IF(AND(O995*P995&lt;=0,Q995*R995&lt;=0,MAX(MIN(N30,P30),MIN(N60,P60))&lt;=MIN(MAX(N30,P30),MAX(N60,P60)),MAX(MIN(O30,Q30),MIN(O60,Q60))&lt;=MIN(MAX(O30,Q30),MAX(O60,Q60))),1,0),0)</f>
        <v>0</v>
      </c>
      <c r="T995" s="7"/>
      <c r="U995" s="7"/>
      <c r="V995" s="7"/>
      <c r="W995" s="7"/>
      <c r="X995" s="7"/>
      <c r="Y995" s="7"/>
      <c r="Z995" s="7"/>
      <c r="AA995" s="7"/>
      <c r="AB995" s="7"/>
      <c r="AC995" s="7"/>
      <c r="AD995" s="7"/>
      <c r="AE995" s="7"/>
      <c r="AF995" s="7"/>
      <c r="AG995" s="7"/>
      <c r="AH995" s="7"/>
      <c r="AI995" s="7"/>
    </row>
    <row r="996" spans="12:35">
      <c r="L996" s="7">
        <v>30</v>
      </c>
      <c r="M996" s="7">
        <v>61</v>
      </c>
      <c r="N996" s="7" t="b">
        <f>AND($N$5,$N$7,19&lt;=$M$5,10&lt;=$M$7)</f>
        <v>0</v>
      </c>
      <c r="O996" s="7">
        <f>(P30-N30)*(O61-O30)-(Q30-O30)*(N61-N30)</f>
        <v>0</v>
      </c>
      <c r="P996" s="7">
        <f>(P30-N30)*(Q61-O30)-(Q30-O30)*(P61-N30)</f>
        <v>0</v>
      </c>
      <c r="Q996" s="7">
        <f>(P61-N61)*(O30-O61)-(Q61-O61)*(N30-N61)</f>
        <v>0</v>
      </c>
      <c r="R996" s="7">
        <f>(P61-N61)*(Q30-O61)-(Q61-O61)*(P30-N61)</f>
        <v>0</v>
      </c>
      <c r="S996" s="7">
        <f>IF(N996,IF(AND(O996*P996&lt;=0,Q996*R996&lt;=0,MAX(MIN(N30,P30),MIN(N61,P61))&lt;=MIN(MAX(N30,P30),MAX(N61,P61)),MAX(MIN(O30,Q30),MIN(O61,Q61))&lt;=MIN(MAX(O30,Q30),MAX(O61,Q61))),1,0),0)</f>
        <v>0</v>
      </c>
      <c r="T996" s="7"/>
      <c r="U996" s="7"/>
      <c r="V996" s="7"/>
      <c r="W996" s="7"/>
      <c r="X996" s="7"/>
      <c r="Y996" s="7"/>
      <c r="Z996" s="7"/>
      <c r="AA996" s="7"/>
      <c r="AB996" s="7"/>
      <c r="AC996" s="7"/>
      <c r="AD996" s="7"/>
      <c r="AE996" s="7"/>
      <c r="AF996" s="7"/>
      <c r="AG996" s="7"/>
      <c r="AH996" s="7"/>
      <c r="AI996" s="7"/>
    </row>
    <row r="997" spans="12:35">
      <c r="L997" s="7">
        <v>30</v>
      </c>
      <c r="M997" s="7">
        <v>62</v>
      </c>
      <c r="N997" s="7" t="b">
        <f>AND($N$5,$N$7,19&lt;=$M$5,11&lt;=$M$7)</f>
        <v>0</v>
      </c>
      <c r="O997" s="7">
        <f>(P30-N30)*(O62-O30)-(Q30-O30)*(N62-N30)</f>
        <v>0</v>
      </c>
      <c r="P997" s="7">
        <f>(P30-N30)*(Q62-O30)-(Q30-O30)*(P62-N30)</f>
        <v>0</v>
      </c>
      <c r="Q997" s="7">
        <f>(P62-N62)*(O30-O62)-(Q62-O62)*(N30-N62)</f>
        <v>0</v>
      </c>
      <c r="R997" s="7">
        <f>(P62-N62)*(Q30-O62)-(Q62-O62)*(P30-N62)</f>
        <v>0</v>
      </c>
      <c r="S997" s="7">
        <f>IF(N997,IF(AND(O997*P997&lt;=0,Q997*R997&lt;=0,MAX(MIN(N30,P30),MIN(N62,P62))&lt;=MIN(MAX(N30,P30),MAX(N62,P62)),MAX(MIN(O30,Q30),MIN(O62,Q62))&lt;=MIN(MAX(O30,Q30),MAX(O62,Q62))),1,0),0)</f>
        <v>0</v>
      </c>
      <c r="T997" s="7"/>
      <c r="U997" s="7"/>
      <c r="V997" s="7"/>
      <c r="W997" s="7"/>
      <c r="X997" s="7"/>
      <c r="Y997" s="7"/>
      <c r="Z997" s="7"/>
      <c r="AA997" s="7"/>
      <c r="AB997" s="7"/>
      <c r="AC997" s="7"/>
      <c r="AD997" s="7"/>
      <c r="AE997" s="7"/>
      <c r="AF997" s="7"/>
      <c r="AG997" s="7"/>
      <c r="AH997" s="7"/>
      <c r="AI997" s="7"/>
    </row>
    <row r="998" spans="12:35">
      <c r="L998" s="7">
        <v>30</v>
      </c>
      <c r="M998" s="7">
        <v>63</v>
      </c>
      <c r="N998" s="7" t="b">
        <f>AND($N$5,$N$7,19&lt;=$M$5,12&lt;=$M$7)</f>
        <v>0</v>
      </c>
      <c r="O998" s="7">
        <f>(P30-N30)*(O63-O30)-(Q30-O30)*(N63-N30)</f>
        <v>0</v>
      </c>
      <c r="P998" s="7">
        <f>(P30-N30)*(Q63-O30)-(Q30-O30)*(P63-N30)</f>
        <v>0</v>
      </c>
      <c r="Q998" s="7">
        <f>(P63-N63)*(O30-O63)-(Q63-O63)*(N30-N63)</f>
        <v>0</v>
      </c>
      <c r="R998" s="7">
        <f>(P63-N63)*(Q30-O63)-(Q63-O63)*(P30-N63)</f>
        <v>0</v>
      </c>
      <c r="S998" s="7">
        <f>IF(N998,IF(AND(O998*P998&lt;=0,Q998*R998&lt;=0,MAX(MIN(N30,P30),MIN(N63,P63))&lt;=MIN(MAX(N30,P30),MAX(N63,P63)),MAX(MIN(O30,Q30),MIN(O63,Q63))&lt;=MIN(MAX(O30,Q30),MAX(O63,Q63))),1,0),0)</f>
        <v>0</v>
      </c>
      <c r="T998" s="7"/>
      <c r="U998" s="7"/>
      <c r="V998" s="7"/>
      <c r="W998" s="7"/>
      <c r="X998" s="7"/>
      <c r="Y998" s="7"/>
      <c r="Z998" s="7"/>
      <c r="AA998" s="7"/>
      <c r="AB998" s="7"/>
      <c r="AC998" s="7"/>
      <c r="AD998" s="7"/>
      <c r="AE998" s="7"/>
      <c r="AF998" s="7"/>
      <c r="AG998" s="7"/>
      <c r="AH998" s="7"/>
      <c r="AI998" s="7"/>
    </row>
    <row r="999" spans="12:35">
      <c r="L999" s="7">
        <v>30</v>
      </c>
      <c r="M999" s="7">
        <v>64</v>
      </c>
      <c r="N999" s="7" t="b">
        <f>AND($N$5,$N$7,19&lt;=$M$5,13&lt;=$M$7)</f>
        <v>0</v>
      </c>
      <c r="O999" s="7">
        <f>(P30-N30)*(O64-O30)-(Q30-O30)*(N64-N30)</f>
        <v>0</v>
      </c>
      <c r="P999" s="7">
        <f>(P30-N30)*(Q64-O30)-(Q30-O30)*(P64-N30)</f>
        <v>0</v>
      </c>
      <c r="Q999" s="7">
        <f>(P64-N64)*(O30-O64)-(Q64-O64)*(N30-N64)</f>
        <v>0</v>
      </c>
      <c r="R999" s="7">
        <f>(P64-N64)*(Q30-O64)-(Q64-O64)*(P30-N64)</f>
        <v>0</v>
      </c>
      <c r="S999" s="7">
        <f>IF(N999,IF(AND(O999*P999&lt;=0,Q999*R999&lt;=0,MAX(MIN(N30,P30),MIN(N64,P64))&lt;=MIN(MAX(N30,P30),MAX(N64,P64)),MAX(MIN(O30,Q30),MIN(O64,Q64))&lt;=MIN(MAX(O30,Q30),MAX(O64,Q64))),1,0),0)</f>
        <v>0</v>
      </c>
      <c r="T999" s="7"/>
      <c r="U999" s="7"/>
      <c r="V999" s="7"/>
      <c r="W999" s="7"/>
      <c r="X999" s="7"/>
      <c r="Y999" s="7"/>
      <c r="Z999" s="7"/>
      <c r="AA999" s="7"/>
      <c r="AB999" s="7"/>
      <c r="AC999" s="7"/>
      <c r="AD999" s="7"/>
      <c r="AE999" s="7"/>
      <c r="AF999" s="7"/>
      <c r="AG999" s="7"/>
      <c r="AH999" s="7"/>
      <c r="AI999" s="7"/>
    </row>
    <row r="1000" spans="12:35">
      <c r="L1000" s="7">
        <v>30</v>
      </c>
      <c r="M1000" s="7">
        <v>65</v>
      </c>
      <c r="N1000" s="7" t="b">
        <f>AND($N$5,$N$7,19&lt;=$M$5,14&lt;=$M$7)</f>
        <v>0</v>
      </c>
      <c r="O1000" s="7">
        <f>(P30-N30)*(O65-O30)-(Q30-O30)*(N65-N30)</f>
        <v>0</v>
      </c>
      <c r="P1000" s="7">
        <f>(P30-N30)*(Q65-O30)-(Q30-O30)*(P65-N30)</f>
        <v>0</v>
      </c>
      <c r="Q1000" s="7">
        <f>(P65-N65)*(O30-O65)-(Q65-O65)*(N30-N65)</f>
        <v>0</v>
      </c>
      <c r="R1000" s="7">
        <f>(P65-N65)*(Q30-O65)-(Q65-O65)*(P30-N65)</f>
        <v>0</v>
      </c>
      <c r="S1000" s="7">
        <f>IF(N1000,IF(AND(O1000*P1000&lt;=0,Q1000*R1000&lt;=0,MAX(MIN(N30,P30),MIN(N65,P65))&lt;=MIN(MAX(N30,P30),MAX(N65,P65)),MAX(MIN(O30,Q30),MIN(O65,Q65))&lt;=MIN(MAX(O30,Q30),MAX(O65,Q65))),1,0),0)</f>
        <v>0</v>
      </c>
      <c r="T1000" s="7"/>
      <c r="U1000" s="7"/>
      <c r="V1000" s="7"/>
      <c r="W1000" s="7"/>
      <c r="X1000" s="7"/>
      <c r="Y1000" s="7"/>
      <c r="Z1000" s="7"/>
      <c r="AA1000" s="7"/>
      <c r="AB1000" s="7"/>
      <c r="AC1000" s="7"/>
      <c r="AD1000" s="7"/>
      <c r="AE1000" s="7"/>
      <c r="AF1000" s="7"/>
      <c r="AG1000" s="7"/>
      <c r="AH1000" s="7"/>
      <c r="AI1000" s="7"/>
    </row>
    <row r="1001" spans="12:35">
      <c r="L1001" s="7">
        <v>30</v>
      </c>
      <c r="M1001" s="7">
        <v>66</v>
      </c>
      <c r="N1001" s="7" t="b">
        <f>AND($N$5,$N$7,19&lt;=$M$5,15&lt;=$M$7)</f>
        <v>0</v>
      </c>
      <c r="O1001" s="7">
        <f>(P30-N30)*(O66-O30)-(Q30-O30)*(N66-N30)</f>
        <v>0</v>
      </c>
      <c r="P1001" s="7">
        <f>(P30-N30)*(Q66-O30)-(Q30-O30)*(P66-N30)</f>
        <v>0</v>
      </c>
      <c r="Q1001" s="7">
        <f>(P66-N66)*(O30-O66)-(Q66-O66)*(N30-N66)</f>
        <v>0</v>
      </c>
      <c r="R1001" s="7">
        <f>(P66-N66)*(Q30-O66)-(Q66-O66)*(P30-N66)</f>
        <v>0</v>
      </c>
      <c r="S1001" s="7">
        <f>IF(N1001,IF(AND(O1001*P1001&lt;=0,Q1001*R1001&lt;=0,MAX(MIN(N30,P30),MIN(N66,P66))&lt;=MIN(MAX(N30,P30),MAX(N66,P66)),MAX(MIN(O30,Q30),MIN(O66,Q66))&lt;=MIN(MAX(O30,Q30),MAX(O66,Q66))),1,0),0)</f>
        <v>0</v>
      </c>
      <c r="T1001" s="7"/>
      <c r="U1001" s="7"/>
      <c r="V1001" s="7"/>
      <c r="W1001" s="7"/>
      <c r="X1001" s="7"/>
      <c r="Y1001" s="7"/>
      <c r="Z1001" s="7"/>
      <c r="AA1001" s="7"/>
      <c r="AB1001" s="7"/>
      <c r="AC1001" s="7"/>
      <c r="AD1001" s="7"/>
      <c r="AE1001" s="7"/>
      <c r="AF1001" s="7"/>
      <c r="AG1001" s="7"/>
      <c r="AH1001" s="7"/>
      <c r="AI1001" s="7"/>
    </row>
    <row r="1002" spans="12:35">
      <c r="L1002" s="7">
        <v>30</v>
      </c>
      <c r="M1002" s="7">
        <v>67</v>
      </c>
      <c r="N1002" s="7" t="b">
        <f>AND($N$5,$N$7,19&lt;=$M$5,16&lt;=$M$7)</f>
        <v>0</v>
      </c>
      <c r="O1002" s="7">
        <f>(P30-N30)*(O67-O30)-(Q30-O30)*(N67-N30)</f>
        <v>0</v>
      </c>
      <c r="P1002" s="7">
        <f>(P30-N30)*(Q67-O30)-(Q30-O30)*(P67-N30)</f>
        <v>0</v>
      </c>
      <c r="Q1002" s="7">
        <f>(P67-N67)*(O30-O67)-(Q67-O67)*(N30-N67)</f>
        <v>0</v>
      </c>
      <c r="R1002" s="7">
        <f>(P67-N67)*(Q30-O67)-(Q67-O67)*(P30-N67)</f>
        <v>0</v>
      </c>
      <c r="S1002" s="7">
        <f>IF(N1002,IF(AND(O1002*P1002&lt;=0,Q1002*R1002&lt;=0,MAX(MIN(N30,P30),MIN(N67,P67))&lt;=MIN(MAX(N30,P30),MAX(N67,P67)),MAX(MIN(O30,Q30),MIN(O67,Q67))&lt;=MIN(MAX(O30,Q30),MAX(O67,Q67))),1,0),0)</f>
        <v>0</v>
      </c>
      <c r="T1002" s="7"/>
      <c r="U1002" s="7"/>
      <c r="V1002" s="7"/>
      <c r="W1002" s="7"/>
      <c r="X1002" s="7"/>
      <c r="Y1002" s="7"/>
      <c r="Z1002" s="7"/>
      <c r="AA1002" s="7"/>
      <c r="AB1002" s="7"/>
      <c r="AC1002" s="7"/>
      <c r="AD1002" s="7"/>
      <c r="AE1002" s="7"/>
      <c r="AF1002" s="7"/>
      <c r="AG1002" s="7"/>
      <c r="AH1002" s="7"/>
      <c r="AI1002" s="7"/>
    </row>
    <row r="1003" spans="12:35">
      <c r="L1003" s="7">
        <v>30</v>
      </c>
      <c r="M1003" s="7">
        <v>68</v>
      </c>
      <c r="N1003" s="7" t="b">
        <f>AND($N$5,$N$7,19&lt;=$M$5,17&lt;=$M$7)</f>
        <v>0</v>
      </c>
      <c r="O1003" s="7">
        <f>(P30-N30)*(O68-O30)-(Q30-O30)*(N68-N30)</f>
        <v>0</v>
      </c>
      <c r="P1003" s="7">
        <f>(P30-N30)*(Q68-O30)-(Q30-O30)*(P68-N30)</f>
        <v>0</v>
      </c>
      <c r="Q1003" s="7">
        <f>(P68-N68)*(O30-O68)-(Q68-O68)*(N30-N68)</f>
        <v>0</v>
      </c>
      <c r="R1003" s="7">
        <f>(P68-N68)*(Q30-O68)-(Q68-O68)*(P30-N68)</f>
        <v>0</v>
      </c>
      <c r="S1003" s="7">
        <f>IF(N1003,IF(AND(O1003*P1003&lt;=0,Q1003*R1003&lt;=0,MAX(MIN(N30,P30),MIN(N68,P68))&lt;=MIN(MAX(N30,P30),MAX(N68,P68)),MAX(MIN(O30,Q30),MIN(O68,Q68))&lt;=MIN(MAX(O30,Q30),MAX(O68,Q68))),1,0),0)</f>
        <v>0</v>
      </c>
      <c r="T1003" s="7"/>
      <c r="U1003" s="7"/>
      <c r="V1003" s="7"/>
      <c r="W1003" s="7"/>
      <c r="X1003" s="7"/>
      <c r="Y1003" s="7"/>
      <c r="Z1003" s="7"/>
      <c r="AA1003" s="7"/>
      <c r="AB1003" s="7"/>
      <c r="AC1003" s="7"/>
      <c r="AD1003" s="7"/>
      <c r="AE1003" s="7"/>
      <c r="AF1003" s="7"/>
      <c r="AG1003" s="7"/>
      <c r="AH1003" s="7"/>
      <c r="AI1003" s="7"/>
    </row>
    <row r="1004" spans="12:35">
      <c r="L1004" s="7">
        <v>30</v>
      </c>
      <c r="M1004" s="7">
        <v>69</v>
      </c>
      <c r="N1004" s="7" t="b">
        <f>AND($N$5,$N$7,19&lt;=$M$5,18&lt;=$M$7)</f>
        <v>0</v>
      </c>
      <c r="O1004" s="7">
        <f>(P30-N30)*(O69-O30)-(Q30-O30)*(N69-N30)</f>
        <v>0</v>
      </c>
      <c r="P1004" s="7">
        <f>(P30-N30)*(Q69-O30)-(Q30-O30)*(P69-N30)</f>
        <v>0</v>
      </c>
      <c r="Q1004" s="7">
        <f>(P69-N69)*(O30-O69)-(Q69-O69)*(N30-N69)</f>
        <v>0</v>
      </c>
      <c r="R1004" s="7">
        <f>(P69-N69)*(Q30-O69)-(Q69-O69)*(P30-N69)</f>
        <v>0</v>
      </c>
      <c r="S1004" s="7">
        <f>IF(N1004,IF(AND(O1004*P1004&lt;=0,Q1004*R1004&lt;=0,MAX(MIN(N30,P30),MIN(N69,P69))&lt;=MIN(MAX(N30,P30),MAX(N69,P69)),MAX(MIN(O30,Q30),MIN(O69,Q69))&lt;=MIN(MAX(O30,Q30),MAX(O69,Q69))),1,0),0)</f>
        <v>0</v>
      </c>
      <c r="T1004" s="7"/>
      <c r="U1004" s="7"/>
      <c r="V1004" s="7"/>
      <c r="W1004" s="7"/>
      <c r="X1004" s="7"/>
      <c r="Y1004" s="7"/>
      <c r="Z1004" s="7"/>
      <c r="AA1004" s="7"/>
      <c r="AB1004" s="7"/>
      <c r="AC1004" s="7"/>
      <c r="AD1004" s="7"/>
      <c r="AE1004" s="7"/>
      <c r="AF1004" s="7"/>
      <c r="AG1004" s="7"/>
      <c r="AH1004" s="7"/>
      <c r="AI1004" s="7"/>
    </row>
    <row r="1005" spans="12:35">
      <c r="L1005" s="7">
        <v>30</v>
      </c>
      <c r="M1005" s="7">
        <v>70</v>
      </c>
      <c r="N1005" s="7" t="b">
        <f>AND($N$5,$N$7,19&lt;=$M$5,19&lt;=$M$7)</f>
        <v>0</v>
      </c>
      <c r="O1005" s="7">
        <f>(P30-N30)*(O70-O30)-(Q30-O30)*(N70-N30)</f>
        <v>0</v>
      </c>
      <c r="P1005" s="7">
        <f>(P30-N30)*(Q70-O30)-(Q30-O30)*(P70-N30)</f>
        <v>0</v>
      </c>
      <c r="Q1005" s="7">
        <f>(P70-N70)*(O30-O70)-(Q70-O70)*(N30-N70)</f>
        <v>0</v>
      </c>
      <c r="R1005" s="7">
        <f>(P70-N70)*(Q30-O70)-(Q70-O70)*(P30-N70)</f>
        <v>0</v>
      </c>
      <c r="S1005" s="7">
        <f>IF(N1005,IF(AND(O1005*P1005&lt;=0,Q1005*R1005&lt;=0,MAX(MIN(N30,P30),MIN(N70,P70))&lt;=MIN(MAX(N30,P30),MAX(N70,P70)),MAX(MIN(O30,Q30),MIN(O70,Q70))&lt;=MIN(MAX(O30,Q30),MAX(O70,Q70))),1,0),0)</f>
        <v>0</v>
      </c>
      <c r="T1005" s="7"/>
      <c r="U1005" s="7"/>
      <c r="V1005" s="7"/>
      <c r="W1005" s="7"/>
      <c r="X1005" s="7"/>
      <c r="Y1005" s="7"/>
      <c r="Z1005" s="7"/>
      <c r="AA1005" s="7"/>
      <c r="AB1005" s="7"/>
      <c r="AC1005" s="7"/>
      <c r="AD1005" s="7"/>
      <c r="AE1005" s="7"/>
      <c r="AF1005" s="7"/>
      <c r="AG1005" s="7"/>
      <c r="AH1005" s="7"/>
      <c r="AI1005" s="7"/>
    </row>
    <row r="1006" spans="12:35">
      <c r="L1006" s="7">
        <v>30</v>
      </c>
      <c r="M1006" s="7">
        <v>71</v>
      </c>
      <c r="N1006" s="7" t="b">
        <f>AND($N$5,$N$7,19&lt;=$M$5,20&lt;=$M$7)</f>
        <v>0</v>
      </c>
      <c r="O1006" s="7">
        <f>(P30-N30)*(O71-O30)-(Q30-O30)*(N71-N30)</f>
        <v>0</v>
      </c>
      <c r="P1006" s="7">
        <f>(P30-N30)*(Q71-O30)-(Q30-O30)*(P71-N30)</f>
        <v>0</v>
      </c>
      <c r="Q1006" s="7">
        <f>(P71-N71)*(O30-O71)-(Q71-O71)*(N30-N71)</f>
        <v>0</v>
      </c>
      <c r="R1006" s="7">
        <f>(P71-N71)*(Q30-O71)-(Q71-O71)*(P30-N71)</f>
        <v>0</v>
      </c>
      <c r="S1006" s="7">
        <f>IF(N1006,IF(AND(O1006*P1006&lt;=0,Q1006*R1006&lt;=0,MAX(MIN(N30,P30),MIN(N71,P71))&lt;=MIN(MAX(N30,P30),MAX(N71,P71)),MAX(MIN(O30,Q30),MIN(O71,Q71))&lt;=MIN(MAX(O30,Q30),MAX(O71,Q71))),1,0),0)</f>
        <v>0</v>
      </c>
      <c r="T1006" s="7"/>
      <c r="U1006" s="7"/>
      <c r="V1006" s="7"/>
      <c r="W1006" s="7"/>
      <c r="X1006" s="7"/>
      <c r="Y1006" s="7"/>
      <c r="Z1006" s="7"/>
      <c r="AA1006" s="7"/>
      <c r="AB1006" s="7"/>
      <c r="AC1006" s="7"/>
      <c r="AD1006" s="7"/>
      <c r="AE1006" s="7"/>
      <c r="AF1006" s="7"/>
      <c r="AG1006" s="7"/>
      <c r="AH1006" s="7"/>
      <c r="AI1006" s="7"/>
    </row>
    <row r="1007" spans="12:35">
      <c r="L1007" s="7">
        <v>31</v>
      </c>
      <c r="M1007" s="7">
        <v>32</v>
      </c>
      <c r="N1007" s="7" t="b">
        <f>AND($N$5,$N$6,20&lt;=$M$5,1&lt;=$M$6)</f>
        <v>0</v>
      </c>
      <c r="O1007" s="7">
        <f>(P31-N31)*(O32-O31)-(Q31-O31)*(N32-N31)</f>
        <v>0</v>
      </c>
      <c r="P1007" s="7">
        <f>(P31-N31)*(Q32-O31)-(Q31-O31)*(P32-N31)</f>
        <v>0</v>
      </c>
      <c r="Q1007" s="7">
        <f>(P32-N32)*(O31-O32)-(Q32-O32)*(N31-N32)</f>
        <v>0</v>
      </c>
      <c r="R1007" s="7">
        <f>(P32-N32)*(Q31-O32)-(Q32-O32)*(P31-N32)</f>
        <v>0</v>
      </c>
      <c r="S1007" s="7">
        <f>IF(N1007,IF(AND(O1007*P1007&lt;=0,Q1007*R1007&lt;=0,MAX(MIN(N31,P31),MIN(N32,P32))&lt;=MIN(MAX(N31,P31),MAX(N32,P32)),MAX(MIN(O31,Q31),MIN(O32,Q32))&lt;=MIN(MAX(O31,Q31),MAX(O32,Q32))),1,0),0)</f>
        <v>0</v>
      </c>
      <c r="T1007" s="7"/>
      <c r="U1007" s="7"/>
      <c r="V1007" s="7"/>
      <c r="W1007" s="7"/>
      <c r="X1007" s="7"/>
      <c r="Y1007" s="7"/>
      <c r="Z1007" s="7"/>
      <c r="AA1007" s="7"/>
      <c r="AB1007" s="7"/>
      <c r="AC1007" s="7"/>
      <c r="AD1007" s="7"/>
      <c r="AE1007" s="7"/>
      <c r="AF1007" s="7"/>
      <c r="AG1007" s="7"/>
      <c r="AH1007" s="7"/>
      <c r="AI1007" s="7"/>
    </row>
    <row r="1008" spans="12:35">
      <c r="L1008" s="7">
        <v>31</v>
      </c>
      <c r="M1008" s="7">
        <v>33</v>
      </c>
      <c r="N1008" s="7" t="b">
        <f>AND($N$5,$N$6,20&lt;=$M$5,2&lt;=$M$6)</f>
        <v>0</v>
      </c>
      <c r="O1008" s="7">
        <f>(P31-N31)*(O33-O31)-(Q31-O31)*(N33-N31)</f>
        <v>0</v>
      </c>
      <c r="P1008" s="7">
        <f>(P31-N31)*(Q33-O31)-(Q31-O31)*(P33-N31)</f>
        <v>0</v>
      </c>
      <c r="Q1008" s="7">
        <f>(P33-N33)*(O31-O33)-(Q33-O33)*(N31-N33)</f>
        <v>0</v>
      </c>
      <c r="R1008" s="7">
        <f>(P33-N33)*(Q31-O33)-(Q33-O33)*(P31-N33)</f>
        <v>0</v>
      </c>
      <c r="S1008" s="7">
        <f>IF(N1008,IF(AND(O1008*P1008&lt;=0,Q1008*R1008&lt;=0,MAX(MIN(N31,P31),MIN(N33,P33))&lt;=MIN(MAX(N31,P31),MAX(N33,P33)),MAX(MIN(O31,Q31),MIN(O33,Q33))&lt;=MIN(MAX(O31,Q31),MAX(O33,Q33))),1,0),0)</f>
        <v>0</v>
      </c>
      <c r="T1008" s="7"/>
      <c r="U1008" s="7"/>
      <c r="V1008" s="7"/>
      <c r="W1008" s="7"/>
      <c r="X1008" s="7"/>
      <c r="Y1008" s="7"/>
      <c r="Z1008" s="7"/>
      <c r="AA1008" s="7"/>
      <c r="AB1008" s="7"/>
      <c r="AC1008" s="7"/>
      <c r="AD1008" s="7"/>
      <c r="AE1008" s="7"/>
      <c r="AF1008" s="7"/>
      <c r="AG1008" s="7"/>
      <c r="AH1008" s="7"/>
      <c r="AI1008" s="7"/>
    </row>
    <row r="1009" spans="12:35">
      <c r="L1009" s="7">
        <v>31</v>
      </c>
      <c r="M1009" s="7">
        <v>34</v>
      </c>
      <c r="N1009" s="7" t="b">
        <f>AND($N$5,$N$6,20&lt;=$M$5,3&lt;=$M$6)</f>
        <v>0</v>
      </c>
      <c r="O1009" s="7">
        <f>(P31-N31)*(O34-O31)-(Q31-O31)*(N34-N31)</f>
        <v>0</v>
      </c>
      <c r="P1009" s="7">
        <f>(P31-N31)*(Q34-O31)-(Q31-O31)*(P34-N31)</f>
        <v>0</v>
      </c>
      <c r="Q1009" s="7">
        <f>(P34-N34)*(O31-O34)-(Q34-O34)*(N31-N34)</f>
        <v>0</v>
      </c>
      <c r="R1009" s="7">
        <f>(P34-N34)*(Q31-O34)-(Q34-O34)*(P31-N34)</f>
        <v>0</v>
      </c>
      <c r="S1009" s="7">
        <f>IF(N1009,IF(AND(O1009*P1009&lt;=0,Q1009*R1009&lt;=0,MAX(MIN(N31,P31),MIN(N34,P34))&lt;=MIN(MAX(N31,P31),MAX(N34,P34)),MAX(MIN(O31,Q31),MIN(O34,Q34))&lt;=MIN(MAX(O31,Q31),MAX(O34,Q34))),1,0),0)</f>
        <v>0</v>
      </c>
      <c r="T1009" s="7"/>
      <c r="U1009" s="7"/>
      <c r="V1009" s="7"/>
      <c r="W1009" s="7"/>
      <c r="X1009" s="7"/>
      <c r="Y1009" s="7"/>
      <c r="Z1009" s="7"/>
      <c r="AA1009" s="7"/>
      <c r="AB1009" s="7"/>
      <c r="AC1009" s="7"/>
      <c r="AD1009" s="7"/>
      <c r="AE1009" s="7"/>
      <c r="AF1009" s="7"/>
      <c r="AG1009" s="7"/>
      <c r="AH1009" s="7"/>
      <c r="AI1009" s="7"/>
    </row>
    <row r="1010" spans="12:35">
      <c r="L1010" s="7">
        <v>31</v>
      </c>
      <c r="M1010" s="7">
        <v>35</v>
      </c>
      <c r="N1010" s="7" t="b">
        <f>AND($N$5,$N$6,20&lt;=$M$5,4&lt;=$M$6)</f>
        <v>0</v>
      </c>
      <c r="O1010" s="7">
        <f>(P31-N31)*(O35-O31)-(Q31-O31)*(N35-N31)</f>
        <v>0</v>
      </c>
      <c r="P1010" s="7">
        <f>(P31-N31)*(Q35-O31)-(Q31-O31)*(P35-N31)</f>
        <v>0</v>
      </c>
      <c r="Q1010" s="7">
        <f>(P35-N35)*(O31-O35)-(Q35-O35)*(N31-N35)</f>
        <v>0</v>
      </c>
      <c r="R1010" s="7">
        <f>(P35-N35)*(Q31-O35)-(Q35-O35)*(P31-N35)</f>
        <v>0</v>
      </c>
      <c r="S1010" s="7">
        <f>IF(N1010,IF(AND(O1010*P1010&lt;=0,Q1010*R1010&lt;=0,MAX(MIN(N31,P31),MIN(N35,P35))&lt;=MIN(MAX(N31,P31),MAX(N35,P35)),MAX(MIN(O31,Q31),MIN(O35,Q35))&lt;=MIN(MAX(O31,Q31),MAX(O35,Q35))),1,0),0)</f>
        <v>0</v>
      </c>
      <c r="T1010" s="7"/>
      <c r="U1010" s="7"/>
      <c r="V1010" s="7"/>
      <c r="W1010" s="7"/>
      <c r="X1010" s="7"/>
      <c r="Y1010" s="7"/>
      <c r="Z1010" s="7"/>
      <c r="AA1010" s="7"/>
      <c r="AB1010" s="7"/>
      <c r="AC1010" s="7"/>
      <c r="AD1010" s="7"/>
      <c r="AE1010" s="7"/>
      <c r="AF1010" s="7"/>
      <c r="AG1010" s="7"/>
      <c r="AH1010" s="7"/>
      <c r="AI1010" s="7"/>
    </row>
    <row r="1011" spans="12:35">
      <c r="L1011" s="7">
        <v>31</v>
      </c>
      <c r="M1011" s="7">
        <v>36</v>
      </c>
      <c r="N1011" s="7" t="b">
        <f>AND($N$5,$N$6,20&lt;=$M$5,5&lt;=$M$6)</f>
        <v>0</v>
      </c>
      <c r="O1011" s="7">
        <f>(P31-N31)*(O36-O31)-(Q31-O31)*(N36-N31)</f>
        <v>0</v>
      </c>
      <c r="P1011" s="7">
        <f>(P31-N31)*(Q36-O31)-(Q31-O31)*(P36-N31)</f>
        <v>0</v>
      </c>
      <c r="Q1011" s="7">
        <f>(P36-N36)*(O31-O36)-(Q36-O36)*(N31-N36)</f>
        <v>0</v>
      </c>
      <c r="R1011" s="7">
        <f>(P36-N36)*(Q31-O36)-(Q36-O36)*(P31-N36)</f>
        <v>0</v>
      </c>
      <c r="S1011" s="7">
        <f>IF(N1011,IF(AND(O1011*P1011&lt;=0,Q1011*R1011&lt;=0,MAX(MIN(N31,P31),MIN(N36,P36))&lt;=MIN(MAX(N31,P31),MAX(N36,P36)),MAX(MIN(O31,Q31),MIN(O36,Q36))&lt;=MIN(MAX(O31,Q31),MAX(O36,Q36))),1,0),0)</f>
        <v>0</v>
      </c>
      <c r="T1011" s="7"/>
      <c r="U1011" s="7"/>
      <c r="V1011" s="7"/>
      <c r="W1011" s="7"/>
      <c r="X1011" s="7"/>
      <c r="Y1011" s="7"/>
      <c r="Z1011" s="7"/>
      <c r="AA1011" s="7"/>
      <c r="AB1011" s="7"/>
      <c r="AC1011" s="7"/>
      <c r="AD1011" s="7"/>
      <c r="AE1011" s="7"/>
      <c r="AF1011" s="7"/>
      <c r="AG1011" s="7"/>
      <c r="AH1011" s="7"/>
      <c r="AI1011" s="7"/>
    </row>
    <row r="1012" spans="12:35">
      <c r="L1012" s="7">
        <v>31</v>
      </c>
      <c r="M1012" s="7">
        <v>37</v>
      </c>
      <c r="N1012" s="7" t="b">
        <f>AND($N$5,$N$6,20&lt;=$M$5,6&lt;=$M$6)</f>
        <v>0</v>
      </c>
      <c r="O1012" s="7">
        <f>(P31-N31)*(O37-O31)-(Q31-O31)*(N37-N31)</f>
        <v>0</v>
      </c>
      <c r="P1012" s="7">
        <f>(P31-N31)*(Q37-O31)-(Q31-O31)*(P37-N31)</f>
        <v>0</v>
      </c>
      <c r="Q1012" s="7">
        <f>(P37-N37)*(O31-O37)-(Q37-O37)*(N31-N37)</f>
        <v>0</v>
      </c>
      <c r="R1012" s="7">
        <f>(P37-N37)*(Q31-O37)-(Q37-O37)*(P31-N37)</f>
        <v>0</v>
      </c>
      <c r="S1012" s="7">
        <f>IF(N1012,IF(AND(O1012*P1012&lt;=0,Q1012*R1012&lt;=0,MAX(MIN(N31,P31),MIN(N37,P37))&lt;=MIN(MAX(N31,P31),MAX(N37,P37)),MAX(MIN(O31,Q31),MIN(O37,Q37))&lt;=MIN(MAX(O31,Q31),MAX(O37,Q37))),1,0),0)</f>
        <v>0</v>
      </c>
      <c r="T1012" s="7"/>
      <c r="U1012" s="7"/>
      <c r="V1012" s="7"/>
      <c r="W1012" s="7"/>
      <c r="X1012" s="7"/>
      <c r="Y1012" s="7"/>
      <c r="Z1012" s="7"/>
      <c r="AA1012" s="7"/>
      <c r="AB1012" s="7"/>
      <c r="AC1012" s="7"/>
      <c r="AD1012" s="7"/>
      <c r="AE1012" s="7"/>
      <c r="AF1012" s="7"/>
      <c r="AG1012" s="7"/>
      <c r="AH1012" s="7"/>
      <c r="AI1012" s="7"/>
    </row>
    <row r="1013" spans="12:35">
      <c r="L1013" s="7">
        <v>31</v>
      </c>
      <c r="M1013" s="7">
        <v>38</v>
      </c>
      <c r="N1013" s="7" t="b">
        <f>AND($N$5,$N$6,20&lt;=$M$5,7&lt;=$M$6)</f>
        <v>0</v>
      </c>
      <c r="O1013" s="7">
        <f>(P31-N31)*(O38-O31)-(Q31-O31)*(N38-N31)</f>
        <v>0</v>
      </c>
      <c r="P1013" s="7">
        <f>(P31-N31)*(Q38-O31)-(Q31-O31)*(P38-N31)</f>
        <v>0</v>
      </c>
      <c r="Q1013" s="7">
        <f>(P38-N38)*(O31-O38)-(Q38-O38)*(N31-N38)</f>
        <v>0</v>
      </c>
      <c r="R1013" s="7">
        <f>(P38-N38)*(Q31-O38)-(Q38-O38)*(P31-N38)</f>
        <v>0</v>
      </c>
      <c r="S1013" s="7">
        <f>IF(N1013,IF(AND(O1013*P1013&lt;=0,Q1013*R1013&lt;=0,MAX(MIN(N31,P31),MIN(N38,P38))&lt;=MIN(MAX(N31,P31),MAX(N38,P38)),MAX(MIN(O31,Q31),MIN(O38,Q38))&lt;=MIN(MAX(O31,Q31),MAX(O38,Q38))),1,0),0)</f>
        <v>0</v>
      </c>
      <c r="T1013" s="7"/>
      <c r="U1013" s="7"/>
      <c r="V1013" s="7"/>
      <c r="W1013" s="7"/>
      <c r="X1013" s="7"/>
      <c r="Y1013" s="7"/>
      <c r="Z1013" s="7"/>
      <c r="AA1013" s="7"/>
      <c r="AB1013" s="7"/>
      <c r="AC1013" s="7"/>
      <c r="AD1013" s="7"/>
      <c r="AE1013" s="7"/>
      <c r="AF1013" s="7"/>
      <c r="AG1013" s="7"/>
      <c r="AH1013" s="7"/>
      <c r="AI1013" s="7"/>
    </row>
    <row r="1014" spans="12:35">
      <c r="L1014" s="7">
        <v>31</v>
      </c>
      <c r="M1014" s="7">
        <v>39</v>
      </c>
      <c r="N1014" s="7" t="b">
        <f>AND($N$5,$N$6,20&lt;=$M$5,8&lt;=$M$6)</f>
        <v>0</v>
      </c>
      <c r="O1014" s="7">
        <f>(P31-N31)*(O39-O31)-(Q31-O31)*(N39-N31)</f>
        <v>0</v>
      </c>
      <c r="P1014" s="7">
        <f>(P31-N31)*(Q39-O31)-(Q31-O31)*(P39-N31)</f>
        <v>0</v>
      </c>
      <c r="Q1014" s="7">
        <f>(P39-N39)*(O31-O39)-(Q39-O39)*(N31-N39)</f>
        <v>0</v>
      </c>
      <c r="R1014" s="7">
        <f>(P39-N39)*(Q31-O39)-(Q39-O39)*(P31-N39)</f>
        <v>0</v>
      </c>
      <c r="S1014" s="7">
        <f>IF(N1014,IF(AND(O1014*P1014&lt;=0,Q1014*R1014&lt;=0,MAX(MIN(N31,P31),MIN(N39,P39))&lt;=MIN(MAX(N31,P31),MAX(N39,P39)),MAX(MIN(O31,Q31),MIN(O39,Q39))&lt;=MIN(MAX(O31,Q31),MAX(O39,Q39))),1,0),0)</f>
        <v>0</v>
      </c>
      <c r="T1014" s="7"/>
      <c r="U1014" s="7"/>
      <c r="V1014" s="7"/>
      <c r="W1014" s="7"/>
      <c r="X1014" s="7"/>
      <c r="Y1014" s="7"/>
      <c r="Z1014" s="7"/>
      <c r="AA1014" s="7"/>
      <c r="AB1014" s="7"/>
      <c r="AC1014" s="7"/>
      <c r="AD1014" s="7"/>
      <c r="AE1014" s="7"/>
      <c r="AF1014" s="7"/>
      <c r="AG1014" s="7"/>
      <c r="AH1014" s="7"/>
      <c r="AI1014" s="7"/>
    </row>
    <row r="1015" spans="12:35">
      <c r="L1015" s="7">
        <v>31</v>
      </c>
      <c r="M1015" s="7">
        <v>40</v>
      </c>
      <c r="N1015" s="7" t="b">
        <f>AND($N$5,$N$6,20&lt;=$M$5,9&lt;=$M$6)</f>
        <v>0</v>
      </c>
      <c r="O1015" s="7">
        <f>(P31-N31)*(O40-O31)-(Q31-O31)*(N40-N31)</f>
        <v>0</v>
      </c>
      <c r="P1015" s="7">
        <f>(P31-N31)*(Q40-O31)-(Q31-O31)*(P40-N31)</f>
        <v>0</v>
      </c>
      <c r="Q1015" s="7">
        <f>(P40-N40)*(O31-O40)-(Q40-O40)*(N31-N40)</f>
        <v>0</v>
      </c>
      <c r="R1015" s="7">
        <f>(P40-N40)*(Q31-O40)-(Q40-O40)*(P31-N40)</f>
        <v>0</v>
      </c>
      <c r="S1015" s="7">
        <f>IF(N1015,IF(AND(O1015*P1015&lt;=0,Q1015*R1015&lt;=0,MAX(MIN(N31,P31),MIN(N40,P40))&lt;=MIN(MAX(N31,P31),MAX(N40,P40)),MAX(MIN(O31,Q31),MIN(O40,Q40))&lt;=MIN(MAX(O31,Q31),MAX(O40,Q40))),1,0),0)</f>
        <v>0</v>
      </c>
      <c r="T1015" s="7"/>
      <c r="U1015" s="7"/>
      <c r="V1015" s="7"/>
      <c r="W1015" s="7"/>
      <c r="X1015" s="7"/>
      <c r="Y1015" s="7"/>
      <c r="Z1015" s="7"/>
      <c r="AA1015" s="7"/>
      <c r="AB1015" s="7"/>
      <c r="AC1015" s="7"/>
      <c r="AD1015" s="7"/>
      <c r="AE1015" s="7"/>
      <c r="AF1015" s="7"/>
      <c r="AG1015" s="7"/>
      <c r="AH1015" s="7"/>
      <c r="AI1015" s="7"/>
    </row>
    <row r="1016" spans="12:35">
      <c r="L1016" s="7">
        <v>31</v>
      </c>
      <c r="M1016" s="7">
        <v>41</v>
      </c>
      <c r="N1016" s="7" t="b">
        <f>AND($N$5,$N$6,20&lt;=$M$5,10&lt;=$M$6)</f>
        <v>0</v>
      </c>
      <c r="O1016" s="7">
        <f>(P31-N31)*(O41-O31)-(Q31-O31)*(N41-N31)</f>
        <v>0</v>
      </c>
      <c r="P1016" s="7">
        <f>(P31-N31)*(Q41-O31)-(Q31-O31)*(P41-N31)</f>
        <v>0</v>
      </c>
      <c r="Q1016" s="7">
        <f>(P41-N41)*(O31-O41)-(Q41-O41)*(N31-N41)</f>
        <v>0</v>
      </c>
      <c r="R1016" s="7">
        <f>(P41-N41)*(Q31-O41)-(Q41-O41)*(P31-N41)</f>
        <v>0</v>
      </c>
      <c r="S1016" s="7">
        <f>IF(N1016,IF(AND(O1016*P1016&lt;=0,Q1016*R1016&lt;=0,MAX(MIN(N31,P31),MIN(N41,P41))&lt;=MIN(MAX(N31,P31),MAX(N41,P41)),MAX(MIN(O31,Q31),MIN(O41,Q41))&lt;=MIN(MAX(O31,Q31),MAX(O41,Q41))),1,0),0)</f>
        <v>0</v>
      </c>
      <c r="T1016" s="7"/>
      <c r="U1016" s="7"/>
      <c r="V1016" s="7"/>
      <c r="W1016" s="7"/>
      <c r="X1016" s="7"/>
      <c r="Y1016" s="7"/>
      <c r="Z1016" s="7"/>
      <c r="AA1016" s="7"/>
      <c r="AB1016" s="7"/>
      <c r="AC1016" s="7"/>
      <c r="AD1016" s="7"/>
      <c r="AE1016" s="7"/>
      <c r="AF1016" s="7"/>
      <c r="AG1016" s="7"/>
      <c r="AH1016" s="7"/>
      <c r="AI1016" s="7"/>
    </row>
    <row r="1017" spans="12:35">
      <c r="L1017" s="7">
        <v>31</v>
      </c>
      <c r="M1017" s="7">
        <v>42</v>
      </c>
      <c r="N1017" s="7" t="b">
        <f>AND($N$5,$N$6,20&lt;=$M$5,11&lt;=$M$6)</f>
        <v>0</v>
      </c>
      <c r="O1017" s="7">
        <f>(P31-N31)*(O42-O31)-(Q31-O31)*(N42-N31)</f>
        <v>0</v>
      </c>
      <c r="P1017" s="7">
        <f>(P31-N31)*(Q42-O31)-(Q31-O31)*(P42-N31)</f>
        <v>0</v>
      </c>
      <c r="Q1017" s="7">
        <f>(P42-N42)*(O31-O42)-(Q42-O42)*(N31-N42)</f>
        <v>0</v>
      </c>
      <c r="R1017" s="7">
        <f>(P42-N42)*(Q31-O42)-(Q42-O42)*(P31-N42)</f>
        <v>0</v>
      </c>
      <c r="S1017" s="7">
        <f>IF(N1017,IF(AND(O1017*P1017&lt;=0,Q1017*R1017&lt;=0,MAX(MIN(N31,P31),MIN(N42,P42))&lt;=MIN(MAX(N31,P31),MAX(N42,P42)),MAX(MIN(O31,Q31),MIN(O42,Q42))&lt;=MIN(MAX(O31,Q31),MAX(O42,Q42))),1,0),0)</f>
        <v>0</v>
      </c>
      <c r="T1017" s="7"/>
      <c r="U1017" s="7"/>
      <c r="V1017" s="7"/>
      <c r="W1017" s="7"/>
      <c r="X1017" s="7"/>
      <c r="Y1017" s="7"/>
      <c r="Z1017" s="7"/>
      <c r="AA1017" s="7"/>
      <c r="AB1017" s="7"/>
      <c r="AC1017" s="7"/>
      <c r="AD1017" s="7"/>
      <c r="AE1017" s="7"/>
      <c r="AF1017" s="7"/>
      <c r="AG1017" s="7"/>
      <c r="AH1017" s="7"/>
      <c r="AI1017" s="7"/>
    </row>
    <row r="1018" spans="12:35">
      <c r="L1018" s="7">
        <v>31</v>
      </c>
      <c r="M1018" s="7">
        <v>43</v>
      </c>
      <c r="N1018" s="7" t="b">
        <f>AND($N$5,$N$6,20&lt;=$M$5,12&lt;=$M$6)</f>
        <v>0</v>
      </c>
      <c r="O1018" s="7">
        <f>(P31-N31)*(O43-O31)-(Q31-O31)*(N43-N31)</f>
        <v>0</v>
      </c>
      <c r="P1018" s="7">
        <f>(P31-N31)*(Q43-O31)-(Q31-O31)*(P43-N31)</f>
        <v>0</v>
      </c>
      <c r="Q1018" s="7">
        <f>(P43-N43)*(O31-O43)-(Q43-O43)*(N31-N43)</f>
        <v>0</v>
      </c>
      <c r="R1018" s="7">
        <f>(P43-N43)*(Q31-O43)-(Q43-O43)*(P31-N43)</f>
        <v>0</v>
      </c>
      <c r="S1018" s="7">
        <f>IF(N1018,IF(AND(O1018*P1018&lt;=0,Q1018*R1018&lt;=0,MAX(MIN(N31,P31),MIN(N43,P43))&lt;=MIN(MAX(N31,P31),MAX(N43,P43)),MAX(MIN(O31,Q31),MIN(O43,Q43))&lt;=MIN(MAX(O31,Q31),MAX(O43,Q43))),1,0),0)</f>
        <v>0</v>
      </c>
      <c r="T1018" s="7"/>
      <c r="U1018" s="7"/>
      <c r="V1018" s="7"/>
      <c r="W1018" s="7"/>
      <c r="X1018" s="7"/>
      <c r="Y1018" s="7"/>
      <c r="Z1018" s="7"/>
      <c r="AA1018" s="7"/>
      <c r="AB1018" s="7"/>
      <c r="AC1018" s="7"/>
      <c r="AD1018" s="7"/>
      <c r="AE1018" s="7"/>
      <c r="AF1018" s="7"/>
      <c r="AG1018" s="7"/>
      <c r="AH1018" s="7"/>
      <c r="AI1018" s="7"/>
    </row>
    <row r="1019" spans="12:35">
      <c r="L1019" s="7">
        <v>31</v>
      </c>
      <c r="M1019" s="7">
        <v>44</v>
      </c>
      <c r="N1019" s="7" t="b">
        <f>AND($N$5,$N$6,20&lt;=$M$5,13&lt;=$M$6)</f>
        <v>0</v>
      </c>
      <c r="O1019" s="7">
        <f>(P31-N31)*(O44-O31)-(Q31-O31)*(N44-N31)</f>
        <v>0</v>
      </c>
      <c r="P1019" s="7">
        <f>(P31-N31)*(Q44-O31)-(Q31-O31)*(P44-N31)</f>
        <v>0</v>
      </c>
      <c r="Q1019" s="7">
        <f>(P44-N44)*(O31-O44)-(Q44-O44)*(N31-N44)</f>
        <v>0</v>
      </c>
      <c r="R1019" s="7">
        <f>(P44-N44)*(Q31-O44)-(Q44-O44)*(P31-N44)</f>
        <v>0</v>
      </c>
      <c r="S1019" s="7">
        <f>IF(N1019,IF(AND(O1019*P1019&lt;=0,Q1019*R1019&lt;=0,MAX(MIN(N31,P31),MIN(N44,P44))&lt;=MIN(MAX(N31,P31),MAX(N44,P44)),MAX(MIN(O31,Q31),MIN(O44,Q44))&lt;=MIN(MAX(O31,Q31),MAX(O44,Q44))),1,0),0)</f>
        <v>0</v>
      </c>
      <c r="T1019" s="7"/>
      <c r="U1019" s="7"/>
      <c r="V1019" s="7"/>
      <c r="W1019" s="7"/>
      <c r="X1019" s="7"/>
      <c r="Y1019" s="7"/>
      <c r="Z1019" s="7"/>
      <c r="AA1019" s="7"/>
      <c r="AB1019" s="7"/>
      <c r="AC1019" s="7"/>
      <c r="AD1019" s="7"/>
      <c r="AE1019" s="7"/>
      <c r="AF1019" s="7"/>
      <c r="AG1019" s="7"/>
      <c r="AH1019" s="7"/>
      <c r="AI1019" s="7"/>
    </row>
    <row r="1020" spans="12:35">
      <c r="L1020" s="7">
        <v>31</v>
      </c>
      <c r="M1020" s="7">
        <v>45</v>
      </c>
      <c r="N1020" s="7" t="b">
        <f>AND($N$5,$N$6,20&lt;=$M$5,14&lt;=$M$6)</f>
        <v>0</v>
      </c>
      <c r="O1020" s="7">
        <f>(P31-N31)*(O45-O31)-(Q31-O31)*(N45-N31)</f>
        <v>0</v>
      </c>
      <c r="P1020" s="7">
        <f>(P31-N31)*(Q45-O31)-(Q31-O31)*(P45-N31)</f>
        <v>0</v>
      </c>
      <c r="Q1020" s="7">
        <f>(P45-N45)*(O31-O45)-(Q45-O45)*(N31-N45)</f>
        <v>0</v>
      </c>
      <c r="R1020" s="7">
        <f>(P45-N45)*(Q31-O45)-(Q45-O45)*(P31-N45)</f>
        <v>0</v>
      </c>
      <c r="S1020" s="7">
        <f>IF(N1020,IF(AND(O1020*P1020&lt;=0,Q1020*R1020&lt;=0,MAX(MIN(N31,P31),MIN(N45,P45))&lt;=MIN(MAX(N31,P31),MAX(N45,P45)),MAX(MIN(O31,Q31),MIN(O45,Q45))&lt;=MIN(MAX(O31,Q31),MAX(O45,Q45))),1,0),0)</f>
        <v>0</v>
      </c>
      <c r="T1020" s="7"/>
      <c r="U1020" s="7"/>
      <c r="V1020" s="7"/>
      <c r="W1020" s="7"/>
      <c r="X1020" s="7"/>
      <c r="Y1020" s="7"/>
      <c r="Z1020" s="7"/>
      <c r="AA1020" s="7"/>
      <c r="AB1020" s="7"/>
      <c r="AC1020" s="7"/>
      <c r="AD1020" s="7"/>
      <c r="AE1020" s="7"/>
      <c r="AF1020" s="7"/>
      <c r="AG1020" s="7"/>
      <c r="AH1020" s="7"/>
      <c r="AI1020" s="7"/>
    </row>
    <row r="1021" spans="12:35">
      <c r="L1021" s="7">
        <v>31</v>
      </c>
      <c r="M1021" s="7">
        <v>46</v>
      </c>
      <c r="N1021" s="7" t="b">
        <f>AND($N$5,$N$6,20&lt;=$M$5,15&lt;=$M$6)</f>
        <v>0</v>
      </c>
      <c r="O1021" s="7">
        <f>(P31-N31)*(O46-O31)-(Q31-O31)*(N46-N31)</f>
        <v>0</v>
      </c>
      <c r="P1021" s="7">
        <f>(P31-N31)*(Q46-O31)-(Q31-O31)*(P46-N31)</f>
        <v>0</v>
      </c>
      <c r="Q1021" s="7">
        <f>(P46-N46)*(O31-O46)-(Q46-O46)*(N31-N46)</f>
        <v>0</v>
      </c>
      <c r="R1021" s="7">
        <f>(P46-N46)*(Q31-O46)-(Q46-O46)*(P31-N46)</f>
        <v>0</v>
      </c>
      <c r="S1021" s="7">
        <f>IF(N1021,IF(AND(O1021*P1021&lt;=0,Q1021*R1021&lt;=0,MAX(MIN(N31,P31),MIN(N46,P46))&lt;=MIN(MAX(N31,P31),MAX(N46,P46)),MAX(MIN(O31,Q31),MIN(O46,Q46))&lt;=MIN(MAX(O31,Q31),MAX(O46,Q46))),1,0),0)</f>
        <v>0</v>
      </c>
      <c r="T1021" s="7"/>
      <c r="U1021" s="7"/>
      <c r="V1021" s="7"/>
      <c r="W1021" s="7"/>
      <c r="X1021" s="7"/>
      <c r="Y1021" s="7"/>
      <c r="Z1021" s="7"/>
      <c r="AA1021" s="7"/>
      <c r="AB1021" s="7"/>
      <c r="AC1021" s="7"/>
      <c r="AD1021" s="7"/>
      <c r="AE1021" s="7"/>
      <c r="AF1021" s="7"/>
      <c r="AG1021" s="7"/>
      <c r="AH1021" s="7"/>
      <c r="AI1021" s="7"/>
    </row>
    <row r="1022" spans="12:35">
      <c r="L1022" s="7">
        <v>31</v>
      </c>
      <c r="M1022" s="7">
        <v>47</v>
      </c>
      <c r="N1022" s="7" t="b">
        <f>AND($N$5,$N$6,20&lt;=$M$5,16&lt;=$M$6)</f>
        <v>0</v>
      </c>
      <c r="O1022" s="7">
        <f>(P31-N31)*(O47-O31)-(Q31-O31)*(N47-N31)</f>
        <v>0</v>
      </c>
      <c r="P1022" s="7">
        <f>(P31-N31)*(Q47-O31)-(Q31-O31)*(P47-N31)</f>
        <v>0</v>
      </c>
      <c r="Q1022" s="7">
        <f>(P47-N47)*(O31-O47)-(Q47-O47)*(N31-N47)</f>
        <v>0</v>
      </c>
      <c r="R1022" s="7">
        <f>(P47-N47)*(Q31-O47)-(Q47-O47)*(P31-N47)</f>
        <v>0</v>
      </c>
      <c r="S1022" s="7">
        <f>IF(N1022,IF(AND(O1022*P1022&lt;=0,Q1022*R1022&lt;=0,MAX(MIN(N31,P31),MIN(N47,P47))&lt;=MIN(MAX(N31,P31),MAX(N47,P47)),MAX(MIN(O31,Q31),MIN(O47,Q47))&lt;=MIN(MAX(O31,Q31),MAX(O47,Q47))),1,0),0)</f>
        <v>0</v>
      </c>
      <c r="T1022" s="7"/>
      <c r="U1022" s="7"/>
      <c r="V1022" s="7"/>
      <c r="W1022" s="7"/>
      <c r="X1022" s="7"/>
      <c r="Y1022" s="7"/>
      <c r="Z1022" s="7"/>
      <c r="AA1022" s="7"/>
      <c r="AB1022" s="7"/>
      <c r="AC1022" s="7"/>
      <c r="AD1022" s="7"/>
      <c r="AE1022" s="7"/>
      <c r="AF1022" s="7"/>
      <c r="AG1022" s="7"/>
      <c r="AH1022" s="7"/>
      <c r="AI1022" s="7"/>
    </row>
    <row r="1023" spans="12:35">
      <c r="L1023" s="7">
        <v>31</v>
      </c>
      <c r="M1023" s="7">
        <v>48</v>
      </c>
      <c r="N1023" s="7" t="b">
        <f>AND($N$5,$N$6,20&lt;=$M$5,17&lt;=$M$6)</f>
        <v>0</v>
      </c>
      <c r="O1023" s="7">
        <f>(P31-N31)*(O48-O31)-(Q31-O31)*(N48-N31)</f>
        <v>0</v>
      </c>
      <c r="P1023" s="7">
        <f>(P31-N31)*(Q48-O31)-(Q31-O31)*(P48-N31)</f>
        <v>0</v>
      </c>
      <c r="Q1023" s="7">
        <f>(P48-N48)*(O31-O48)-(Q48-O48)*(N31-N48)</f>
        <v>0</v>
      </c>
      <c r="R1023" s="7">
        <f>(P48-N48)*(Q31-O48)-(Q48-O48)*(P31-N48)</f>
        <v>0</v>
      </c>
      <c r="S1023" s="7">
        <f>IF(N1023,IF(AND(O1023*P1023&lt;=0,Q1023*R1023&lt;=0,MAX(MIN(N31,P31),MIN(N48,P48))&lt;=MIN(MAX(N31,P31),MAX(N48,P48)),MAX(MIN(O31,Q31),MIN(O48,Q48))&lt;=MIN(MAX(O31,Q31),MAX(O48,Q48))),1,0),0)</f>
        <v>0</v>
      </c>
      <c r="T1023" s="7"/>
      <c r="U1023" s="7"/>
      <c r="V1023" s="7"/>
      <c r="W1023" s="7"/>
      <c r="X1023" s="7"/>
      <c r="Y1023" s="7"/>
      <c r="Z1023" s="7"/>
      <c r="AA1023" s="7"/>
      <c r="AB1023" s="7"/>
      <c r="AC1023" s="7"/>
      <c r="AD1023" s="7"/>
      <c r="AE1023" s="7"/>
      <c r="AF1023" s="7"/>
      <c r="AG1023" s="7"/>
      <c r="AH1023" s="7"/>
      <c r="AI1023" s="7"/>
    </row>
    <row r="1024" spans="12:35">
      <c r="L1024" s="7">
        <v>31</v>
      </c>
      <c r="M1024" s="7">
        <v>49</v>
      </c>
      <c r="N1024" s="7" t="b">
        <f>AND($N$5,$N$6,20&lt;=$M$5,18&lt;=$M$6)</f>
        <v>0</v>
      </c>
      <c r="O1024" s="7">
        <f>(P31-N31)*(O49-O31)-(Q31-O31)*(N49-N31)</f>
        <v>0</v>
      </c>
      <c r="P1024" s="7">
        <f>(P31-N31)*(Q49-O31)-(Q31-O31)*(P49-N31)</f>
        <v>0</v>
      </c>
      <c r="Q1024" s="7">
        <f>(P49-N49)*(O31-O49)-(Q49-O49)*(N31-N49)</f>
        <v>0</v>
      </c>
      <c r="R1024" s="7">
        <f>(P49-N49)*(Q31-O49)-(Q49-O49)*(P31-N49)</f>
        <v>0</v>
      </c>
      <c r="S1024" s="7">
        <f>IF(N1024,IF(AND(O1024*P1024&lt;=0,Q1024*R1024&lt;=0,MAX(MIN(N31,P31),MIN(N49,P49))&lt;=MIN(MAX(N31,P31),MAX(N49,P49)),MAX(MIN(O31,Q31),MIN(O49,Q49))&lt;=MIN(MAX(O31,Q31),MAX(O49,Q49))),1,0),0)</f>
        <v>0</v>
      </c>
      <c r="T1024" s="7"/>
      <c r="U1024" s="7"/>
      <c r="V1024" s="7"/>
      <c r="W1024" s="7"/>
      <c r="X1024" s="7"/>
      <c r="Y1024" s="7"/>
      <c r="Z1024" s="7"/>
      <c r="AA1024" s="7"/>
      <c r="AB1024" s="7"/>
      <c r="AC1024" s="7"/>
      <c r="AD1024" s="7"/>
      <c r="AE1024" s="7"/>
      <c r="AF1024" s="7"/>
      <c r="AG1024" s="7"/>
      <c r="AH1024" s="7"/>
      <c r="AI1024" s="7"/>
    </row>
    <row r="1025" spans="12:35">
      <c r="L1025" s="7">
        <v>31</v>
      </c>
      <c r="M1025" s="7">
        <v>50</v>
      </c>
      <c r="N1025" s="7" t="b">
        <f>AND($N$5,$N$6,20&lt;=$M$5,19&lt;=$M$6)</f>
        <v>0</v>
      </c>
      <c r="O1025" s="7">
        <f>(P31-N31)*(O50-O31)-(Q31-O31)*(N50-N31)</f>
        <v>0</v>
      </c>
      <c r="P1025" s="7">
        <f>(P31-N31)*(Q50-O31)-(Q31-O31)*(P50-N31)</f>
        <v>0</v>
      </c>
      <c r="Q1025" s="7">
        <f>(P50-N50)*(O31-O50)-(Q50-O50)*(N31-N50)</f>
        <v>0</v>
      </c>
      <c r="R1025" s="7">
        <f>(P50-N50)*(Q31-O50)-(Q50-O50)*(P31-N50)</f>
        <v>0</v>
      </c>
      <c r="S1025" s="7">
        <f>IF(N1025,IF(AND(O1025*P1025&lt;=0,Q1025*R1025&lt;=0,MAX(MIN(N31,P31),MIN(N50,P50))&lt;=MIN(MAX(N31,P31),MAX(N50,P50)),MAX(MIN(O31,Q31),MIN(O50,Q50))&lt;=MIN(MAX(O31,Q31),MAX(O50,Q50))),1,0),0)</f>
        <v>0</v>
      </c>
      <c r="T1025" s="7"/>
      <c r="U1025" s="7"/>
      <c r="V1025" s="7"/>
      <c r="W1025" s="7"/>
      <c r="X1025" s="7"/>
      <c r="Y1025" s="7"/>
      <c r="Z1025" s="7"/>
      <c r="AA1025" s="7"/>
      <c r="AB1025" s="7"/>
      <c r="AC1025" s="7"/>
      <c r="AD1025" s="7"/>
      <c r="AE1025" s="7"/>
      <c r="AF1025" s="7"/>
      <c r="AG1025" s="7"/>
      <c r="AH1025" s="7"/>
      <c r="AI1025" s="7"/>
    </row>
    <row r="1026" spans="12:35">
      <c r="L1026" s="7">
        <v>31</v>
      </c>
      <c r="M1026" s="7">
        <v>51</v>
      </c>
      <c r="N1026" s="7" t="b">
        <f>AND($N$5,$N$6,20&lt;=$M$5,20&lt;=$M$6)</f>
        <v>0</v>
      </c>
      <c r="O1026" s="7">
        <f>(P31-N31)*(O51-O31)-(Q31-O31)*(N51-N31)</f>
        <v>0</v>
      </c>
      <c r="P1026" s="7">
        <f>(P31-N31)*(Q51-O31)-(Q31-O31)*(P51-N31)</f>
        <v>0</v>
      </c>
      <c r="Q1026" s="7">
        <f>(P51-N51)*(O31-O51)-(Q51-O51)*(N31-N51)</f>
        <v>0</v>
      </c>
      <c r="R1026" s="7">
        <f>(P51-N51)*(Q31-O51)-(Q51-O51)*(P31-N51)</f>
        <v>0</v>
      </c>
      <c r="S1026" s="7">
        <f>IF(N1026,IF(AND(O1026*P1026&lt;=0,Q1026*R1026&lt;=0,MAX(MIN(N31,P31),MIN(N51,P51))&lt;=MIN(MAX(N31,P31),MAX(N51,P51)),MAX(MIN(O31,Q31),MIN(O51,Q51))&lt;=MIN(MAX(O31,Q31),MAX(O51,Q51))),1,0),0)</f>
        <v>0</v>
      </c>
      <c r="T1026" s="7"/>
      <c r="U1026" s="7"/>
      <c r="V1026" s="7"/>
      <c r="W1026" s="7"/>
      <c r="X1026" s="7"/>
      <c r="Y1026" s="7"/>
      <c r="Z1026" s="7"/>
      <c r="AA1026" s="7"/>
      <c r="AB1026" s="7"/>
      <c r="AC1026" s="7"/>
      <c r="AD1026" s="7"/>
      <c r="AE1026" s="7"/>
      <c r="AF1026" s="7"/>
      <c r="AG1026" s="7"/>
      <c r="AH1026" s="7"/>
      <c r="AI1026" s="7"/>
    </row>
    <row r="1027" spans="12:35">
      <c r="L1027" s="7">
        <v>31</v>
      </c>
      <c r="M1027" s="7">
        <v>52</v>
      </c>
      <c r="N1027" s="7" t="b">
        <f>AND($N$5,$N$7,20&lt;=$M$5,1&lt;=$M$7)</f>
        <v>0</v>
      </c>
      <c r="O1027" s="7">
        <f>(P31-N31)*(O52-O31)-(Q31-O31)*(N52-N31)</f>
        <v>0</v>
      </c>
      <c r="P1027" s="7">
        <f>(P31-N31)*(Q52-O31)-(Q31-O31)*(P52-N31)</f>
        <v>0</v>
      </c>
      <c r="Q1027" s="7">
        <f>(P52-N52)*(O31-O52)-(Q52-O52)*(N31-N52)</f>
        <v>0</v>
      </c>
      <c r="R1027" s="7">
        <f>(P52-N52)*(Q31-O52)-(Q52-O52)*(P31-N52)</f>
        <v>0</v>
      </c>
      <c r="S1027" s="7">
        <f>IF(N1027,IF(AND(O1027*P1027&lt;=0,Q1027*R1027&lt;=0,MAX(MIN(N31,P31),MIN(N52,P52))&lt;=MIN(MAX(N31,P31),MAX(N52,P52)),MAX(MIN(O31,Q31),MIN(O52,Q52))&lt;=MIN(MAX(O31,Q31),MAX(O52,Q52))),1,0),0)</f>
        <v>0</v>
      </c>
      <c r="T1027" s="7"/>
      <c r="U1027" s="7"/>
      <c r="V1027" s="7"/>
      <c r="W1027" s="7"/>
      <c r="X1027" s="7"/>
      <c r="Y1027" s="7"/>
      <c r="Z1027" s="7"/>
      <c r="AA1027" s="7"/>
      <c r="AB1027" s="7"/>
      <c r="AC1027" s="7"/>
      <c r="AD1027" s="7"/>
      <c r="AE1027" s="7"/>
      <c r="AF1027" s="7"/>
      <c r="AG1027" s="7"/>
      <c r="AH1027" s="7"/>
      <c r="AI1027" s="7"/>
    </row>
    <row r="1028" spans="12:35">
      <c r="L1028" s="7">
        <v>31</v>
      </c>
      <c r="M1028" s="7">
        <v>53</v>
      </c>
      <c r="N1028" s="7" t="b">
        <f>AND($N$5,$N$7,20&lt;=$M$5,2&lt;=$M$7)</f>
        <v>0</v>
      </c>
      <c r="O1028" s="7">
        <f>(P31-N31)*(O53-O31)-(Q31-O31)*(N53-N31)</f>
        <v>0</v>
      </c>
      <c r="P1028" s="7">
        <f>(P31-N31)*(Q53-O31)-(Q31-O31)*(P53-N31)</f>
        <v>0</v>
      </c>
      <c r="Q1028" s="7">
        <f>(P53-N53)*(O31-O53)-(Q53-O53)*(N31-N53)</f>
        <v>0</v>
      </c>
      <c r="R1028" s="7">
        <f>(P53-N53)*(Q31-O53)-(Q53-O53)*(P31-N53)</f>
        <v>0</v>
      </c>
      <c r="S1028" s="7">
        <f>IF(N1028,IF(AND(O1028*P1028&lt;=0,Q1028*R1028&lt;=0,MAX(MIN(N31,P31),MIN(N53,P53))&lt;=MIN(MAX(N31,P31),MAX(N53,P53)),MAX(MIN(O31,Q31),MIN(O53,Q53))&lt;=MIN(MAX(O31,Q31),MAX(O53,Q53))),1,0),0)</f>
        <v>0</v>
      </c>
      <c r="T1028" s="7"/>
      <c r="U1028" s="7"/>
      <c r="V1028" s="7"/>
      <c r="W1028" s="7"/>
      <c r="X1028" s="7"/>
      <c r="Y1028" s="7"/>
      <c r="Z1028" s="7"/>
      <c r="AA1028" s="7"/>
      <c r="AB1028" s="7"/>
      <c r="AC1028" s="7"/>
      <c r="AD1028" s="7"/>
      <c r="AE1028" s="7"/>
      <c r="AF1028" s="7"/>
      <c r="AG1028" s="7"/>
      <c r="AH1028" s="7"/>
      <c r="AI1028" s="7"/>
    </row>
    <row r="1029" spans="12:35">
      <c r="L1029" s="7">
        <v>31</v>
      </c>
      <c r="M1029" s="7">
        <v>54</v>
      </c>
      <c r="N1029" s="7" t="b">
        <f>AND($N$5,$N$7,20&lt;=$M$5,3&lt;=$M$7)</f>
        <v>0</v>
      </c>
      <c r="O1029" s="7">
        <f>(P31-N31)*(O54-O31)-(Q31-O31)*(N54-N31)</f>
        <v>0</v>
      </c>
      <c r="P1029" s="7">
        <f>(P31-N31)*(Q54-O31)-(Q31-O31)*(P54-N31)</f>
        <v>0</v>
      </c>
      <c r="Q1029" s="7">
        <f>(P54-N54)*(O31-O54)-(Q54-O54)*(N31-N54)</f>
        <v>0</v>
      </c>
      <c r="R1029" s="7">
        <f>(P54-N54)*(Q31-O54)-(Q54-O54)*(P31-N54)</f>
        <v>0</v>
      </c>
      <c r="S1029" s="7">
        <f>IF(N1029,IF(AND(O1029*P1029&lt;=0,Q1029*R1029&lt;=0,MAX(MIN(N31,P31),MIN(N54,P54))&lt;=MIN(MAX(N31,P31),MAX(N54,P54)),MAX(MIN(O31,Q31),MIN(O54,Q54))&lt;=MIN(MAX(O31,Q31),MAX(O54,Q54))),1,0),0)</f>
        <v>0</v>
      </c>
      <c r="T1029" s="7"/>
      <c r="U1029" s="7"/>
      <c r="V1029" s="7"/>
      <c r="W1029" s="7"/>
      <c r="X1029" s="7"/>
      <c r="Y1029" s="7"/>
      <c r="Z1029" s="7"/>
      <c r="AA1029" s="7"/>
      <c r="AB1029" s="7"/>
      <c r="AC1029" s="7"/>
      <c r="AD1029" s="7"/>
      <c r="AE1029" s="7"/>
      <c r="AF1029" s="7"/>
      <c r="AG1029" s="7"/>
      <c r="AH1029" s="7"/>
      <c r="AI1029" s="7"/>
    </row>
    <row r="1030" spans="12:35">
      <c r="L1030" s="7">
        <v>31</v>
      </c>
      <c r="M1030" s="7">
        <v>55</v>
      </c>
      <c r="N1030" s="7" t="b">
        <f>AND($N$5,$N$7,20&lt;=$M$5,4&lt;=$M$7)</f>
        <v>0</v>
      </c>
      <c r="O1030" s="7">
        <f>(P31-N31)*(O55-O31)-(Q31-O31)*(N55-N31)</f>
        <v>0</v>
      </c>
      <c r="P1030" s="7">
        <f>(P31-N31)*(Q55-O31)-(Q31-O31)*(P55-N31)</f>
        <v>0</v>
      </c>
      <c r="Q1030" s="7">
        <f>(P55-N55)*(O31-O55)-(Q55-O55)*(N31-N55)</f>
        <v>0</v>
      </c>
      <c r="R1030" s="7">
        <f>(P55-N55)*(Q31-O55)-(Q55-O55)*(P31-N55)</f>
        <v>0</v>
      </c>
      <c r="S1030" s="7">
        <f>IF(N1030,IF(AND(O1030*P1030&lt;=0,Q1030*R1030&lt;=0,MAX(MIN(N31,P31),MIN(N55,P55))&lt;=MIN(MAX(N31,P31),MAX(N55,P55)),MAX(MIN(O31,Q31),MIN(O55,Q55))&lt;=MIN(MAX(O31,Q31),MAX(O55,Q55))),1,0),0)</f>
        <v>0</v>
      </c>
      <c r="T1030" s="7"/>
      <c r="U1030" s="7"/>
      <c r="V1030" s="7"/>
      <c r="W1030" s="7"/>
      <c r="X1030" s="7"/>
      <c r="Y1030" s="7"/>
      <c r="Z1030" s="7"/>
      <c r="AA1030" s="7"/>
      <c r="AB1030" s="7"/>
      <c r="AC1030" s="7"/>
      <c r="AD1030" s="7"/>
      <c r="AE1030" s="7"/>
      <c r="AF1030" s="7"/>
      <c r="AG1030" s="7"/>
      <c r="AH1030" s="7"/>
      <c r="AI1030" s="7"/>
    </row>
    <row r="1031" spans="12:35">
      <c r="L1031" s="7">
        <v>31</v>
      </c>
      <c r="M1031" s="7">
        <v>56</v>
      </c>
      <c r="N1031" s="7" t="b">
        <f>AND($N$5,$N$7,20&lt;=$M$5,5&lt;=$M$7)</f>
        <v>0</v>
      </c>
      <c r="O1031" s="7">
        <f>(P31-N31)*(O56-O31)-(Q31-O31)*(N56-N31)</f>
        <v>0</v>
      </c>
      <c r="P1031" s="7">
        <f>(P31-N31)*(Q56-O31)-(Q31-O31)*(P56-N31)</f>
        <v>0</v>
      </c>
      <c r="Q1031" s="7">
        <f>(P56-N56)*(O31-O56)-(Q56-O56)*(N31-N56)</f>
        <v>0</v>
      </c>
      <c r="R1031" s="7">
        <f>(P56-N56)*(Q31-O56)-(Q56-O56)*(P31-N56)</f>
        <v>0</v>
      </c>
      <c r="S1031" s="7">
        <f>IF(N1031,IF(AND(O1031*P1031&lt;=0,Q1031*R1031&lt;=0,MAX(MIN(N31,P31),MIN(N56,P56))&lt;=MIN(MAX(N31,P31),MAX(N56,P56)),MAX(MIN(O31,Q31),MIN(O56,Q56))&lt;=MIN(MAX(O31,Q31),MAX(O56,Q56))),1,0),0)</f>
        <v>0</v>
      </c>
      <c r="T1031" s="7"/>
      <c r="U1031" s="7"/>
      <c r="V1031" s="7"/>
      <c r="W1031" s="7"/>
      <c r="X1031" s="7"/>
      <c r="Y1031" s="7"/>
      <c r="Z1031" s="7"/>
      <c r="AA1031" s="7"/>
      <c r="AB1031" s="7"/>
      <c r="AC1031" s="7"/>
      <c r="AD1031" s="7"/>
      <c r="AE1031" s="7"/>
      <c r="AF1031" s="7"/>
      <c r="AG1031" s="7"/>
      <c r="AH1031" s="7"/>
      <c r="AI1031" s="7"/>
    </row>
    <row r="1032" spans="12:35">
      <c r="L1032" s="7">
        <v>31</v>
      </c>
      <c r="M1032" s="7">
        <v>57</v>
      </c>
      <c r="N1032" s="7" t="b">
        <f>AND($N$5,$N$7,20&lt;=$M$5,6&lt;=$M$7)</f>
        <v>0</v>
      </c>
      <c r="O1032" s="7">
        <f>(P31-N31)*(O57-O31)-(Q31-O31)*(N57-N31)</f>
        <v>0</v>
      </c>
      <c r="P1032" s="7">
        <f>(P31-N31)*(Q57-O31)-(Q31-O31)*(P57-N31)</f>
        <v>0</v>
      </c>
      <c r="Q1032" s="7">
        <f>(P57-N57)*(O31-O57)-(Q57-O57)*(N31-N57)</f>
        <v>0</v>
      </c>
      <c r="R1032" s="7">
        <f>(P57-N57)*(Q31-O57)-(Q57-O57)*(P31-N57)</f>
        <v>0</v>
      </c>
      <c r="S1032" s="7">
        <f>IF(N1032,IF(AND(O1032*P1032&lt;=0,Q1032*R1032&lt;=0,MAX(MIN(N31,P31),MIN(N57,P57))&lt;=MIN(MAX(N31,P31),MAX(N57,P57)),MAX(MIN(O31,Q31),MIN(O57,Q57))&lt;=MIN(MAX(O31,Q31),MAX(O57,Q57))),1,0),0)</f>
        <v>0</v>
      </c>
      <c r="T1032" s="7"/>
      <c r="U1032" s="7"/>
      <c r="V1032" s="7"/>
      <c r="W1032" s="7"/>
      <c r="X1032" s="7"/>
      <c r="Y1032" s="7"/>
      <c r="Z1032" s="7"/>
      <c r="AA1032" s="7"/>
      <c r="AB1032" s="7"/>
      <c r="AC1032" s="7"/>
      <c r="AD1032" s="7"/>
      <c r="AE1032" s="7"/>
      <c r="AF1032" s="7"/>
      <c r="AG1032" s="7"/>
      <c r="AH1032" s="7"/>
      <c r="AI1032" s="7"/>
    </row>
    <row r="1033" spans="12:35">
      <c r="L1033" s="7">
        <v>31</v>
      </c>
      <c r="M1033" s="7">
        <v>58</v>
      </c>
      <c r="N1033" s="7" t="b">
        <f>AND($N$5,$N$7,20&lt;=$M$5,7&lt;=$M$7)</f>
        <v>0</v>
      </c>
      <c r="O1033" s="7">
        <f>(P31-N31)*(O58-O31)-(Q31-O31)*(N58-N31)</f>
        <v>0</v>
      </c>
      <c r="P1033" s="7">
        <f>(P31-N31)*(Q58-O31)-(Q31-O31)*(P58-N31)</f>
        <v>0</v>
      </c>
      <c r="Q1033" s="7">
        <f>(P58-N58)*(O31-O58)-(Q58-O58)*(N31-N58)</f>
        <v>0</v>
      </c>
      <c r="R1033" s="7">
        <f>(P58-N58)*(Q31-O58)-(Q58-O58)*(P31-N58)</f>
        <v>0</v>
      </c>
      <c r="S1033" s="7">
        <f>IF(N1033,IF(AND(O1033*P1033&lt;=0,Q1033*R1033&lt;=0,MAX(MIN(N31,P31),MIN(N58,P58))&lt;=MIN(MAX(N31,P31),MAX(N58,P58)),MAX(MIN(O31,Q31),MIN(O58,Q58))&lt;=MIN(MAX(O31,Q31),MAX(O58,Q58))),1,0),0)</f>
        <v>0</v>
      </c>
      <c r="T1033" s="7"/>
      <c r="U1033" s="7"/>
      <c r="V1033" s="7"/>
      <c r="W1033" s="7"/>
      <c r="X1033" s="7"/>
      <c r="Y1033" s="7"/>
      <c r="Z1033" s="7"/>
      <c r="AA1033" s="7"/>
      <c r="AB1033" s="7"/>
      <c r="AC1033" s="7"/>
      <c r="AD1033" s="7"/>
      <c r="AE1033" s="7"/>
      <c r="AF1033" s="7"/>
      <c r="AG1033" s="7"/>
      <c r="AH1033" s="7"/>
      <c r="AI1033" s="7"/>
    </row>
    <row r="1034" spans="12:35">
      <c r="L1034" s="7">
        <v>31</v>
      </c>
      <c r="M1034" s="7">
        <v>59</v>
      </c>
      <c r="N1034" s="7" t="b">
        <f>AND($N$5,$N$7,20&lt;=$M$5,8&lt;=$M$7)</f>
        <v>0</v>
      </c>
      <c r="O1034" s="7">
        <f>(P31-N31)*(O59-O31)-(Q31-O31)*(N59-N31)</f>
        <v>0</v>
      </c>
      <c r="P1034" s="7">
        <f>(P31-N31)*(Q59-O31)-(Q31-O31)*(P59-N31)</f>
        <v>0</v>
      </c>
      <c r="Q1034" s="7">
        <f>(P59-N59)*(O31-O59)-(Q59-O59)*(N31-N59)</f>
        <v>0</v>
      </c>
      <c r="R1034" s="7">
        <f>(P59-N59)*(Q31-O59)-(Q59-O59)*(P31-N59)</f>
        <v>0</v>
      </c>
      <c r="S1034" s="7">
        <f>IF(N1034,IF(AND(O1034*P1034&lt;=0,Q1034*R1034&lt;=0,MAX(MIN(N31,P31),MIN(N59,P59))&lt;=MIN(MAX(N31,P31),MAX(N59,P59)),MAX(MIN(O31,Q31),MIN(O59,Q59))&lt;=MIN(MAX(O31,Q31),MAX(O59,Q59))),1,0),0)</f>
        <v>0</v>
      </c>
      <c r="T1034" s="7"/>
      <c r="U1034" s="7"/>
      <c r="V1034" s="7"/>
      <c r="W1034" s="7"/>
      <c r="X1034" s="7"/>
      <c r="Y1034" s="7"/>
      <c r="Z1034" s="7"/>
      <c r="AA1034" s="7"/>
      <c r="AB1034" s="7"/>
      <c r="AC1034" s="7"/>
      <c r="AD1034" s="7"/>
      <c r="AE1034" s="7"/>
      <c r="AF1034" s="7"/>
      <c r="AG1034" s="7"/>
      <c r="AH1034" s="7"/>
      <c r="AI1034" s="7"/>
    </row>
    <row r="1035" spans="12:35">
      <c r="L1035" s="7">
        <v>31</v>
      </c>
      <c r="M1035" s="7">
        <v>60</v>
      </c>
      <c r="N1035" s="7" t="b">
        <f>AND($N$5,$N$7,20&lt;=$M$5,9&lt;=$M$7)</f>
        <v>0</v>
      </c>
      <c r="O1035" s="7">
        <f>(P31-N31)*(O60-O31)-(Q31-O31)*(N60-N31)</f>
        <v>0</v>
      </c>
      <c r="P1035" s="7">
        <f>(P31-N31)*(Q60-O31)-(Q31-O31)*(P60-N31)</f>
        <v>0</v>
      </c>
      <c r="Q1035" s="7">
        <f>(P60-N60)*(O31-O60)-(Q60-O60)*(N31-N60)</f>
        <v>0</v>
      </c>
      <c r="R1035" s="7">
        <f>(P60-N60)*(Q31-O60)-(Q60-O60)*(P31-N60)</f>
        <v>0</v>
      </c>
      <c r="S1035" s="7">
        <f>IF(N1035,IF(AND(O1035*P1035&lt;=0,Q1035*R1035&lt;=0,MAX(MIN(N31,P31),MIN(N60,P60))&lt;=MIN(MAX(N31,P31),MAX(N60,P60)),MAX(MIN(O31,Q31),MIN(O60,Q60))&lt;=MIN(MAX(O31,Q31),MAX(O60,Q60))),1,0),0)</f>
        <v>0</v>
      </c>
      <c r="T1035" s="7"/>
      <c r="U1035" s="7"/>
      <c r="V1035" s="7"/>
      <c r="W1035" s="7"/>
      <c r="X1035" s="7"/>
      <c r="Y1035" s="7"/>
      <c r="Z1035" s="7"/>
      <c r="AA1035" s="7"/>
      <c r="AB1035" s="7"/>
      <c r="AC1035" s="7"/>
      <c r="AD1035" s="7"/>
      <c r="AE1035" s="7"/>
      <c r="AF1035" s="7"/>
      <c r="AG1035" s="7"/>
      <c r="AH1035" s="7"/>
      <c r="AI1035" s="7"/>
    </row>
    <row r="1036" spans="12:35">
      <c r="L1036" s="7">
        <v>31</v>
      </c>
      <c r="M1036" s="7">
        <v>61</v>
      </c>
      <c r="N1036" s="7" t="b">
        <f>AND($N$5,$N$7,20&lt;=$M$5,10&lt;=$M$7)</f>
        <v>0</v>
      </c>
      <c r="O1036" s="7">
        <f>(P31-N31)*(O61-O31)-(Q31-O31)*(N61-N31)</f>
        <v>0</v>
      </c>
      <c r="P1036" s="7">
        <f>(P31-N31)*(Q61-O31)-(Q31-O31)*(P61-N31)</f>
        <v>0</v>
      </c>
      <c r="Q1036" s="7">
        <f>(P61-N61)*(O31-O61)-(Q61-O61)*(N31-N61)</f>
        <v>0</v>
      </c>
      <c r="R1036" s="7">
        <f>(P61-N61)*(Q31-O61)-(Q61-O61)*(P31-N61)</f>
        <v>0</v>
      </c>
      <c r="S1036" s="7">
        <f>IF(N1036,IF(AND(O1036*P1036&lt;=0,Q1036*R1036&lt;=0,MAX(MIN(N31,P31),MIN(N61,P61))&lt;=MIN(MAX(N31,P31),MAX(N61,P61)),MAX(MIN(O31,Q31),MIN(O61,Q61))&lt;=MIN(MAX(O31,Q31),MAX(O61,Q61))),1,0),0)</f>
        <v>0</v>
      </c>
      <c r="T1036" s="7"/>
      <c r="U1036" s="7"/>
      <c r="V1036" s="7"/>
      <c r="W1036" s="7"/>
      <c r="X1036" s="7"/>
      <c r="Y1036" s="7"/>
      <c r="Z1036" s="7"/>
      <c r="AA1036" s="7"/>
      <c r="AB1036" s="7"/>
      <c r="AC1036" s="7"/>
      <c r="AD1036" s="7"/>
      <c r="AE1036" s="7"/>
      <c r="AF1036" s="7"/>
      <c r="AG1036" s="7"/>
      <c r="AH1036" s="7"/>
      <c r="AI1036" s="7"/>
    </row>
    <row r="1037" spans="12:35">
      <c r="L1037" s="7">
        <v>31</v>
      </c>
      <c r="M1037" s="7">
        <v>62</v>
      </c>
      <c r="N1037" s="7" t="b">
        <f>AND($N$5,$N$7,20&lt;=$M$5,11&lt;=$M$7)</f>
        <v>0</v>
      </c>
      <c r="O1037" s="7">
        <f>(P31-N31)*(O62-O31)-(Q31-O31)*(N62-N31)</f>
        <v>0</v>
      </c>
      <c r="P1037" s="7">
        <f>(P31-N31)*(Q62-O31)-(Q31-O31)*(P62-N31)</f>
        <v>0</v>
      </c>
      <c r="Q1037" s="7">
        <f>(P62-N62)*(O31-O62)-(Q62-O62)*(N31-N62)</f>
        <v>0</v>
      </c>
      <c r="R1037" s="7">
        <f>(P62-N62)*(Q31-O62)-(Q62-O62)*(P31-N62)</f>
        <v>0</v>
      </c>
      <c r="S1037" s="7">
        <f>IF(N1037,IF(AND(O1037*P1037&lt;=0,Q1037*R1037&lt;=0,MAX(MIN(N31,P31),MIN(N62,P62))&lt;=MIN(MAX(N31,P31),MAX(N62,P62)),MAX(MIN(O31,Q31),MIN(O62,Q62))&lt;=MIN(MAX(O31,Q31),MAX(O62,Q62))),1,0),0)</f>
        <v>0</v>
      </c>
      <c r="T1037" s="7"/>
      <c r="U1037" s="7"/>
      <c r="V1037" s="7"/>
      <c r="W1037" s="7"/>
      <c r="X1037" s="7"/>
      <c r="Y1037" s="7"/>
      <c r="Z1037" s="7"/>
      <c r="AA1037" s="7"/>
      <c r="AB1037" s="7"/>
      <c r="AC1037" s="7"/>
      <c r="AD1037" s="7"/>
      <c r="AE1037" s="7"/>
      <c r="AF1037" s="7"/>
      <c r="AG1037" s="7"/>
      <c r="AH1037" s="7"/>
      <c r="AI1037" s="7"/>
    </row>
    <row r="1038" spans="12:35">
      <c r="L1038" s="7">
        <v>31</v>
      </c>
      <c r="M1038" s="7">
        <v>63</v>
      </c>
      <c r="N1038" s="7" t="b">
        <f>AND($N$5,$N$7,20&lt;=$M$5,12&lt;=$M$7)</f>
        <v>0</v>
      </c>
      <c r="O1038" s="7">
        <f>(P31-N31)*(O63-O31)-(Q31-O31)*(N63-N31)</f>
        <v>0</v>
      </c>
      <c r="P1038" s="7">
        <f>(P31-N31)*(Q63-O31)-(Q31-O31)*(P63-N31)</f>
        <v>0</v>
      </c>
      <c r="Q1038" s="7">
        <f>(P63-N63)*(O31-O63)-(Q63-O63)*(N31-N63)</f>
        <v>0</v>
      </c>
      <c r="R1038" s="7">
        <f>(P63-N63)*(Q31-O63)-(Q63-O63)*(P31-N63)</f>
        <v>0</v>
      </c>
      <c r="S1038" s="7">
        <f>IF(N1038,IF(AND(O1038*P1038&lt;=0,Q1038*R1038&lt;=0,MAX(MIN(N31,P31),MIN(N63,P63))&lt;=MIN(MAX(N31,P31),MAX(N63,P63)),MAX(MIN(O31,Q31),MIN(O63,Q63))&lt;=MIN(MAX(O31,Q31),MAX(O63,Q63))),1,0),0)</f>
        <v>0</v>
      </c>
      <c r="T1038" s="7"/>
      <c r="U1038" s="7"/>
      <c r="V1038" s="7"/>
      <c r="W1038" s="7"/>
      <c r="X1038" s="7"/>
      <c r="Y1038" s="7"/>
      <c r="Z1038" s="7"/>
      <c r="AA1038" s="7"/>
      <c r="AB1038" s="7"/>
      <c r="AC1038" s="7"/>
      <c r="AD1038" s="7"/>
      <c r="AE1038" s="7"/>
      <c r="AF1038" s="7"/>
      <c r="AG1038" s="7"/>
      <c r="AH1038" s="7"/>
      <c r="AI1038" s="7"/>
    </row>
    <row r="1039" spans="12:35">
      <c r="L1039" s="7">
        <v>31</v>
      </c>
      <c r="M1039" s="7">
        <v>64</v>
      </c>
      <c r="N1039" s="7" t="b">
        <f>AND($N$5,$N$7,20&lt;=$M$5,13&lt;=$M$7)</f>
        <v>0</v>
      </c>
      <c r="O1039" s="7">
        <f>(P31-N31)*(O64-O31)-(Q31-O31)*(N64-N31)</f>
        <v>0</v>
      </c>
      <c r="P1039" s="7">
        <f>(P31-N31)*(Q64-O31)-(Q31-O31)*(P64-N31)</f>
        <v>0</v>
      </c>
      <c r="Q1039" s="7">
        <f>(P64-N64)*(O31-O64)-(Q64-O64)*(N31-N64)</f>
        <v>0</v>
      </c>
      <c r="R1039" s="7">
        <f>(P64-N64)*(Q31-O64)-(Q64-O64)*(P31-N64)</f>
        <v>0</v>
      </c>
      <c r="S1039" s="7">
        <f>IF(N1039,IF(AND(O1039*P1039&lt;=0,Q1039*R1039&lt;=0,MAX(MIN(N31,P31),MIN(N64,P64))&lt;=MIN(MAX(N31,P31),MAX(N64,P64)),MAX(MIN(O31,Q31),MIN(O64,Q64))&lt;=MIN(MAX(O31,Q31),MAX(O64,Q64))),1,0),0)</f>
        <v>0</v>
      </c>
      <c r="T1039" s="7"/>
      <c r="U1039" s="7"/>
      <c r="V1039" s="7"/>
      <c r="W1039" s="7"/>
      <c r="X1039" s="7"/>
      <c r="Y1039" s="7"/>
      <c r="Z1039" s="7"/>
      <c r="AA1039" s="7"/>
      <c r="AB1039" s="7"/>
      <c r="AC1039" s="7"/>
      <c r="AD1039" s="7"/>
      <c r="AE1039" s="7"/>
      <c r="AF1039" s="7"/>
      <c r="AG1039" s="7"/>
      <c r="AH1039" s="7"/>
      <c r="AI1039" s="7"/>
    </row>
    <row r="1040" spans="12:35">
      <c r="L1040" s="7">
        <v>31</v>
      </c>
      <c r="M1040" s="7">
        <v>65</v>
      </c>
      <c r="N1040" s="7" t="b">
        <f>AND($N$5,$N$7,20&lt;=$M$5,14&lt;=$M$7)</f>
        <v>0</v>
      </c>
      <c r="O1040" s="7">
        <f>(P31-N31)*(O65-O31)-(Q31-O31)*(N65-N31)</f>
        <v>0</v>
      </c>
      <c r="P1040" s="7">
        <f>(P31-N31)*(Q65-O31)-(Q31-O31)*(P65-N31)</f>
        <v>0</v>
      </c>
      <c r="Q1040" s="7">
        <f>(P65-N65)*(O31-O65)-(Q65-O65)*(N31-N65)</f>
        <v>0</v>
      </c>
      <c r="R1040" s="7">
        <f>(P65-N65)*(Q31-O65)-(Q65-O65)*(P31-N65)</f>
        <v>0</v>
      </c>
      <c r="S1040" s="7">
        <f>IF(N1040,IF(AND(O1040*P1040&lt;=0,Q1040*R1040&lt;=0,MAX(MIN(N31,P31),MIN(N65,P65))&lt;=MIN(MAX(N31,P31),MAX(N65,P65)),MAX(MIN(O31,Q31),MIN(O65,Q65))&lt;=MIN(MAX(O31,Q31),MAX(O65,Q65))),1,0),0)</f>
        <v>0</v>
      </c>
      <c r="T1040" s="7"/>
      <c r="U1040" s="7"/>
      <c r="V1040" s="7"/>
      <c r="W1040" s="7"/>
      <c r="X1040" s="7"/>
      <c r="Y1040" s="7"/>
      <c r="Z1040" s="7"/>
      <c r="AA1040" s="7"/>
      <c r="AB1040" s="7"/>
      <c r="AC1040" s="7"/>
      <c r="AD1040" s="7"/>
      <c r="AE1040" s="7"/>
      <c r="AF1040" s="7"/>
      <c r="AG1040" s="7"/>
      <c r="AH1040" s="7"/>
      <c r="AI1040" s="7"/>
    </row>
    <row r="1041" spans="12:35">
      <c r="L1041" s="7">
        <v>31</v>
      </c>
      <c r="M1041" s="7">
        <v>66</v>
      </c>
      <c r="N1041" s="7" t="b">
        <f>AND($N$5,$N$7,20&lt;=$M$5,15&lt;=$M$7)</f>
        <v>0</v>
      </c>
      <c r="O1041" s="7">
        <f>(P31-N31)*(O66-O31)-(Q31-O31)*(N66-N31)</f>
        <v>0</v>
      </c>
      <c r="P1041" s="7">
        <f>(P31-N31)*(Q66-O31)-(Q31-O31)*(P66-N31)</f>
        <v>0</v>
      </c>
      <c r="Q1041" s="7">
        <f>(P66-N66)*(O31-O66)-(Q66-O66)*(N31-N66)</f>
        <v>0</v>
      </c>
      <c r="R1041" s="7">
        <f>(P66-N66)*(Q31-O66)-(Q66-O66)*(P31-N66)</f>
        <v>0</v>
      </c>
      <c r="S1041" s="7">
        <f>IF(N1041,IF(AND(O1041*P1041&lt;=0,Q1041*R1041&lt;=0,MAX(MIN(N31,P31),MIN(N66,P66))&lt;=MIN(MAX(N31,P31),MAX(N66,P66)),MAX(MIN(O31,Q31),MIN(O66,Q66))&lt;=MIN(MAX(O31,Q31),MAX(O66,Q66))),1,0),0)</f>
        <v>0</v>
      </c>
      <c r="T1041" s="7"/>
      <c r="U1041" s="7"/>
      <c r="V1041" s="7"/>
      <c r="W1041" s="7"/>
      <c r="X1041" s="7"/>
      <c r="Y1041" s="7"/>
      <c r="Z1041" s="7"/>
      <c r="AA1041" s="7"/>
      <c r="AB1041" s="7"/>
      <c r="AC1041" s="7"/>
      <c r="AD1041" s="7"/>
      <c r="AE1041" s="7"/>
      <c r="AF1041" s="7"/>
      <c r="AG1041" s="7"/>
      <c r="AH1041" s="7"/>
      <c r="AI1041" s="7"/>
    </row>
    <row r="1042" spans="12:35">
      <c r="L1042" s="7">
        <v>31</v>
      </c>
      <c r="M1042" s="7">
        <v>67</v>
      </c>
      <c r="N1042" s="7" t="b">
        <f>AND($N$5,$N$7,20&lt;=$M$5,16&lt;=$M$7)</f>
        <v>0</v>
      </c>
      <c r="O1042" s="7">
        <f>(P31-N31)*(O67-O31)-(Q31-O31)*(N67-N31)</f>
        <v>0</v>
      </c>
      <c r="P1042" s="7">
        <f>(P31-N31)*(Q67-O31)-(Q31-O31)*(P67-N31)</f>
        <v>0</v>
      </c>
      <c r="Q1042" s="7">
        <f>(P67-N67)*(O31-O67)-(Q67-O67)*(N31-N67)</f>
        <v>0</v>
      </c>
      <c r="R1042" s="7">
        <f>(P67-N67)*(Q31-O67)-(Q67-O67)*(P31-N67)</f>
        <v>0</v>
      </c>
      <c r="S1042" s="7">
        <f>IF(N1042,IF(AND(O1042*P1042&lt;=0,Q1042*R1042&lt;=0,MAX(MIN(N31,P31),MIN(N67,P67))&lt;=MIN(MAX(N31,P31),MAX(N67,P67)),MAX(MIN(O31,Q31),MIN(O67,Q67))&lt;=MIN(MAX(O31,Q31),MAX(O67,Q67))),1,0),0)</f>
        <v>0</v>
      </c>
      <c r="T1042" s="7"/>
      <c r="U1042" s="7"/>
      <c r="V1042" s="7"/>
      <c r="W1042" s="7"/>
      <c r="X1042" s="7"/>
      <c r="Y1042" s="7"/>
      <c r="Z1042" s="7"/>
      <c r="AA1042" s="7"/>
      <c r="AB1042" s="7"/>
      <c r="AC1042" s="7"/>
      <c r="AD1042" s="7"/>
      <c r="AE1042" s="7"/>
      <c r="AF1042" s="7"/>
      <c r="AG1042" s="7"/>
      <c r="AH1042" s="7"/>
      <c r="AI1042" s="7"/>
    </row>
    <row r="1043" spans="12:35">
      <c r="L1043" s="7">
        <v>31</v>
      </c>
      <c r="M1043" s="7">
        <v>68</v>
      </c>
      <c r="N1043" s="7" t="b">
        <f>AND($N$5,$N$7,20&lt;=$M$5,17&lt;=$M$7)</f>
        <v>0</v>
      </c>
      <c r="O1043" s="7">
        <f>(P31-N31)*(O68-O31)-(Q31-O31)*(N68-N31)</f>
        <v>0</v>
      </c>
      <c r="P1043" s="7">
        <f>(P31-N31)*(Q68-O31)-(Q31-O31)*(P68-N31)</f>
        <v>0</v>
      </c>
      <c r="Q1043" s="7">
        <f>(P68-N68)*(O31-O68)-(Q68-O68)*(N31-N68)</f>
        <v>0</v>
      </c>
      <c r="R1043" s="7">
        <f>(P68-N68)*(Q31-O68)-(Q68-O68)*(P31-N68)</f>
        <v>0</v>
      </c>
      <c r="S1043" s="7">
        <f>IF(N1043,IF(AND(O1043*P1043&lt;=0,Q1043*R1043&lt;=0,MAX(MIN(N31,P31),MIN(N68,P68))&lt;=MIN(MAX(N31,P31),MAX(N68,P68)),MAX(MIN(O31,Q31),MIN(O68,Q68))&lt;=MIN(MAX(O31,Q31),MAX(O68,Q68))),1,0),0)</f>
        <v>0</v>
      </c>
      <c r="T1043" s="7"/>
      <c r="U1043" s="7"/>
      <c r="V1043" s="7"/>
      <c r="W1043" s="7"/>
      <c r="X1043" s="7"/>
      <c r="Y1043" s="7"/>
      <c r="Z1043" s="7"/>
      <c r="AA1043" s="7"/>
      <c r="AB1043" s="7"/>
      <c r="AC1043" s="7"/>
      <c r="AD1043" s="7"/>
      <c r="AE1043" s="7"/>
      <c r="AF1043" s="7"/>
      <c r="AG1043" s="7"/>
      <c r="AH1043" s="7"/>
      <c r="AI1043" s="7"/>
    </row>
    <row r="1044" spans="12:35">
      <c r="L1044" s="7">
        <v>31</v>
      </c>
      <c r="M1044" s="7">
        <v>69</v>
      </c>
      <c r="N1044" s="7" t="b">
        <f>AND($N$5,$N$7,20&lt;=$M$5,18&lt;=$M$7)</f>
        <v>0</v>
      </c>
      <c r="O1044" s="7">
        <f>(P31-N31)*(O69-O31)-(Q31-O31)*(N69-N31)</f>
        <v>0</v>
      </c>
      <c r="P1044" s="7">
        <f>(P31-N31)*(Q69-O31)-(Q31-O31)*(P69-N31)</f>
        <v>0</v>
      </c>
      <c r="Q1044" s="7">
        <f>(P69-N69)*(O31-O69)-(Q69-O69)*(N31-N69)</f>
        <v>0</v>
      </c>
      <c r="R1044" s="7">
        <f>(P69-N69)*(Q31-O69)-(Q69-O69)*(P31-N69)</f>
        <v>0</v>
      </c>
      <c r="S1044" s="7">
        <f>IF(N1044,IF(AND(O1044*P1044&lt;=0,Q1044*R1044&lt;=0,MAX(MIN(N31,P31),MIN(N69,P69))&lt;=MIN(MAX(N31,P31),MAX(N69,P69)),MAX(MIN(O31,Q31),MIN(O69,Q69))&lt;=MIN(MAX(O31,Q31),MAX(O69,Q69))),1,0),0)</f>
        <v>0</v>
      </c>
      <c r="T1044" s="7"/>
      <c r="U1044" s="7"/>
      <c r="V1044" s="7"/>
      <c r="W1044" s="7"/>
      <c r="X1044" s="7"/>
      <c r="Y1044" s="7"/>
      <c r="Z1044" s="7"/>
      <c r="AA1044" s="7"/>
      <c r="AB1044" s="7"/>
      <c r="AC1044" s="7"/>
      <c r="AD1044" s="7"/>
      <c r="AE1044" s="7"/>
      <c r="AF1044" s="7"/>
      <c r="AG1044" s="7"/>
      <c r="AH1044" s="7"/>
      <c r="AI1044" s="7"/>
    </row>
    <row r="1045" spans="12:35">
      <c r="L1045" s="7">
        <v>31</v>
      </c>
      <c r="M1045" s="7">
        <v>70</v>
      </c>
      <c r="N1045" s="7" t="b">
        <f>AND($N$5,$N$7,20&lt;=$M$5,19&lt;=$M$7)</f>
        <v>0</v>
      </c>
      <c r="O1045" s="7">
        <f>(P31-N31)*(O70-O31)-(Q31-O31)*(N70-N31)</f>
        <v>0</v>
      </c>
      <c r="P1045" s="7">
        <f>(P31-N31)*(Q70-O31)-(Q31-O31)*(P70-N31)</f>
        <v>0</v>
      </c>
      <c r="Q1045" s="7">
        <f>(P70-N70)*(O31-O70)-(Q70-O70)*(N31-N70)</f>
        <v>0</v>
      </c>
      <c r="R1045" s="7">
        <f>(P70-N70)*(Q31-O70)-(Q70-O70)*(P31-N70)</f>
        <v>0</v>
      </c>
      <c r="S1045" s="7">
        <f>IF(N1045,IF(AND(O1045*P1045&lt;=0,Q1045*R1045&lt;=0,MAX(MIN(N31,P31),MIN(N70,P70))&lt;=MIN(MAX(N31,P31),MAX(N70,P70)),MAX(MIN(O31,Q31),MIN(O70,Q70))&lt;=MIN(MAX(O31,Q31),MAX(O70,Q70))),1,0),0)</f>
        <v>0</v>
      </c>
      <c r="T1045" s="7"/>
      <c r="U1045" s="7"/>
      <c r="V1045" s="7"/>
      <c r="W1045" s="7"/>
      <c r="X1045" s="7"/>
      <c r="Y1045" s="7"/>
      <c r="Z1045" s="7"/>
      <c r="AA1045" s="7"/>
      <c r="AB1045" s="7"/>
      <c r="AC1045" s="7"/>
      <c r="AD1045" s="7"/>
      <c r="AE1045" s="7"/>
      <c r="AF1045" s="7"/>
      <c r="AG1045" s="7"/>
      <c r="AH1045" s="7"/>
      <c r="AI1045" s="7"/>
    </row>
    <row r="1046" spans="12:35">
      <c r="L1046" s="7">
        <v>31</v>
      </c>
      <c r="M1046" s="7">
        <v>71</v>
      </c>
      <c r="N1046" s="7" t="b">
        <f>AND($N$5,$N$7,20&lt;=$M$5,20&lt;=$M$7)</f>
        <v>0</v>
      </c>
      <c r="O1046" s="7">
        <f>(P31-N31)*(O71-O31)-(Q31-O31)*(N71-N31)</f>
        <v>0</v>
      </c>
      <c r="P1046" s="7">
        <f>(P31-N31)*(Q71-O31)-(Q31-O31)*(P71-N31)</f>
        <v>0</v>
      </c>
      <c r="Q1046" s="7">
        <f>(P71-N71)*(O31-O71)-(Q71-O71)*(N31-N71)</f>
        <v>0</v>
      </c>
      <c r="R1046" s="7">
        <f>(P71-N71)*(Q31-O71)-(Q71-O71)*(P31-N71)</f>
        <v>0</v>
      </c>
      <c r="S1046" s="7">
        <f>IF(N1046,IF(AND(O1046*P1046&lt;=0,Q1046*R1046&lt;=0,MAX(MIN(N31,P31),MIN(N71,P71))&lt;=MIN(MAX(N31,P31),MAX(N71,P71)),MAX(MIN(O31,Q31),MIN(O71,Q71))&lt;=MIN(MAX(O31,Q31),MAX(O71,Q71))),1,0),0)</f>
        <v>0</v>
      </c>
      <c r="T1046" s="7"/>
      <c r="U1046" s="7"/>
      <c r="V1046" s="7"/>
      <c r="W1046" s="7"/>
      <c r="X1046" s="7"/>
      <c r="Y1046" s="7"/>
      <c r="Z1046" s="7"/>
      <c r="AA1046" s="7"/>
      <c r="AB1046" s="7"/>
      <c r="AC1046" s="7"/>
      <c r="AD1046" s="7"/>
      <c r="AE1046" s="7"/>
      <c r="AF1046" s="7"/>
      <c r="AG1046" s="7"/>
      <c r="AH1046" s="7"/>
      <c r="AI1046" s="7"/>
    </row>
    <row r="1047" spans="12:35">
      <c r="L1047" s="7">
        <v>32</v>
      </c>
      <c r="M1047" s="7">
        <v>34</v>
      </c>
      <c r="N1047" s="7" t="b">
        <f>AND($N$6,$N$6,1&lt;=$M$6,3&lt;=$M$6,3&lt;&gt;$M$6)</f>
        <v>0</v>
      </c>
      <c r="O1047" s="7">
        <f>(P32-N32)*(O34-O32)-(Q32-O32)*(N34-N32)</f>
        <v>0</v>
      </c>
      <c r="P1047" s="7">
        <f>(P32-N32)*(Q34-O32)-(Q32-O32)*(P34-N32)</f>
        <v>0</v>
      </c>
      <c r="Q1047" s="7">
        <f>(P34-N34)*(O32-O34)-(Q34-O34)*(N32-N34)</f>
        <v>0</v>
      </c>
      <c r="R1047" s="7">
        <f>(P34-N34)*(Q32-O34)-(Q34-O34)*(P32-N34)</f>
        <v>0</v>
      </c>
      <c r="S1047" s="7">
        <f>IF(N1047,IF(AND(O1047*P1047&lt;=0,Q1047*R1047&lt;=0,MAX(MIN(N32,P32),MIN(N34,P34))&lt;=MIN(MAX(N32,P32),MAX(N34,P34)),MAX(MIN(O32,Q32),MIN(O34,Q34))&lt;=MIN(MAX(O32,Q32),MAX(O34,Q34))),1,0),0)</f>
        <v>0</v>
      </c>
      <c r="T1047" s="7"/>
      <c r="U1047" s="7"/>
      <c r="V1047" s="7"/>
      <c r="W1047" s="7"/>
      <c r="X1047" s="7"/>
      <c r="Y1047" s="7"/>
      <c r="Z1047" s="7"/>
      <c r="AA1047" s="7"/>
      <c r="AB1047" s="7"/>
      <c r="AC1047" s="7"/>
      <c r="AD1047" s="7"/>
      <c r="AE1047" s="7"/>
      <c r="AF1047" s="7"/>
      <c r="AG1047" s="7"/>
      <c r="AH1047" s="7"/>
      <c r="AI1047" s="7"/>
    </row>
    <row r="1048" spans="12:35">
      <c r="L1048" s="7">
        <v>32</v>
      </c>
      <c r="M1048" s="7">
        <v>35</v>
      </c>
      <c r="N1048" s="7" t="b">
        <f>AND($N$6,$N$6,1&lt;=$M$6,4&lt;=$M$6,4&lt;&gt;$M$6)</f>
        <v>0</v>
      </c>
      <c r="O1048" s="7">
        <f>(P32-N32)*(O35-O32)-(Q32-O32)*(N35-N32)</f>
        <v>0</v>
      </c>
      <c r="P1048" s="7">
        <f>(P32-N32)*(Q35-O32)-(Q32-O32)*(P35-N32)</f>
        <v>0</v>
      </c>
      <c r="Q1048" s="7">
        <f>(P35-N35)*(O32-O35)-(Q35-O35)*(N32-N35)</f>
        <v>0</v>
      </c>
      <c r="R1048" s="7">
        <f>(P35-N35)*(Q32-O35)-(Q35-O35)*(P32-N35)</f>
        <v>0</v>
      </c>
      <c r="S1048" s="7">
        <f>IF(N1048,IF(AND(O1048*P1048&lt;=0,Q1048*R1048&lt;=0,MAX(MIN(N32,P32),MIN(N35,P35))&lt;=MIN(MAX(N32,P32),MAX(N35,P35)),MAX(MIN(O32,Q32),MIN(O35,Q35))&lt;=MIN(MAX(O32,Q32),MAX(O35,Q35))),1,0),0)</f>
        <v>0</v>
      </c>
      <c r="T1048" s="7"/>
      <c r="U1048" s="7"/>
      <c r="V1048" s="7"/>
      <c r="W1048" s="7"/>
      <c r="X1048" s="7"/>
      <c r="Y1048" s="7"/>
      <c r="Z1048" s="7"/>
      <c r="AA1048" s="7"/>
      <c r="AB1048" s="7"/>
      <c r="AC1048" s="7"/>
      <c r="AD1048" s="7"/>
      <c r="AE1048" s="7"/>
      <c r="AF1048" s="7"/>
      <c r="AG1048" s="7"/>
      <c r="AH1048" s="7"/>
      <c r="AI1048" s="7"/>
    </row>
    <row r="1049" spans="12:35">
      <c r="L1049" s="7">
        <v>32</v>
      </c>
      <c r="M1049" s="7">
        <v>36</v>
      </c>
      <c r="N1049" s="7" t="b">
        <f>AND($N$6,$N$6,1&lt;=$M$6,5&lt;=$M$6,5&lt;&gt;$M$6)</f>
        <v>0</v>
      </c>
      <c r="O1049" s="7">
        <f>(P32-N32)*(O36-O32)-(Q32-O32)*(N36-N32)</f>
        <v>0</v>
      </c>
      <c r="P1049" s="7">
        <f>(P32-N32)*(Q36-O32)-(Q32-O32)*(P36-N32)</f>
        <v>0</v>
      </c>
      <c r="Q1049" s="7">
        <f>(P36-N36)*(O32-O36)-(Q36-O36)*(N32-N36)</f>
        <v>0</v>
      </c>
      <c r="R1049" s="7">
        <f>(P36-N36)*(Q32-O36)-(Q36-O36)*(P32-N36)</f>
        <v>0</v>
      </c>
      <c r="S1049" s="7">
        <f>IF(N1049,IF(AND(O1049*P1049&lt;=0,Q1049*R1049&lt;=0,MAX(MIN(N32,P32),MIN(N36,P36))&lt;=MIN(MAX(N32,P32),MAX(N36,P36)),MAX(MIN(O32,Q32),MIN(O36,Q36))&lt;=MIN(MAX(O32,Q32),MAX(O36,Q36))),1,0),0)</f>
        <v>0</v>
      </c>
      <c r="T1049" s="7"/>
      <c r="U1049" s="7"/>
      <c r="V1049" s="7"/>
      <c r="W1049" s="7"/>
      <c r="X1049" s="7"/>
      <c r="Y1049" s="7"/>
      <c r="Z1049" s="7"/>
      <c r="AA1049" s="7"/>
      <c r="AB1049" s="7"/>
      <c r="AC1049" s="7"/>
      <c r="AD1049" s="7"/>
      <c r="AE1049" s="7"/>
      <c r="AF1049" s="7"/>
      <c r="AG1049" s="7"/>
      <c r="AH1049" s="7"/>
      <c r="AI1049" s="7"/>
    </row>
    <row r="1050" spans="12:35">
      <c r="L1050" s="7">
        <v>32</v>
      </c>
      <c r="M1050" s="7">
        <v>37</v>
      </c>
      <c r="N1050" s="7" t="b">
        <f>AND($N$6,$N$6,1&lt;=$M$6,6&lt;=$M$6,6&lt;&gt;$M$6)</f>
        <v>0</v>
      </c>
      <c r="O1050" s="7">
        <f>(P32-N32)*(O37-O32)-(Q32-O32)*(N37-N32)</f>
        <v>0</v>
      </c>
      <c r="P1050" s="7">
        <f>(P32-N32)*(Q37-O32)-(Q32-O32)*(P37-N32)</f>
        <v>0</v>
      </c>
      <c r="Q1050" s="7">
        <f>(P37-N37)*(O32-O37)-(Q37-O37)*(N32-N37)</f>
        <v>0</v>
      </c>
      <c r="R1050" s="7">
        <f>(P37-N37)*(Q32-O37)-(Q37-O37)*(P32-N37)</f>
        <v>0</v>
      </c>
      <c r="S1050" s="7">
        <f>IF(N1050,IF(AND(O1050*P1050&lt;=0,Q1050*R1050&lt;=0,MAX(MIN(N32,P32),MIN(N37,P37))&lt;=MIN(MAX(N32,P32),MAX(N37,P37)),MAX(MIN(O32,Q32),MIN(O37,Q37))&lt;=MIN(MAX(O32,Q32),MAX(O37,Q37))),1,0),0)</f>
        <v>0</v>
      </c>
      <c r="T1050" s="7"/>
      <c r="U1050" s="7"/>
      <c r="V1050" s="7"/>
      <c r="W1050" s="7"/>
      <c r="X1050" s="7"/>
      <c r="Y1050" s="7"/>
      <c r="Z1050" s="7"/>
      <c r="AA1050" s="7"/>
      <c r="AB1050" s="7"/>
      <c r="AC1050" s="7"/>
      <c r="AD1050" s="7"/>
      <c r="AE1050" s="7"/>
      <c r="AF1050" s="7"/>
      <c r="AG1050" s="7"/>
      <c r="AH1050" s="7"/>
      <c r="AI1050" s="7"/>
    </row>
    <row r="1051" spans="12:35">
      <c r="L1051" s="7">
        <v>32</v>
      </c>
      <c r="M1051" s="7">
        <v>38</v>
      </c>
      <c r="N1051" s="7" t="b">
        <f>AND($N$6,$N$6,1&lt;=$M$6,7&lt;=$M$6,7&lt;&gt;$M$6)</f>
        <v>0</v>
      </c>
      <c r="O1051" s="7">
        <f>(P32-N32)*(O38-O32)-(Q32-O32)*(N38-N32)</f>
        <v>0</v>
      </c>
      <c r="P1051" s="7">
        <f>(P32-N32)*(Q38-O32)-(Q32-O32)*(P38-N32)</f>
        <v>0</v>
      </c>
      <c r="Q1051" s="7">
        <f>(P38-N38)*(O32-O38)-(Q38-O38)*(N32-N38)</f>
        <v>0</v>
      </c>
      <c r="R1051" s="7">
        <f>(P38-N38)*(Q32-O38)-(Q38-O38)*(P32-N38)</f>
        <v>0</v>
      </c>
      <c r="S1051" s="7">
        <f>IF(N1051,IF(AND(O1051*P1051&lt;=0,Q1051*R1051&lt;=0,MAX(MIN(N32,P32),MIN(N38,P38))&lt;=MIN(MAX(N32,P32),MAX(N38,P38)),MAX(MIN(O32,Q32),MIN(O38,Q38))&lt;=MIN(MAX(O32,Q32),MAX(O38,Q38))),1,0),0)</f>
        <v>0</v>
      </c>
      <c r="T1051" s="7"/>
      <c r="U1051" s="7"/>
      <c r="V1051" s="7"/>
      <c r="W1051" s="7"/>
      <c r="X1051" s="7"/>
      <c r="Y1051" s="7"/>
      <c r="Z1051" s="7"/>
      <c r="AA1051" s="7"/>
      <c r="AB1051" s="7"/>
      <c r="AC1051" s="7"/>
      <c r="AD1051" s="7"/>
      <c r="AE1051" s="7"/>
      <c r="AF1051" s="7"/>
      <c r="AG1051" s="7"/>
      <c r="AH1051" s="7"/>
      <c r="AI1051" s="7"/>
    </row>
    <row r="1052" spans="12:35">
      <c r="L1052" s="7">
        <v>32</v>
      </c>
      <c r="M1052" s="7">
        <v>39</v>
      </c>
      <c r="N1052" s="7" t="b">
        <f>AND($N$6,$N$6,1&lt;=$M$6,8&lt;=$M$6,8&lt;&gt;$M$6)</f>
        <v>0</v>
      </c>
      <c r="O1052" s="7">
        <f>(P32-N32)*(O39-O32)-(Q32-O32)*(N39-N32)</f>
        <v>0</v>
      </c>
      <c r="P1052" s="7">
        <f>(P32-N32)*(Q39-O32)-(Q32-O32)*(P39-N32)</f>
        <v>0</v>
      </c>
      <c r="Q1052" s="7">
        <f>(P39-N39)*(O32-O39)-(Q39-O39)*(N32-N39)</f>
        <v>0</v>
      </c>
      <c r="R1052" s="7">
        <f>(P39-N39)*(Q32-O39)-(Q39-O39)*(P32-N39)</f>
        <v>0</v>
      </c>
      <c r="S1052" s="7">
        <f>IF(N1052,IF(AND(O1052*P1052&lt;=0,Q1052*R1052&lt;=0,MAX(MIN(N32,P32),MIN(N39,P39))&lt;=MIN(MAX(N32,P32),MAX(N39,P39)),MAX(MIN(O32,Q32),MIN(O39,Q39))&lt;=MIN(MAX(O32,Q32),MAX(O39,Q39))),1,0),0)</f>
        <v>0</v>
      </c>
      <c r="T1052" s="7"/>
      <c r="U1052" s="7"/>
      <c r="V1052" s="7"/>
      <c r="W1052" s="7"/>
      <c r="X1052" s="7"/>
      <c r="Y1052" s="7"/>
      <c r="Z1052" s="7"/>
      <c r="AA1052" s="7"/>
      <c r="AB1052" s="7"/>
      <c r="AC1052" s="7"/>
      <c r="AD1052" s="7"/>
      <c r="AE1052" s="7"/>
      <c r="AF1052" s="7"/>
      <c r="AG1052" s="7"/>
      <c r="AH1052" s="7"/>
      <c r="AI1052" s="7"/>
    </row>
    <row r="1053" spans="12:35">
      <c r="L1053" s="7">
        <v>32</v>
      </c>
      <c r="M1053" s="7">
        <v>40</v>
      </c>
      <c r="N1053" s="7" t="b">
        <f>AND($N$6,$N$6,1&lt;=$M$6,9&lt;=$M$6,9&lt;&gt;$M$6)</f>
        <v>0</v>
      </c>
      <c r="O1053" s="7">
        <f>(P32-N32)*(O40-O32)-(Q32-O32)*(N40-N32)</f>
        <v>0</v>
      </c>
      <c r="P1053" s="7">
        <f>(P32-N32)*(Q40-O32)-(Q32-O32)*(P40-N32)</f>
        <v>0</v>
      </c>
      <c r="Q1053" s="7">
        <f>(P40-N40)*(O32-O40)-(Q40-O40)*(N32-N40)</f>
        <v>0</v>
      </c>
      <c r="R1053" s="7">
        <f>(P40-N40)*(Q32-O40)-(Q40-O40)*(P32-N40)</f>
        <v>0</v>
      </c>
      <c r="S1053" s="7">
        <f>IF(N1053,IF(AND(O1053*P1053&lt;=0,Q1053*R1053&lt;=0,MAX(MIN(N32,P32),MIN(N40,P40))&lt;=MIN(MAX(N32,P32),MAX(N40,P40)),MAX(MIN(O32,Q32),MIN(O40,Q40))&lt;=MIN(MAX(O32,Q32),MAX(O40,Q40))),1,0),0)</f>
        <v>0</v>
      </c>
      <c r="T1053" s="7"/>
      <c r="U1053" s="7"/>
      <c r="V1053" s="7"/>
      <c r="W1053" s="7"/>
      <c r="X1053" s="7"/>
      <c r="Y1053" s="7"/>
      <c r="Z1053" s="7"/>
      <c r="AA1053" s="7"/>
      <c r="AB1053" s="7"/>
      <c r="AC1053" s="7"/>
      <c r="AD1053" s="7"/>
      <c r="AE1053" s="7"/>
      <c r="AF1053" s="7"/>
      <c r="AG1053" s="7"/>
      <c r="AH1053" s="7"/>
      <c r="AI1053" s="7"/>
    </row>
    <row r="1054" spans="12:35">
      <c r="L1054" s="7">
        <v>32</v>
      </c>
      <c r="M1054" s="7">
        <v>41</v>
      </c>
      <c r="N1054" s="7" t="b">
        <f>AND($N$6,$N$6,1&lt;=$M$6,10&lt;=$M$6,10&lt;&gt;$M$6)</f>
        <v>0</v>
      </c>
      <c r="O1054" s="7">
        <f>(P32-N32)*(O41-O32)-(Q32-O32)*(N41-N32)</f>
        <v>0</v>
      </c>
      <c r="P1054" s="7">
        <f>(P32-N32)*(Q41-O32)-(Q32-O32)*(P41-N32)</f>
        <v>0</v>
      </c>
      <c r="Q1054" s="7">
        <f>(P41-N41)*(O32-O41)-(Q41-O41)*(N32-N41)</f>
        <v>0</v>
      </c>
      <c r="R1054" s="7">
        <f>(P41-N41)*(Q32-O41)-(Q41-O41)*(P32-N41)</f>
        <v>0</v>
      </c>
      <c r="S1054" s="7">
        <f>IF(N1054,IF(AND(O1054*P1054&lt;=0,Q1054*R1054&lt;=0,MAX(MIN(N32,P32),MIN(N41,P41))&lt;=MIN(MAX(N32,P32),MAX(N41,P41)),MAX(MIN(O32,Q32),MIN(O41,Q41))&lt;=MIN(MAX(O32,Q32),MAX(O41,Q41))),1,0),0)</f>
        <v>0</v>
      </c>
      <c r="T1054" s="7"/>
      <c r="U1054" s="7"/>
      <c r="V1054" s="7"/>
      <c r="W1054" s="7"/>
      <c r="X1054" s="7"/>
      <c r="Y1054" s="7"/>
      <c r="Z1054" s="7"/>
      <c r="AA1054" s="7"/>
      <c r="AB1054" s="7"/>
      <c r="AC1054" s="7"/>
      <c r="AD1054" s="7"/>
      <c r="AE1054" s="7"/>
      <c r="AF1054" s="7"/>
      <c r="AG1054" s="7"/>
      <c r="AH1054" s="7"/>
      <c r="AI1054" s="7"/>
    </row>
    <row r="1055" spans="12:35">
      <c r="L1055" s="7">
        <v>32</v>
      </c>
      <c r="M1055" s="7">
        <v>42</v>
      </c>
      <c r="N1055" s="7" t="b">
        <f>AND($N$6,$N$6,1&lt;=$M$6,11&lt;=$M$6,11&lt;&gt;$M$6)</f>
        <v>0</v>
      </c>
      <c r="O1055" s="7">
        <f>(P32-N32)*(O42-O32)-(Q32-O32)*(N42-N32)</f>
        <v>0</v>
      </c>
      <c r="P1055" s="7">
        <f>(P32-N32)*(Q42-O32)-(Q32-O32)*(P42-N32)</f>
        <v>0</v>
      </c>
      <c r="Q1055" s="7">
        <f>(P42-N42)*(O32-O42)-(Q42-O42)*(N32-N42)</f>
        <v>0</v>
      </c>
      <c r="R1055" s="7">
        <f>(P42-N42)*(Q32-O42)-(Q42-O42)*(P32-N42)</f>
        <v>0</v>
      </c>
      <c r="S1055" s="7">
        <f>IF(N1055,IF(AND(O1055*P1055&lt;=0,Q1055*R1055&lt;=0,MAX(MIN(N32,P32),MIN(N42,P42))&lt;=MIN(MAX(N32,P32),MAX(N42,P42)),MAX(MIN(O32,Q32),MIN(O42,Q42))&lt;=MIN(MAX(O32,Q32),MAX(O42,Q42))),1,0),0)</f>
        <v>0</v>
      </c>
      <c r="T1055" s="7"/>
      <c r="U1055" s="7"/>
      <c r="V1055" s="7"/>
      <c r="W1055" s="7"/>
      <c r="X1055" s="7"/>
      <c r="Y1055" s="7"/>
      <c r="Z1055" s="7"/>
      <c r="AA1055" s="7"/>
      <c r="AB1055" s="7"/>
      <c r="AC1055" s="7"/>
      <c r="AD1055" s="7"/>
      <c r="AE1055" s="7"/>
      <c r="AF1055" s="7"/>
      <c r="AG1055" s="7"/>
      <c r="AH1055" s="7"/>
      <c r="AI1055" s="7"/>
    </row>
    <row r="1056" spans="12:35">
      <c r="L1056" s="7">
        <v>32</v>
      </c>
      <c r="M1056" s="7">
        <v>43</v>
      </c>
      <c r="N1056" s="7" t="b">
        <f>AND($N$6,$N$6,1&lt;=$M$6,12&lt;=$M$6,12&lt;&gt;$M$6)</f>
        <v>0</v>
      </c>
      <c r="O1056" s="7">
        <f>(P32-N32)*(O43-O32)-(Q32-O32)*(N43-N32)</f>
        <v>0</v>
      </c>
      <c r="P1056" s="7">
        <f>(P32-N32)*(Q43-O32)-(Q32-O32)*(P43-N32)</f>
        <v>0</v>
      </c>
      <c r="Q1056" s="7">
        <f>(P43-N43)*(O32-O43)-(Q43-O43)*(N32-N43)</f>
        <v>0</v>
      </c>
      <c r="R1056" s="7">
        <f>(P43-N43)*(Q32-O43)-(Q43-O43)*(P32-N43)</f>
        <v>0</v>
      </c>
      <c r="S1056" s="7">
        <f>IF(N1056,IF(AND(O1056*P1056&lt;=0,Q1056*R1056&lt;=0,MAX(MIN(N32,P32),MIN(N43,P43))&lt;=MIN(MAX(N32,P32),MAX(N43,P43)),MAX(MIN(O32,Q32),MIN(O43,Q43))&lt;=MIN(MAX(O32,Q32),MAX(O43,Q43))),1,0),0)</f>
        <v>0</v>
      </c>
      <c r="T1056" s="7"/>
      <c r="U1056" s="7"/>
      <c r="V1056" s="7"/>
      <c r="W1056" s="7"/>
      <c r="X1056" s="7"/>
      <c r="Y1056" s="7"/>
      <c r="Z1056" s="7"/>
      <c r="AA1056" s="7"/>
      <c r="AB1056" s="7"/>
      <c r="AC1056" s="7"/>
      <c r="AD1056" s="7"/>
      <c r="AE1056" s="7"/>
      <c r="AF1056" s="7"/>
      <c r="AG1056" s="7"/>
      <c r="AH1056" s="7"/>
      <c r="AI1056" s="7"/>
    </row>
    <row r="1057" spans="12:35">
      <c r="L1057" s="7">
        <v>32</v>
      </c>
      <c r="M1057" s="7">
        <v>44</v>
      </c>
      <c r="N1057" s="7" t="b">
        <f>AND($N$6,$N$6,1&lt;=$M$6,13&lt;=$M$6,13&lt;&gt;$M$6)</f>
        <v>0</v>
      </c>
      <c r="O1057" s="7">
        <f>(P32-N32)*(O44-O32)-(Q32-O32)*(N44-N32)</f>
        <v>0</v>
      </c>
      <c r="P1057" s="7">
        <f>(P32-N32)*(Q44-O32)-(Q32-O32)*(P44-N32)</f>
        <v>0</v>
      </c>
      <c r="Q1057" s="7">
        <f>(P44-N44)*(O32-O44)-(Q44-O44)*(N32-N44)</f>
        <v>0</v>
      </c>
      <c r="R1057" s="7">
        <f>(P44-N44)*(Q32-O44)-(Q44-O44)*(P32-N44)</f>
        <v>0</v>
      </c>
      <c r="S1057" s="7">
        <f>IF(N1057,IF(AND(O1057*P1057&lt;=0,Q1057*R1057&lt;=0,MAX(MIN(N32,P32),MIN(N44,P44))&lt;=MIN(MAX(N32,P32),MAX(N44,P44)),MAX(MIN(O32,Q32),MIN(O44,Q44))&lt;=MIN(MAX(O32,Q32),MAX(O44,Q44))),1,0),0)</f>
        <v>0</v>
      </c>
      <c r="T1057" s="7"/>
      <c r="U1057" s="7"/>
      <c r="V1057" s="7"/>
      <c r="W1057" s="7"/>
      <c r="X1057" s="7"/>
      <c r="Y1057" s="7"/>
      <c r="Z1057" s="7"/>
      <c r="AA1057" s="7"/>
      <c r="AB1057" s="7"/>
      <c r="AC1057" s="7"/>
      <c r="AD1057" s="7"/>
      <c r="AE1057" s="7"/>
      <c r="AF1057" s="7"/>
      <c r="AG1057" s="7"/>
      <c r="AH1057" s="7"/>
      <c r="AI1057" s="7"/>
    </row>
    <row r="1058" spans="12:35">
      <c r="L1058" s="7">
        <v>32</v>
      </c>
      <c r="M1058" s="7">
        <v>45</v>
      </c>
      <c r="N1058" s="7" t="b">
        <f>AND($N$6,$N$6,1&lt;=$M$6,14&lt;=$M$6,14&lt;&gt;$M$6)</f>
        <v>0</v>
      </c>
      <c r="O1058" s="7">
        <f>(P32-N32)*(O45-O32)-(Q32-O32)*(N45-N32)</f>
        <v>0</v>
      </c>
      <c r="P1058" s="7">
        <f>(P32-N32)*(Q45-O32)-(Q32-O32)*(P45-N32)</f>
        <v>0</v>
      </c>
      <c r="Q1058" s="7">
        <f>(P45-N45)*(O32-O45)-(Q45-O45)*(N32-N45)</f>
        <v>0</v>
      </c>
      <c r="R1058" s="7">
        <f>(P45-N45)*(Q32-O45)-(Q45-O45)*(P32-N45)</f>
        <v>0</v>
      </c>
      <c r="S1058" s="7">
        <f>IF(N1058,IF(AND(O1058*P1058&lt;=0,Q1058*R1058&lt;=0,MAX(MIN(N32,P32),MIN(N45,P45))&lt;=MIN(MAX(N32,P32),MAX(N45,P45)),MAX(MIN(O32,Q32),MIN(O45,Q45))&lt;=MIN(MAX(O32,Q32),MAX(O45,Q45))),1,0),0)</f>
        <v>0</v>
      </c>
      <c r="T1058" s="7"/>
      <c r="U1058" s="7"/>
      <c r="V1058" s="7"/>
      <c r="W1058" s="7"/>
      <c r="X1058" s="7"/>
      <c r="Y1058" s="7"/>
      <c r="Z1058" s="7"/>
      <c r="AA1058" s="7"/>
      <c r="AB1058" s="7"/>
      <c r="AC1058" s="7"/>
      <c r="AD1058" s="7"/>
      <c r="AE1058" s="7"/>
      <c r="AF1058" s="7"/>
      <c r="AG1058" s="7"/>
      <c r="AH1058" s="7"/>
      <c r="AI1058" s="7"/>
    </row>
    <row r="1059" spans="12:35">
      <c r="L1059" s="7">
        <v>32</v>
      </c>
      <c r="M1059" s="7">
        <v>46</v>
      </c>
      <c r="N1059" s="7" t="b">
        <f>AND($N$6,$N$6,1&lt;=$M$6,15&lt;=$M$6,15&lt;&gt;$M$6)</f>
        <v>0</v>
      </c>
      <c r="O1059" s="7">
        <f>(P32-N32)*(O46-O32)-(Q32-O32)*(N46-N32)</f>
        <v>0</v>
      </c>
      <c r="P1059" s="7">
        <f>(P32-N32)*(Q46-O32)-(Q32-O32)*(P46-N32)</f>
        <v>0</v>
      </c>
      <c r="Q1059" s="7">
        <f>(P46-N46)*(O32-O46)-(Q46-O46)*(N32-N46)</f>
        <v>0</v>
      </c>
      <c r="R1059" s="7">
        <f>(P46-N46)*(Q32-O46)-(Q46-O46)*(P32-N46)</f>
        <v>0</v>
      </c>
      <c r="S1059" s="7">
        <f>IF(N1059,IF(AND(O1059*P1059&lt;=0,Q1059*R1059&lt;=0,MAX(MIN(N32,P32),MIN(N46,P46))&lt;=MIN(MAX(N32,P32),MAX(N46,P46)),MAX(MIN(O32,Q32),MIN(O46,Q46))&lt;=MIN(MAX(O32,Q32),MAX(O46,Q46))),1,0),0)</f>
        <v>0</v>
      </c>
      <c r="T1059" s="7"/>
      <c r="U1059" s="7"/>
      <c r="V1059" s="7"/>
      <c r="W1059" s="7"/>
      <c r="X1059" s="7"/>
      <c r="Y1059" s="7"/>
      <c r="Z1059" s="7"/>
      <c r="AA1059" s="7"/>
      <c r="AB1059" s="7"/>
      <c r="AC1059" s="7"/>
      <c r="AD1059" s="7"/>
      <c r="AE1059" s="7"/>
      <c r="AF1059" s="7"/>
      <c r="AG1059" s="7"/>
      <c r="AH1059" s="7"/>
      <c r="AI1059" s="7"/>
    </row>
    <row r="1060" spans="12:35">
      <c r="L1060" s="7">
        <v>32</v>
      </c>
      <c r="M1060" s="7">
        <v>47</v>
      </c>
      <c r="N1060" s="7" t="b">
        <f>AND($N$6,$N$6,1&lt;=$M$6,16&lt;=$M$6,16&lt;&gt;$M$6)</f>
        <v>0</v>
      </c>
      <c r="O1060" s="7">
        <f>(P32-N32)*(O47-O32)-(Q32-O32)*(N47-N32)</f>
        <v>0</v>
      </c>
      <c r="P1060" s="7">
        <f>(P32-N32)*(Q47-O32)-(Q32-O32)*(P47-N32)</f>
        <v>0</v>
      </c>
      <c r="Q1060" s="7">
        <f>(P47-N47)*(O32-O47)-(Q47-O47)*(N32-N47)</f>
        <v>0</v>
      </c>
      <c r="R1060" s="7">
        <f>(P47-N47)*(Q32-O47)-(Q47-O47)*(P32-N47)</f>
        <v>0</v>
      </c>
      <c r="S1060" s="7">
        <f>IF(N1060,IF(AND(O1060*P1060&lt;=0,Q1060*R1060&lt;=0,MAX(MIN(N32,P32),MIN(N47,P47))&lt;=MIN(MAX(N32,P32),MAX(N47,P47)),MAX(MIN(O32,Q32),MIN(O47,Q47))&lt;=MIN(MAX(O32,Q32),MAX(O47,Q47))),1,0),0)</f>
        <v>0</v>
      </c>
      <c r="T1060" s="7"/>
      <c r="U1060" s="7"/>
      <c r="V1060" s="7"/>
      <c r="W1060" s="7"/>
      <c r="X1060" s="7"/>
      <c r="Y1060" s="7"/>
      <c r="Z1060" s="7"/>
      <c r="AA1060" s="7"/>
      <c r="AB1060" s="7"/>
      <c r="AC1060" s="7"/>
      <c r="AD1060" s="7"/>
      <c r="AE1060" s="7"/>
      <c r="AF1060" s="7"/>
      <c r="AG1060" s="7"/>
      <c r="AH1060" s="7"/>
      <c r="AI1060" s="7"/>
    </row>
    <row r="1061" spans="12:35">
      <c r="L1061" s="7">
        <v>32</v>
      </c>
      <c r="M1061" s="7">
        <v>48</v>
      </c>
      <c r="N1061" s="7" t="b">
        <f>AND($N$6,$N$6,1&lt;=$M$6,17&lt;=$M$6,17&lt;&gt;$M$6)</f>
        <v>0</v>
      </c>
      <c r="O1061" s="7">
        <f>(P32-N32)*(O48-O32)-(Q32-O32)*(N48-N32)</f>
        <v>0</v>
      </c>
      <c r="P1061" s="7">
        <f>(P32-N32)*(Q48-O32)-(Q32-O32)*(P48-N32)</f>
        <v>0</v>
      </c>
      <c r="Q1061" s="7">
        <f>(P48-N48)*(O32-O48)-(Q48-O48)*(N32-N48)</f>
        <v>0</v>
      </c>
      <c r="R1061" s="7">
        <f>(P48-N48)*(Q32-O48)-(Q48-O48)*(P32-N48)</f>
        <v>0</v>
      </c>
      <c r="S1061" s="7">
        <f>IF(N1061,IF(AND(O1061*P1061&lt;=0,Q1061*R1061&lt;=0,MAX(MIN(N32,P32),MIN(N48,P48))&lt;=MIN(MAX(N32,P32),MAX(N48,P48)),MAX(MIN(O32,Q32),MIN(O48,Q48))&lt;=MIN(MAX(O32,Q32),MAX(O48,Q48))),1,0),0)</f>
        <v>0</v>
      </c>
      <c r="T1061" s="7"/>
      <c r="U1061" s="7"/>
      <c r="V1061" s="7"/>
      <c r="W1061" s="7"/>
      <c r="X1061" s="7"/>
      <c r="Y1061" s="7"/>
      <c r="Z1061" s="7"/>
      <c r="AA1061" s="7"/>
      <c r="AB1061" s="7"/>
      <c r="AC1061" s="7"/>
      <c r="AD1061" s="7"/>
      <c r="AE1061" s="7"/>
      <c r="AF1061" s="7"/>
      <c r="AG1061" s="7"/>
      <c r="AH1061" s="7"/>
      <c r="AI1061" s="7"/>
    </row>
    <row r="1062" spans="12:35">
      <c r="L1062" s="7">
        <v>32</v>
      </c>
      <c r="M1062" s="7">
        <v>49</v>
      </c>
      <c r="N1062" s="7" t="b">
        <f>AND($N$6,$N$6,1&lt;=$M$6,18&lt;=$M$6,18&lt;&gt;$M$6)</f>
        <v>0</v>
      </c>
      <c r="O1062" s="7">
        <f>(P32-N32)*(O49-O32)-(Q32-O32)*(N49-N32)</f>
        <v>0</v>
      </c>
      <c r="P1062" s="7">
        <f>(P32-N32)*(Q49-O32)-(Q32-O32)*(P49-N32)</f>
        <v>0</v>
      </c>
      <c r="Q1062" s="7">
        <f>(P49-N49)*(O32-O49)-(Q49-O49)*(N32-N49)</f>
        <v>0</v>
      </c>
      <c r="R1062" s="7">
        <f>(P49-N49)*(Q32-O49)-(Q49-O49)*(P32-N49)</f>
        <v>0</v>
      </c>
      <c r="S1062" s="7">
        <f>IF(N1062,IF(AND(O1062*P1062&lt;=0,Q1062*R1062&lt;=0,MAX(MIN(N32,P32),MIN(N49,P49))&lt;=MIN(MAX(N32,P32),MAX(N49,P49)),MAX(MIN(O32,Q32),MIN(O49,Q49))&lt;=MIN(MAX(O32,Q32),MAX(O49,Q49))),1,0),0)</f>
        <v>0</v>
      </c>
      <c r="T1062" s="7"/>
      <c r="U1062" s="7"/>
      <c r="V1062" s="7"/>
      <c r="W1062" s="7"/>
      <c r="X1062" s="7"/>
      <c r="Y1062" s="7"/>
      <c r="Z1062" s="7"/>
      <c r="AA1062" s="7"/>
      <c r="AB1062" s="7"/>
      <c r="AC1062" s="7"/>
      <c r="AD1062" s="7"/>
      <c r="AE1062" s="7"/>
      <c r="AF1062" s="7"/>
      <c r="AG1062" s="7"/>
      <c r="AH1062" s="7"/>
      <c r="AI1062" s="7"/>
    </row>
    <row r="1063" spans="12:35">
      <c r="L1063" s="7">
        <v>32</v>
      </c>
      <c r="M1063" s="7">
        <v>50</v>
      </c>
      <c r="N1063" s="7" t="b">
        <f>AND($N$6,$N$6,1&lt;=$M$6,19&lt;=$M$6,19&lt;&gt;$M$6)</f>
        <v>0</v>
      </c>
      <c r="O1063" s="7">
        <f>(P32-N32)*(O50-O32)-(Q32-O32)*(N50-N32)</f>
        <v>0</v>
      </c>
      <c r="P1063" s="7">
        <f>(P32-N32)*(Q50-O32)-(Q32-O32)*(P50-N32)</f>
        <v>0</v>
      </c>
      <c r="Q1063" s="7">
        <f>(P50-N50)*(O32-O50)-(Q50-O50)*(N32-N50)</f>
        <v>0</v>
      </c>
      <c r="R1063" s="7">
        <f>(P50-N50)*(Q32-O50)-(Q50-O50)*(P32-N50)</f>
        <v>0</v>
      </c>
      <c r="S1063" s="7">
        <f>IF(N1063,IF(AND(O1063*P1063&lt;=0,Q1063*R1063&lt;=0,MAX(MIN(N32,P32),MIN(N50,P50))&lt;=MIN(MAX(N32,P32),MAX(N50,P50)),MAX(MIN(O32,Q32),MIN(O50,Q50))&lt;=MIN(MAX(O32,Q32),MAX(O50,Q50))),1,0),0)</f>
        <v>0</v>
      </c>
      <c r="T1063" s="7"/>
      <c r="U1063" s="7"/>
      <c r="V1063" s="7"/>
      <c r="W1063" s="7"/>
      <c r="X1063" s="7"/>
      <c r="Y1063" s="7"/>
      <c r="Z1063" s="7"/>
      <c r="AA1063" s="7"/>
      <c r="AB1063" s="7"/>
      <c r="AC1063" s="7"/>
      <c r="AD1063" s="7"/>
      <c r="AE1063" s="7"/>
      <c r="AF1063" s="7"/>
      <c r="AG1063" s="7"/>
      <c r="AH1063" s="7"/>
      <c r="AI1063" s="7"/>
    </row>
    <row r="1064" spans="12:35">
      <c r="L1064" s="7">
        <v>32</v>
      </c>
      <c r="M1064" s="7">
        <v>51</v>
      </c>
      <c r="N1064" s="7" t="b">
        <f>AND($N$6,$N$6,1&lt;=$M$6,20&lt;=$M$6,20&lt;&gt;$M$6)</f>
        <v>0</v>
      </c>
      <c r="O1064" s="7">
        <f>(P32-N32)*(O51-O32)-(Q32-O32)*(N51-N32)</f>
        <v>0</v>
      </c>
      <c r="P1064" s="7">
        <f>(P32-N32)*(Q51-O32)-(Q32-O32)*(P51-N32)</f>
        <v>0</v>
      </c>
      <c r="Q1064" s="7">
        <f>(P51-N51)*(O32-O51)-(Q51-O51)*(N32-N51)</f>
        <v>0</v>
      </c>
      <c r="R1064" s="7">
        <f>(P51-N51)*(Q32-O51)-(Q51-O51)*(P32-N51)</f>
        <v>0</v>
      </c>
      <c r="S1064" s="7">
        <f>IF(N1064,IF(AND(O1064*P1064&lt;=0,Q1064*R1064&lt;=0,MAX(MIN(N32,P32),MIN(N51,P51))&lt;=MIN(MAX(N32,P32),MAX(N51,P51)),MAX(MIN(O32,Q32),MIN(O51,Q51))&lt;=MIN(MAX(O32,Q32),MAX(O51,Q51))),1,0),0)</f>
        <v>0</v>
      </c>
      <c r="T1064" s="7"/>
      <c r="U1064" s="7"/>
      <c r="V1064" s="7"/>
      <c r="W1064" s="7"/>
      <c r="X1064" s="7"/>
      <c r="Y1064" s="7"/>
      <c r="Z1064" s="7"/>
      <c r="AA1064" s="7"/>
      <c r="AB1064" s="7"/>
      <c r="AC1064" s="7"/>
      <c r="AD1064" s="7"/>
      <c r="AE1064" s="7"/>
      <c r="AF1064" s="7"/>
      <c r="AG1064" s="7"/>
      <c r="AH1064" s="7"/>
      <c r="AI1064" s="7"/>
    </row>
    <row r="1065" spans="12:35">
      <c r="L1065" s="7">
        <v>32</v>
      </c>
      <c r="M1065" s="7">
        <v>52</v>
      </c>
      <c r="N1065" s="7" t="b">
        <f>AND($N$6,$N$7,1&lt;=$M$6,1&lt;=$M$7)</f>
        <v>0</v>
      </c>
      <c r="O1065" s="7">
        <f>(P32-N32)*(O52-O32)-(Q32-O32)*(N52-N32)</f>
        <v>0</v>
      </c>
      <c r="P1065" s="7">
        <f>(P32-N32)*(Q52-O32)-(Q32-O32)*(P52-N32)</f>
        <v>0</v>
      </c>
      <c r="Q1065" s="7">
        <f>(P52-N52)*(O32-O52)-(Q52-O52)*(N32-N52)</f>
        <v>0</v>
      </c>
      <c r="R1065" s="7">
        <f>(P52-N52)*(Q32-O52)-(Q52-O52)*(P32-N52)</f>
        <v>0</v>
      </c>
      <c r="S1065" s="7">
        <f>IF(N1065,IF(AND(O1065*P1065&lt;=0,Q1065*R1065&lt;=0,MAX(MIN(N32,P32),MIN(N52,P52))&lt;=MIN(MAX(N32,P32),MAX(N52,P52)),MAX(MIN(O32,Q32),MIN(O52,Q52))&lt;=MIN(MAX(O32,Q32),MAX(O52,Q52))),1,0),0)</f>
        <v>0</v>
      </c>
      <c r="T1065" s="7"/>
      <c r="U1065" s="7"/>
      <c r="V1065" s="7"/>
      <c r="W1065" s="7"/>
      <c r="X1065" s="7"/>
      <c r="Y1065" s="7"/>
      <c r="Z1065" s="7"/>
      <c r="AA1065" s="7"/>
      <c r="AB1065" s="7"/>
      <c r="AC1065" s="7"/>
      <c r="AD1065" s="7"/>
      <c r="AE1065" s="7"/>
      <c r="AF1065" s="7"/>
      <c r="AG1065" s="7"/>
      <c r="AH1065" s="7"/>
      <c r="AI1065" s="7"/>
    </row>
    <row r="1066" spans="12:35">
      <c r="L1066" s="7">
        <v>32</v>
      </c>
      <c r="M1066" s="7">
        <v>53</v>
      </c>
      <c r="N1066" s="7" t="b">
        <f>AND($N$6,$N$7,1&lt;=$M$6,2&lt;=$M$7)</f>
        <v>0</v>
      </c>
      <c r="O1066" s="7">
        <f>(P32-N32)*(O53-O32)-(Q32-O32)*(N53-N32)</f>
        <v>0</v>
      </c>
      <c r="P1066" s="7">
        <f>(P32-N32)*(Q53-O32)-(Q32-O32)*(P53-N32)</f>
        <v>0</v>
      </c>
      <c r="Q1066" s="7">
        <f>(P53-N53)*(O32-O53)-(Q53-O53)*(N32-N53)</f>
        <v>0</v>
      </c>
      <c r="R1066" s="7">
        <f>(P53-N53)*(Q32-O53)-(Q53-O53)*(P32-N53)</f>
        <v>0</v>
      </c>
      <c r="S1066" s="7">
        <f>IF(N1066,IF(AND(O1066*P1066&lt;=0,Q1066*R1066&lt;=0,MAX(MIN(N32,P32),MIN(N53,P53))&lt;=MIN(MAX(N32,P32),MAX(N53,P53)),MAX(MIN(O32,Q32),MIN(O53,Q53))&lt;=MIN(MAX(O32,Q32),MAX(O53,Q53))),1,0),0)</f>
        <v>0</v>
      </c>
      <c r="T1066" s="7"/>
      <c r="U1066" s="7"/>
      <c r="V1066" s="7"/>
      <c r="W1066" s="7"/>
      <c r="X1066" s="7"/>
      <c r="Y1066" s="7"/>
      <c r="Z1066" s="7"/>
      <c r="AA1066" s="7"/>
      <c r="AB1066" s="7"/>
      <c r="AC1066" s="7"/>
      <c r="AD1066" s="7"/>
      <c r="AE1066" s="7"/>
      <c r="AF1066" s="7"/>
      <c r="AG1066" s="7"/>
      <c r="AH1066" s="7"/>
      <c r="AI1066" s="7"/>
    </row>
    <row r="1067" spans="12:35">
      <c r="L1067" s="7">
        <v>32</v>
      </c>
      <c r="M1067" s="7">
        <v>54</v>
      </c>
      <c r="N1067" s="7" t="b">
        <f>AND($N$6,$N$7,1&lt;=$M$6,3&lt;=$M$7)</f>
        <v>0</v>
      </c>
      <c r="O1067" s="7">
        <f>(P32-N32)*(O54-O32)-(Q32-O32)*(N54-N32)</f>
        <v>0</v>
      </c>
      <c r="P1067" s="7">
        <f>(P32-N32)*(Q54-O32)-(Q32-O32)*(P54-N32)</f>
        <v>0</v>
      </c>
      <c r="Q1067" s="7">
        <f>(P54-N54)*(O32-O54)-(Q54-O54)*(N32-N54)</f>
        <v>0</v>
      </c>
      <c r="R1067" s="7">
        <f>(P54-N54)*(Q32-O54)-(Q54-O54)*(P32-N54)</f>
        <v>0</v>
      </c>
      <c r="S1067" s="7">
        <f>IF(N1067,IF(AND(O1067*P1067&lt;=0,Q1067*R1067&lt;=0,MAX(MIN(N32,P32),MIN(N54,P54))&lt;=MIN(MAX(N32,P32),MAX(N54,P54)),MAX(MIN(O32,Q32),MIN(O54,Q54))&lt;=MIN(MAX(O32,Q32),MAX(O54,Q54))),1,0),0)</f>
        <v>0</v>
      </c>
      <c r="T1067" s="7"/>
      <c r="U1067" s="7"/>
      <c r="V1067" s="7"/>
      <c r="W1067" s="7"/>
      <c r="X1067" s="7"/>
      <c r="Y1067" s="7"/>
      <c r="Z1067" s="7"/>
      <c r="AA1067" s="7"/>
      <c r="AB1067" s="7"/>
      <c r="AC1067" s="7"/>
      <c r="AD1067" s="7"/>
      <c r="AE1067" s="7"/>
      <c r="AF1067" s="7"/>
      <c r="AG1067" s="7"/>
      <c r="AH1067" s="7"/>
      <c r="AI1067" s="7"/>
    </row>
    <row r="1068" spans="12:35">
      <c r="L1068" s="7">
        <v>32</v>
      </c>
      <c r="M1068" s="7">
        <v>55</v>
      </c>
      <c r="N1068" s="7" t="b">
        <f>AND($N$6,$N$7,1&lt;=$M$6,4&lt;=$M$7)</f>
        <v>0</v>
      </c>
      <c r="O1068" s="7">
        <f>(P32-N32)*(O55-O32)-(Q32-O32)*(N55-N32)</f>
        <v>0</v>
      </c>
      <c r="P1068" s="7">
        <f>(P32-N32)*(Q55-O32)-(Q32-O32)*(P55-N32)</f>
        <v>0</v>
      </c>
      <c r="Q1068" s="7">
        <f>(P55-N55)*(O32-O55)-(Q55-O55)*(N32-N55)</f>
        <v>0</v>
      </c>
      <c r="R1068" s="7">
        <f>(P55-N55)*(Q32-O55)-(Q55-O55)*(P32-N55)</f>
        <v>0</v>
      </c>
      <c r="S1068" s="7">
        <f>IF(N1068,IF(AND(O1068*P1068&lt;=0,Q1068*R1068&lt;=0,MAX(MIN(N32,P32),MIN(N55,P55))&lt;=MIN(MAX(N32,P32),MAX(N55,P55)),MAX(MIN(O32,Q32),MIN(O55,Q55))&lt;=MIN(MAX(O32,Q32),MAX(O55,Q55))),1,0),0)</f>
        <v>0</v>
      </c>
      <c r="T1068" s="7"/>
      <c r="U1068" s="7"/>
      <c r="V1068" s="7"/>
      <c r="W1068" s="7"/>
      <c r="X1068" s="7"/>
      <c r="Y1068" s="7"/>
      <c r="Z1068" s="7"/>
      <c r="AA1068" s="7"/>
      <c r="AB1068" s="7"/>
      <c r="AC1068" s="7"/>
      <c r="AD1068" s="7"/>
      <c r="AE1068" s="7"/>
      <c r="AF1068" s="7"/>
      <c r="AG1068" s="7"/>
      <c r="AH1068" s="7"/>
      <c r="AI1068" s="7"/>
    </row>
    <row r="1069" spans="12:35">
      <c r="L1069" s="7">
        <v>32</v>
      </c>
      <c r="M1069" s="7">
        <v>56</v>
      </c>
      <c r="N1069" s="7" t="b">
        <f>AND($N$6,$N$7,1&lt;=$M$6,5&lt;=$M$7)</f>
        <v>0</v>
      </c>
      <c r="O1069" s="7">
        <f>(P32-N32)*(O56-O32)-(Q32-O32)*(N56-N32)</f>
        <v>0</v>
      </c>
      <c r="P1069" s="7">
        <f>(P32-N32)*(Q56-O32)-(Q32-O32)*(P56-N32)</f>
        <v>0</v>
      </c>
      <c r="Q1069" s="7">
        <f>(P56-N56)*(O32-O56)-(Q56-O56)*(N32-N56)</f>
        <v>0</v>
      </c>
      <c r="R1069" s="7">
        <f>(P56-N56)*(Q32-O56)-(Q56-O56)*(P32-N56)</f>
        <v>0</v>
      </c>
      <c r="S1069" s="7">
        <f>IF(N1069,IF(AND(O1069*P1069&lt;=0,Q1069*R1069&lt;=0,MAX(MIN(N32,P32),MIN(N56,P56))&lt;=MIN(MAX(N32,P32),MAX(N56,P56)),MAX(MIN(O32,Q32),MIN(O56,Q56))&lt;=MIN(MAX(O32,Q32),MAX(O56,Q56))),1,0),0)</f>
        <v>0</v>
      </c>
      <c r="T1069" s="7"/>
      <c r="U1069" s="7"/>
      <c r="V1069" s="7"/>
      <c r="W1069" s="7"/>
      <c r="X1069" s="7"/>
      <c r="Y1069" s="7"/>
      <c r="Z1069" s="7"/>
      <c r="AA1069" s="7"/>
      <c r="AB1069" s="7"/>
      <c r="AC1069" s="7"/>
      <c r="AD1069" s="7"/>
      <c r="AE1069" s="7"/>
      <c r="AF1069" s="7"/>
      <c r="AG1069" s="7"/>
      <c r="AH1069" s="7"/>
      <c r="AI1069" s="7"/>
    </row>
    <row r="1070" spans="12:35">
      <c r="L1070" s="7">
        <v>32</v>
      </c>
      <c r="M1070" s="7">
        <v>57</v>
      </c>
      <c r="N1070" s="7" t="b">
        <f>AND($N$6,$N$7,1&lt;=$M$6,6&lt;=$M$7)</f>
        <v>0</v>
      </c>
      <c r="O1070" s="7">
        <f>(P32-N32)*(O57-O32)-(Q32-O32)*(N57-N32)</f>
        <v>0</v>
      </c>
      <c r="P1070" s="7">
        <f>(P32-N32)*(Q57-O32)-(Q32-O32)*(P57-N32)</f>
        <v>0</v>
      </c>
      <c r="Q1070" s="7">
        <f>(P57-N57)*(O32-O57)-(Q57-O57)*(N32-N57)</f>
        <v>0</v>
      </c>
      <c r="R1070" s="7">
        <f>(P57-N57)*(Q32-O57)-(Q57-O57)*(P32-N57)</f>
        <v>0</v>
      </c>
      <c r="S1070" s="7">
        <f>IF(N1070,IF(AND(O1070*P1070&lt;=0,Q1070*R1070&lt;=0,MAX(MIN(N32,P32),MIN(N57,P57))&lt;=MIN(MAX(N32,P32),MAX(N57,P57)),MAX(MIN(O32,Q32),MIN(O57,Q57))&lt;=MIN(MAX(O32,Q32),MAX(O57,Q57))),1,0),0)</f>
        <v>0</v>
      </c>
      <c r="T1070" s="7"/>
      <c r="U1070" s="7"/>
      <c r="V1070" s="7"/>
      <c r="W1070" s="7"/>
      <c r="X1070" s="7"/>
      <c r="Y1070" s="7"/>
      <c r="Z1070" s="7"/>
      <c r="AA1070" s="7"/>
      <c r="AB1070" s="7"/>
      <c r="AC1070" s="7"/>
      <c r="AD1070" s="7"/>
      <c r="AE1070" s="7"/>
      <c r="AF1070" s="7"/>
      <c r="AG1070" s="7"/>
      <c r="AH1070" s="7"/>
      <c r="AI1070" s="7"/>
    </row>
    <row r="1071" spans="12:35">
      <c r="L1071" s="7">
        <v>32</v>
      </c>
      <c r="M1071" s="7">
        <v>58</v>
      </c>
      <c r="N1071" s="7" t="b">
        <f>AND($N$6,$N$7,1&lt;=$M$6,7&lt;=$M$7)</f>
        <v>0</v>
      </c>
      <c r="O1071" s="7">
        <f>(P32-N32)*(O58-O32)-(Q32-O32)*(N58-N32)</f>
        <v>0</v>
      </c>
      <c r="P1071" s="7">
        <f>(P32-N32)*(Q58-O32)-(Q32-O32)*(P58-N32)</f>
        <v>0</v>
      </c>
      <c r="Q1071" s="7">
        <f>(P58-N58)*(O32-O58)-(Q58-O58)*(N32-N58)</f>
        <v>0</v>
      </c>
      <c r="R1071" s="7">
        <f>(P58-N58)*(Q32-O58)-(Q58-O58)*(P32-N58)</f>
        <v>0</v>
      </c>
      <c r="S1071" s="7">
        <f>IF(N1071,IF(AND(O1071*P1071&lt;=0,Q1071*R1071&lt;=0,MAX(MIN(N32,P32),MIN(N58,P58))&lt;=MIN(MAX(N32,P32),MAX(N58,P58)),MAX(MIN(O32,Q32),MIN(O58,Q58))&lt;=MIN(MAX(O32,Q32),MAX(O58,Q58))),1,0),0)</f>
        <v>0</v>
      </c>
      <c r="T1071" s="7"/>
      <c r="U1071" s="7"/>
      <c r="V1071" s="7"/>
      <c r="W1071" s="7"/>
      <c r="X1071" s="7"/>
      <c r="Y1071" s="7"/>
      <c r="Z1071" s="7"/>
      <c r="AA1071" s="7"/>
      <c r="AB1071" s="7"/>
      <c r="AC1071" s="7"/>
      <c r="AD1071" s="7"/>
      <c r="AE1071" s="7"/>
      <c r="AF1071" s="7"/>
      <c r="AG1071" s="7"/>
      <c r="AH1071" s="7"/>
      <c r="AI1071" s="7"/>
    </row>
    <row r="1072" spans="12:35">
      <c r="L1072" s="7">
        <v>32</v>
      </c>
      <c r="M1072" s="7">
        <v>59</v>
      </c>
      <c r="N1072" s="7" t="b">
        <f>AND($N$6,$N$7,1&lt;=$M$6,8&lt;=$M$7)</f>
        <v>0</v>
      </c>
      <c r="O1072" s="7">
        <f>(P32-N32)*(O59-O32)-(Q32-O32)*(N59-N32)</f>
        <v>0</v>
      </c>
      <c r="P1072" s="7">
        <f>(P32-N32)*(Q59-O32)-(Q32-O32)*(P59-N32)</f>
        <v>0</v>
      </c>
      <c r="Q1072" s="7">
        <f>(P59-N59)*(O32-O59)-(Q59-O59)*(N32-N59)</f>
        <v>0</v>
      </c>
      <c r="R1072" s="7">
        <f>(P59-N59)*(Q32-O59)-(Q59-O59)*(P32-N59)</f>
        <v>0</v>
      </c>
      <c r="S1072" s="7">
        <f>IF(N1072,IF(AND(O1072*P1072&lt;=0,Q1072*R1072&lt;=0,MAX(MIN(N32,P32),MIN(N59,P59))&lt;=MIN(MAX(N32,P32),MAX(N59,P59)),MAX(MIN(O32,Q32),MIN(O59,Q59))&lt;=MIN(MAX(O32,Q32),MAX(O59,Q59))),1,0),0)</f>
        <v>0</v>
      </c>
      <c r="T1072" s="7"/>
      <c r="U1072" s="7"/>
      <c r="V1072" s="7"/>
      <c r="W1072" s="7"/>
      <c r="X1072" s="7"/>
      <c r="Y1072" s="7"/>
      <c r="Z1072" s="7"/>
      <c r="AA1072" s="7"/>
      <c r="AB1072" s="7"/>
      <c r="AC1072" s="7"/>
      <c r="AD1072" s="7"/>
      <c r="AE1072" s="7"/>
      <c r="AF1072" s="7"/>
      <c r="AG1072" s="7"/>
      <c r="AH1072" s="7"/>
      <c r="AI1072" s="7"/>
    </row>
    <row r="1073" spans="12:35">
      <c r="L1073" s="7">
        <v>32</v>
      </c>
      <c r="M1073" s="7">
        <v>60</v>
      </c>
      <c r="N1073" s="7" t="b">
        <f>AND($N$6,$N$7,1&lt;=$M$6,9&lt;=$M$7)</f>
        <v>0</v>
      </c>
      <c r="O1073" s="7">
        <f>(P32-N32)*(O60-O32)-(Q32-O32)*(N60-N32)</f>
        <v>0</v>
      </c>
      <c r="P1073" s="7">
        <f>(P32-N32)*(Q60-O32)-(Q32-O32)*(P60-N32)</f>
        <v>0</v>
      </c>
      <c r="Q1073" s="7">
        <f>(P60-N60)*(O32-O60)-(Q60-O60)*(N32-N60)</f>
        <v>0</v>
      </c>
      <c r="R1073" s="7">
        <f>(P60-N60)*(Q32-O60)-(Q60-O60)*(P32-N60)</f>
        <v>0</v>
      </c>
      <c r="S1073" s="7">
        <f>IF(N1073,IF(AND(O1073*P1073&lt;=0,Q1073*R1073&lt;=0,MAX(MIN(N32,P32),MIN(N60,P60))&lt;=MIN(MAX(N32,P32),MAX(N60,P60)),MAX(MIN(O32,Q32),MIN(O60,Q60))&lt;=MIN(MAX(O32,Q32),MAX(O60,Q60))),1,0),0)</f>
        <v>0</v>
      </c>
      <c r="T1073" s="7"/>
      <c r="U1073" s="7"/>
      <c r="V1073" s="7"/>
      <c r="W1073" s="7"/>
      <c r="X1073" s="7"/>
      <c r="Y1073" s="7"/>
      <c r="Z1073" s="7"/>
      <c r="AA1073" s="7"/>
      <c r="AB1073" s="7"/>
      <c r="AC1073" s="7"/>
      <c r="AD1073" s="7"/>
      <c r="AE1073" s="7"/>
      <c r="AF1073" s="7"/>
      <c r="AG1073" s="7"/>
      <c r="AH1073" s="7"/>
      <c r="AI1073" s="7"/>
    </row>
    <row r="1074" spans="12:35">
      <c r="L1074" s="7">
        <v>32</v>
      </c>
      <c r="M1074" s="7">
        <v>61</v>
      </c>
      <c r="N1074" s="7" t="b">
        <f>AND($N$6,$N$7,1&lt;=$M$6,10&lt;=$M$7)</f>
        <v>0</v>
      </c>
      <c r="O1074" s="7">
        <f>(P32-N32)*(O61-O32)-(Q32-O32)*(N61-N32)</f>
        <v>0</v>
      </c>
      <c r="P1074" s="7">
        <f>(P32-N32)*(Q61-O32)-(Q32-O32)*(P61-N32)</f>
        <v>0</v>
      </c>
      <c r="Q1074" s="7">
        <f>(P61-N61)*(O32-O61)-(Q61-O61)*(N32-N61)</f>
        <v>0</v>
      </c>
      <c r="R1074" s="7">
        <f>(P61-N61)*(Q32-O61)-(Q61-O61)*(P32-N61)</f>
        <v>0</v>
      </c>
      <c r="S1074" s="7">
        <f>IF(N1074,IF(AND(O1074*P1074&lt;=0,Q1074*R1074&lt;=0,MAX(MIN(N32,P32),MIN(N61,P61))&lt;=MIN(MAX(N32,P32),MAX(N61,P61)),MAX(MIN(O32,Q32),MIN(O61,Q61))&lt;=MIN(MAX(O32,Q32),MAX(O61,Q61))),1,0),0)</f>
        <v>0</v>
      </c>
      <c r="T1074" s="7"/>
      <c r="U1074" s="7"/>
      <c r="V1074" s="7"/>
      <c r="W1074" s="7"/>
      <c r="X1074" s="7"/>
      <c r="Y1074" s="7"/>
      <c r="Z1074" s="7"/>
      <c r="AA1074" s="7"/>
      <c r="AB1074" s="7"/>
      <c r="AC1074" s="7"/>
      <c r="AD1074" s="7"/>
      <c r="AE1074" s="7"/>
      <c r="AF1074" s="7"/>
      <c r="AG1074" s="7"/>
      <c r="AH1074" s="7"/>
      <c r="AI1074" s="7"/>
    </row>
    <row r="1075" spans="12:35">
      <c r="L1075" s="7">
        <v>32</v>
      </c>
      <c r="M1075" s="7">
        <v>62</v>
      </c>
      <c r="N1075" s="7" t="b">
        <f>AND($N$6,$N$7,1&lt;=$M$6,11&lt;=$M$7)</f>
        <v>0</v>
      </c>
      <c r="O1075" s="7">
        <f>(P32-N32)*(O62-O32)-(Q32-O32)*(N62-N32)</f>
        <v>0</v>
      </c>
      <c r="P1075" s="7">
        <f>(P32-N32)*(Q62-O32)-(Q32-O32)*(P62-N32)</f>
        <v>0</v>
      </c>
      <c r="Q1075" s="7">
        <f>(P62-N62)*(O32-O62)-(Q62-O62)*(N32-N62)</f>
        <v>0</v>
      </c>
      <c r="R1075" s="7">
        <f>(P62-N62)*(Q32-O62)-(Q62-O62)*(P32-N62)</f>
        <v>0</v>
      </c>
      <c r="S1075" s="7">
        <f>IF(N1075,IF(AND(O1075*P1075&lt;=0,Q1075*R1075&lt;=0,MAX(MIN(N32,P32),MIN(N62,P62))&lt;=MIN(MAX(N32,P32),MAX(N62,P62)),MAX(MIN(O32,Q32),MIN(O62,Q62))&lt;=MIN(MAX(O32,Q32),MAX(O62,Q62))),1,0),0)</f>
        <v>0</v>
      </c>
      <c r="T1075" s="7"/>
      <c r="U1075" s="7"/>
      <c r="V1075" s="7"/>
      <c r="W1075" s="7"/>
      <c r="X1075" s="7"/>
      <c r="Y1075" s="7"/>
      <c r="Z1075" s="7"/>
      <c r="AA1075" s="7"/>
      <c r="AB1075" s="7"/>
      <c r="AC1075" s="7"/>
      <c r="AD1075" s="7"/>
      <c r="AE1075" s="7"/>
      <c r="AF1075" s="7"/>
      <c r="AG1075" s="7"/>
      <c r="AH1075" s="7"/>
      <c r="AI1075" s="7"/>
    </row>
    <row r="1076" spans="12:35">
      <c r="L1076" s="7">
        <v>32</v>
      </c>
      <c r="M1076" s="7">
        <v>63</v>
      </c>
      <c r="N1076" s="7" t="b">
        <f>AND($N$6,$N$7,1&lt;=$M$6,12&lt;=$M$7)</f>
        <v>0</v>
      </c>
      <c r="O1076" s="7">
        <f>(P32-N32)*(O63-O32)-(Q32-O32)*(N63-N32)</f>
        <v>0</v>
      </c>
      <c r="P1076" s="7">
        <f>(P32-N32)*(Q63-O32)-(Q32-O32)*(P63-N32)</f>
        <v>0</v>
      </c>
      <c r="Q1076" s="7">
        <f>(P63-N63)*(O32-O63)-(Q63-O63)*(N32-N63)</f>
        <v>0</v>
      </c>
      <c r="R1076" s="7">
        <f>(P63-N63)*(Q32-O63)-(Q63-O63)*(P32-N63)</f>
        <v>0</v>
      </c>
      <c r="S1076" s="7">
        <f>IF(N1076,IF(AND(O1076*P1076&lt;=0,Q1076*R1076&lt;=0,MAX(MIN(N32,P32),MIN(N63,P63))&lt;=MIN(MAX(N32,P32),MAX(N63,P63)),MAX(MIN(O32,Q32),MIN(O63,Q63))&lt;=MIN(MAX(O32,Q32),MAX(O63,Q63))),1,0),0)</f>
        <v>0</v>
      </c>
      <c r="T1076" s="7"/>
      <c r="U1076" s="7"/>
      <c r="V1076" s="7"/>
      <c r="W1076" s="7"/>
      <c r="X1076" s="7"/>
      <c r="Y1076" s="7"/>
      <c r="Z1076" s="7"/>
      <c r="AA1076" s="7"/>
      <c r="AB1076" s="7"/>
      <c r="AC1076" s="7"/>
      <c r="AD1076" s="7"/>
      <c r="AE1076" s="7"/>
      <c r="AF1076" s="7"/>
      <c r="AG1076" s="7"/>
      <c r="AH1076" s="7"/>
      <c r="AI1076" s="7"/>
    </row>
    <row r="1077" spans="12:35">
      <c r="L1077" s="7">
        <v>32</v>
      </c>
      <c r="M1077" s="7">
        <v>64</v>
      </c>
      <c r="N1077" s="7" t="b">
        <f>AND($N$6,$N$7,1&lt;=$M$6,13&lt;=$M$7)</f>
        <v>0</v>
      </c>
      <c r="O1077" s="7">
        <f>(P32-N32)*(O64-O32)-(Q32-O32)*(N64-N32)</f>
        <v>0</v>
      </c>
      <c r="P1077" s="7">
        <f>(P32-N32)*(Q64-O32)-(Q32-O32)*(P64-N32)</f>
        <v>0</v>
      </c>
      <c r="Q1077" s="7">
        <f>(P64-N64)*(O32-O64)-(Q64-O64)*(N32-N64)</f>
        <v>0</v>
      </c>
      <c r="R1077" s="7">
        <f>(P64-N64)*(Q32-O64)-(Q64-O64)*(P32-N64)</f>
        <v>0</v>
      </c>
      <c r="S1077" s="7">
        <f>IF(N1077,IF(AND(O1077*P1077&lt;=0,Q1077*R1077&lt;=0,MAX(MIN(N32,P32),MIN(N64,P64))&lt;=MIN(MAX(N32,P32),MAX(N64,P64)),MAX(MIN(O32,Q32),MIN(O64,Q64))&lt;=MIN(MAX(O32,Q32),MAX(O64,Q64))),1,0),0)</f>
        <v>0</v>
      </c>
      <c r="T1077" s="7"/>
      <c r="U1077" s="7"/>
      <c r="V1077" s="7"/>
      <c r="W1077" s="7"/>
      <c r="X1077" s="7"/>
      <c r="Y1077" s="7"/>
      <c r="Z1077" s="7"/>
      <c r="AA1077" s="7"/>
      <c r="AB1077" s="7"/>
      <c r="AC1077" s="7"/>
      <c r="AD1077" s="7"/>
      <c r="AE1077" s="7"/>
      <c r="AF1077" s="7"/>
      <c r="AG1077" s="7"/>
      <c r="AH1077" s="7"/>
      <c r="AI1077" s="7"/>
    </row>
    <row r="1078" spans="12:35">
      <c r="L1078" s="7">
        <v>32</v>
      </c>
      <c r="M1078" s="7">
        <v>65</v>
      </c>
      <c r="N1078" s="7" t="b">
        <f>AND($N$6,$N$7,1&lt;=$M$6,14&lt;=$M$7)</f>
        <v>0</v>
      </c>
      <c r="O1078" s="7">
        <f>(P32-N32)*(O65-O32)-(Q32-O32)*(N65-N32)</f>
        <v>0</v>
      </c>
      <c r="P1078" s="7">
        <f>(P32-N32)*(Q65-O32)-(Q32-O32)*(P65-N32)</f>
        <v>0</v>
      </c>
      <c r="Q1078" s="7">
        <f>(P65-N65)*(O32-O65)-(Q65-O65)*(N32-N65)</f>
        <v>0</v>
      </c>
      <c r="R1078" s="7">
        <f>(P65-N65)*(Q32-O65)-(Q65-O65)*(P32-N65)</f>
        <v>0</v>
      </c>
      <c r="S1078" s="7">
        <f>IF(N1078,IF(AND(O1078*P1078&lt;=0,Q1078*R1078&lt;=0,MAX(MIN(N32,P32),MIN(N65,P65))&lt;=MIN(MAX(N32,P32),MAX(N65,P65)),MAX(MIN(O32,Q32),MIN(O65,Q65))&lt;=MIN(MAX(O32,Q32),MAX(O65,Q65))),1,0),0)</f>
        <v>0</v>
      </c>
      <c r="T1078" s="7"/>
      <c r="U1078" s="7"/>
      <c r="V1078" s="7"/>
      <c r="W1078" s="7"/>
      <c r="X1078" s="7"/>
      <c r="Y1078" s="7"/>
      <c r="Z1078" s="7"/>
      <c r="AA1078" s="7"/>
      <c r="AB1078" s="7"/>
      <c r="AC1078" s="7"/>
      <c r="AD1078" s="7"/>
      <c r="AE1078" s="7"/>
      <c r="AF1078" s="7"/>
      <c r="AG1078" s="7"/>
      <c r="AH1078" s="7"/>
      <c r="AI1078" s="7"/>
    </row>
    <row r="1079" spans="12:35">
      <c r="L1079" s="7">
        <v>32</v>
      </c>
      <c r="M1079" s="7">
        <v>66</v>
      </c>
      <c r="N1079" s="7" t="b">
        <f>AND($N$6,$N$7,1&lt;=$M$6,15&lt;=$M$7)</f>
        <v>0</v>
      </c>
      <c r="O1079" s="7">
        <f>(P32-N32)*(O66-O32)-(Q32-O32)*(N66-N32)</f>
        <v>0</v>
      </c>
      <c r="P1079" s="7">
        <f>(P32-N32)*(Q66-O32)-(Q32-O32)*(P66-N32)</f>
        <v>0</v>
      </c>
      <c r="Q1079" s="7">
        <f>(P66-N66)*(O32-O66)-(Q66-O66)*(N32-N66)</f>
        <v>0</v>
      </c>
      <c r="R1079" s="7">
        <f>(P66-N66)*(Q32-O66)-(Q66-O66)*(P32-N66)</f>
        <v>0</v>
      </c>
      <c r="S1079" s="7">
        <f>IF(N1079,IF(AND(O1079*P1079&lt;=0,Q1079*R1079&lt;=0,MAX(MIN(N32,P32),MIN(N66,P66))&lt;=MIN(MAX(N32,P32),MAX(N66,P66)),MAX(MIN(O32,Q32),MIN(O66,Q66))&lt;=MIN(MAX(O32,Q32),MAX(O66,Q66))),1,0),0)</f>
        <v>0</v>
      </c>
      <c r="T1079" s="7"/>
      <c r="U1079" s="7"/>
      <c r="V1079" s="7"/>
      <c r="W1079" s="7"/>
      <c r="X1079" s="7"/>
      <c r="Y1079" s="7"/>
      <c r="Z1079" s="7"/>
      <c r="AA1079" s="7"/>
      <c r="AB1079" s="7"/>
      <c r="AC1079" s="7"/>
      <c r="AD1079" s="7"/>
      <c r="AE1079" s="7"/>
      <c r="AF1079" s="7"/>
      <c r="AG1079" s="7"/>
      <c r="AH1079" s="7"/>
      <c r="AI1079" s="7"/>
    </row>
    <row r="1080" spans="12:35">
      <c r="L1080" s="7">
        <v>32</v>
      </c>
      <c r="M1080" s="7">
        <v>67</v>
      </c>
      <c r="N1080" s="7" t="b">
        <f>AND($N$6,$N$7,1&lt;=$M$6,16&lt;=$M$7)</f>
        <v>0</v>
      </c>
      <c r="O1080" s="7">
        <f>(P32-N32)*(O67-O32)-(Q32-O32)*(N67-N32)</f>
        <v>0</v>
      </c>
      <c r="P1080" s="7">
        <f>(P32-N32)*(Q67-O32)-(Q32-O32)*(P67-N32)</f>
        <v>0</v>
      </c>
      <c r="Q1080" s="7">
        <f>(P67-N67)*(O32-O67)-(Q67-O67)*(N32-N67)</f>
        <v>0</v>
      </c>
      <c r="R1080" s="7">
        <f>(P67-N67)*(Q32-O67)-(Q67-O67)*(P32-N67)</f>
        <v>0</v>
      </c>
      <c r="S1080" s="7">
        <f>IF(N1080,IF(AND(O1080*P1080&lt;=0,Q1080*R1080&lt;=0,MAX(MIN(N32,P32),MIN(N67,P67))&lt;=MIN(MAX(N32,P32),MAX(N67,P67)),MAX(MIN(O32,Q32),MIN(O67,Q67))&lt;=MIN(MAX(O32,Q32),MAX(O67,Q67))),1,0),0)</f>
        <v>0</v>
      </c>
      <c r="T1080" s="7"/>
      <c r="U1080" s="7"/>
      <c r="V1080" s="7"/>
      <c r="W1080" s="7"/>
      <c r="X1080" s="7"/>
      <c r="Y1080" s="7"/>
      <c r="Z1080" s="7"/>
      <c r="AA1080" s="7"/>
      <c r="AB1080" s="7"/>
      <c r="AC1080" s="7"/>
      <c r="AD1080" s="7"/>
      <c r="AE1080" s="7"/>
      <c r="AF1080" s="7"/>
      <c r="AG1080" s="7"/>
      <c r="AH1080" s="7"/>
      <c r="AI1080" s="7"/>
    </row>
    <row r="1081" spans="12:35">
      <c r="L1081" s="7">
        <v>32</v>
      </c>
      <c r="M1081" s="7">
        <v>68</v>
      </c>
      <c r="N1081" s="7" t="b">
        <f>AND($N$6,$N$7,1&lt;=$M$6,17&lt;=$M$7)</f>
        <v>0</v>
      </c>
      <c r="O1081" s="7">
        <f>(P32-N32)*(O68-O32)-(Q32-O32)*(N68-N32)</f>
        <v>0</v>
      </c>
      <c r="P1081" s="7">
        <f>(P32-N32)*(Q68-O32)-(Q32-O32)*(P68-N32)</f>
        <v>0</v>
      </c>
      <c r="Q1081" s="7">
        <f>(P68-N68)*(O32-O68)-(Q68-O68)*(N32-N68)</f>
        <v>0</v>
      </c>
      <c r="R1081" s="7">
        <f>(P68-N68)*(Q32-O68)-(Q68-O68)*(P32-N68)</f>
        <v>0</v>
      </c>
      <c r="S1081" s="7">
        <f>IF(N1081,IF(AND(O1081*P1081&lt;=0,Q1081*R1081&lt;=0,MAX(MIN(N32,P32),MIN(N68,P68))&lt;=MIN(MAX(N32,P32),MAX(N68,P68)),MAX(MIN(O32,Q32),MIN(O68,Q68))&lt;=MIN(MAX(O32,Q32),MAX(O68,Q68))),1,0),0)</f>
        <v>0</v>
      </c>
      <c r="T1081" s="7"/>
      <c r="U1081" s="7"/>
      <c r="V1081" s="7"/>
      <c r="W1081" s="7"/>
      <c r="X1081" s="7"/>
      <c r="Y1081" s="7"/>
      <c r="Z1081" s="7"/>
      <c r="AA1081" s="7"/>
      <c r="AB1081" s="7"/>
      <c r="AC1081" s="7"/>
      <c r="AD1081" s="7"/>
      <c r="AE1081" s="7"/>
      <c r="AF1081" s="7"/>
      <c r="AG1081" s="7"/>
      <c r="AH1081" s="7"/>
      <c r="AI1081" s="7"/>
    </row>
    <row r="1082" spans="12:35">
      <c r="L1082" s="7">
        <v>32</v>
      </c>
      <c r="M1082" s="7">
        <v>69</v>
      </c>
      <c r="N1082" s="7" t="b">
        <f>AND($N$6,$N$7,1&lt;=$M$6,18&lt;=$M$7)</f>
        <v>0</v>
      </c>
      <c r="O1082" s="7">
        <f>(P32-N32)*(O69-O32)-(Q32-O32)*(N69-N32)</f>
        <v>0</v>
      </c>
      <c r="P1082" s="7">
        <f>(P32-N32)*(Q69-O32)-(Q32-O32)*(P69-N32)</f>
        <v>0</v>
      </c>
      <c r="Q1082" s="7">
        <f>(P69-N69)*(O32-O69)-(Q69-O69)*(N32-N69)</f>
        <v>0</v>
      </c>
      <c r="R1082" s="7">
        <f>(P69-N69)*(Q32-O69)-(Q69-O69)*(P32-N69)</f>
        <v>0</v>
      </c>
      <c r="S1082" s="7">
        <f>IF(N1082,IF(AND(O1082*P1082&lt;=0,Q1082*R1082&lt;=0,MAX(MIN(N32,P32),MIN(N69,P69))&lt;=MIN(MAX(N32,P32),MAX(N69,P69)),MAX(MIN(O32,Q32),MIN(O69,Q69))&lt;=MIN(MAX(O32,Q32),MAX(O69,Q69))),1,0),0)</f>
        <v>0</v>
      </c>
      <c r="T1082" s="7"/>
      <c r="U1082" s="7"/>
      <c r="V1082" s="7"/>
      <c r="W1082" s="7"/>
      <c r="X1082" s="7"/>
      <c r="Y1082" s="7"/>
      <c r="Z1082" s="7"/>
      <c r="AA1082" s="7"/>
      <c r="AB1082" s="7"/>
      <c r="AC1082" s="7"/>
      <c r="AD1082" s="7"/>
      <c r="AE1082" s="7"/>
      <c r="AF1082" s="7"/>
      <c r="AG1082" s="7"/>
      <c r="AH1082" s="7"/>
      <c r="AI1082" s="7"/>
    </row>
    <row r="1083" spans="12:35">
      <c r="L1083" s="7">
        <v>32</v>
      </c>
      <c r="M1083" s="7">
        <v>70</v>
      </c>
      <c r="N1083" s="7" t="b">
        <f>AND($N$6,$N$7,1&lt;=$M$6,19&lt;=$M$7)</f>
        <v>0</v>
      </c>
      <c r="O1083" s="7">
        <f>(P32-N32)*(O70-O32)-(Q32-O32)*(N70-N32)</f>
        <v>0</v>
      </c>
      <c r="P1083" s="7">
        <f>(P32-N32)*(Q70-O32)-(Q32-O32)*(P70-N32)</f>
        <v>0</v>
      </c>
      <c r="Q1083" s="7">
        <f>(P70-N70)*(O32-O70)-(Q70-O70)*(N32-N70)</f>
        <v>0</v>
      </c>
      <c r="R1083" s="7">
        <f>(P70-N70)*(Q32-O70)-(Q70-O70)*(P32-N70)</f>
        <v>0</v>
      </c>
      <c r="S1083" s="7">
        <f>IF(N1083,IF(AND(O1083*P1083&lt;=0,Q1083*R1083&lt;=0,MAX(MIN(N32,P32),MIN(N70,P70))&lt;=MIN(MAX(N32,P32),MAX(N70,P70)),MAX(MIN(O32,Q32),MIN(O70,Q70))&lt;=MIN(MAX(O32,Q32),MAX(O70,Q70))),1,0),0)</f>
        <v>0</v>
      </c>
      <c r="T1083" s="7"/>
      <c r="U1083" s="7"/>
      <c r="V1083" s="7"/>
      <c r="W1083" s="7"/>
      <c r="X1083" s="7"/>
      <c r="Y1083" s="7"/>
      <c r="Z1083" s="7"/>
      <c r="AA1083" s="7"/>
      <c r="AB1083" s="7"/>
      <c r="AC1083" s="7"/>
      <c r="AD1083" s="7"/>
      <c r="AE1083" s="7"/>
      <c r="AF1083" s="7"/>
      <c r="AG1083" s="7"/>
      <c r="AH1083" s="7"/>
      <c r="AI1083" s="7"/>
    </row>
    <row r="1084" spans="12:35">
      <c r="L1084" s="7">
        <v>32</v>
      </c>
      <c r="M1084" s="7">
        <v>71</v>
      </c>
      <c r="N1084" s="7" t="b">
        <f>AND($N$6,$N$7,1&lt;=$M$6,20&lt;=$M$7)</f>
        <v>0</v>
      </c>
      <c r="O1084" s="7">
        <f>(P32-N32)*(O71-O32)-(Q32-O32)*(N71-N32)</f>
        <v>0</v>
      </c>
      <c r="P1084" s="7">
        <f>(P32-N32)*(Q71-O32)-(Q32-O32)*(P71-N32)</f>
        <v>0</v>
      </c>
      <c r="Q1084" s="7">
        <f>(P71-N71)*(O32-O71)-(Q71-O71)*(N32-N71)</f>
        <v>0</v>
      </c>
      <c r="R1084" s="7">
        <f>(P71-N71)*(Q32-O71)-(Q71-O71)*(P32-N71)</f>
        <v>0</v>
      </c>
      <c r="S1084" s="7">
        <f>IF(N1084,IF(AND(O1084*P1084&lt;=0,Q1084*R1084&lt;=0,MAX(MIN(N32,P32),MIN(N71,P71))&lt;=MIN(MAX(N32,P32),MAX(N71,P71)),MAX(MIN(O32,Q32),MIN(O71,Q71))&lt;=MIN(MAX(O32,Q32),MAX(O71,Q71))),1,0),0)</f>
        <v>0</v>
      </c>
      <c r="T1084" s="7"/>
      <c r="U1084" s="7"/>
      <c r="V1084" s="7"/>
      <c r="W1084" s="7"/>
      <c r="X1084" s="7"/>
      <c r="Y1084" s="7"/>
      <c r="Z1084" s="7"/>
      <c r="AA1084" s="7"/>
      <c r="AB1084" s="7"/>
      <c r="AC1084" s="7"/>
      <c r="AD1084" s="7"/>
      <c r="AE1084" s="7"/>
      <c r="AF1084" s="7"/>
      <c r="AG1084" s="7"/>
      <c r="AH1084" s="7"/>
      <c r="AI1084" s="7"/>
    </row>
    <row r="1085" spans="12:35">
      <c r="L1085" s="7">
        <v>33</v>
      </c>
      <c r="M1085" s="7">
        <v>35</v>
      </c>
      <c r="N1085" s="7" t="b">
        <f>AND($N$6,$N$6,2&lt;=$M$6,4&lt;=$M$6)</f>
        <v>0</v>
      </c>
      <c r="O1085" s="7">
        <f>(P33-N33)*(O35-O33)-(Q33-O33)*(N35-N33)</f>
        <v>0</v>
      </c>
      <c r="P1085" s="7">
        <f>(P33-N33)*(Q35-O33)-(Q33-O33)*(P35-N33)</f>
        <v>0</v>
      </c>
      <c r="Q1085" s="7">
        <f>(P35-N35)*(O33-O35)-(Q35-O35)*(N33-N35)</f>
        <v>0</v>
      </c>
      <c r="R1085" s="7">
        <f>(P35-N35)*(Q33-O35)-(Q35-O35)*(P33-N35)</f>
        <v>0</v>
      </c>
      <c r="S1085" s="7">
        <f>IF(N1085,IF(AND(O1085*P1085&lt;=0,Q1085*R1085&lt;=0,MAX(MIN(N33,P33),MIN(N35,P35))&lt;=MIN(MAX(N33,P33),MAX(N35,P35)),MAX(MIN(O33,Q33),MIN(O35,Q35))&lt;=MIN(MAX(O33,Q33),MAX(O35,Q35))),1,0),0)</f>
        <v>0</v>
      </c>
      <c r="T1085" s="7"/>
      <c r="U1085" s="7"/>
      <c r="V1085" s="7"/>
      <c r="W1085" s="7"/>
      <c r="X1085" s="7"/>
      <c r="Y1085" s="7"/>
      <c r="Z1085" s="7"/>
      <c r="AA1085" s="7"/>
      <c r="AB1085" s="7"/>
      <c r="AC1085" s="7"/>
      <c r="AD1085" s="7"/>
      <c r="AE1085" s="7"/>
      <c r="AF1085" s="7"/>
      <c r="AG1085" s="7"/>
      <c r="AH1085" s="7"/>
      <c r="AI1085" s="7"/>
    </row>
    <row r="1086" spans="12:35">
      <c r="L1086" s="7">
        <v>33</v>
      </c>
      <c r="M1086" s="7">
        <v>36</v>
      </c>
      <c r="N1086" s="7" t="b">
        <f>AND($N$6,$N$6,2&lt;=$M$6,5&lt;=$M$6)</f>
        <v>0</v>
      </c>
      <c r="O1086" s="7">
        <f>(P33-N33)*(O36-O33)-(Q33-O33)*(N36-N33)</f>
        <v>0</v>
      </c>
      <c r="P1086" s="7">
        <f>(P33-N33)*(Q36-O33)-(Q33-O33)*(P36-N33)</f>
        <v>0</v>
      </c>
      <c r="Q1086" s="7">
        <f>(P36-N36)*(O33-O36)-(Q36-O36)*(N33-N36)</f>
        <v>0</v>
      </c>
      <c r="R1086" s="7">
        <f>(P36-N36)*(Q33-O36)-(Q36-O36)*(P33-N36)</f>
        <v>0</v>
      </c>
      <c r="S1086" s="7">
        <f>IF(N1086,IF(AND(O1086*P1086&lt;=0,Q1086*R1086&lt;=0,MAX(MIN(N33,P33),MIN(N36,P36))&lt;=MIN(MAX(N33,P33),MAX(N36,P36)),MAX(MIN(O33,Q33),MIN(O36,Q36))&lt;=MIN(MAX(O33,Q33),MAX(O36,Q36))),1,0),0)</f>
        <v>0</v>
      </c>
      <c r="T1086" s="7"/>
      <c r="U1086" s="7"/>
      <c r="V1086" s="7"/>
      <c r="W1086" s="7"/>
      <c r="X1086" s="7"/>
      <c r="Y1086" s="7"/>
      <c r="Z1086" s="7"/>
      <c r="AA1086" s="7"/>
      <c r="AB1086" s="7"/>
      <c r="AC1086" s="7"/>
      <c r="AD1086" s="7"/>
      <c r="AE1086" s="7"/>
      <c r="AF1086" s="7"/>
      <c r="AG1086" s="7"/>
      <c r="AH1086" s="7"/>
      <c r="AI1086" s="7"/>
    </row>
    <row r="1087" spans="12:35">
      <c r="L1087" s="7">
        <v>33</v>
      </c>
      <c r="M1087" s="7">
        <v>37</v>
      </c>
      <c r="N1087" s="7" t="b">
        <f>AND($N$6,$N$6,2&lt;=$M$6,6&lt;=$M$6)</f>
        <v>0</v>
      </c>
      <c r="O1087" s="7">
        <f>(P33-N33)*(O37-O33)-(Q33-O33)*(N37-N33)</f>
        <v>0</v>
      </c>
      <c r="P1087" s="7">
        <f>(P33-N33)*(Q37-O33)-(Q33-O33)*(P37-N33)</f>
        <v>0</v>
      </c>
      <c r="Q1087" s="7">
        <f>(P37-N37)*(O33-O37)-(Q37-O37)*(N33-N37)</f>
        <v>0</v>
      </c>
      <c r="R1087" s="7">
        <f>(P37-N37)*(Q33-O37)-(Q37-O37)*(P33-N37)</f>
        <v>0</v>
      </c>
      <c r="S1087" s="7">
        <f>IF(N1087,IF(AND(O1087*P1087&lt;=0,Q1087*R1087&lt;=0,MAX(MIN(N33,P33),MIN(N37,P37))&lt;=MIN(MAX(N33,P33),MAX(N37,P37)),MAX(MIN(O33,Q33),MIN(O37,Q37))&lt;=MIN(MAX(O33,Q33),MAX(O37,Q37))),1,0),0)</f>
        <v>0</v>
      </c>
      <c r="T1087" s="7"/>
      <c r="U1087" s="7"/>
      <c r="V1087" s="7"/>
      <c r="W1087" s="7"/>
      <c r="X1087" s="7"/>
      <c r="Y1087" s="7"/>
      <c r="Z1087" s="7"/>
      <c r="AA1087" s="7"/>
      <c r="AB1087" s="7"/>
      <c r="AC1087" s="7"/>
      <c r="AD1087" s="7"/>
      <c r="AE1087" s="7"/>
      <c r="AF1087" s="7"/>
      <c r="AG1087" s="7"/>
      <c r="AH1087" s="7"/>
      <c r="AI1087" s="7"/>
    </row>
    <row r="1088" spans="12:35">
      <c r="L1088" s="7">
        <v>33</v>
      </c>
      <c r="M1088" s="7">
        <v>38</v>
      </c>
      <c r="N1088" s="7" t="b">
        <f>AND($N$6,$N$6,2&lt;=$M$6,7&lt;=$M$6)</f>
        <v>0</v>
      </c>
      <c r="O1088" s="7">
        <f>(P33-N33)*(O38-O33)-(Q33-O33)*(N38-N33)</f>
        <v>0</v>
      </c>
      <c r="P1088" s="7">
        <f>(P33-N33)*(Q38-O33)-(Q33-O33)*(P38-N33)</f>
        <v>0</v>
      </c>
      <c r="Q1088" s="7">
        <f>(P38-N38)*(O33-O38)-(Q38-O38)*(N33-N38)</f>
        <v>0</v>
      </c>
      <c r="R1088" s="7">
        <f>(P38-N38)*(Q33-O38)-(Q38-O38)*(P33-N38)</f>
        <v>0</v>
      </c>
      <c r="S1088" s="7">
        <f>IF(N1088,IF(AND(O1088*P1088&lt;=0,Q1088*R1088&lt;=0,MAX(MIN(N33,P33),MIN(N38,P38))&lt;=MIN(MAX(N33,P33),MAX(N38,P38)),MAX(MIN(O33,Q33),MIN(O38,Q38))&lt;=MIN(MAX(O33,Q33),MAX(O38,Q38))),1,0),0)</f>
        <v>0</v>
      </c>
      <c r="T1088" s="7"/>
      <c r="U1088" s="7"/>
      <c r="V1088" s="7"/>
      <c r="W1088" s="7"/>
      <c r="X1088" s="7"/>
      <c r="Y1088" s="7"/>
      <c r="Z1088" s="7"/>
      <c r="AA1088" s="7"/>
      <c r="AB1088" s="7"/>
      <c r="AC1088" s="7"/>
      <c r="AD1088" s="7"/>
      <c r="AE1088" s="7"/>
      <c r="AF1088" s="7"/>
      <c r="AG1088" s="7"/>
      <c r="AH1088" s="7"/>
      <c r="AI1088" s="7"/>
    </row>
    <row r="1089" spans="12:35">
      <c r="L1089" s="7">
        <v>33</v>
      </c>
      <c r="M1089" s="7">
        <v>39</v>
      </c>
      <c r="N1089" s="7" t="b">
        <f>AND($N$6,$N$6,2&lt;=$M$6,8&lt;=$M$6)</f>
        <v>0</v>
      </c>
      <c r="O1089" s="7">
        <f>(P33-N33)*(O39-O33)-(Q33-O33)*(N39-N33)</f>
        <v>0</v>
      </c>
      <c r="P1089" s="7">
        <f>(P33-N33)*(Q39-O33)-(Q33-O33)*(P39-N33)</f>
        <v>0</v>
      </c>
      <c r="Q1089" s="7">
        <f>(P39-N39)*(O33-O39)-(Q39-O39)*(N33-N39)</f>
        <v>0</v>
      </c>
      <c r="R1089" s="7">
        <f>(P39-N39)*(Q33-O39)-(Q39-O39)*(P33-N39)</f>
        <v>0</v>
      </c>
      <c r="S1089" s="7">
        <f>IF(N1089,IF(AND(O1089*P1089&lt;=0,Q1089*R1089&lt;=0,MAX(MIN(N33,P33),MIN(N39,P39))&lt;=MIN(MAX(N33,P33),MAX(N39,P39)),MAX(MIN(O33,Q33),MIN(O39,Q39))&lt;=MIN(MAX(O33,Q33),MAX(O39,Q39))),1,0),0)</f>
        <v>0</v>
      </c>
      <c r="T1089" s="7"/>
      <c r="U1089" s="7"/>
      <c r="V1089" s="7"/>
      <c r="W1089" s="7"/>
      <c r="X1089" s="7"/>
      <c r="Y1089" s="7"/>
      <c r="Z1089" s="7"/>
      <c r="AA1089" s="7"/>
      <c r="AB1089" s="7"/>
      <c r="AC1089" s="7"/>
      <c r="AD1089" s="7"/>
      <c r="AE1089" s="7"/>
      <c r="AF1089" s="7"/>
      <c r="AG1089" s="7"/>
      <c r="AH1089" s="7"/>
      <c r="AI1089" s="7"/>
    </row>
    <row r="1090" spans="12:35">
      <c r="L1090" s="7">
        <v>33</v>
      </c>
      <c r="M1090" s="7">
        <v>40</v>
      </c>
      <c r="N1090" s="7" t="b">
        <f>AND($N$6,$N$6,2&lt;=$M$6,9&lt;=$M$6)</f>
        <v>0</v>
      </c>
      <c r="O1090" s="7">
        <f>(P33-N33)*(O40-O33)-(Q33-O33)*(N40-N33)</f>
        <v>0</v>
      </c>
      <c r="P1090" s="7">
        <f>(P33-N33)*(Q40-O33)-(Q33-O33)*(P40-N33)</f>
        <v>0</v>
      </c>
      <c r="Q1090" s="7">
        <f>(P40-N40)*(O33-O40)-(Q40-O40)*(N33-N40)</f>
        <v>0</v>
      </c>
      <c r="R1090" s="7">
        <f>(P40-N40)*(Q33-O40)-(Q40-O40)*(P33-N40)</f>
        <v>0</v>
      </c>
      <c r="S1090" s="7">
        <f>IF(N1090,IF(AND(O1090*P1090&lt;=0,Q1090*R1090&lt;=0,MAX(MIN(N33,P33),MIN(N40,P40))&lt;=MIN(MAX(N33,P33),MAX(N40,P40)),MAX(MIN(O33,Q33),MIN(O40,Q40))&lt;=MIN(MAX(O33,Q33),MAX(O40,Q40))),1,0),0)</f>
        <v>0</v>
      </c>
      <c r="T1090" s="7"/>
      <c r="U1090" s="7"/>
      <c r="V1090" s="7"/>
      <c r="W1090" s="7"/>
      <c r="X1090" s="7"/>
      <c r="Y1090" s="7"/>
      <c r="Z1090" s="7"/>
      <c r="AA1090" s="7"/>
      <c r="AB1090" s="7"/>
      <c r="AC1090" s="7"/>
      <c r="AD1090" s="7"/>
      <c r="AE1090" s="7"/>
      <c r="AF1090" s="7"/>
      <c r="AG1090" s="7"/>
      <c r="AH1090" s="7"/>
      <c r="AI1090" s="7"/>
    </row>
    <row r="1091" spans="12:35">
      <c r="L1091" s="7">
        <v>33</v>
      </c>
      <c r="M1091" s="7">
        <v>41</v>
      </c>
      <c r="N1091" s="7" t="b">
        <f>AND($N$6,$N$6,2&lt;=$M$6,10&lt;=$M$6)</f>
        <v>0</v>
      </c>
      <c r="O1091" s="7">
        <f>(P33-N33)*(O41-O33)-(Q33-O33)*(N41-N33)</f>
        <v>0</v>
      </c>
      <c r="P1091" s="7">
        <f>(P33-N33)*(Q41-O33)-(Q33-O33)*(P41-N33)</f>
        <v>0</v>
      </c>
      <c r="Q1091" s="7">
        <f>(P41-N41)*(O33-O41)-(Q41-O41)*(N33-N41)</f>
        <v>0</v>
      </c>
      <c r="R1091" s="7">
        <f>(P41-N41)*(Q33-O41)-(Q41-O41)*(P33-N41)</f>
        <v>0</v>
      </c>
      <c r="S1091" s="7">
        <f>IF(N1091,IF(AND(O1091*P1091&lt;=0,Q1091*R1091&lt;=0,MAX(MIN(N33,P33),MIN(N41,P41))&lt;=MIN(MAX(N33,P33),MAX(N41,P41)),MAX(MIN(O33,Q33),MIN(O41,Q41))&lt;=MIN(MAX(O33,Q33),MAX(O41,Q41))),1,0),0)</f>
        <v>0</v>
      </c>
      <c r="T1091" s="7"/>
      <c r="U1091" s="7"/>
      <c r="V1091" s="7"/>
      <c r="W1091" s="7"/>
      <c r="X1091" s="7"/>
      <c r="Y1091" s="7"/>
      <c r="Z1091" s="7"/>
      <c r="AA1091" s="7"/>
      <c r="AB1091" s="7"/>
      <c r="AC1091" s="7"/>
      <c r="AD1091" s="7"/>
      <c r="AE1091" s="7"/>
      <c r="AF1091" s="7"/>
      <c r="AG1091" s="7"/>
      <c r="AH1091" s="7"/>
      <c r="AI1091" s="7"/>
    </row>
    <row r="1092" spans="12:35">
      <c r="L1092" s="7">
        <v>33</v>
      </c>
      <c r="M1092" s="7">
        <v>42</v>
      </c>
      <c r="N1092" s="7" t="b">
        <f>AND($N$6,$N$6,2&lt;=$M$6,11&lt;=$M$6)</f>
        <v>0</v>
      </c>
      <c r="O1092" s="7">
        <f>(P33-N33)*(O42-O33)-(Q33-O33)*(N42-N33)</f>
        <v>0</v>
      </c>
      <c r="P1092" s="7">
        <f>(P33-N33)*(Q42-O33)-(Q33-O33)*(P42-N33)</f>
        <v>0</v>
      </c>
      <c r="Q1092" s="7">
        <f>(P42-N42)*(O33-O42)-(Q42-O42)*(N33-N42)</f>
        <v>0</v>
      </c>
      <c r="R1092" s="7">
        <f>(P42-N42)*(Q33-O42)-(Q42-O42)*(P33-N42)</f>
        <v>0</v>
      </c>
      <c r="S1092" s="7">
        <f>IF(N1092,IF(AND(O1092*P1092&lt;=0,Q1092*R1092&lt;=0,MAX(MIN(N33,P33),MIN(N42,P42))&lt;=MIN(MAX(N33,P33),MAX(N42,P42)),MAX(MIN(O33,Q33),MIN(O42,Q42))&lt;=MIN(MAX(O33,Q33),MAX(O42,Q42))),1,0),0)</f>
        <v>0</v>
      </c>
      <c r="T1092" s="7"/>
      <c r="U1092" s="7"/>
      <c r="V1092" s="7"/>
      <c r="W1092" s="7"/>
      <c r="X1092" s="7"/>
      <c r="Y1092" s="7"/>
      <c r="Z1092" s="7"/>
      <c r="AA1092" s="7"/>
      <c r="AB1092" s="7"/>
      <c r="AC1092" s="7"/>
      <c r="AD1092" s="7"/>
      <c r="AE1092" s="7"/>
      <c r="AF1092" s="7"/>
      <c r="AG1092" s="7"/>
      <c r="AH1092" s="7"/>
      <c r="AI1092" s="7"/>
    </row>
    <row r="1093" spans="12:35">
      <c r="L1093" s="7">
        <v>33</v>
      </c>
      <c r="M1093" s="7">
        <v>43</v>
      </c>
      <c r="N1093" s="7" t="b">
        <f>AND($N$6,$N$6,2&lt;=$M$6,12&lt;=$M$6)</f>
        <v>0</v>
      </c>
      <c r="O1093" s="7">
        <f>(P33-N33)*(O43-O33)-(Q33-O33)*(N43-N33)</f>
        <v>0</v>
      </c>
      <c r="P1093" s="7">
        <f>(P33-N33)*(Q43-O33)-(Q33-O33)*(P43-N33)</f>
        <v>0</v>
      </c>
      <c r="Q1093" s="7">
        <f>(P43-N43)*(O33-O43)-(Q43-O43)*(N33-N43)</f>
        <v>0</v>
      </c>
      <c r="R1093" s="7">
        <f>(P43-N43)*(Q33-O43)-(Q43-O43)*(P33-N43)</f>
        <v>0</v>
      </c>
      <c r="S1093" s="7">
        <f>IF(N1093,IF(AND(O1093*P1093&lt;=0,Q1093*R1093&lt;=0,MAX(MIN(N33,P33),MIN(N43,P43))&lt;=MIN(MAX(N33,P33),MAX(N43,P43)),MAX(MIN(O33,Q33),MIN(O43,Q43))&lt;=MIN(MAX(O33,Q33),MAX(O43,Q43))),1,0),0)</f>
        <v>0</v>
      </c>
      <c r="T1093" s="7"/>
      <c r="U1093" s="7"/>
      <c r="V1093" s="7"/>
      <c r="W1093" s="7"/>
      <c r="X1093" s="7"/>
      <c r="Y1093" s="7"/>
      <c r="Z1093" s="7"/>
      <c r="AA1093" s="7"/>
      <c r="AB1093" s="7"/>
      <c r="AC1093" s="7"/>
      <c r="AD1093" s="7"/>
      <c r="AE1093" s="7"/>
      <c r="AF1093" s="7"/>
      <c r="AG1093" s="7"/>
      <c r="AH1093" s="7"/>
      <c r="AI1093" s="7"/>
    </row>
    <row r="1094" spans="12:35">
      <c r="L1094" s="7">
        <v>33</v>
      </c>
      <c r="M1094" s="7">
        <v>44</v>
      </c>
      <c r="N1094" s="7" t="b">
        <f>AND($N$6,$N$6,2&lt;=$M$6,13&lt;=$M$6)</f>
        <v>0</v>
      </c>
      <c r="O1094" s="7">
        <f>(P33-N33)*(O44-O33)-(Q33-O33)*(N44-N33)</f>
        <v>0</v>
      </c>
      <c r="P1094" s="7">
        <f>(P33-N33)*(Q44-O33)-(Q33-O33)*(P44-N33)</f>
        <v>0</v>
      </c>
      <c r="Q1094" s="7">
        <f>(P44-N44)*(O33-O44)-(Q44-O44)*(N33-N44)</f>
        <v>0</v>
      </c>
      <c r="R1094" s="7">
        <f>(P44-N44)*(Q33-O44)-(Q44-O44)*(P33-N44)</f>
        <v>0</v>
      </c>
      <c r="S1094" s="7">
        <f>IF(N1094,IF(AND(O1094*P1094&lt;=0,Q1094*R1094&lt;=0,MAX(MIN(N33,P33),MIN(N44,P44))&lt;=MIN(MAX(N33,P33),MAX(N44,P44)),MAX(MIN(O33,Q33),MIN(O44,Q44))&lt;=MIN(MAX(O33,Q33),MAX(O44,Q44))),1,0),0)</f>
        <v>0</v>
      </c>
      <c r="T1094" s="7"/>
      <c r="U1094" s="7"/>
      <c r="V1094" s="7"/>
      <c r="W1094" s="7"/>
      <c r="X1094" s="7"/>
      <c r="Y1094" s="7"/>
      <c r="Z1094" s="7"/>
      <c r="AA1094" s="7"/>
      <c r="AB1094" s="7"/>
      <c r="AC1094" s="7"/>
      <c r="AD1094" s="7"/>
      <c r="AE1094" s="7"/>
      <c r="AF1094" s="7"/>
      <c r="AG1094" s="7"/>
      <c r="AH1094" s="7"/>
      <c r="AI1094" s="7"/>
    </row>
    <row r="1095" spans="12:35">
      <c r="L1095" s="7">
        <v>33</v>
      </c>
      <c r="M1095" s="7">
        <v>45</v>
      </c>
      <c r="N1095" s="7" t="b">
        <f>AND($N$6,$N$6,2&lt;=$M$6,14&lt;=$M$6)</f>
        <v>0</v>
      </c>
      <c r="O1095" s="7">
        <f>(P33-N33)*(O45-O33)-(Q33-O33)*(N45-N33)</f>
        <v>0</v>
      </c>
      <c r="P1095" s="7">
        <f>(P33-N33)*(Q45-O33)-(Q33-O33)*(P45-N33)</f>
        <v>0</v>
      </c>
      <c r="Q1095" s="7">
        <f>(P45-N45)*(O33-O45)-(Q45-O45)*(N33-N45)</f>
        <v>0</v>
      </c>
      <c r="R1095" s="7">
        <f>(P45-N45)*(Q33-O45)-(Q45-O45)*(P33-N45)</f>
        <v>0</v>
      </c>
      <c r="S1095" s="7">
        <f>IF(N1095,IF(AND(O1095*P1095&lt;=0,Q1095*R1095&lt;=0,MAX(MIN(N33,P33),MIN(N45,P45))&lt;=MIN(MAX(N33,P33),MAX(N45,P45)),MAX(MIN(O33,Q33),MIN(O45,Q45))&lt;=MIN(MAX(O33,Q33),MAX(O45,Q45))),1,0),0)</f>
        <v>0</v>
      </c>
      <c r="T1095" s="7"/>
      <c r="U1095" s="7"/>
      <c r="V1095" s="7"/>
      <c r="W1095" s="7"/>
      <c r="X1095" s="7"/>
      <c r="Y1095" s="7"/>
      <c r="Z1095" s="7"/>
      <c r="AA1095" s="7"/>
      <c r="AB1095" s="7"/>
      <c r="AC1095" s="7"/>
      <c r="AD1095" s="7"/>
      <c r="AE1095" s="7"/>
      <c r="AF1095" s="7"/>
      <c r="AG1095" s="7"/>
      <c r="AH1095" s="7"/>
      <c r="AI1095" s="7"/>
    </row>
    <row r="1096" spans="12:35">
      <c r="L1096" s="7">
        <v>33</v>
      </c>
      <c r="M1096" s="7">
        <v>46</v>
      </c>
      <c r="N1096" s="7" t="b">
        <f>AND($N$6,$N$6,2&lt;=$M$6,15&lt;=$M$6)</f>
        <v>0</v>
      </c>
      <c r="O1096" s="7">
        <f>(P33-N33)*(O46-O33)-(Q33-O33)*(N46-N33)</f>
        <v>0</v>
      </c>
      <c r="P1096" s="7">
        <f>(P33-N33)*(Q46-O33)-(Q33-O33)*(P46-N33)</f>
        <v>0</v>
      </c>
      <c r="Q1096" s="7">
        <f>(P46-N46)*(O33-O46)-(Q46-O46)*(N33-N46)</f>
        <v>0</v>
      </c>
      <c r="R1096" s="7">
        <f>(P46-N46)*(Q33-O46)-(Q46-O46)*(P33-N46)</f>
        <v>0</v>
      </c>
      <c r="S1096" s="7">
        <f>IF(N1096,IF(AND(O1096*P1096&lt;=0,Q1096*R1096&lt;=0,MAX(MIN(N33,P33),MIN(N46,P46))&lt;=MIN(MAX(N33,P33),MAX(N46,P46)),MAX(MIN(O33,Q33),MIN(O46,Q46))&lt;=MIN(MAX(O33,Q33),MAX(O46,Q46))),1,0),0)</f>
        <v>0</v>
      </c>
      <c r="T1096" s="7"/>
      <c r="U1096" s="7"/>
      <c r="V1096" s="7"/>
      <c r="W1096" s="7"/>
      <c r="X1096" s="7"/>
      <c r="Y1096" s="7"/>
      <c r="Z1096" s="7"/>
      <c r="AA1096" s="7"/>
      <c r="AB1096" s="7"/>
      <c r="AC1096" s="7"/>
      <c r="AD1096" s="7"/>
      <c r="AE1096" s="7"/>
      <c r="AF1096" s="7"/>
      <c r="AG1096" s="7"/>
      <c r="AH1096" s="7"/>
      <c r="AI1096" s="7"/>
    </row>
    <row r="1097" spans="12:35">
      <c r="L1097" s="7">
        <v>33</v>
      </c>
      <c r="M1097" s="7">
        <v>47</v>
      </c>
      <c r="N1097" s="7" t="b">
        <f>AND($N$6,$N$6,2&lt;=$M$6,16&lt;=$M$6)</f>
        <v>0</v>
      </c>
      <c r="O1097" s="7">
        <f>(P33-N33)*(O47-O33)-(Q33-O33)*(N47-N33)</f>
        <v>0</v>
      </c>
      <c r="P1097" s="7">
        <f>(P33-N33)*(Q47-O33)-(Q33-O33)*(P47-N33)</f>
        <v>0</v>
      </c>
      <c r="Q1097" s="7">
        <f>(P47-N47)*(O33-O47)-(Q47-O47)*(N33-N47)</f>
        <v>0</v>
      </c>
      <c r="R1097" s="7">
        <f>(P47-N47)*(Q33-O47)-(Q47-O47)*(P33-N47)</f>
        <v>0</v>
      </c>
      <c r="S1097" s="7">
        <f>IF(N1097,IF(AND(O1097*P1097&lt;=0,Q1097*R1097&lt;=0,MAX(MIN(N33,P33),MIN(N47,P47))&lt;=MIN(MAX(N33,P33),MAX(N47,P47)),MAX(MIN(O33,Q33),MIN(O47,Q47))&lt;=MIN(MAX(O33,Q33),MAX(O47,Q47))),1,0),0)</f>
        <v>0</v>
      </c>
      <c r="T1097" s="7"/>
      <c r="U1097" s="7"/>
      <c r="V1097" s="7"/>
      <c r="W1097" s="7"/>
      <c r="X1097" s="7"/>
      <c r="Y1097" s="7"/>
      <c r="Z1097" s="7"/>
      <c r="AA1097" s="7"/>
      <c r="AB1097" s="7"/>
      <c r="AC1097" s="7"/>
      <c r="AD1097" s="7"/>
      <c r="AE1097" s="7"/>
      <c r="AF1097" s="7"/>
      <c r="AG1097" s="7"/>
      <c r="AH1097" s="7"/>
      <c r="AI1097" s="7"/>
    </row>
    <row r="1098" spans="12:35">
      <c r="L1098" s="7">
        <v>33</v>
      </c>
      <c r="M1098" s="7">
        <v>48</v>
      </c>
      <c r="N1098" s="7" t="b">
        <f>AND($N$6,$N$6,2&lt;=$M$6,17&lt;=$M$6)</f>
        <v>0</v>
      </c>
      <c r="O1098" s="7">
        <f>(P33-N33)*(O48-O33)-(Q33-O33)*(N48-N33)</f>
        <v>0</v>
      </c>
      <c r="P1098" s="7">
        <f>(P33-N33)*(Q48-O33)-(Q33-O33)*(P48-N33)</f>
        <v>0</v>
      </c>
      <c r="Q1098" s="7">
        <f>(P48-N48)*(O33-O48)-(Q48-O48)*(N33-N48)</f>
        <v>0</v>
      </c>
      <c r="R1098" s="7">
        <f>(P48-N48)*(Q33-O48)-(Q48-O48)*(P33-N48)</f>
        <v>0</v>
      </c>
      <c r="S1098" s="7">
        <f>IF(N1098,IF(AND(O1098*P1098&lt;=0,Q1098*R1098&lt;=0,MAX(MIN(N33,P33),MIN(N48,P48))&lt;=MIN(MAX(N33,P33),MAX(N48,P48)),MAX(MIN(O33,Q33),MIN(O48,Q48))&lt;=MIN(MAX(O33,Q33),MAX(O48,Q48))),1,0),0)</f>
        <v>0</v>
      </c>
      <c r="T1098" s="7"/>
      <c r="U1098" s="7"/>
      <c r="V1098" s="7"/>
      <c r="W1098" s="7"/>
      <c r="X1098" s="7"/>
      <c r="Y1098" s="7"/>
      <c r="Z1098" s="7"/>
      <c r="AA1098" s="7"/>
      <c r="AB1098" s="7"/>
      <c r="AC1098" s="7"/>
      <c r="AD1098" s="7"/>
      <c r="AE1098" s="7"/>
      <c r="AF1098" s="7"/>
      <c r="AG1098" s="7"/>
      <c r="AH1098" s="7"/>
      <c r="AI1098" s="7"/>
    </row>
    <row r="1099" spans="12:35">
      <c r="L1099" s="7">
        <v>33</v>
      </c>
      <c r="M1099" s="7">
        <v>49</v>
      </c>
      <c r="N1099" s="7" t="b">
        <f>AND($N$6,$N$6,2&lt;=$M$6,18&lt;=$M$6)</f>
        <v>0</v>
      </c>
      <c r="O1099" s="7">
        <f>(P33-N33)*(O49-O33)-(Q33-O33)*(N49-N33)</f>
        <v>0</v>
      </c>
      <c r="P1099" s="7">
        <f>(P33-N33)*(Q49-O33)-(Q33-O33)*(P49-N33)</f>
        <v>0</v>
      </c>
      <c r="Q1099" s="7">
        <f>(P49-N49)*(O33-O49)-(Q49-O49)*(N33-N49)</f>
        <v>0</v>
      </c>
      <c r="R1099" s="7">
        <f>(P49-N49)*(Q33-O49)-(Q49-O49)*(P33-N49)</f>
        <v>0</v>
      </c>
      <c r="S1099" s="7">
        <f>IF(N1099,IF(AND(O1099*P1099&lt;=0,Q1099*R1099&lt;=0,MAX(MIN(N33,P33),MIN(N49,P49))&lt;=MIN(MAX(N33,P33),MAX(N49,P49)),MAX(MIN(O33,Q33),MIN(O49,Q49))&lt;=MIN(MAX(O33,Q33),MAX(O49,Q49))),1,0),0)</f>
        <v>0</v>
      </c>
      <c r="T1099" s="7"/>
      <c r="U1099" s="7"/>
      <c r="V1099" s="7"/>
      <c r="W1099" s="7"/>
      <c r="X1099" s="7"/>
      <c r="Y1099" s="7"/>
      <c r="Z1099" s="7"/>
      <c r="AA1099" s="7"/>
      <c r="AB1099" s="7"/>
      <c r="AC1099" s="7"/>
      <c r="AD1099" s="7"/>
      <c r="AE1099" s="7"/>
      <c r="AF1099" s="7"/>
      <c r="AG1099" s="7"/>
      <c r="AH1099" s="7"/>
      <c r="AI1099" s="7"/>
    </row>
    <row r="1100" spans="12:35">
      <c r="L1100" s="7">
        <v>33</v>
      </c>
      <c r="M1100" s="7">
        <v>50</v>
      </c>
      <c r="N1100" s="7" t="b">
        <f>AND($N$6,$N$6,2&lt;=$M$6,19&lt;=$M$6)</f>
        <v>0</v>
      </c>
      <c r="O1100" s="7">
        <f>(P33-N33)*(O50-O33)-(Q33-O33)*(N50-N33)</f>
        <v>0</v>
      </c>
      <c r="P1100" s="7">
        <f>(P33-N33)*(Q50-O33)-(Q33-O33)*(P50-N33)</f>
        <v>0</v>
      </c>
      <c r="Q1100" s="7">
        <f>(P50-N50)*(O33-O50)-(Q50-O50)*(N33-N50)</f>
        <v>0</v>
      </c>
      <c r="R1100" s="7">
        <f>(P50-N50)*(Q33-O50)-(Q50-O50)*(P33-N50)</f>
        <v>0</v>
      </c>
      <c r="S1100" s="7">
        <f>IF(N1100,IF(AND(O1100*P1100&lt;=0,Q1100*R1100&lt;=0,MAX(MIN(N33,P33),MIN(N50,P50))&lt;=MIN(MAX(N33,P33),MAX(N50,P50)),MAX(MIN(O33,Q33),MIN(O50,Q50))&lt;=MIN(MAX(O33,Q33),MAX(O50,Q50))),1,0),0)</f>
        <v>0</v>
      </c>
      <c r="T1100" s="7"/>
      <c r="U1100" s="7"/>
      <c r="V1100" s="7"/>
      <c r="W1100" s="7"/>
      <c r="X1100" s="7"/>
      <c r="Y1100" s="7"/>
      <c r="Z1100" s="7"/>
      <c r="AA1100" s="7"/>
      <c r="AB1100" s="7"/>
      <c r="AC1100" s="7"/>
      <c r="AD1100" s="7"/>
      <c r="AE1100" s="7"/>
      <c r="AF1100" s="7"/>
      <c r="AG1100" s="7"/>
      <c r="AH1100" s="7"/>
      <c r="AI1100" s="7"/>
    </row>
    <row r="1101" spans="12:35">
      <c r="L1101" s="7">
        <v>33</v>
      </c>
      <c r="M1101" s="7">
        <v>51</v>
      </c>
      <c r="N1101" s="7" t="b">
        <f>AND($N$6,$N$6,2&lt;=$M$6,20&lt;=$M$6)</f>
        <v>0</v>
      </c>
      <c r="O1101" s="7">
        <f>(P33-N33)*(O51-O33)-(Q33-O33)*(N51-N33)</f>
        <v>0</v>
      </c>
      <c r="P1101" s="7">
        <f>(P33-N33)*(Q51-O33)-(Q33-O33)*(P51-N33)</f>
        <v>0</v>
      </c>
      <c r="Q1101" s="7">
        <f>(P51-N51)*(O33-O51)-(Q51-O51)*(N33-N51)</f>
        <v>0</v>
      </c>
      <c r="R1101" s="7">
        <f>(P51-N51)*(Q33-O51)-(Q51-O51)*(P33-N51)</f>
        <v>0</v>
      </c>
      <c r="S1101" s="7">
        <f>IF(N1101,IF(AND(O1101*P1101&lt;=0,Q1101*R1101&lt;=0,MAX(MIN(N33,P33),MIN(N51,P51))&lt;=MIN(MAX(N33,P33),MAX(N51,P51)),MAX(MIN(O33,Q33),MIN(O51,Q51))&lt;=MIN(MAX(O33,Q33),MAX(O51,Q51))),1,0),0)</f>
        <v>0</v>
      </c>
      <c r="T1101" s="7"/>
      <c r="U1101" s="7"/>
      <c r="V1101" s="7"/>
      <c r="W1101" s="7"/>
      <c r="X1101" s="7"/>
      <c r="Y1101" s="7"/>
      <c r="Z1101" s="7"/>
      <c r="AA1101" s="7"/>
      <c r="AB1101" s="7"/>
      <c r="AC1101" s="7"/>
      <c r="AD1101" s="7"/>
      <c r="AE1101" s="7"/>
      <c r="AF1101" s="7"/>
      <c r="AG1101" s="7"/>
      <c r="AH1101" s="7"/>
      <c r="AI1101" s="7"/>
    </row>
    <row r="1102" spans="12:35">
      <c r="L1102" s="7">
        <v>33</v>
      </c>
      <c r="M1102" s="7">
        <v>52</v>
      </c>
      <c r="N1102" s="7" t="b">
        <f>AND($N$6,$N$7,2&lt;=$M$6,1&lt;=$M$7)</f>
        <v>0</v>
      </c>
      <c r="O1102" s="7">
        <f>(P33-N33)*(O52-O33)-(Q33-O33)*(N52-N33)</f>
        <v>0</v>
      </c>
      <c r="P1102" s="7">
        <f>(P33-N33)*(Q52-O33)-(Q33-O33)*(P52-N33)</f>
        <v>0</v>
      </c>
      <c r="Q1102" s="7">
        <f>(P52-N52)*(O33-O52)-(Q52-O52)*(N33-N52)</f>
        <v>0</v>
      </c>
      <c r="R1102" s="7">
        <f>(P52-N52)*(Q33-O52)-(Q52-O52)*(P33-N52)</f>
        <v>0</v>
      </c>
      <c r="S1102" s="7">
        <f>IF(N1102,IF(AND(O1102*P1102&lt;=0,Q1102*R1102&lt;=0,MAX(MIN(N33,P33),MIN(N52,P52))&lt;=MIN(MAX(N33,P33),MAX(N52,P52)),MAX(MIN(O33,Q33),MIN(O52,Q52))&lt;=MIN(MAX(O33,Q33),MAX(O52,Q52))),1,0),0)</f>
        <v>0</v>
      </c>
      <c r="T1102" s="7"/>
      <c r="U1102" s="7"/>
      <c r="V1102" s="7"/>
      <c r="W1102" s="7"/>
      <c r="X1102" s="7"/>
      <c r="Y1102" s="7"/>
      <c r="Z1102" s="7"/>
      <c r="AA1102" s="7"/>
      <c r="AB1102" s="7"/>
      <c r="AC1102" s="7"/>
      <c r="AD1102" s="7"/>
      <c r="AE1102" s="7"/>
      <c r="AF1102" s="7"/>
      <c r="AG1102" s="7"/>
      <c r="AH1102" s="7"/>
      <c r="AI1102" s="7"/>
    </row>
    <row r="1103" spans="12:35">
      <c r="L1103" s="7">
        <v>33</v>
      </c>
      <c r="M1103" s="7">
        <v>53</v>
      </c>
      <c r="N1103" s="7" t="b">
        <f>AND($N$6,$N$7,2&lt;=$M$6,2&lt;=$M$7)</f>
        <v>0</v>
      </c>
      <c r="O1103" s="7">
        <f>(P33-N33)*(O53-O33)-(Q33-O33)*(N53-N33)</f>
        <v>0</v>
      </c>
      <c r="P1103" s="7">
        <f>(P33-N33)*(Q53-O33)-(Q33-O33)*(P53-N33)</f>
        <v>0</v>
      </c>
      <c r="Q1103" s="7">
        <f>(P53-N53)*(O33-O53)-(Q53-O53)*(N33-N53)</f>
        <v>0</v>
      </c>
      <c r="R1103" s="7">
        <f>(P53-N53)*(Q33-O53)-(Q53-O53)*(P33-N53)</f>
        <v>0</v>
      </c>
      <c r="S1103" s="7">
        <f>IF(N1103,IF(AND(O1103*P1103&lt;=0,Q1103*R1103&lt;=0,MAX(MIN(N33,P33),MIN(N53,P53))&lt;=MIN(MAX(N33,P33),MAX(N53,P53)),MAX(MIN(O33,Q33),MIN(O53,Q53))&lt;=MIN(MAX(O33,Q33),MAX(O53,Q53))),1,0),0)</f>
        <v>0</v>
      </c>
      <c r="T1103" s="7"/>
      <c r="U1103" s="7"/>
      <c r="V1103" s="7"/>
      <c r="W1103" s="7"/>
      <c r="X1103" s="7"/>
      <c r="Y1103" s="7"/>
      <c r="Z1103" s="7"/>
      <c r="AA1103" s="7"/>
      <c r="AB1103" s="7"/>
      <c r="AC1103" s="7"/>
      <c r="AD1103" s="7"/>
      <c r="AE1103" s="7"/>
      <c r="AF1103" s="7"/>
      <c r="AG1103" s="7"/>
      <c r="AH1103" s="7"/>
      <c r="AI1103" s="7"/>
    </row>
    <row r="1104" spans="12:35">
      <c r="L1104" s="7">
        <v>33</v>
      </c>
      <c r="M1104" s="7">
        <v>54</v>
      </c>
      <c r="N1104" s="7" t="b">
        <f>AND($N$6,$N$7,2&lt;=$M$6,3&lt;=$M$7)</f>
        <v>0</v>
      </c>
      <c r="O1104" s="7">
        <f>(P33-N33)*(O54-O33)-(Q33-O33)*(N54-N33)</f>
        <v>0</v>
      </c>
      <c r="P1104" s="7">
        <f>(P33-N33)*(Q54-O33)-(Q33-O33)*(P54-N33)</f>
        <v>0</v>
      </c>
      <c r="Q1104" s="7">
        <f>(P54-N54)*(O33-O54)-(Q54-O54)*(N33-N54)</f>
        <v>0</v>
      </c>
      <c r="R1104" s="7">
        <f>(P54-N54)*(Q33-O54)-(Q54-O54)*(P33-N54)</f>
        <v>0</v>
      </c>
      <c r="S1104" s="7">
        <f>IF(N1104,IF(AND(O1104*P1104&lt;=0,Q1104*R1104&lt;=0,MAX(MIN(N33,P33),MIN(N54,P54))&lt;=MIN(MAX(N33,P33),MAX(N54,P54)),MAX(MIN(O33,Q33),MIN(O54,Q54))&lt;=MIN(MAX(O33,Q33),MAX(O54,Q54))),1,0),0)</f>
        <v>0</v>
      </c>
      <c r="T1104" s="7"/>
      <c r="U1104" s="7"/>
      <c r="V1104" s="7"/>
      <c r="W1104" s="7"/>
      <c r="X1104" s="7"/>
      <c r="Y1104" s="7"/>
      <c r="Z1104" s="7"/>
      <c r="AA1104" s="7"/>
      <c r="AB1104" s="7"/>
      <c r="AC1104" s="7"/>
      <c r="AD1104" s="7"/>
      <c r="AE1104" s="7"/>
      <c r="AF1104" s="7"/>
      <c r="AG1104" s="7"/>
      <c r="AH1104" s="7"/>
      <c r="AI1104" s="7"/>
    </row>
    <row r="1105" spans="12:35">
      <c r="L1105" s="7">
        <v>33</v>
      </c>
      <c r="M1105" s="7">
        <v>55</v>
      </c>
      <c r="N1105" s="7" t="b">
        <f>AND($N$6,$N$7,2&lt;=$M$6,4&lt;=$M$7)</f>
        <v>0</v>
      </c>
      <c r="O1105" s="7">
        <f>(P33-N33)*(O55-O33)-(Q33-O33)*(N55-N33)</f>
        <v>0</v>
      </c>
      <c r="P1105" s="7">
        <f>(P33-N33)*(Q55-O33)-(Q33-O33)*(P55-N33)</f>
        <v>0</v>
      </c>
      <c r="Q1105" s="7">
        <f>(P55-N55)*(O33-O55)-(Q55-O55)*(N33-N55)</f>
        <v>0</v>
      </c>
      <c r="R1105" s="7">
        <f>(P55-N55)*(Q33-O55)-(Q55-O55)*(P33-N55)</f>
        <v>0</v>
      </c>
      <c r="S1105" s="7">
        <f>IF(N1105,IF(AND(O1105*P1105&lt;=0,Q1105*R1105&lt;=0,MAX(MIN(N33,P33),MIN(N55,P55))&lt;=MIN(MAX(N33,P33),MAX(N55,P55)),MAX(MIN(O33,Q33),MIN(O55,Q55))&lt;=MIN(MAX(O33,Q33),MAX(O55,Q55))),1,0),0)</f>
        <v>0</v>
      </c>
      <c r="T1105" s="7"/>
      <c r="U1105" s="7"/>
      <c r="V1105" s="7"/>
      <c r="W1105" s="7"/>
      <c r="X1105" s="7"/>
      <c r="Y1105" s="7"/>
      <c r="Z1105" s="7"/>
      <c r="AA1105" s="7"/>
      <c r="AB1105" s="7"/>
      <c r="AC1105" s="7"/>
      <c r="AD1105" s="7"/>
      <c r="AE1105" s="7"/>
      <c r="AF1105" s="7"/>
      <c r="AG1105" s="7"/>
      <c r="AH1105" s="7"/>
      <c r="AI1105" s="7"/>
    </row>
    <row r="1106" spans="12:35">
      <c r="L1106" s="7">
        <v>33</v>
      </c>
      <c r="M1106" s="7">
        <v>56</v>
      </c>
      <c r="N1106" s="7" t="b">
        <f>AND($N$6,$N$7,2&lt;=$M$6,5&lt;=$M$7)</f>
        <v>0</v>
      </c>
      <c r="O1106" s="7">
        <f>(P33-N33)*(O56-O33)-(Q33-O33)*(N56-N33)</f>
        <v>0</v>
      </c>
      <c r="P1106" s="7">
        <f>(P33-N33)*(Q56-O33)-(Q33-O33)*(P56-N33)</f>
        <v>0</v>
      </c>
      <c r="Q1106" s="7">
        <f>(P56-N56)*(O33-O56)-(Q56-O56)*(N33-N56)</f>
        <v>0</v>
      </c>
      <c r="R1106" s="7">
        <f>(P56-N56)*(Q33-O56)-(Q56-O56)*(P33-N56)</f>
        <v>0</v>
      </c>
      <c r="S1106" s="7">
        <f>IF(N1106,IF(AND(O1106*P1106&lt;=0,Q1106*R1106&lt;=0,MAX(MIN(N33,P33),MIN(N56,P56))&lt;=MIN(MAX(N33,P33),MAX(N56,P56)),MAX(MIN(O33,Q33),MIN(O56,Q56))&lt;=MIN(MAX(O33,Q33),MAX(O56,Q56))),1,0),0)</f>
        <v>0</v>
      </c>
      <c r="T1106" s="7"/>
      <c r="U1106" s="7"/>
      <c r="V1106" s="7"/>
      <c r="W1106" s="7"/>
      <c r="X1106" s="7"/>
      <c r="Y1106" s="7"/>
      <c r="Z1106" s="7"/>
      <c r="AA1106" s="7"/>
      <c r="AB1106" s="7"/>
      <c r="AC1106" s="7"/>
      <c r="AD1106" s="7"/>
      <c r="AE1106" s="7"/>
      <c r="AF1106" s="7"/>
      <c r="AG1106" s="7"/>
      <c r="AH1106" s="7"/>
      <c r="AI1106" s="7"/>
    </row>
    <row r="1107" spans="12:35">
      <c r="L1107" s="7">
        <v>33</v>
      </c>
      <c r="M1107" s="7">
        <v>57</v>
      </c>
      <c r="N1107" s="7" t="b">
        <f>AND($N$6,$N$7,2&lt;=$M$6,6&lt;=$M$7)</f>
        <v>0</v>
      </c>
      <c r="O1107" s="7">
        <f>(P33-N33)*(O57-O33)-(Q33-O33)*(N57-N33)</f>
        <v>0</v>
      </c>
      <c r="P1107" s="7">
        <f>(P33-N33)*(Q57-O33)-(Q33-O33)*(P57-N33)</f>
        <v>0</v>
      </c>
      <c r="Q1107" s="7">
        <f>(P57-N57)*(O33-O57)-(Q57-O57)*(N33-N57)</f>
        <v>0</v>
      </c>
      <c r="R1107" s="7">
        <f>(P57-N57)*(Q33-O57)-(Q57-O57)*(P33-N57)</f>
        <v>0</v>
      </c>
      <c r="S1107" s="7">
        <f>IF(N1107,IF(AND(O1107*P1107&lt;=0,Q1107*R1107&lt;=0,MAX(MIN(N33,P33),MIN(N57,P57))&lt;=MIN(MAX(N33,P33),MAX(N57,P57)),MAX(MIN(O33,Q33),MIN(O57,Q57))&lt;=MIN(MAX(O33,Q33),MAX(O57,Q57))),1,0),0)</f>
        <v>0</v>
      </c>
      <c r="T1107" s="7"/>
      <c r="U1107" s="7"/>
      <c r="V1107" s="7"/>
      <c r="W1107" s="7"/>
      <c r="X1107" s="7"/>
      <c r="Y1107" s="7"/>
      <c r="Z1107" s="7"/>
      <c r="AA1107" s="7"/>
      <c r="AB1107" s="7"/>
      <c r="AC1107" s="7"/>
      <c r="AD1107" s="7"/>
      <c r="AE1107" s="7"/>
      <c r="AF1107" s="7"/>
      <c r="AG1107" s="7"/>
      <c r="AH1107" s="7"/>
      <c r="AI1107" s="7"/>
    </row>
    <row r="1108" spans="12:35">
      <c r="L1108" s="7">
        <v>33</v>
      </c>
      <c r="M1108" s="7">
        <v>58</v>
      </c>
      <c r="N1108" s="7" t="b">
        <f>AND($N$6,$N$7,2&lt;=$M$6,7&lt;=$M$7)</f>
        <v>0</v>
      </c>
      <c r="O1108" s="7">
        <f>(P33-N33)*(O58-O33)-(Q33-O33)*(N58-N33)</f>
        <v>0</v>
      </c>
      <c r="P1108" s="7">
        <f>(P33-N33)*(Q58-O33)-(Q33-O33)*(P58-N33)</f>
        <v>0</v>
      </c>
      <c r="Q1108" s="7">
        <f>(P58-N58)*(O33-O58)-(Q58-O58)*(N33-N58)</f>
        <v>0</v>
      </c>
      <c r="R1108" s="7">
        <f>(P58-N58)*(Q33-O58)-(Q58-O58)*(P33-N58)</f>
        <v>0</v>
      </c>
      <c r="S1108" s="7">
        <f>IF(N1108,IF(AND(O1108*P1108&lt;=0,Q1108*R1108&lt;=0,MAX(MIN(N33,P33),MIN(N58,P58))&lt;=MIN(MAX(N33,P33),MAX(N58,P58)),MAX(MIN(O33,Q33),MIN(O58,Q58))&lt;=MIN(MAX(O33,Q33),MAX(O58,Q58))),1,0),0)</f>
        <v>0</v>
      </c>
      <c r="T1108" s="7"/>
      <c r="U1108" s="7"/>
      <c r="V1108" s="7"/>
      <c r="W1108" s="7"/>
      <c r="X1108" s="7"/>
      <c r="Y1108" s="7"/>
      <c r="Z1108" s="7"/>
      <c r="AA1108" s="7"/>
      <c r="AB1108" s="7"/>
      <c r="AC1108" s="7"/>
      <c r="AD1108" s="7"/>
      <c r="AE1108" s="7"/>
      <c r="AF1108" s="7"/>
      <c r="AG1108" s="7"/>
      <c r="AH1108" s="7"/>
      <c r="AI1108" s="7"/>
    </row>
    <row r="1109" spans="12:35">
      <c r="L1109" s="7">
        <v>33</v>
      </c>
      <c r="M1109" s="7">
        <v>59</v>
      </c>
      <c r="N1109" s="7" t="b">
        <f>AND($N$6,$N$7,2&lt;=$M$6,8&lt;=$M$7)</f>
        <v>0</v>
      </c>
      <c r="O1109" s="7">
        <f>(P33-N33)*(O59-O33)-(Q33-O33)*(N59-N33)</f>
        <v>0</v>
      </c>
      <c r="P1109" s="7">
        <f>(P33-N33)*(Q59-O33)-(Q33-O33)*(P59-N33)</f>
        <v>0</v>
      </c>
      <c r="Q1109" s="7">
        <f>(P59-N59)*(O33-O59)-(Q59-O59)*(N33-N59)</f>
        <v>0</v>
      </c>
      <c r="R1109" s="7">
        <f>(P59-N59)*(Q33-O59)-(Q59-O59)*(P33-N59)</f>
        <v>0</v>
      </c>
      <c r="S1109" s="7">
        <f>IF(N1109,IF(AND(O1109*P1109&lt;=0,Q1109*R1109&lt;=0,MAX(MIN(N33,P33),MIN(N59,P59))&lt;=MIN(MAX(N33,P33),MAX(N59,P59)),MAX(MIN(O33,Q33),MIN(O59,Q59))&lt;=MIN(MAX(O33,Q33),MAX(O59,Q59))),1,0),0)</f>
        <v>0</v>
      </c>
      <c r="T1109" s="7"/>
      <c r="U1109" s="7"/>
      <c r="V1109" s="7"/>
      <c r="W1109" s="7"/>
      <c r="X1109" s="7"/>
      <c r="Y1109" s="7"/>
      <c r="Z1109" s="7"/>
      <c r="AA1109" s="7"/>
      <c r="AB1109" s="7"/>
      <c r="AC1109" s="7"/>
      <c r="AD1109" s="7"/>
      <c r="AE1109" s="7"/>
      <c r="AF1109" s="7"/>
      <c r="AG1109" s="7"/>
      <c r="AH1109" s="7"/>
      <c r="AI1109" s="7"/>
    </row>
    <row r="1110" spans="12:35">
      <c r="L1110" s="7">
        <v>33</v>
      </c>
      <c r="M1110" s="7">
        <v>60</v>
      </c>
      <c r="N1110" s="7" t="b">
        <f>AND($N$6,$N$7,2&lt;=$M$6,9&lt;=$M$7)</f>
        <v>0</v>
      </c>
      <c r="O1110" s="7">
        <f>(P33-N33)*(O60-O33)-(Q33-O33)*(N60-N33)</f>
        <v>0</v>
      </c>
      <c r="P1110" s="7">
        <f>(P33-N33)*(Q60-O33)-(Q33-O33)*(P60-N33)</f>
        <v>0</v>
      </c>
      <c r="Q1110" s="7">
        <f>(P60-N60)*(O33-O60)-(Q60-O60)*(N33-N60)</f>
        <v>0</v>
      </c>
      <c r="R1110" s="7">
        <f>(P60-N60)*(Q33-O60)-(Q60-O60)*(P33-N60)</f>
        <v>0</v>
      </c>
      <c r="S1110" s="7">
        <f>IF(N1110,IF(AND(O1110*P1110&lt;=0,Q1110*R1110&lt;=0,MAX(MIN(N33,P33),MIN(N60,P60))&lt;=MIN(MAX(N33,P33),MAX(N60,P60)),MAX(MIN(O33,Q33),MIN(O60,Q60))&lt;=MIN(MAX(O33,Q33),MAX(O60,Q60))),1,0),0)</f>
        <v>0</v>
      </c>
      <c r="T1110" s="7"/>
      <c r="U1110" s="7"/>
      <c r="V1110" s="7"/>
      <c r="W1110" s="7"/>
      <c r="X1110" s="7"/>
      <c r="Y1110" s="7"/>
      <c r="Z1110" s="7"/>
      <c r="AA1110" s="7"/>
      <c r="AB1110" s="7"/>
      <c r="AC1110" s="7"/>
      <c r="AD1110" s="7"/>
      <c r="AE1110" s="7"/>
      <c r="AF1110" s="7"/>
      <c r="AG1110" s="7"/>
      <c r="AH1110" s="7"/>
      <c r="AI1110" s="7"/>
    </row>
    <row r="1111" spans="12:35">
      <c r="L1111" s="7">
        <v>33</v>
      </c>
      <c r="M1111" s="7">
        <v>61</v>
      </c>
      <c r="N1111" s="7" t="b">
        <f>AND($N$6,$N$7,2&lt;=$M$6,10&lt;=$M$7)</f>
        <v>0</v>
      </c>
      <c r="O1111" s="7">
        <f>(P33-N33)*(O61-O33)-(Q33-O33)*(N61-N33)</f>
        <v>0</v>
      </c>
      <c r="P1111" s="7">
        <f>(P33-N33)*(Q61-O33)-(Q33-O33)*(P61-N33)</f>
        <v>0</v>
      </c>
      <c r="Q1111" s="7">
        <f>(P61-N61)*(O33-O61)-(Q61-O61)*(N33-N61)</f>
        <v>0</v>
      </c>
      <c r="R1111" s="7">
        <f>(P61-N61)*(Q33-O61)-(Q61-O61)*(P33-N61)</f>
        <v>0</v>
      </c>
      <c r="S1111" s="7">
        <f>IF(N1111,IF(AND(O1111*P1111&lt;=0,Q1111*R1111&lt;=0,MAX(MIN(N33,P33),MIN(N61,P61))&lt;=MIN(MAX(N33,P33),MAX(N61,P61)),MAX(MIN(O33,Q33),MIN(O61,Q61))&lt;=MIN(MAX(O33,Q33),MAX(O61,Q61))),1,0),0)</f>
        <v>0</v>
      </c>
      <c r="T1111" s="7"/>
      <c r="U1111" s="7"/>
      <c r="V1111" s="7"/>
      <c r="W1111" s="7"/>
      <c r="X1111" s="7"/>
      <c r="Y1111" s="7"/>
      <c r="Z1111" s="7"/>
      <c r="AA1111" s="7"/>
      <c r="AB1111" s="7"/>
      <c r="AC1111" s="7"/>
      <c r="AD1111" s="7"/>
      <c r="AE1111" s="7"/>
      <c r="AF1111" s="7"/>
      <c r="AG1111" s="7"/>
      <c r="AH1111" s="7"/>
      <c r="AI1111" s="7"/>
    </row>
    <row r="1112" spans="12:35">
      <c r="L1112" s="7">
        <v>33</v>
      </c>
      <c r="M1112" s="7">
        <v>62</v>
      </c>
      <c r="N1112" s="7" t="b">
        <f>AND($N$6,$N$7,2&lt;=$M$6,11&lt;=$M$7)</f>
        <v>0</v>
      </c>
      <c r="O1112" s="7">
        <f>(P33-N33)*(O62-O33)-(Q33-O33)*(N62-N33)</f>
        <v>0</v>
      </c>
      <c r="P1112" s="7">
        <f>(P33-N33)*(Q62-O33)-(Q33-O33)*(P62-N33)</f>
        <v>0</v>
      </c>
      <c r="Q1112" s="7">
        <f>(P62-N62)*(O33-O62)-(Q62-O62)*(N33-N62)</f>
        <v>0</v>
      </c>
      <c r="R1112" s="7">
        <f>(P62-N62)*(Q33-O62)-(Q62-O62)*(P33-N62)</f>
        <v>0</v>
      </c>
      <c r="S1112" s="7">
        <f>IF(N1112,IF(AND(O1112*P1112&lt;=0,Q1112*R1112&lt;=0,MAX(MIN(N33,P33),MIN(N62,P62))&lt;=MIN(MAX(N33,P33),MAX(N62,P62)),MAX(MIN(O33,Q33),MIN(O62,Q62))&lt;=MIN(MAX(O33,Q33),MAX(O62,Q62))),1,0),0)</f>
        <v>0</v>
      </c>
      <c r="T1112" s="7"/>
      <c r="U1112" s="7"/>
      <c r="V1112" s="7"/>
      <c r="W1112" s="7"/>
      <c r="X1112" s="7"/>
      <c r="Y1112" s="7"/>
      <c r="Z1112" s="7"/>
      <c r="AA1112" s="7"/>
      <c r="AB1112" s="7"/>
      <c r="AC1112" s="7"/>
      <c r="AD1112" s="7"/>
      <c r="AE1112" s="7"/>
      <c r="AF1112" s="7"/>
      <c r="AG1112" s="7"/>
      <c r="AH1112" s="7"/>
      <c r="AI1112" s="7"/>
    </row>
    <row r="1113" spans="12:35">
      <c r="L1113" s="7">
        <v>33</v>
      </c>
      <c r="M1113" s="7">
        <v>63</v>
      </c>
      <c r="N1113" s="7" t="b">
        <f>AND($N$6,$N$7,2&lt;=$M$6,12&lt;=$M$7)</f>
        <v>0</v>
      </c>
      <c r="O1113" s="7">
        <f>(P33-N33)*(O63-O33)-(Q33-O33)*(N63-N33)</f>
        <v>0</v>
      </c>
      <c r="P1113" s="7">
        <f>(P33-N33)*(Q63-O33)-(Q33-O33)*(P63-N33)</f>
        <v>0</v>
      </c>
      <c r="Q1113" s="7">
        <f>(P63-N63)*(O33-O63)-(Q63-O63)*(N33-N63)</f>
        <v>0</v>
      </c>
      <c r="R1113" s="7">
        <f>(P63-N63)*(Q33-O63)-(Q63-O63)*(P33-N63)</f>
        <v>0</v>
      </c>
      <c r="S1113" s="7">
        <f>IF(N1113,IF(AND(O1113*P1113&lt;=0,Q1113*R1113&lt;=0,MAX(MIN(N33,P33),MIN(N63,P63))&lt;=MIN(MAX(N33,P33),MAX(N63,P63)),MAX(MIN(O33,Q33),MIN(O63,Q63))&lt;=MIN(MAX(O33,Q33),MAX(O63,Q63))),1,0),0)</f>
        <v>0</v>
      </c>
      <c r="T1113" s="7"/>
      <c r="U1113" s="7"/>
      <c r="V1113" s="7"/>
      <c r="W1113" s="7"/>
      <c r="X1113" s="7"/>
      <c r="Y1113" s="7"/>
      <c r="Z1113" s="7"/>
      <c r="AA1113" s="7"/>
      <c r="AB1113" s="7"/>
      <c r="AC1113" s="7"/>
      <c r="AD1113" s="7"/>
      <c r="AE1113" s="7"/>
      <c r="AF1113" s="7"/>
      <c r="AG1113" s="7"/>
      <c r="AH1113" s="7"/>
      <c r="AI1113" s="7"/>
    </row>
    <row r="1114" spans="12:35">
      <c r="L1114" s="7">
        <v>33</v>
      </c>
      <c r="M1114" s="7">
        <v>64</v>
      </c>
      <c r="N1114" s="7" t="b">
        <f>AND($N$6,$N$7,2&lt;=$M$6,13&lt;=$M$7)</f>
        <v>0</v>
      </c>
      <c r="O1114" s="7">
        <f>(P33-N33)*(O64-O33)-(Q33-O33)*(N64-N33)</f>
        <v>0</v>
      </c>
      <c r="P1114" s="7">
        <f>(P33-N33)*(Q64-O33)-(Q33-O33)*(P64-N33)</f>
        <v>0</v>
      </c>
      <c r="Q1114" s="7">
        <f>(P64-N64)*(O33-O64)-(Q64-O64)*(N33-N64)</f>
        <v>0</v>
      </c>
      <c r="R1114" s="7">
        <f>(P64-N64)*(Q33-O64)-(Q64-O64)*(P33-N64)</f>
        <v>0</v>
      </c>
      <c r="S1114" s="7">
        <f>IF(N1114,IF(AND(O1114*P1114&lt;=0,Q1114*R1114&lt;=0,MAX(MIN(N33,P33),MIN(N64,P64))&lt;=MIN(MAX(N33,P33),MAX(N64,P64)),MAX(MIN(O33,Q33),MIN(O64,Q64))&lt;=MIN(MAX(O33,Q33),MAX(O64,Q64))),1,0),0)</f>
        <v>0</v>
      </c>
      <c r="T1114" s="7"/>
      <c r="U1114" s="7"/>
      <c r="V1114" s="7"/>
      <c r="W1114" s="7"/>
      <c r="X1114" s="7"/>
      <c r="Y1114" s="7"/>
      <c r="Z1114" s="7"/>
      <c r="AA1114" s="7"/>
      <c r="AB1114" s="7"/>
      <c r="AC1114" s="7"/>
      <c r="AD1114" s="7"/>
      <c r="AE1114" s="7"/>
      <c r="AF1114" s="7"/>
      <c r="AG1114" s="7"/>
      <c r="AH1114" s="7"/>
      <c r="AI1114" s="7"/>
    </row>
    <row r="1115" spans="12:35">
      <c r="L1115" s="7">
        <v>33</v>
      </c>
      <c r="M1115" s="7">
        <v>65</v>
      </c>
      <c r="N1115" s="7" t="b">
        <f>AND($N$6,$N$7,2&lt;=$M$6,14&lt;=$M$7)</f>
        <v>0</v>
      </c>
      <c r="O1115" s="7">
        <f>(P33-N33)*(O65-O33)-(Q33-O33)*(N65-N33)</f>
        <v>0</v>
      </c>
      <c r="P1115" s="7">
        <f>(P33-N33)*(Q65-O33)-(Q33-O33)*(P65-N33)</f>
        <v>0</v>
      </c>
      <c r="Q1115" s="7">
        <f>(P65-N65)*(O33-O65)-(Q65-O65)*(N33-N65)</f>
        <v>0</v>
      </c>
      <c r="R1115" s="7">
        <f>(P65-N65)*(Q33-O65)-(Q65-O65)*(P33-N65)</f>
        <v>0</v>
      </c>
      <c r="S1115" s="7">
        <f>IF(N1115,IF(AND(O1115*P1115&lt;=0,Q1115*R1115&lt;=0,MAX(MIN(N33,P33),MIN(N65,P65))&lt;=MIN(MAX(N33,P33),MAX(N65,P65)),MAX(MIN(O33,Q33),MIN(O65,Q65))&lt;=MIN(MAX(O33,Q33),MAX(O65,Q65))),1,0),0)</f>
        <v>0</v>
      </c>
      <c r="T1115" s="7"/>
      <c r="U1115" s="7"/>
      <c r="V1115" s="7"/>
      <c r="W1115" s="7"/>
      <c r="X1115" s="7"/>
      <c r="Y1115" s="7"/>
      <c r="Z1115" s="7"/>
      <c r="AA1115" s="7"/>
      <c r="AB1115" s="7"/>
      <c r="AC1115" s="7"/>
      <c r="AD1115" s="7"/>
      <c r="AE1115" s="7"/>
      <c r="AF1115" s="7"/>
      <c r="AG1115" s="7"/>
      <c r="AH1115" s="7"/>
      <c r="AI1115" s="7"/>
    </row>
    <row r="1116" spans="12:35">
      <c r="L1116" s="7">
        <v>33</v>
      </c>
      <c r="M1116" s="7">
        <v>66</v>
      </c>
      <c r="N1116" s="7" t="b">
        <f>AND($N$6,$N$7,2&lt;=$M$6,15&lt;=$M$7)</f>
        <v>0</v>
      </c>
      <c r="O1116" s="7">
        <f>(P33-N33)*(O66-O33)-(Q33-O33)*(N66-N33)</f>
        <v>0</v>
      </c>
      <c r="P1116" s="7">
        <f>(P33-N33)*(Q66-O33)-(Q33-O33)*(P66-N33)</f>
        <v>0</v>
      </c>
      <c r="Q1116" s="7">
        <f>(P66-N66)*(O33-O66)-(Q66-O66)*(N33-N66)</f>
        <v>0</v>
      </c>
      <c r="R1116" s="7">
        <f>(P66-N66)*(Q33-O66)-(Q66-O66)*(P33-N66)</f>
        <v>0</v>
      </c>
      <c r="S1116" s="7">
        <f>IF(N1116,IF(AND(O1116*P1116&lt;=0,Q1116*R1116&lt;=0,MAX(MIN(N33,P33),MIN(N66,P66))&lt;=MIN(MAX(N33,P33),MAX(N66,P66)),MAX(MIN(O33,Q33),MIN(O66,Q66))&lt;=MIN(MAX(O33,Q33),MAX(O66,Q66))),1,0),0)</f>
        <v>0</v>
      </c>
      <c r="T1116" s="7"/>
      <c r="U1116" s="7"/>
      <c r="V1116" s="7"/>
      <c r="W1116" s="7"/>
      <c r="X1116" s="7"/>
      <c r="Y1116" s="7"/>
      <c r="Z1116" s="7"/>
      <c r="AA1116" s="7"/>
      <c r="AB1116" s="7"/>
      <c r="AC1116" s="7"/>
      <c r="AD1116" s="7"/>
      <c r="AE1116" s="7"/>
      <c r="AF1116" s="7"/>
      <c r="AG1116" s="7"/>
      <c r="AH1116" s="7"/>
      <c r="AI1116" s="7"/>
    </row>
    <row r="1117" spans="12:35">
      <c r="L1117" s="7">
        <v>33</v>
      </c>
      <c r="M1117" s="7">
        <v>67</v>
      </c>
      <c r="N1117" s="7" t="b">
        <f>AND($N$6,$N$7,2&lt;=$M$6,16&lt;=$M$7)</f>
        <v>0</v>
      </c>
      <c r="O1117" s="7">
        <f>(P33-N33)*(O67-O33)-(Q33-O33)*(N67-N33)</f>
        <v>0</v>
      </c>
      <c r="P1117" s="7">
        <f>(P33-N33)*(Q67-O33)-(Q33-O33)*(P67-N33)</f>
        <v>0</v>
      </c>
      <c r="Q1117" s="7">
        <f>(P67-N67)*(O33-O67)-(Q67-O67)*(N33-N67)</f>
        <v>0</v>
      </c>
      <c r="R1117" s="7">
        <f>(P67-N67)*(Q33-O67)-(Q67-O67)*(P33-N67)</f>
        <v>0</v>
      </c>
      <c r="S1117" s="7">
        <f>IF(N1117,IF(AND(O1117*P1117&lt;=0,Q1117*R1117&lt;=0,MAX(MIN(N33,P33),MIN(N67,P67))&lt;=MIN(MAX(N33,P33),MAX(N67,P67)),MAX(MIN(O33,Q33),MIN(O67,Q67))&lt;=MIN(MAX(O33,Q33),MAX(O67,Q67))),1,0),0)</f>
        <v>0</v>
      </c>
      <c r="T1117" s="7"/>
      <c r="U1117" s="7"/>
      <c r="V1117" s="7"/>
      <c r="W1117" s="7"/>
      <c r="X1117" s="7"/>
      <c r="Y1117" s="7"/>
      <c r="Z1117" s="7"/>
      <c r="AA1117" s="7"/>
      <c r="AB1117" s="7"/>
      <c r="AC1117" s="7"/>
      <c r="AD1117" s="7"/>
      <c r="AE1117" s="7"/>
      <c r="AF1117" s="7"/>
      <c r="AG1117" s="7"/>
      <c r="AH1117" s="7"/>
      <c r="AI1117" s="7"/>
    </row>
    <row r="1118" spans="12:35">
      <c r="L1118" s="7">
        <v>33</v>
      </c>
      <c r="M1118" s="7">
        <v>68</v>
      </c>
      <c r="N1118" s="7" t="b">
        <f>AND($N$6,$N$7,2&lt;=$M$6,17&lt;=$M$7)</f>
        <v>0</v>
      </c>
      <c r="O1118" s="7">
        <f>(P33-N33)*(O68-O33)-(Q33-O33)*(N68-N33)</f>
        <v>0</v>
      </c>
      <c r="P1118" s="7">
        <f>(P33-N33)*(Q68-O33)-(Q33-O33)*(P68-N33)</f>
        <v>0</v>
      </c>
      <c r="Q1118" s="7">
        <f>(P68-N68)*(O33-O68)-(Q68-O68)*(N33-N68)</f>
        <v>0</v>
      </c>
      <c r="R1118" s="7">
        <f>(P68-N68)*(Q33-O68)-(Q68-O68)*(P33-N68)</f>
        <v>0</v>
      </c>
      <c r="S1118" s="7">
        <f>IF(N1118,IF(AND(O1118*P1118&lt;=0,Q1118*R1118&lt;=0,MAX(MIN(N33,P33),MIN(N68,P68))&lt;=MIN(MAX(N33,P33),MAX(N68,P68)),MAX(MIN(O33,Q33),MIN(O68,Q68))&lt;=MIN(MAX(O33,Q33),MAX(O68,Q68))),1,0),0)</f>
        <v>0</v>
      </c>
      <c r="T1118" s="7"/>
      <c r="U1118" s="7"/>
      <c r="V1118" s="7"/>
      <c r="W1118" s="7"/>
      <c r="X1118" s="7"/>
      <c r="Y1118" s="7"/>
      <c r="Z1118" s="7"/>
      <c r="AA1118" s="7"/>
      <c r="AB1118" s="7"/>
      <c r="AC1118" s="7"/>
      <c r="AD1118" s="7"/>
      <c r="AE1118" s="7"/>
      <c r="AF1118" s="7"/>
      <c r="AG1118" s="7"/>
      <c r="AH1118" s="7"/>
      <c r="AI1118" s="7"/>
    </row>
    <row r="1119" spans="12:35">
      <c r="L1119" s="7">
        <v>33</v>
      </c>
      <c r="M1119" s="7">
        <v>69</v>
      </c>
      <c r="N1119" s="7" t="b">
        <f>AND($N$6,$N$7,2&lt;=$M$6,18&lt;=$M$7)</f>
        <v>0</v>
      </c>
      <c r="O1119" s="7">
        <f>(P33-N33)*(O69-O33)-(Q33-O33)*(N69-N33)</f>
        <v>0</v>
      </c>
      <c r="P1119" s="7">
        <f>(P33-N33)*(Q69-O33)-(Q33-O33)*(P69-N33)</f>
        <v>0</v>
      </c>
      <c r="Q1119" s="7">
        <f>(P69-N69)*(O33-O69)-(Q69-O69)*(N33-N69)</f>
        <v>0</v>
      </c>
      <c r="R1119" s="7">
        <f>(P69-N69)*(Q33-O69)-(Q69-O69)*(P33-N69)</f>
        <v>0</v>
      </c>
      <c r="S1119" s="7">
        <f>IF(N1119,IF(AND(O1119*P1119&lt;=0,Q1119*R1119&lt;=0,MAX(MIN(N33,P33),MIN(N69,P69))&lt;=MIN(MAX(N33,P33),MAX(N69,P69)),MAX(MIN(O33,Q33),MIN(O69,Q69))&lt;=MIN(MAX(O33,Q33),MAX(O69,Q69))),1,0),0)</f>
        <v>0</v>
      </c>
      <c r="T1119" s="7"/>
      <c r="U1119" s="7"/>
      <c r="V1119" s="7"/>
      <c r="W1119" s="7"/>
      <c r="X1119" s="7"/>
      <c r="Y1119" s="7"/>
      <c r="Z1119" s="7"/>
      <c r="AA1119" s="7"/>
      <c r="AB1119" s="7"/>
      <c r="AC1119" s="7"/>
      <c r="AD1119" s="7"/>
      <c r="AE1119" s="7"/>
      <c r="AF1119" s="7"/>
      <c r="AG1119" s="7"/>
      <c r="AH1119" s="7"/>
      <c r="AI1119" s="7"/>
    </row>
    <row r="1120" spans="12:35">
      <c r="L1120" s="7">
        <v>33</v>
      </c>
      <c r="M1120" s="7">
        <v>70</v>
      </c>
      <c r="N1120" s="7" t="b">
        <f>AND($N$6,$N$7,2&lt;=$M$6,19&lt;=$M$7)</f>
        <v>0</v>
      </c>
      <c r="O1120" s="7">
        <f>(P33-N33)*(O70-O33)-(Q33-O33)*(N70-N33)</f>
        <v>0</v>
      </c>
      <c r="P1120" s="7">
        <f>(P33-N33)*(Q70-O33)-(Q33-O33)*(P70-N33)</f>
        <v>0</v>
      </c>
      <c r="Q1120" s="7">
        <f>(P70-N70)*(O33-O70)-(Q70-O70)*(N33-N70)</f>
        <v>0</v>
      </c>
      <c r="R1120" s="7">
        <f>(P70-N70)*(Q33-O70)-(Q70-O70)*(P33-N70)</f>
        <v>0</v>
      </c>
      <c r="S1120" s="7">
        <f>IF(N1120,IF(AND(O1120*P1120&lt;=0,Q1120*R1120&lt;=0,MAX(MIN(N33,P33),MIN(N70,P70))&lt;=MIN(MAX(N33,P33),MAX(N70,P70)),MAX(MIN(O33,Q33),MIN(O70,Q70))&lt;=MIN(MAX(O33,Q33),MAX(O70,Q70))),1,0),0)</f>
        <v>0</v>
      </c>
      <c r="T1120" s="7"/>
      <c r="U1120" s="7"/>
      <c r="V1120" s="7"/>
      <c r="W1120" s="7"/>
      <c r="X1120" s="7"/>
      <c r="Y1120" s="7"/>
      <c r="Z1120" s="7"/>
      <c r="AA1120" s="7"/>
      <c r="AB1120" s="7"/>
      <c r="AC1120" s="7"/>
      <c r="AD1120" s="7"/>
      <c r="AE1120" s="7"/>
      <c r="AF1120" s="7"/>
      <c r="AG1120" s="7"/>
      <c r="AH1120" s="7"/>
      <c r="AI1120" s="7"/>
    </row>
    <row r="1121" spans="12:35">
      <c r="L1121" s="7">
        <v>33</v>
      </c>
      <c r="M1121" s="7">
        <v>71</v>
      </c>
      <c r="N1121" s="7" t="b">
        <f>AND($N$6,$N$7,2&lt;=$M$6,20&lt;=$M$7)</f>
        <v>0</v>
      </c>
      <c r="O1121" s="7">
        <f>(P33-N33)*(O71-O33)-(Q33-O33)*(N71-N33)</f>
        <v>0</v>
      </c>
      <c r="P1121" s="7">
        <f>(P33-N33)*(Q71-O33)-(Q33-O33)*(P71-N33)</f>
        <v>0</v>
      </c>
      <c r="Q1121" s="7">
        <f>(P71-N71)*(O33-O71)-(Q71-O71)*(N33-N71)</f>
        <v>0</v>
      </c>
      <c r="R1121" s="7">
        <f>(P71-N71)*(Q33-O71)-(Q71-O71)*(P33-N71)</f>
        <v>0</v>
      </c>
      <c r="S1121" s="7">
        <f>IF(N1121,IF(AND(O1121*P1121&lt;=0,Q1121*R1121&lt;=0,MAX(MIN(N33,P33),MIN(N71,P71))&lt;=MIN(MAX(N33,P33),MAX(N71,P71)),MAX(MIN(O33,Q33),MIN(O71,Q71))&lt;=MIN(MAX(O33,Q33),MAX(O71,Q71))),1,0),0)</f>
        <v>0</v>
      </c>
      <c r="T1121" s="7"/>
      <c r="U1121" s="7"/>
      <c r="V1121" s="7"/>
      <c r="W1121" s="7"/>
      <c r="X1121" s="7"/>
      <c r="Y1121" s="7"/>
      <c r="Z1121" s="7"/>
      <c r="AA1121" s="7"/>
      <c r="AB1121" s="7"/>
      <c r="AC1121" s="7"/>
      <c r="AD1121" s="7"/>
      <c r="AE1121" s="7"/>
      <c r="AF1121" s="7"/>
      <c r="AG1121" s="7"/>
      <c r="AH1121" s="7"/>
      <c r="AI1121" s="7"/>
    </row>
    <row r="1122" spans="12:35">
      <c r="L1122" s="7">
        <v>34</v>
      </c>
      <c r="M1122" s="7">
        <v>36</v>
      </c>
      <c r="N1122" s="7" t="b">
        <f>AND($N$6,$N$6,3&lt;=$M$6,5&lt;=$M$6)</f>
        <v>0</v>
      </c>
      <c r="O1122" s="7">
        <f>(P34-N34)*(O36-O34)-(Q34-O34)*(N36-N34)</f>
        <v>0</v>
      </c>
      <c r="P1122" s="7">
        <f>(P34-N34)*(Q36-O34)-(Q34-O34)*(P36-N34)</f>
        <v>0</v>
      </c>
      <c r="Q1122" s="7">
        <f>(P36-N36)*(O34-O36)-(Q36-O36)*(N34-N36)</f>
        <v>0</v>
      </c>
      <c r="R1122" s="7">
        <f>(P36-N36)*(Q34-O36)-(Q36-O36)*(P34-N36)</f>
        <v>0</v>
      </c>
      <c r="S1122" s="7">
        <f>IF(N1122,IF(AND(O1122*P1122&lt;=0,Q1122*R1122&lt;=0,MAX(MIN(N34,P34),MIN(N36,P36))&lt;=MIN(MAX(N34,P34),MAX(N36,P36)),MAX(MIN(O34,Q34),MIN(O36,Q36))&lt;=MIN(MAX(O34,Q34),MAX(O36,Q36))),1,0),0)</f>
        <v>0</v>
      </c>
      <c r="T1122" s="7"/>
      <c r="U1122" s="7"/>
      <c r="V1122" s="7"/>
      <c r="W1122" s="7"/>
      <c r="X1122" s="7"/>
      <c r="Y1122" s="7"/>
      <c r="Z1122" s="7"/>
      <c r="AA1122" s="7"/>
      <c r="AB1122" s="7"/>
      <c r="AC1122" s="7"/>
      <c r="AD1122" s="7"/>
      <c r="AE1122" s="7"/>
      <c r="AF1122" s="7"/>
      <c r="AG1122" s="7"/>
      <c r="AH1122" s="7"/>
      <c r="AI1122" s="7"/>
    </row>
    <row r="1123" spans="12:35">
      <c r="L1123" s="7">
        <v>34</v>
      </c>
      <c r="M1123" s="7">
        <v>37</v>
      </c>
      <c r="N1123" s="7" t="b">
        <f>AND($N$6,$N$6,3&lt;=$M$6,6&lt;=$M$6)</f>
        <v>0</v>
      </c>
      <c r="O1123" s="7">
        <f>(P34-N34)*(O37-O34)-(Q34-O34)*(N37-N34)</f>
        <v>0</v>
      </c>
      <c r="P1123" s="7">
        <f>(P34-N34)*(Q37-O34)-(Q34-O34)*(P37-N34)</f>
        <v>0</v>
      </c>
      <c r="Q1123" s="7">
        <f>(P37-N37)*(O34-O37)-(Q37-O37)*(N34-N37)</f>
        <v>0</v>
      </c>
      <c r="R1123" s="7">
        <f>(P37-N37)*(Q34-O37)-(Q37-O37)*(P34-N37)</f>
        <v>0</v>
      </c>
      <c r="S1123" s="7">
        <f>IF(N1123,IF(AND(O1123*P1123&lt;=0,Q1123*R1123&lt;=0,MAX(MIN(N34,P34),MIN(N37,P37))&lt;=MIN(MAX(N34,P34),MAX(N37,P37)),MAX(MIN(O34,Q34),MIN(O37,Q37))&lt;=MIN(MAX(O34,Q34),MAX(O37,Q37))),1,0),0)</f>
        <v>0</v>
      </c>
      <c r="T1123" s="7"/>
      <c r="U1123" s="7"/>
      <c r="V1123" s="7"/>
      <c r="W1123" s="7"/>
      <c r="X1123" s="7"/>
      <c r="Y1123" s="7"/>
      <c r="Z1123" s="7"/>
      <c r="AA1123" s="7"/>
      <c r="AB1123" s="7"/>
      <c r="AC1123" s="7"/>
      <c r="AD1123" s="7"/>
      <c r="AE1123" s="7"/>
      <c r="AF1123" s="7"/>
      <c r="AG1123" s="7"/>
      <c r="AH1123" s="7"/>
      <c r="AI1123" s="7"/>
    </row>
    <row r="1124" spans="12:35">
      <c r="L1124" s="7">
        <v>34</v>
      </c>
      <c r="M1124" s="7">
        <v>38</v>
      </c>
      <c r="N1124" s="7" t="b">
        <f>AND($N$6,$N$6,3&lt;=$M$6,7&lt;=$M$6)</f>
        <v>0</v>
      </c>
      <c r="O1124" s="7">
        <f>(P34-N34)*(O38-O34)-(Q34-O34)*(N38-N34)</f>
        <v>0</v>
      </c>
      <c r="P1124" s="7">
        <f>(P34-N34)*(Q38-O34)-(Q34-O34)*(P38-N34)</f>
        <v>0</v>
      </c>
      <c r="Q1124" s="7">
        <f>(P38-N38)*(O34-O38)-(Q38-O38)*(N34-N38)</f>
        <v>0</v>
      </c>
      <c r="R1124" s="7">
        <f>(P38-N38)*(Q34-O38)-(Q38-O38)*(P34-N38)</f>
        <v>0</v>
      </c>
      <c r="S1124" s="7">
        <f>IF(N1124,IF(AND(O1124*P1124&lt;=0,Q1124*R1124&lt;=0,MAX(MIN(N34,P34),MIN(N38,P38))&lt;=MIN(MAX(N34,P34),MAX(N38,P38)),MAX(MIN(O34,Q34),MIN(O38,Q38))&lt;=MIN(MAX(O34,Q34),MAX(O38,Q38))),1,0),0)</f>
        <v>0</v>
      </c>
      <c r="T1124" s="7"/>
      <c r="U1124" s="7"/>
      <c r="V1124" s="7"/>
      <c r="W1124" s="7"/>
      <c r="X1124" s="7"/>
      <c r="Y1124" s="7"/>
      <c r="Z1124" s="7"/>
      <c r="AA1124" s="7"/>
      <c r="AB1124" s="7"/>
      <c r="AC1124" s="7"/>
      <c r="AD1124" s="7"/>
      <c r="AE1124" s="7"/>
      <c r="AF1124" s="7"/>
      <c r="AG1124" s="7"/>
      <c r="AH1124" s="7"/>
      <c r="AI1124" s="7"/>
    </row>
    <row r="1125" spans="12:35">
      <c r="L1125" s="7">
        <v>34</v>
      </c>
      <c r="M1125" s="7">
        <v>39</v>
      </c>
      <c r="N1125" s="7" t="b">
        <f>AND($N$6,$N$6,3&lt;=$M$6,8&lt;=$M$6)</f>
        <v>0</v>
      </c>
      <c r="O1125" s="7">
        <f>(P34-N34)*(O39-O34)-(Q34-O34)*(N39-N34)</f>
        <v>0</v>
      </c>
      <c r="P1125" s="7">
        <f>(P34-N34)*(Q39-O34)-(Q34-O34)*(P39-N34)</f>
        <v>0</v>
      </c>
      <c r="Q1125" s="7">
        <f>(P39-N39)*(O34-O39)-(Q39-O39)*(N34-N39)</f>
        <v>0</v>
      </c>
      <c r="R1125" s="7">
        <f>(P39-N39)*(Q34-O39)-(Q39-O39)*(P34-N39)</f>
        <v>0</v>
      </c>
      <c r="S1125" s="7">
        <f>IF(N1125,IF(AND(O1125*P1125&lt;=0,Q1125*R1125&lt;=0,MAX(MIN(N34,P34),MIN(N39,P39))&lt;=MIN(MAX(N34,P34),MAX(N39,P39)),MAX(MIN(O34,Q34),MIN(O39,Q39))&lt;=MIN(MAX(O34,Q34),MAX(O39,Q39))),1,0),0)</f>
        <v>0</v>
      </c>
      <c r="T1125" s="7"/>
      <c r="U1125" s="7"/>
      <c r="V1125" s="7"/>
      <c r="W1125" s="7"/>
      <c r="X1125" s="7"/>
      <c r="Y1125" s="7"/>
      <c r="Z1125" s="7"/>
      <c r="AA1125" s="7"/>
      <c r="AB1125" s="7"/>
      <c r="AC1125" s="7"/>
      <c r="AD1125" s="7"/>
      <c r="AE1125" s="7"/>
      <c r="AF1125" s="7"/>
      <c r="AG1125" s="7"/>
      <c r="AH1125" s="7"/>
      <c r="AI1125" s="7"/>
    </row>
    <row r="1126" spans="12:35">
      <c r="L1126" s="7">
        <v>34</v>
      </c>
      <c r="M1126" s="7">
        <v>40</v>
      </c>
      <c r="N1126" s="7" t="b">
        <f>AND($N$6,$N$6,3&lt;=$M$6,9&lt;=$M$6)</f>
        <v>0</v>
      </c>
      <c r="O1126" s="7">
        <f>(P34-N34)*(O40-O34)-(Q34-O34)*(N40-N34)</f>
        <v>0</v>
      </c>
      <c r="P1126" s="7">
        <f>(P34-N34)*(Q40-O34)-(Q34-O34)*(P40-N34)</f>
        <v>0</v>
      </c>
      <c r="Q1126" s="7">
        <f>(P40-N40)*(O34-O40)-(Q40-O40)*(N34-N40)</f>
        <v>0</v>
      </c>
      <c r="R1126" s="7">
        <f>(P40-N40)*(Q34-O40)-(Q40-O40)*(P34-N40)</f>
        <v>0</v>
      </c>
      <c r="S1126" s="7">
        <f>IF(N1126,IF(AND(O1126*P1126&lt;=0,Q1126*R1126&lt;=0,MAX(MIN(N34,P34),MIN(N40,P40))&lt;=MIN(MAX(N34,P34),MAX(N40,P40)),MAX(MIN(O34,Q34),MIN(O40,Q40))&lt;=MIN(MAX(O34,Q34),MAX(O40,Q40))),1,0),0)</f>
        <v>0</v>
      </c>
      <c r="T1126" s="7"/>
      <c r="U1126" s="7"/>
      <c r="V1126" s="7"/>
      <c r="W1126" s="7"/>
      <c r="X1126" s="7"/>
      <c r="Y1126" s="7"/>
      <c r="Z1126" s="7"/>
      <c r="AA1126" s="7"/>
      <c r="AB1126" s="7"/>
      <c r="AC1126" s="7"/>
      <c r="AD1126" s="7"/>
      <c r="AE1126" s="7"/>
      <c r="AF1126" s="7"/>
      <c r="AG1126" s="7"/>
      <c r="AH1126" s="7"/>
      <c r="AI1126" s="7"/>
    </row>
    <row r="1127" spans="12:35">
      <c r="L1127" s="7">
        <v>34</v>
      </c>
      <c r="M1127" s="7">
        <v>41</v>
      </c>
      <c r="N1127" s="7" t="b">
        <f>AND($N$6,$N$6,3&lt;=$M$6,10&lt;=$M$6)</f>
        <v>0</v>
      </c>
      <c r="O1127" s="7">
        <f>(P34-N34)*(O41-O34)-(Q34-O34)*(N41-N34)</f>
        <v>0</v>
      </c>
      <c r="P1127" s="7">
        <f>(P34-N34)*(Q41-O34)-(Q34-O34)*(P41-N34)</f>
        <v>0</v>
      </c>
      <c r="Q1127" s="7">
        <f>(P41-N41)*(O34-O41)-(Q41-O41)*(N34-N41)</f>
        <v>0</v>
      </c>
      <c r="R1127" s="7">
        <f>(P41-N41)*(Q34-O41)-(Q41-O41)*(P34-N41)</f>
        <v>0</v>
      </c>
      <c r="S1127" s="7">
        <f>IF(N1127,IF(AND(O1127*P1127&lt;=0,Q1127*R1127&lt;=0,MAX(MIN(N34,P34),MIN(N41,P41))&lt;=MIN(MAX(N34,P34),MAX(N41,P41)),MAX(MIN(O34,Q34),MIN(O41,Q41))&lt;=MIN(MAX(O34,Q34),MAX(O41,Q41))),1,0),0)</f>
        <v>0</v>
      </c>
      <c r="T1127" s="7"/>
      <c r="U1127" s="7"/>
      <c r="V1127" s="7"/>
      <c r="W1127" s="7"/>
      <c r="X1127" s="7"/>
      <c r="Y1127" s="7"/>
      <c r="Z1127" s="7"/>
      <c r="AA1127" s="7"/>
      <c r="AB1127" s="7"/>
      <c r="AC1127" s="7"/>
      <c r="AD1127" s="7"/>
      <c r="AE1127" s="7"/>
      <c r="AF1127" s="7"/>
      <c r="AG1127" s="7"/>
      <c r="AH1127" s="7"/>
      <c r="AI1127" s="7"/>
    </row>
    <row r="1128" spans="12:35">
      <c r="L1128" s="7">
        <v>34</v>
      </c>
      <c r="M1128" s="7">
        <v>42</v>
      </c>
      <c r="N1128" s="7" t="b">
        <f>AND($N$6,$N$6,3&lt;=$M$6,11&lt;=$M$6)</f>
        <v>0</v>
      </c>
      <c r="O1128" s="7">
        <f>(P34-N34)*(O42-O34)-(Q34-O34)*(N42-N34)</f>
        <v>0</v>
      </c>
      <c r="P1128" s="7">
        <f>(P34-N34)*(Q42-O34)-(Q34-O34)*(P42-N34)</f>
        <v>0</v>
      </c>
      <c r="Q1128" s="7">
        <f>(P42-N42)*(O34-O42)-(Q42-O42)*(N34-N42)</f>
        <v>0</v>
      </c>
      <c r="R1128" s="7">
        <f>(P42-N42)*(Q34-O42)-(Q42-O42)*(P34-N42)</f>
        <v>0</v>
      </c>
      <c r="S1128" s="7">
        <f>IF(N1128,IF(AND(O1128*P1128&lt;=0,Q1128*R1128&lt;=0,MAX(MIN(N34,P34),MIN(N42,P42))&lt;=MIN(MAX(N34,P34),MAX(N42,P42)),MAX(MIN(O34,Q34),MIN(O42,Q42))&lt;=MIN(MAX(O34,Q34),MAX(O42,Q42))),1,0),0)</f>
        <v>0</v>
      </c>
      <c r="T1128" s="7"/>
      <c r="U1128" s="7"/>
      <c r="V1128" s="7"/>
      <c r="W1128" s="7"/>
      <c r="X1128" s="7"/>
      <c r="Y1128" s="7"/>
      <c r="Z1128" s="7"/>
      <c r="AA1128" s="7"/>
      <c r="AB1128" s="7"/>
      <c r="AC1128" s="7"/>
      <c r="AD1128" s="7"/>
      <c r="AE1128" s="7"/>
      <c r="AF1128" s="7"/>
      <c r="AG1128" s="7"/>
      <c r="AH1128" s="7"/>
      <c r="AI1128" s="7"/>
    </row>
    <row r="1129" spans="12:35">
      <c r="L1129" s="7">
        <v>34</v>
      </c>
      <c r="M1129" s="7">
        <v>43</v>
      </c>
      <c r="N1129" s="7" t="b">
        <f>AND($N$6,$N$6,3&lt;=$M$6,12&lt;=$M$6)</f>
        <v>0</v>
      </c>
      <c r="O1129" s="7">
        <f>(P34-N34)*(O43-O34)-(Q34-O34)*(N43-N34)</f>
        <v>0</v>
      </c>
      <c r="P1129" s="7">
        <f>(P34-N34)*(Q43-O34)-(Q34-O34)*(P43-N34)</f>
        <v>0</v>
      </c>
      <c r="Q1129" s="7">
        <f>(P43-N43)*(O34-O43)-(Q43-O43)*(N34-N43)</f>
        <v>0</v>
      </c>
      <c r="R1129" s="7">
        <f>(P43-N43)*(Q34-O43)-(Q43-O43)*(P34-N43)</f>
        <v>0</v>
      </c>
      <c r="S1129" s="7">
        <f>IF(N1129,IF(AND(O1129*P1129&lt;=0,Q1129*R1129&lt;=0,MAX(MIN(N34,P34),MIN(N43,P43))&lt;=MIN(MAX(N34,P34),MAX(N43,P43)),MAX(MIN(O34,Q34),MIN(O43,Q43))&lt;=MIN(MAX(O34,Q34),MAX(O43,Q43))),1,0),0)</f>
        <v>0</v>
      </c>
      <c r="T1129" s="7"/>
      <c r="U1129" s="7"/>
      <c r="V1129" s="7"/>
      <c r="W1129" s="7"/>
      <c r="X1129" s="7"/>
      <c r="Y1129" s="7"/>
      <c r="Z1129" s="7"/>
      <c r="AA1129" s="7"/>
      <c r="AB1129" s="7"/>
      <c r="AC1129" s="7"/>
      <c r="AD1129" s="7"/>
      <c r="AE1129" s="7"/>
      <c r="AF1129" s="7"/>
      <c r="AG1129" s="7"/>
      <c r="AH1129" s="7"/>
      <c r="AI1129" s="7"/>
    </row>
    <row r="1130" spans="12:35">
      <c r="L1130" s="7">
        <v>34</v>
      </c>
      <c r="M1130" s="7">
        <v>44</v>
      </c>
      <c r="N1130" s="7" t="b">
        <f>AND($N$6,$N$6,3&lt;=$M$6,13&lt;=$M$6)</f>
        <v>0</v>
      </c>
      <c r="O1130" s="7">
        <f>(P34-N34)*(O44-O34)-(Q34-O34)*(N44-N34)</f>
        <v>0</v>
      </c>
      <c r="P1130" s="7">
        <f>(P34-N34)*(Q44-O34)-(Q34-O34)*(P44-N34)</f>
        <v>0</v>
      </c>
      <c r="Q1130" s="7">
        <f>(P44-N44)*(O34-O44)-(Q44-O44)*(N34-N44)</f>
        <v>0</v>
      </c>
      <c r="R1130" s="7">
        <f>(P44-N44)*(Q34-O44)-(Q44-O44)*(P34-N44)</f>
        <v>0</v>
      </c>
      <c r="S1130" s="7">
        <f>IF(N1130,IF(AND(O1130*P1130&lt;=0,Q1130*R1130&lt;=0,MAX(MIN(N34,P34),MIN(N44,P44))&lt;=MIN(MAX(N34,P34),MAX(N44,P44)),MAX(MIN(O34,Q34),MIN(O44,Q44))&lt;=MIN(MAX(O34,Q34),MAX(O44,Q44))),1,0),0)</f>
        <v>0</v>
      </c>
      <c r="T1130" s="7"/>
      <c r="U1130" s="7"/>
      <c r="V1130" s="7"/>
      <c r="W1130" s="7"/>
      <c r="X1130" s="7"/>
      <c r="Y1130" s="7"/>
      <c r="Z1130" s="7"/>
      <c r="AA1130" s="7"/>
      <c r="AB1130" s="7"/>
      <c r="AC1130" s="7"/>
      <c r="AD1130" s="7"/>
      <c r="AE1130" s="7"/>
      <c r="AF1130" s="7"/>
      <c r="AG1130" s="7"/>
      <c r="AH1130" s="7"/>
      <c r="AI1130" s="7"/>
    </row>
    <row r="1131" spans="12:35">
      <c r="L1131" s="7">
        <v>34</v>
      </c>
      <c r="M1131" s="7">
        <v>45</v>
      </c>
      <c r="N1131" s="7" t="b">
        <f>AND($N$6,$N$6,3&lt;=$M$6,14&lt;=$M$6)</f>
        <v>0</v>
      </c>
      <c r="O1131" s="7">
        <f>(P34-N34)*(O45-O34)-(Q34-O34)*(N45-N34)</f>
        <v>0</v>
      </c>
      <c r="P1131" s="7">
        <f>(P34-N34)*(Q45-O34)-(Q34-O34)*(P45-N34)</f>
        <v>0</v>
      </c>
      <c r="Q1131" s="7">
        <f>(P45-N45)*(O34-O45)-(Q45-O45)*(N34-N45)</f>
        <v>0</v>
      </c>
      <c r="R1131" s="7">
        <f>(P45-N45)*(Q34-O45)-(Q45-O45)*(P34-N45)</f>
        <v>0</v>
      </c>
      <c r="S1131" s="7">
        <f>IF(N1131,IF(AND(O1131*P1131&lt;=0,Q1131*R1131&lt;=0,MAX(MIN(N34,P34),MIN(N45,P45))&lt;=MIN(MAX(N34,P34),MAX(N45,P45)),MAX(MIN(O34,Q34),MIN(O45,Q45))&lt;=MIN(MAX(O34,Q34),MAX(O45,Q45))),1,0),0)</f>
        <v>0</v>
      </c>
      <c r="T1131" s="7"/>
      <c r="U1131" s="7"/>
      <c r="V1131" s="7"/>
      <c r="W1131" s="7"/>
      <c r="X1131" s="7"/>
      <c r="Y1131" s="7"/>
      <c r="Z1131" s="7"/>
      <c r="AA1131" s="7"/>
      <c r="AB1131" s="7"/>
      <c r="AC1131" s="7"/>
      <c r="AD1131" s="7"/>
      <c r="AE1131" s="7"/>
      <c r="AF1131" s="7"/>
      <c r="AG1131" s="7"/>
      <c r="AH1131" s="7"/>
      <c r="AI1131" s="7"/>
    </row>
    <row r="1132" spans="12:35">
      <c r="L1132" s="7">
        <v>34</v>
      </c>
      <c r="M1132" s="7">
        <v>46</v>
      </c>
      <c r="N1132" s="7" t="b">
        <f>AND($N$6,$N$6,3&lt;=$M$6,15&lt;=$M$6)</f>
        <v>0</v>
      </c>
      <c r="O1132" s="7">
        <f>(P34-N34)*(O46-O34)-(Q34-O34)*(N46-N34)</f>
        <v>0</v>
      </c>
      <c r="P1132" s="7">
        <f>(P34-N34)*(Q46-O34)-(Q34-O34)*(P46-N34)</f>
        <v>0</v>
      </c>
      <c r="Q1132" s="7">
        <f>(P46-N46)*(O34-O46)-(Q46-O46)*(N34-N46)</f>
        <v>0</v>
      </c>
      <c r="R1132" s="7">
        <f>(P46-N46)*(Q34-O46)-(Q46-O46)*(P34-N46)</f>
        <v>0</v>
      </c>
      <c r="S1132" s="7">
        <f>IF(N1132,IF(AND(O1132*P1132&lt;=0,Q1132*R1132&lt;=0,MAX(MIN(N34,P34),MIN(N46,P46))&lt;=MIN(MAX(N34,P34),MAX(N46,P46)),MAX(MIN(O34,Q34),MIN(O46,Q46))&lt;=MIN(MAX(O34,Q34),MAX(O46,Q46))),1,0),0)</f>
        <v>0</v>
      </c>
      <c r="T1132" s="7"/>
      <c r="U1132" s="7"/>
      <c r="V1132" s="7"/>
      <c r="W1132" s="7"/>
      <c r="X1132" s="7"/>
      <c r="Y1132" s="7"/>
      <c r="Z1132" s="7"/>
      <c r="AA1132" s="7"/>
      <c r="AB1132" s="7"/>
      <c r="AC1132" s="7"/>
      <c r="AD1132" s="7"/>
      <c r="AE1132" s="7"/>
      <c r="AF1132" s="7"/>
      <c r="AG1132" s="7"/>
      <c r="AH1132" s="7"/>
      <c r="AI1132" s="7"/>
    </row>
    <row r="1133" spans="12:35">
      <c r="L1133" s="7">
        <v>34</v>
      </c>
      <c r="M1133" s="7">
        <v>47</v>
      </c>
      <c r="N1133" s="7" t="b">
        <f>AND($N$6,$N$6,3&lt;=$M$6,16&lt;=$M$6)</f>
        <v>0</v>
      </c>
      <c r="O1133" s="7">
        <f>(P34-N34)*(O47-O34)-(Q34-O34)*(N47-N34)</f>
        <v>0</v>
      </c>
      <c r="P1133" s="7">
        <f>(P34-N34)*(Q47-O34)-(Q34-O34)*(P47-N34)</f>
        <v>0</v>
      </c>
      <c r="Q1133" s="7">
        <f>(P47-N47)*(O34-O47)-(Q47-O47)*(N34-N47)</f>
        <v>0</v>
      </c>
      <c r="R1133" s="7">
        <f>(P47-N47)*(Q34-O47)-(Q47-O47)*(P34-N47)</f>
        <v>0</v>
      </c>
      <c r="S1133" s="7">
        <f>IF(N1133,IF(AND(O1133*P1133&lt;=0,Q1133*R1133&lt;=0,MAX(MIN(N34,P34),MIN(N47,P47))&lt;=MIN(MAX(N34,P34),MAX(N47,P47)),MAX(MIN(O34,Q34),MIN(O47,Q47))&lt;=MIN(MAX(O34,Q34),MAX(O47,Q47))),1,0),0)</f>
        <v>0</v>
      </c>
      <c r="T1133" s="7"/>
      <c r="U1133" s="7"/>
      <c r="V1133" s="7"/>
      <c r="W1133" s="7"/>
      <c r="X1133" s="7"/>
      <c r="Y1133" s="7"/>
      <c r="Z1133" s="7"/>
      <c r="AA1133" s="7"/>
      <c r="AB1133" s="7"/>
      <c r="AC1133" s="7"/>
      <c r="AD1133" s="7"/>
      <c r="AE1133" s="7"/>
      <c r="AF1133" s="7"/>
      <c r="AG1133" s="7"/>
      <c r="AH1133" s="7"/>
      <c r="AI1133" s="7"/>
    </row>
    <row r="1134" spans="12:35">
      <c r="L1134" s="7">
        <v>34</v>
      </c>
      <c r="M1134" s="7">
        <v>48</v>
      </c>
      <c r="N1134" s="7" t="b">
        <f>AND($N$6,$N$6,3&lt;=$M$6,17&lt;=$M$6)</f>
        <v>0</v>
      </c>
      <c r="O1134" s="7">
        <f>(P34-N34)*(O48-O34)-(Q34-O34)*(N48-N34)</f>
        <v>0</v>
      </c>
      <c r="P1134" s="7">
        <f>(P34-N34)*(Q48-O34)-(Q34-O34)*(P48-N34)</f>
        <v>0</v>
      </c>
      <c r="Q1134" s="7">
        <f>(P48-N48)*(O34-O48)-(Q48-O48)*(N34-N48)</f>
        <v>0</v>
      </c>
      <c r="R1134" s="7">
        <f>(P48-N48)*(Q34-O48)-(Q48-O48)*(P34-N48)</f>
        <v>0</v>
      </c>
      <c r="S1134" s="7">
        <f>IF(N1134,IF(AND(O1134*P1134&lt;=0,Q1134*R1134&lt;=0,MAX(MIN(N34,P34),MIN(N48,P48))&lt;=MIN(MAX(N34,P34),MAX(N48,P48)),MAX(MIN(O34,Q34),MIN(O48,Q48))&lt;=MIN(MAX(O34,Q34),MAX(O48,Q48))),1,0),0)</f>
        <v>0</v>
      </c>
      <c r="T1134" s="7"/>
      <c r="U1134" s="7"/>
      <c r="V1134" s="7"/>
      <c r="W1134" s="7"/>
      <c r="X1134" s="7"/>
      <c r="Y1134" s="7"/>
      <c r="Z1134" s="7"/>
      <c r="AA1134" s="7"/>
      <c r="AB1134" s="7"/>
      <c r="AC1134" s="7"/>
      <c r="AD1134" s="7"/>
      <c r="AE1134" s="7"/>
      <c r="AF1134" s="7"/>
      <c r="AG1134" s="7"/>
      <c r="AH1134" s="7"/>
      <c r="AI1134" s="7"/>
    </row>
    <row r="1135" spans="12:35">
      <c r="L1135" s="7">
        <v>34</v>
      </c>
      <c r="M1135" s="7">
        <v>49</v>
      </c>
      <c r="N1135" s="7" t="b">
        <f>AND($N$6,$N$6,3&lt;=$M$6,18&lt;=$M$6)</f>
        <v>0</v>
      </c>
      <c r="O1135" s="7">
        <f>(P34-N34)*(O49-O34)-(Q34-O34)*(N49-N34)</f>
        <v>0</v>
      </c>
      <c r="P1135" s="7">
        <f>(P34-N34)*(Q49-O34)-(Q34-O34)*(P49-N34)</f>
        <v>0</v>
      </c>
      <c r="Q1135" s="7">
        <f>(P49-N49)*(O34-O49)-(Q49-O49)*(N34-N49)</f>
        <v>0</v>
      </c>
      <c r="R1135" s="7">
        <f>(P49-N49)*(Q34-O49)-(Q49-O49)*(P34-N49)</f>
        <v>0</v>
      </c>
      <c r="S1135" s="7">
        <f>IF(N1135,IF(AND(O1135*P1135&lt;=0,Q1135*R1135&lt;=0,MAX(MIN(N34,P34),MIN(N49,P49))&lt;=MIN(MAX(N34,P34),MAX(N49,P49)),MAX(MIN(O34,Q34),MIN(O49,Q49))&lt;=MIN(MAX(O34,Q34),MAX(O49,Q49))),1,0),0)</f>
        <v>0</v>
      </c>
      <c r="T1135" s="7"/>
      <c r="U1135" s="7"/>
      <c r="V1135" s="7"/>
      <c r="W1135" s="7"/>
      <c r="X1135" s="7"/>
      <c r="Y1135" s="7"/>
      <c r="Z1135" s="7"/>
      <c r="AA1135" s="7"/>
      <c r="AB1135" s="7"/>
      <c r="AC1135" s="7"/>
      <c r="AD1135" s="7"/>
      <c r="AE1135" s="7"/>
      <c r="AF1135" s="7"/>
      <c r="AG1135" s="7"/>
      <c r="AH1135" s="7"/>
      <c r="AI1135" s="7"/>
    </row>
    <row r="1136" spans="12:35">
      <c r="L1136" s="7">
        <v>34</v>
      </c>
      <c r="M1136" s="7">
        <v>50</v>
      </c>
      <c r="N1136" s="7" t="b">
        <f>AND($N$6,$N$6,3&lt;=$M$6,19&lt;=$M$6)</f>
        <v>0</v>
      </c>
      <c r="O1136" s="7">
        <f>(P34-N34)*(O50-O34)-(Q34-O34)*(N50-N34)</f>
        <v>0</v>
      </c>
      <c r="P1136" s="7">
        <f>(P34-N34)*(Q50-O34)-(Q34-O34)*(P50-N34)</f>
        <v>0</v>
      </c>
      <c r="Q1136" s="7">
        <f>(P50-N50)*(O34-O50)-(Q50-O50)*(N34-N50)</f>
        <v>0</v>
      </c>
      <c r="R1136" s="7">
        <f>(P50-N50)*(Q34-O50)-(Q50-O50)*(P34-N50)</f>
        <v>0</v>
      </c>
      <c r="S1136" s="7">
        <f>IF(N1136,IF(AND(O1136*P1136&lt;=0,Q1136*R1136&lt;=0,MAX(MIN(N34,P34),MIN(N50,P50))&lt;=MIN(MAX(N34,P34),MAX(N50,P50)),MAX(MIN(O34,Q34),MIN(O50,Q50))&lt;=MIN(MAX(O34,Q34),MAX(O50,Q50))),1,0),0)</f>
        <v>0</v>
      </c>
      <c r="T1136" s="7"/>
      <c r="U1136" s="7"/>
      <c r="V1136" s="7"/>
      <c r="W1136" s="7"/>
      <c r="X1136" s="7"/>
      <c r="Y1136" s="7"/>
      <c r="Z1136" s="7"/>
      <c r="AA1136" s="7"/>
      <c r="AB1136" s="7"/>
      <c r="AC1136" s="7"/>
      <c r="AD1136" s="7"/>
      <c r="AE1136" s="7"/>
      <c r="AF1136" s="7"/>
      <c r="AG1136" s="7"/>
      <c r="AH1136" s="7"/>
      <c r="AI1136" s="7"/>
    </row>
    <row r="1137" spans="12:35">
      <c r="L1137" s="7">
        <v>34</v>
      </c>
      <c r="M1137" s="7">
        <v>51</v>
      </c>
      <c r="N1137" s="7" t="b">
        <f>AND($N$6,$N$6,3&lt;=$M$6,20&lt;=$M$6)</f>
        <v>0</v>
      </c>
      <c r="O1137" s="7">
        <f>(P34-N34)*(O51-O34)-(Q34-O34)*(N51-N34)</f>
        <v>0</v>
      </c>
      <c r="P1137" s="7">
        <f>(P34-N34)*(Q51-O34)-(Q34-O34)*(P51-N34)</f>
        <v>0</v>
      </c>
      <c r="Q1137" s="7">
        <f>(P51-N51)*(O34-O51)-(Q51-O51)*(N34-N51)</f>
        <v>0</v>
      </c>
      <c r="R1137" s="7">
        <f>(P51-N51)*(Q34-O51)-(Q51-O51)*(P34-N51)</f>
        <v>0</v>
      </c>
      <c r="S1137" s="7">
        <f>IF(N1137,IF(AND(O1137*P1137&lt;=0,Q1137*R1137&lt;=0,MAX(MIN(N34,P34),MIN(N51,P51))&lt;=MIN(MAX(N34,P34),MAX(N51,P51)),MAX(MIN(O34,Q34),MIN(O51,Q51))&lt;=MIN(MAX(O34,Q34),MAX(O51,Q51))),1,0),0)</f>
        <v>0</v>
      </c>
      <c r="T1137" s="7"/>
      <c r="U1137" s="7"/>
      <c r="V1137" s="7"/>
      <c r="W1137" s="7"/>
      <c r="X1137" s="7"/>
      <c r="Y1137" s="7"/>
      <c r="Z1137" s="7"/>
      <c r="AA1137" s="7"/>
      <c r="AB1137" s="7"/>
      <c r="AC1137" s="7"/>
      <c r="AD1137" s="7"/>
      <c r="AE1137" s="7"/>
      <c r="AF1137" s="7"/>
      <c r="AG1137" s="7"/>
      <c r="AH1137" s="7"/>
      <c r="AI1137" s="7"/>
    </row>
    <row r="1138" spans="12:35">
      <c r="L1138" s="7">
        <v>34</v>
      </c>
      <c r="M1138" s="7">
        <v>52</v>
      </c>
      <c r="N1138" s="7" t="b">
        <f>AND($N$6,$N$7,3&lt;=$M$6,1&lt;=$M$7)</f>
        <v>0</v>
      </c>
      <c r="O1138" s="7">
        <f>(P34-N34)*(O52-O34)-(Q34-O34)*(N52-N34)</f>
        <v>0</v>
      </c>
      <c r="P1138" s="7">
        <f>(P34-N34)*(Q52-O34)-(Q34-O34)*(P52-N34)</f>
        <v>0</v>
      </c>
      <c r="Q1138" s="7">
        <f>(P52-N52)*(O34-O52)-(Q52-O52)*(N34-N52)</f>
        <v>0</v>
      </c>
      <c r="R1138" s="7">
        <f>(P52-N52)*(Q34-O52)-(Q52-O52)*(P34-N52)</f>
        <v>0</v>
      </c>
      <c r="S1138" s="7">
        <f>IF(N1138,IF(AND(O1138*P1138&lt;=0,Q1138*R1138&lt;=0,MAX(MIN(N34,P34),MIN(N52,P52))&lt;=MIN(MAX(N34,P34),MAX(N52,P52)),MAX(MIN(O34,Q34),MIN(O52,Q52))&lt;=MIN(MAX(O34,Q34),MAX(O52,Q52))),1,0),0)</f>
        <v>0</v>
      </c>
      <c r="T1138" s="7"/>
      <c r="U1138" s="7"/>
      <c r="V1138" s="7"/>
      <c r="W1138" s="7"/>
      <c r="X1138" s="7"/>
      <c r="Y1138" s="7"/>
      <c r="Z1138" s="7"/>
      <c r="AA1138" s="7"/>
      <c r="AB1138" s="7"/>
      <c r="AC1138" s="7"/>
      <c r="AD1138" s="7"/>
      <c r="AE1138" s="7"/>
      <c r="AF1138" s="7"/>
      <c r="AG1138" s="7"/>
      <c r="AH1138" s="7"/>
      <c r="AI1138" s="7"/>
    </row>
    <row r="1139" spans="12:35">
      <c r="L1139" s="7">
        <v>34</v>
      </c>
      <c r="M1139" s="7">
        <v>53</v>
      </c>
      <c r="N1139" s="7" t="b">
        <f>AND($N$6,$N$7,3&lt;=$M$6,2&lt;=$M$7)</f>
        <v>0</v>
      </c>
      <c r="O1139" s="7">
        <f>(P34-N34)*(O53-O34)-(Q34-O34)*(N53-N34)</f>
        <v>0</v>
      </c>
      <c r="P1139" s="7">
        <f>(P34-N34)*(Q53-O34)-(Q34-O34)*(P53-N34)</f>
        <v>0</v>
      </c>
      <c r="Q1139" s="7">
        <f>(P53-N53)*(O34-O53)-(Q53-O53)*(N34-N53)</f>
        <v>0</v>
      </c>
      <c r="R1139" s="7">
        <f>(P53-N53)*(Q34-O53)-(Q53-O53)*(P34-N53)</f>
        <v>0</v>
      </c>
      <c r="S1139" s="7">
        <f>IF(N1139,IF(AND(O1139*P1139&lt;=0,Q1139*R1139&lt;=0,MAX(MIN(N34,P34),MIN(N53,P53))&lt;=MIN(MAX(N34,P34),MAX(N53,P53)),MAX(MIN(O34,Q34),MIN(O53,Q53))&lt;=MIN(MAX(O34,Q34),MAX(O53,Q53))),1,0),0)</f>
        <v>0</v>
      </c>
      <c r="T1139" s="7"/>
      <c r="U1139" s="7"/>
      <c r="V1139" s="7"/>
      <c r="W1139" s="7"/>
      <c r="X1139" s="7"/>
      <c r="Y1139" s="7"/>
      <c r="Z1139" s="7"/>
      <c r="AA1139" s="7"/>
      <c r="AB1139" s="7"/>
      <c r="AC1139" s="7"/>
      <c r="AD1139" s="7"/>
      <c r="AE1139" s="7"/>
      <c r="AF1139" s="7"/>
      <c r="AG1139" s="7"/>
      <c r="AH1139" s="7"/>
      <c r="AI1139" s="7"/>
    </row>
    <row r="1140" spans="12:35">
      <c r="L1140" s="7">
        <v>34</v>
      </c>
      <c r="M1140" s="7">
        <v>54</v>
      </c>
      <c r="N1140" s="7" t="b">
        <f>AND($N$6,$N$7,3&lt;=$M$6,3&lt;=$M$7)</f>
        <v>0</v>
      </c>
      <c r="O1140" s="7">
        <f>(P34-N34)*(O54-O34)-(Q34-O34)*(N54-N34)</f>
        <v>0</v>
      </c>
      <c r="P1140" s="7">
        <f>(P34-N34)*(Q54-O34)-(Q34-O34)*(P54-N34)</f>
        <v>0</v>
      </c>
      <c r="Q1140" s="7">
        <f>(P54-N54)*(O34-O54)-(Q54-O54)*(N34-N54)</f>
        <v>0</v>
      </c>
      <c r="R1140" s="7">
        <f>(P54-N54)*(Q34-O54)-(Q54-O54)*(P34-N54)</f>
        <v>0</v>
      </c>
      <c r="S1140" s="7">
        <f>IF(N1140,IF(AND(O1140*P1140&lt;=0,Q1140*R1140&lt;=0,MAX(MIN(N34,P34),MIN(N54,P54))&lt;=MIN(MAX(N34,P34),MAX(N54,P54)),MAX(MIN(O34,Q34),MIN(O54,Q54))&lt;=MIN(MAX(O34,Q34),MAX(O54,Q54))),1,0),0)</f>
        <v>0</v>
      </c>
      <c r="T1140" s="7"/>
      <c r="U1140" s="7"/>
      <c r="V1140" s="7"/>
      <c r="W1140" s="7"/>
      <c r="X1140" s="7"/>
      <c r="Y1140" s="7"/>
      <c r="Z1140" s="7"/>
      <c r="AA1140" s="7"/>
      <c r="AB1140" s="7"/>
      <c r="AC1140" s="7"/>
      <c r="AD1140" s="7"/>
      <c r="AE1140" s="7"/>
      <c r="AF1140" s="7"/>
      <c r="AG1140" s="7"/>
      <c r="AH1140" s="7"/>
      <c r="AI1140" s="7"/>
    </row>
    <row r="1141" spans="12:35">
      <c r="L1141" s="7">
        <v>34</v>
      </c>
      <c r="M1141" s="7">
        <v>55</v>
      </c>
      <c r="N1141" s="7" t="b">
        <f>AND($N$6,$N$7,3&lt;=$M$6,4&lt;=$M$7)</f>
        <v>0</v>
      </c>
      <c r="O1141" s="7">
        <f>(P34-N34)*(O55-O34)-(Q34-O34)*(N55-N34)</f>
        <v>0</v>
      </c>
      <c r="P1141" s="7">
        <f>(P34-N34)*(Q55-O34)-(Q34-O34)*(P55-N34)</f>
        <v>0</v>
      </c>
      <c r="Q1141" s="7">
        <f>(P55-N55)*(O34-O55)-(Q55-O55)*(N34-N55)</f>
        <v>0</v>
      </c>
      <c r="R1141" s="7">
        <f>(P55-N55)*(Q34-O55)-(Q55-O55)*(P34-N55)</f>
        <v>0</v>
      </c>
      <c r="S1141" s="7">
        <f>IF(N1141,IF(AND(O1141*P1141&lt;=0,Q1141*R1141&lt;=0,MAX(MIN(N34,P34),MIN(N55,P55))&lt;=MIN(MAX(N34,P34),MAX(N55,P55)),MAX(MIN(O34,Q34),MIN(O55,Q55))&lt;=MIN(MAX(O34,Q34),MAX(O55,Q55))),1,0),0)</f>
        <v>0</v>
      </c>
      <c r="T1141" s="7"/>
      <c r="U1141" s="7"/>
      <c r="V1141" s="7"/>
      <c r="W1141" s="7"/>
      <c r="X1141" s="7"/>
      <c r="Y1141" s="7"/>
      <c r="Z1141" s="7"/>
      <c r="AA1141" s="7"/>
      <c r="AB1141" s="7"/>
      <c r="AC1141" s="7"/>
      <c r="AD1141" s="7"/>
      <c r="AE1141" s="7"/>
      <c r="AF1141" s="7"/>
      <c r="AG1141" s="7"/>
      <c r="AH1141" s="7"/>
      <c r="AI1141" s="7"/>
    </row>
    <row r="1142" spans="12:35">
      <c r="L1142" s="7">
        <v>34</v>
      </c>
      <c r="M1142" s="7">
        <v>56</v>
      </c>
      <c r="N1142" s="7" t="b">
        <f>AND($N$6,$N$7,3&lt;=$M$6,5&lt;=$M$7)</f>
        <v>0</v>
      </c>
      <c r="O1142" s="7">
        <f>(P34-N34)*(O56-O34)-(Q34-O34)*(N56-N34)</f>
        <v>0</v>
      </c>
      <c r="P1142" s="7">
        <f>(P34-N34)*(Q56-O34)-(Q34-O34)*(P56-N34)</f>
        <v>0</v>
      </c>
      <c r="Q1142" s="7">
        <f>(P56-N56)*(O34-O56)-(Q56-O56)*(N34-N56)</f>
        <v>0</v>
      </c>
      <c r="R1142" s="7">
        <f>(P56-N56)*(Q34-O56)-(Q56-O56)*(P34-N56)</f>
        <v>0</v>
      </c>
      <c r="S1142" s="7">
        <f>IF(N1142,IF(AND(O1142*P1142&lt;=0,Q1142*R1142&lt;=0,MAX(MIN(N34,P34),MIN(N56,P56))&lt;=MIN(MAX(N34,P34),MAX(N56,P56)),MAX(MIN(O34,Q34),MIN(O56,Q56))&lt;=MIN(MAX(O34,Q34),MAX(O56,Q56))),1,0),0)</f>
        <v>0</v>
      </c>
      <c r="T1142" s="7"/>
      <c r="U1142" s="7"/>
      <c r="V1142" s="7"/>
      <c r="W1142" s="7"/>
      <c r="X1142" s="7"/>
      <c r="Y1142" s="7"/>
      <c r="Z1142" s="7"/>
      <c r="AA1142" s="7"/>
      <c r="AB1142" s="7"/>
      <c r="AC1142" s="7"/>
      <c r="AD1142" s="7"/>
      <c r="AE1142" s="7"/>
      <c r="AF1142" s="7"/>
      <c r="AG1142" s="7"/>
      <c r="AH1142" s="7"/>
      <c r="AI1142" s="7"/>
    </row>
    <row r="1143" spans="12:35">
      <c r="L1143" s="7">
        <v>34</v>
      </c>
      <c r="M1143" s="7">
        <v>57</v>
      </c>
      <c r="N1143" s="7" t="b">
        <f>AND($N$6,$N$7,3&lt;=$M$6,6&lt;=$M$7)</f>
        <v>0</v>
      </c>
      <c r="O1143" s="7">
        <f>(P34-N34)*(O57-O34)-(Q34-O34)*(N57-N34)</f>
        <v>0</v>
      </c>
      <c r="P1143" s="7">
        <f>(P34-N34)*(Q57-O34)-(Q34-O34)*(P57-N34)</f>
        <v>0</v>
      </c>
      <c r="Q1143" s="7">
        <f>(P57-N57)*(O34-O57)-(Q57-O57)*(N34-N57)</f>
        <v>0</v>
      </c>
      <c r="R1143" s="7">
        <f>(P57-N57)*(Q34-O57)-(Q57-O57)*(P34-N57)</f>
        <v>0</v>
      </c>
      <c r="S1143" s="7">
        <f>IF(N1143,IF(AND(O1143*P1143&lt;=0,Q1143*R1143&lt;=0,MAX(MIN(N34,P34),MIN(N57,P57))&lt;=MIN(MAX(N34,P34),MAX(N57,P57)),MAX(MIN(O34,Q34),MIN(O57,Q57))&lt;=MIN(MAX(O34,Q34),MAX(O57,Q57))),1,0),0)</f>
        <v>0</v>
      </c>
      <c r="T1143" s="7"/>
      <c r="U1143" s="7"/>
      <c r="V1143" s="7"/>
      <c r="W1143" s="7"/>
      <c r="X1143" s="7"/>
      <c r="Y1143" s="7"/>
      <c r="Z1143" s="7"/>
      <c r="AA1143" s="7"/>
      <c r="AB1143" s="7"/>
      <c r="AC1143" s="7"/>
      <c r="AD1143" s="7"/>
      <c r="AE1143" s="7"/>
      <c r="AF1143" s="7"/>
      <c r="AG1143" s="7"/>
      <c r="AH1143" s="7"/>
      <c r="AI1143" s="7"/>
    </row>
    <row r="1144" spans="12:35">
      <c r="L1144" s="7">
        <v>34</v>
      </c>
      <c r="M1144" s="7">
        <v>58</v>
      </c>
      <c r="N1144" s="7" t="b">
        <f>AND($N$6,$N$7,3&lt;=$M$6,7&lt;=$M$7)</f>
        <v>0</v>
      </c>
      <c r="O1144" s="7">
        <f>(P34-N34)*(O58-O34)-(Q34-O34)*(N58-N34)</f>
        <v>0</v>
      </c>
      <c r="P1144" s="7">
        <f>(P34-N34)*(Q58-O34)-(Q34-O34)*(P58-N34)</f>
        <v>0</v>
      </c>
      <c r="Q1144" s="7">
        <f>(P58-N58)*(O34-O58)-(Q58-O58)*(N34-N58)</f>
        <v>0</v>
      </c>
      <c r="R1144" s="7">
        <f>(P58-N58)*(Q34-O58)-(Q58-O58)*(P34-N58)</f>
        <v>0</v>
      </c>
      <c r="S1144" s="7">
        <f>IF(N1144,IF(AND(O1144*P1144&lt;=0,Q1144*R1144&lt;=0,MAX(MIN(N34,P34),MIN(N58,P58))&lt;=MIN(MAX(N34,P34),MAX(N58,P58)),MAX(MIN(O34,Q34),MIN(O58,Q58))&lt;=MIN(MAX(O34,Q34),MAX(O58,Q58))),1,0),0)</f>
        <v>0</v>
      </c>
      <c r="T1144" s="7"/>
      <c r="U1144" s="7"/>
      <c r="V1144" s="7"/>
      <c r="W1144" s="7"/>
      <c r="X1144" s="7"/>
      <c r="Y1144" s="7"/>
      <c r="Z1144" s="7"/>
      <c r="AA1144" s="7"/>
      <c r="AB1144" s="7"/>
      <c r="AC1144" s="7"/>
      <c r="AD1144" s="7"/>
      <c r="AE1144" s="7"/>
      <c r="AF1144" s="7"/>
      <c r="AG1144" s="7"/>
      <c r="AH1144" s="7"/>
      <c r="AI1144" s="7"/>
    </row>
    <row r="1145" spans="12:35">
      <c r="L1145" s="7">
        <v>34</v>
      </c>
      <c r="M1145" s="7">
        <v>59</v>
      </c>
      <c r="N1145" s="7" t="b">
        <f>AND($N$6,$N$7,3&lt;=$M$6,8&lt;=$M$7)</f>
        <v>0</v>
      </c>
      <c r="O1145" s="7">
        <f>(P34-N34)*(O59-O34)-(Q34-O34)*(N59-N34)</f>
        <v>0</v>
      </c>
      <c r="P1145" s="7">
        <f>(P34-N34)*(Q59-O34)-(Q34-O34)*(P59-N34)</f>
        <v>0</v>
      </c>
      <c r="Q1145" s="7">
        <f>(P59-N59)*(O34-O59)-(Q59-O59)*(N34-N59)</f>
        <v>0</v>
      </c>
      <c r="R1145" s="7">
        <f>(P59-N59)*(Q34-O59)-(Q59-O59)*(P34-N59)</f>
        <v>0</v>
      </c>
      <c r="S1145" s="7">
        <f>IF(N1145,IF(AND(O1145*P1145&lt;=0,Q1145*R1145&lt;=0,MAX(MIN(N34,P34),MIN(N59,P59))&lt;=MIN(MAX(N34,P34),MAX(N59,P59)),MAX(MIN(O34,Q34),MIN(O59,Q59))&lt;=MIN(MAX(O34,Q34),MAX(O59,Q59))),1,0),0)</f>
        <v>0</v>
      </c>
      <c r="T1145" s="7"/>
      <c r="U1145" s="7"/>
      <c r="V1145" s="7"/>
      <c r="W1145" s="7"/>
      <c r="X1145" s="7"/>
      <c r="Y1145" s="7"/>
      <c r="Z1145" s="7"/>
      <c r="AA1145" s="7"/>
      <c r="AB1145" s="7"/>
      <c r="AC1145" s="7"/>
      <c r="AD1145" s="7"/>
      <c r="AE1145" s="7"/>
      <c r="AF1145" s="7"/>
      <c r="AG1145" s="7"/>
      <c r="AH1145" s="7"/>
      <c r="AI1145" s="7"/>
    </row>
    <row r="1146" spans="12:35">
      <c r="L1146" s="7">
        <v>34</v>
      </c>
      <c r="M1146" s="7">
        <v>60</v>
      </c>
      <c r="N1146" s="7" t="b">
        <f>AND($N$6,$N$7,3&lt;=$M$6,9&lt;=$M$7)</f>
        <v>0</v>
      </c>
      <c r="O1146" s="7">
        <f>(P34-N34)*(O60-O34)-(Q34-O34)*(N60-N34)</f>
        <v>0</v>
      </c>
      <c r="P1146" s="7">
        <f>(P34-N34)*(Q60-O34)-(Q34-O34)*(P60-N34)</f>
        <v>0</v>
      </c>
      <c r="Q1146" s="7">
        <f>(P60-N60)*(O34-O60)-(Q60-O60)*(N34-N60)</f>
        <v>0</v>
      </c>
      <c r="R1146" s="7">
        <f>(P60-N60)*(Q34-O60)-(Q60-O60)*(P34-N60)</f>
        <v>0</v>
      </c>
      <c r="S1146" s="7">
        <f>IF(N1146,IF(AND(O1146*P1146&lt;=0,Q1146*R1146&lt;=0,MAX(MIN(N34,P34),MIN(N60,P60))&lt;=MIN(MAX(N34,P34),MAX(N60,P60)),MAX(MIN(O34,Q34),MIN(O60,Q60))&lt;=MIN(MAX(O34,Q34),MAX(O60,Q60))),1,0),0)</f>
        <v>0</v>
      </c>
      <c r="T1146" s="7"/>
      <c r="U1146" s="7"/>
      <c r="V1146" s="7"/>
      <c r="W1146" s="7"/>
      <c r="X1146" s="7"/>
      <c r="Y1146" s="7"/>
      <c r="Z1146" s="7"/>
      <c r="AA1146" s="7"/>
      <c r="AB1146" s="7"/>
      <c r="AC1146" s="7"/>
      <c r="AD1146" s="7"/>
      <c r="AE1146" s="7"/>
      <c r="AF1146" s="7"/>
      <c r="AG1146" s="7"/>
      <c r="AH1146" s="7"/>
      <c r="AI1146" s="7"/>
    </row>
    <row r="1147" spans="12:35">
      <c r="L1147" s="7">
        <v>34</v>
      </c>
      <c r="M1147" s="7">
        <v>61</v>
      </c>
      <c r="N1147" s="7" t="b">
        <f>AND($N$6,$N$7,3&lt;=$M$6,10&lt;=$M$7)</f>
        <v>0</v>
      </c>
      <c r="O1147" s="7">
        <f>(P34-N34)*(O61-O34)-(Q34-O34)*(N61-N34)</f>
        <v>0</v>
      </c>
      <c r="P1147" s="7">
        <f>(P34-N34)*(Q61-O34)-(Q34-O34)*(P61-N34)</f>
        <v>0</v>
      </c>
      <c r="Q1147" s="7">
        <f>(P61-N61)*(O34-O61)-(Q61-O61)*(N34-N61)</f>
        <v>0</v>
      </c>
      <c r="R1147" s="7">
        <f>(P61-N61)*(Q34-O61)-(Q61-O61)*(P34-N61)</f>
        <v>0</v>
      </c>
      <c r="S1147" s="7">
        <f>IF(N1147,IF(AND(O1147*P1147&lt;=0,Q1147*R1147&lt;=0,MAX(MIN(N34,P34),MIN(N61,P61))&lt;=MIN(MAX(N34,P34),MAX(N61,P61)),MAX(MIN(O34,Q34),MIN(O61,Q61))&lt;=MIN(MAX(O34,Q34),MAX(O61,Q61))),1,0),0)</f>
        <v>0</v>
      </c>
      <c r="T1147" s="7"/>
      <c r="U1147" s="7"/>
      <c r="V1147" s="7"/>
      <c r="W1147" s="7"/>
      <c r="X1147" s="7"/>
      <c r="Y1147" s="7"/>
      <c r="Z1147" s="7"/>
      <c r="AA1147" s="7"/>
      <c r="AB1147" s="7"/>
      <c r="AC1147" s="7"/>
      <c r="AD1147" s="7"/>
      <c r="AE1147" s="7"/>
      <c r="AF1147" s="7"/>
      <c r="AG1147" s="7"/>
      <c r="AH1147" s="7"/>
      <c r="AI1147" s="7"/>
    </row>
    <row r="1148" spans="12:35">
      <c r="L1148" s="7">
        <v>34</v>
      </c>
      <c r="M1148" s="7">
        <v>62</v>
      </c>
      <c r="N1148" s="7" t="b">
        <f>AND($N$6,$N$7,3&lt;=$M$6,11&lt;=$M$7)</f>
        <v>0</v>
      </c>
      <c r="O1148" s="7">
        <f>(P34-N34)*(O62-O34)-(Q34-O34)*(N62-N34)</f>
        <v>0</v>
      </c>
      <c r="P1148" s="7">
        <f>(P34-N34)*(Q62-O34)-(Q34-O34)*(P62-N34)</f>
        <v>0</v>
      </c>
      <c r="Q1148" s="7">
        <f>(P62-N62)*(O34-O62)-(Q62-O62)*(N34-N62)</f>
        <v>0</v>
      </c>
      <c r="R1148" s="7">
        <f>(P62-N62)*(Q34-O62)-(Q62-O62)*(P34-N62)</f>
        <v>0</v>
      </c>
      <c r="S1148" s="7">
        <f>IF(N1148,IF(AND(O1148*P1148&lt;=0,Q1148*R1148&lt;=0,MAX(MIN(N34,P34),MIN(N62,P62))&lt;=MIN(MAX(N34,P34),MAX(N62,P62)),MAX(MIN(O34,Q34),MIN(O62,Q62))&lt;=MIN(MAX(O34,Q34),MAX(O62,Q62))),1,0),0)</f>
        <v>0</v>
      </c>
      <c r="T1148" s="7"/>
      <c r="U1148" s="7"/>
      <c r="V1148" s="7"/>
      <c r="W1148" s="7"/>
      <c r="X1148" s="7"/>
      <c r="Y1148" s="7"/>
      <c r="Z1148" s="7"/>
      <c r="AA1148" s="7"/>
      <c r="AB1148" s="7"/>
      <c r="AC1148" s="7"/>
      <c r="AD1148" s="7"/>
      <c r="AE1148" s="7"/>
      <c r="AF1148" s="7"/>
      <c r="AG1148" s="7"/>
      <c r="AH1148" s="7"/>
      <c r="AI1148" s="7"/>
    </row>
    <row r="1149" spans="12:35">
      <c r="L1149" s="7">
        <v>34</v>
      </c>
      <c r="M1149" s="7">
        <v>63</v>
      </c>
      <c r="N1149" s="7" t="b">
        <f>AND($N$6,$N$7,3&lt;=$M$6,12&lt;=$M$7)</f>
        <v>0</v>
      </c>
      <c r="O1149" s="7">
        <f>(P34-N34)*(O63-O34)-(Q34-O34)*(N63-N34)</f>
        <v>0</v>
      </c>
      <c r="P1149" s="7">
        <f>(P34-N34)*(Q63-O34)-(Q34-O34)*(P63-N34)</f>
        <v>0</v>
      </c>
      <c r="Q1149" s="7">
        <f>(P63-N63)*(O34-O63)-(Q63-O63)*(N34-N63)</f>
        <v>0</v>
      </c>
      <c r="R1149" s="7">
        <f>(P63-N63)*(Q34-O63)-(Q63-O63)*(P34-N63)</f>
        <v>0</v>
      </c>
      <c r="S1149" s="7">
        <f>IF(N1149,IF(AND(O1149*P1149&lt;=0,Q1149*R1149&lt;=0,MAX(MIN(N34,P34),MIN(N63,P63))&lt;=MIN(MAX(N34,P34),MAX(N63,P63)),MAX(MIN(O34,Q34),MIN(O63,Q63))&lt;=MIN(MAX(O34,Q34),MAX(O63,Q63))),1,0),0)</f>
        <v>0</v>
      </c>
      <c r="T1149" s="7"/>
      <c r="U1149" s="7"/>
      <c r="V1149" s="7"/>
      <c r="W1149" s="7"/>
      <c r="X1149" s="7"/>
      <c r="Y1149" s="7"/>
      <c r="Z1149" s="7"/>
      <c r="AA1149" s="7"/>
      <c r="AB1149" s="7"/>
      <c r="AC1149" s="7"/>
      <c r="AD1149" s="7"/>
      <c r="AE1149" s="7"/>
      <c r="AF1149" s="7"/>
      <c r="AG1149" s="7"/>
      <c r="AH1149" s="7"/>
      <c r="AI1149" s="7"/>
    </row>
    <row r="1150" spans="12:35">
      <c r="L1150" s="7">
        <v>34</v>
      </c>
      <c r="M1150" s="7">
        <v>64</v>
      </c>
      <c r="N1150" s="7" t="b">
        <f>AND($N$6,$N$7,3&lt;=$M$6,13&lt;=$M$7)</f>
        <v>0</v>
      </c>
      <c r="O1150" s="7">
        <f>(P34-N34)*(O64-O34)-(Q34-O34)*(N64-N34)</f>
        <v>0</v>
      </c>
      <c r="P1150" s="7">
        <f>(P34-N34)*(Q64-O34)-(Q34-O34)*(P64-N34)</f>
        <v>0</v>
      </c>
      <c r="Q1150" s="7">
        <f>(P64-N64)*(O34-O64)-(Q64-O64)*(N34-N64)</f>
        <v>0</v>
      </c>
      <c r="R1150" s="7">
        <f>(P64-N64)*(Q34-O64)-(Q64-O64)*(P34-N64)</f>
        <v>0</v>
      </c>
      <c r="S1150" s="7">
        <f>IF(N1150,IF(AND(O1150*P1150&lt;=0,Q1150*R1150&lt;=0,MAX(MIN(N34,P34),MIN(N64,P64))&lt;=MIN(MAX(N34,P34),MAX(N64,P64)),MAX(MIN(O34,Q34),MIN(O64,Q64))&lt;=MIN(MAX(O34,Q34),MAX(O64,Q64))),1,0),0)</f>
        <v>0</v>
      </c>
      <c r="T1150" s="7"/>
      <c r="U1150" s="7"/>
      <c r="V1150" s="7"/>
      <c r="W1150" s="7"/>
      <c r="X1150" s="7"/>
      <c r="Y1150" s="7"/>
      <c r="Z1150" s="7"/>
      <c r="AA1150" s="7"/>
      <c r="AB1150" s="7"/>
      <c r="AC1150" s="7"/>
      <c r="AD1150" s="7"/>
      <c r="AE1150" s="7"/>
      <c r="AF1150" s="7"/>
      <c r="AG1150" s="7"/>
      <c r="AH1150" s="7"/>
      <c r="AI1150" s="7"/>
    </row>
    <row r="1151" spans="12:35">
      <c r="L1151" s="7">
        <v>34</v>
      </c>
      <c r="M1151" s="7">
        <v>65</v>
      </c>
      <c r="N1151" s="7" t="b">
        <f>AND($N$6,$N$7,3&lt;=$M$6,14&lt;=$M$7)</f>
        <v>0</v>
      </c>
      <c r="O1151" s="7">
        <f>(P34-N34)*(O65-O34)-(Q34-O34)*(N65-N34)</f>
        <v>0</v>
      </c>
      <c r="P1151" s="7">
        <f>(P34-N34)*(Q65-O34)-(Q34-O34)*(P65-N34)</f>
        <v>0</v>
      </c>
      <c r="Q1151" s="7">
        <f>(P65-N65)*(O34-O65)-(Q65-O65)*(N34-N65)</f>
        <v>0</v>
      </c>
      <c r="R1151" s="7">
        <f>(P65-N65)*(Q34-O65)-(Q65-O65)*(P34-N65)</f>
        <v>0</v>
      </c>
      <c r="S1151" s="7">
        <f>IF(N1151,IF(AND(O1151*P1151&lt;=0,Q1151*R1151&lt;=0,MAX(MIN(N34,P34),MIN(N65,P65))&lt;=MIN(MAX(N34,P34),MAX(N65,P65)),MAX(MIN(O34,Q34),MIN(O65,Q65))&lt;=MIN(MAX(O34,Q34),MAX(O65,Q65))),1,0),0)</f>
        <v>0</v>
      </c>
      <c r="T1151" s="7"/>
      <c r="U1151" s="7"/>
      <c r="V1151" s="7"/>
      <c r="W1151" s="7"/>
      <c r="X1151" s="7"/>
      <c r="Y1151" s="7"/>
      <c r="Z1151" s="7"/>
      <c r="AA1151" s="7"/>
      <c r="AB1151" s="7"/>
      <c r="AC1151" s="7"/>
      <c r="AD1151" s="7"/>
      <c r="AE1151" s="7"/>
      <c r="AF1151" s="7"/>
      <c r="AG1151" s="7"/>
      <c r="AH1151" s="7"/>
      <c r="AI1151" s="7"/>
    </row>
    <row r="1152" spans="12:35">
      <c r="L1152" s="7">
        <v>34</v>
      </c>
      <c r="M1152" s="7">
        <v>66</v>
      </c>
      <c r="N1152" s="7" t="b">
        <f>AND($N$6,$N$7,3&lt;=$M$6,15&lt;=$M$7)</f>
        <v>0</v>
      </c>
      <c r="O1152" s="7">
        <f>(P34-N34)*(O66-O34)-(Q34-O34)*(N66-N34)</f>
        <v>0</v>
      </c>
      <c r="P1152" s="7">
        <f>(P34-N34)*(Q66-O34)-(Q34-O34)*(P66-N34)</f>
        <v>0</v>
      </c>
      <c r="Q1152" s="7">
        <f>(P66-N66)*(O34-O66)-(Q66-O66)*(N34-N66)</f>
        <v>0</v>
      </c>
      <c r="R1152" s="7">
        <f>(P66-N66)*(Q34-O66)-(Q66-O66)*(P34-N66)</f>
        <v>0</v>
      </c>
      <c r="S1152" s="7">
        <f>IF(N1152,IF(AND(O1152*P1152&lt;=0,Q1152*R1152&lt;=0,MAX(MIN(N34,P34),MIN(N66,P66))&lt;=MIN(MAX(N34,P34),MAX(N66,P66)),MAX(MIN(O34,Q34),MIN(O66,Q66))&lt;=MIN(MAX(O34,Q34),MAX(O66,Q66))),1,0),0)</f>
        <v>0</v>
      </c>
      <c r="T1152" s="7"/>
      <c r="U1152" s="7"/>
      <c r="V1152" s="7"/>
      <c r="W1152" s="7"/>
      <c r="X1152" s="7"/>
      <c r="Y1152" s="7"/>
      <c r="Z1152" s="7"/>
      <c r="AA1152" s="7"/>
      <c r="AB1152" s="7"/>
      <c r="AC1152" s="7"/>
      <c r="AD1152" s="7"/>
      <c r="AE1152" s="7"/>
      <c r="AF1152" s="7"/>
      <c r="AG1152" s="7"/>
      <c r="AH1152" s="7"/>
      <c r="AI1152" s="7"/>
    </row>
    <row r="1153" spans="12:35">
      <c r="L1153" s="7">
        <v>34</v>
      </c>
      <c r="M1153" s="7">
        <v>67</v>
      </c>
      <c r="N1153" s="7" t="b">
        <f>AND($N$6,$N$7,3&lt;=$M$6,16&lt;=$M$7)</f>
        <v>0</v>
      </c>
      <c r="O1153" s="7">
        <f>(P34-N34)*(O67-O34)-(Q34-O34)*(N67-N34)</f>
        <v>0</v>
      </c>
      <c r="P1153" s="7">
        <f>(P34-N34)*(Q67-O34)-(Q34-O34)*(P67-N34)</f>
        <v>0</v>
      </c>
      <c r="Q1153" s="7">
        <f>(P67-N67)*(O34-O67)-(Q67-O67)*(N34-N67)</f>
        <v>0</v>
      </c>
      <c r="R1153" s="7">
        <f>(P67-N67)*(Q34-O67)-(Q67-O67)*(P34-N67)</f>
        <v>0</v>
      </c>
      <c r="S1153" s="7">
        <f>IF(N1153,IF(AND(O1153*P1153&lt;=0,Q1153*R1153&lt;=0,MAX(MIN(N34,P34),MIN(N67,P67))&lt;=MIN(MAX(N34,P34),MAX(N67,P67)),MAX(MIN(O34,Q34),MIN(O67,Q67))&lt;=MIN(MAX(O34,Q34),MAX(O67,Q67))),1,0),0)</f>
        <v>0</v>
      </c>
      <c r="T1153" s="7"/>
      <c r="U1153" s="7"/>
      <c r="V1153" s="7"/>
      <c r="W1153" s="7"/>
      <c r="X1153" s="7"/>
      <c r="Y1153" s="7"/>
      <c r="Z1153" s="7"/>
      <c r="AA1153" s="7"/>
      <c r="AB1153" s="7"/>
      <c r="AC1153" s="7"/>
      <c r="AD1153" s="7"/>
      <c r="AE1153" s="7"/>
      <c r="AF1153" s="7"/>
      <c r="AG1153" s="7"/>
      <c r="AH1153" s="7"/>
      <c r="AI1153" s="7"/>
    </row>
    <row r="1154" spans="12:35">
      <c r="L1154" s="7">
        <v>34</v>
      </c>
      <c r="M1154" s="7">
        <v>68</v>
      </c>
      <c r="N1154" s="7" t="b">
        <f>AND($N$6,$N$7,3&lt;=$M$6,17&lt;=$M$7)</f>
        <v>0</v>
      </c>
      <c r="O1154" s="7">
        <f>(P34-N34)*(O68-O34)-(Q34-O34)*(N68-N34)</f>
        <v>0</v>
      </c>
      <c r="P1154" s="7">
        <f>(P34-N34)*(Q68-O34)-(Q34-O34)*(P68-N34)</f>
        <v>0</v>
      </c>
      <c r="Q1154" s="7">
        <f>(P68-N68)*(O34-O68)-(Q68-O68)*(N34-N68)</f>
        <v>0</v>
      </c>
      <c r="R1154" s="7">
        <f>(P68-N68)*(Q34-O68)-(Q68-O68)*(P34-N68)</f>
        <v>0</v>
      </c>
      <c r="S1154" s="7">
        <f>IF(N1154,IF(AND(O1154*P1154&lt;=0,Q1154*R1154&lt;=0,MAX(MIN(N34,P34),MIN(N68,P68))&lt;=MIN(MAX(N34,P34),MAX(N68,P68)),MAX(MIN(O34,Q34),MIN(O68,Q68))&lt;=MIN(MAX(O34,Q34),MAX(O68,Q68))),1,0),0)</f>
        <v>0</v>
      </c>
      <c r="T1154" s="7"/>
      <c r="U1154" s="7"/>
      <c r="V1154" s="7"/>
      <c r="W1154" s="7"/>
      <c r="X1154" s="7"/>
      <c r="Y1154" s="7"/>
      <c r="Z1154" s="7"/>
      <c r="AA1154" s="7"/>
      <c r="AB1154" s="7"/>
      <c r="AC1154" s="7"/>
      <c r="AD1154" s="7"/>
      <c r="AE1154" s="7"/>
      <c r="AF1154" s="7"/>
      <c r="AG1154" s="7"/>
      <c r="AH1154" s="7"/>
      <c r="AI1154" s="7"/>
    </row>
    <row r="1155" spans="12:35">
      <c r="L1155" s="7">
        <v>34</v>
      </c>
      <c r="M1155" s="7">
        <v>69</v>
      </c>
      <c r="N1155" s="7" t="b">
        <f>AND($N$6,$N$7,3&lt;=$M$6,18&lt;=$M$7)</f>
        <v>0</v>
      </c>
      <c r="O1155" s="7">
        <f>(P34-N34)*(O69-O34)-(Q34-O34)*(N69-N34)</f>
        <v>0</v>
      </c>
      <c r="P1155" s="7">
        <f>(P34-N34)*(Q69-O34)-(Q34-O34)*(P69-N34)</f>
        <v>0</v>
      </c>
      <c r="Q1155" s="7">
        <f>(P69-N69)*(O34-O69)-(Q69-O69)*(N34-N69)</f>
        <v>0</v>
      </c>
      <c r="R1155" s="7">
        <f>(P69-N69)*(Q34-O69)-(Q69-O69)*(P34-N69)</f>
        <v>0</v>
      </c>
      <c r="S1155" s="7">
        <f>IF(N1155,IF(AND(O1155*P1155&lt;=0,Q1155*R1155&lt;=0,MAX(MIN(N34,P34),MIN(N69,P69))&lt;=MIN(MAX(N34,P34),MAX(N69,P69)),MAX(MIN(O34,Q34),MIN(O69,Q69))&lt;=MIN(MAX(O34,Q34),MAX(O69,Q69))),1,0),0)</f>
        <v>0</v>
      </c>
      <c r="T1155" s="7"/>
      <c r="U1155" s="7"/>
      <c r="V1155" s="7"/>
      <c r="W1155" s="7"/>
      <c r="X1155" s="7"/>
      <c r="Y1155" s="7"/>
      <c r="Z1155" s="7"/>
      <c r="AA1155" s="7"/>
      <c r="AB1155" s="7"/>
      <c r="AC1155" s="7"/>
      <c r="AD1155" s="7"/>
      <c r="AE1155" s="7"/>
      <c r="AF1155" s="7"/>
      <c r="AG1155" s="7"/>
      <c r="AH1155" s="7"/>
      <c r="AI1155" s="7"/>
    </row>
    <row r="1156" spans="12:35">
      <c r="L1156" s="7">
        <v>34</v>
      </c>
      <c r="M1156" s="7">
        <v>70</v>
      </c>
      <c r="N1156" s="7" t="b">
        <f>AND($N$6,$N$7,3&lt;=$M$6,19&lt;=$M$7)</f>
        <v>0</v>
      </c>
      <c r="O1156" s="7">
        <f>(P34-N34)*(O70-O34)-(Q34-O34)*(N70-N34)</f>
        <v>0</v>
      </c>
      <c r="P1156" s="7">
        <f>(P34-N34)*(Q70-O34)-(Q34-O34)*(P70-N34)</f>
        <v>0</v>
      </c>
      <c r="Q1156" s="7">
        <f>(P70-N70)*(O34-O70)-(Q70-O70)*(N34-N70)</f>
        <v>0</v>
      </c>
      <c r="R1156" s="7">
        <f>(P70-N70)*(Q34-O70)-(Q70-O70)*(P34-N70)</f>
        <v>0</v>
      </c>
      <c r="S1156" s="7">
        <f>IF(N1156,IF(AND(O1156*P1156&lt;=0,Q1156*R1156&lt;=0,MAX(MIN(N34,P34),MIN(N70,P70))&lt;=MIN(MAX(N34,P34),MAX(N70,P70)),MAX(MIN(O34,Q34),MIN(O70,Q70))&lt;=MIN(MAX(O34,Q34),MAX(O70,Q70))),1,0),0)</f>
        <v>0</v>
      </c>
      <c r="T1156" s="7"/>
      <c r="U1156" s="7"/>
      <c r="V1156" s="7"/>
      <c r="W1156" s="7"/>
      <c r="X1156" s="7"/>
      <c r="Y1156" s="7"/>
      <c r="Z1156" s="7"/>
      <c r="AA1156" s="7"/>
      <c r="AB1156" s="7"/>
      <c r="AC1156" s="7"/>
      <c r="AD1156" s="7"/>
      <c r="AE1156" s="7"/>
      <c r="AF1156" s="7"/>
      <c r="AG1156" s="7"/>
      <c r="AH1156" s="7"/>
      <c r="AI1156" s="7"/>
    </row>
    <row r="1157" spans="12:35">
      <c r="L1157" s="7">
        <v>34</v>
      </c>
      <c r="M1157" s="7">
        <v>71</v>
      </c>
      <c r="N1157" s="7" t="b">
        <f>AND($N$6,$N$7,3&lt;=$M$6,20&lt;=$M$7)</f>
        <v>0</v>
      </c>
      <c r="O1157" s="7">
        <f>(P34-N34)*(O71-O34)-(Q34-O34)*(N71-N34)</f>
        <v>0</v>
      </c>
      <c r="P1157" s="7">
        <f>(P34-N34)*(Q71-O34)-(Q34-O34)*(P71-N34)</f>
        <v>0</v>
      </c>
      <c r="Q1157" s="7">
        <f>(P71-N71)*(O34-O71)-(Q71-O71)*(N34-N71)</f>
        <v>0</v>
      </c>
      <c r="R1157" s="7">
        <f>(P71-N71)*(Q34-O71)-(Q71-O71)*(P34-N71)</f>
        <v>0</v>
      </c>
      <c r="S1157" s="7">
        <f>IF(N1157,IF(AND(O1157*P1157&lt;=0,Q1157*R1157&lt;=0,MAX(MIN(N34,P34),MIN(N71,P71))&lt;=MIN(MAX(N34,P34),MAX(N71,P71)),MAX(MIN(O34,Q34),MIN(O71,Q71))&lt;=MIN(MAX(O34,Q34),MAX(O71,Q71))),1,0),0)</f>
        <v>0</v>
      </c>
      <c r="T1157" s="7"/>
      <c r="U1157" s="7"/>
      <c r="V1157" s="7"/>
      <c r="W1157" s="7"/>
      <c r="X1157" s="7"/>
      <c r="Y1157" s="7"/>
      <c r="Z1157" s="7"/>
      <c r="AA1157" s="7"/>
      <c r="AB1157" s="7"/>
      <c r="AC1157" s="7"/>
      <c r="AD1157" s="7"/>
      <c r="AE1157" s="7"/>
      <c r="AF1157" s="7"/>
      <c r="AG1157" s="7"/>
      <c r="AH1157" s="7"/>
      <c r="AI1157" s="7"/>
    </row>
    <row r="1158" spans="12:35">
      <c r="L1158" s="7">
        <v>35</v>
      </c>
      <c r="M1158" s="7">
        <v>37</v>
      </c>
      <c r="N1158" s="7" t="b">
        <f>AND($N$6,$N$6,4&lt;=$M$6,6&lt;=$M$6)</f>
        <v>0</v>
      </c>
      <c r="O1158" s="7">
        <f>(P35-N35)*(O37-O35)-(Q35-O35)*(N37-N35)</f>
        <v>0</v>
      </c>
      <c r="P1158" s="7">
        <f>(P35-N35)*(Q37-O35)-(Q35-O35)*(P37-N35)</f>
        <v>0</v>
      </c>
      <c r="Q1158" s="7">
        <f>(P37-N37)*(O35-O37)-(Q37-O37)*(N35-N37)</f>
        <v>0</v>
      </c>
      <c r="R1158" s="7">
        <f>(P37-N37)*(Q35-O37)-(Q37-O37)*(P35-N37)</f>
        <v>0</v>
      </c>
      <c r="S1158" s="7">
        <f>IF(N1158,IF(AND(O1158*P1158&lt;=0,Q1158*R1158&lt;=0,MAX(MIN(N35,P35),MIN(N37,P37))&lt;=MIN(MAX(N35,P35),MAX(N37,P37)),MAX(MIN(O35,Q35),MIN(O37,Q37))&lt;=MIN(MAX(O35,Q35),MAX(O37,Q37))),1,0),0)</f>
        <v>0</v>
      </c>
      <c r="T1158" s="7"/>
      <c r="U1158" s="7"/>
      <c r="V1158" s="7"/>
      <c r="W1158" s="7"/>
      <c r="X1158" s="7"/>
      <c r="Y1158" s="7"/>
      <c r="Z1158" s="7"/>
      <c r="AA1158" s="7"/>
      <c r="AB1158" s="7"/>
      <c r="AC1158" s="7"/>
      <c r="AD1158" s="7"/>
      <c r="AE1158" s="7"/>
      <c r="AF1158" s="7"/>
      <c r="AG1158" s="7"/>
      <c r="AH1158" s="7"/>
      <c r="AI1158" s="7"/>
    </row>
    <row r="1159" spans="12:35">
      <c r="L1159" s="7">
        <v>35</v>
      </c>
      <c r="M1159" s="7">
        <v>38</v>
      </c>
      <c r="N1159" s="7" t="b">
        <f>AND($N$6,$N$6,4&lt;=$M$6,7&lt;=$M$6)</f>
        <v>0</v>
      </c>
      <c r="O1159" s="7">
        <f>(P35-N35)*(O38-O35)-(Q35-O35)*(N38-N35)</f>
        <v>0</v>
      </c>
      <c r="P1159" s="7">
        <f>(P35-N35)*(Q38-O35)-(Q35-O35)*(P38-N35)</f>
        <v>0</v>
      </c>
      <c r="Q1159" s="7">
        <f>(P38-N38)*(O35-O38)-(Q38-O38)*(N35-N38)</f>
        <v>0</v>
      </c>
      <c r="R1159" s="7">
        <f>(P38-N38)*(Q35-O38)-(Q38-O38)*(P35-N38)</f>
        <v>0</v>
      </c>
      <c r="S1159" s="7">
        <f>IF(N1159,IF(AND(O1159*P1159&lt;=0,Q1159*R1159&lt;=0,MAX(MIN(N35,P35),MIN(N38,P38))&lt;=MIN(MAX(N35,P35),MAX(N38,P38)),MAX(MIN(O35,Q35),MIN(O38,Q38))&lt;=MIN(MAX(O35,Q35),MAX(O38,Q38))),1,0),0)</f>
        <v>0</v>
      </c>
      <c r="T1159" s="7"/>
      <c r="U1159" s="7"/>
      <c r="V1159" s="7"/>
      <c r="W1159" s="7"/>
      <c r="X1159" s="7"/>
      <c r="Y1159" s="7"/>
      <c r="Z1159" s="7"/>
      <c r="AA1159" s="7"/>
      <c r="AB1159" s="7"/>
      <c r="AC1159" s="7"/>
      <c r="AD1159" s="7"/>
      <c r="AE1159" s="7"/>
      <c r="AF1159" s="7"/>
      <c r="AG1159" s="7"/>
      <c r="AH1159" s="7"/>
      <c r="AI1159" s="7"/>
    </row>
    <row r="1160" spans="12:35">
      <c r="L1160" s="7">
        <v>35</v>
      </c>
      <c r="M1160" s="7">
        <v>39</v>
      </c>
      <c r="N1160" s="7" t="b">
        <f>AND($N$6,$N$6,4&lt;=$M$6,8&lt;=$M$6)</f>
        <v>0</v>
      </c>
      <c r="O1160" s="7">
        <f>(P35-N35)*(O39-O35)-(Q35-O35)*(N39-N35)</f>
        <v>0</v>
      </c>
      <c r="P1160" s="7">
        <f>(P35-N35)*(Q39-O35)-(Q35-O35)*(P39-N35)</f>
        <v>0</v>
      </c>
      <c r="Q1160" s="7">
        <f>(P39-N39)*(O35-O39)-(Q39-O39)*(N35-N39)</f>
        <v>0</v>
      </c>
      <c r="R1160" s="7">
        <f>(P39-N39)*(Q35-O39)-(Q39-O39)*(P35-N39)</f>
        <v>0</v>
      </c>
      <c r="S1160" s="7">
        <f>IF(N1160,IF(AND(O1160*P1160&lt;=0,Q1160*R1160&lt;=0,MAX(MIN(N35,P35),MIN(N39,P39))&lt;=MIN(MAX(N35,P35),MAX(N39,P39)),MAX(MIN(O35,Q35),MIN(O39,Q39))&lt;=MIN(MAX(O35,Q35),MAX(O39,Q39))),1,0),0)</f>
        <v>0</v>
      </c>
      <c r="T1160" s="7"/>
      <c r="U1160" s="7"/>
      <c r="V1160" s="7"/>
      <c r="W1160" s="7"/>
      <c r="X1160" s="7"/>
      <c r="Y1160" s="7"/>
      <c r="Z1160" s="7"/>
      <c r="AA1160" s="7"/>
      <c r="AB1160" s="7"/>
      <c r="AC1160" s="7"/>
      <c r="AD1160" s="7"/>
      <c r="AE1160" s="7"/>
      <c r="AF1160" s="7"/>
      <c r="AG1160" s="7"/>
      <c r="AH1160" s="7"/>
      <c r="AI1160" s="7"/>
    </row>
    <row r="1161" spans="12:35">
      <c r="L1161" s="7">
        <v>35</v>
      </c>
      <c r="M1161" s="7">
        <v>40</v>
      </c>
      <c r="N1161" s="7" t="b">
        <f>AND($N$6,$N$6,4&lt;=$M$6,9&lt;=$M$6)</f>
        <v>0</v>
      </c>
      <c r="O1161" s="7">
        <f>(P35-N35)*(O40-O35)-(Q35-O35)*(N40-N35)</f>
        <v>0</v>
      </c>
      <c r="P1161" s="7">
        <f>(P35-N35)*(Q40-O35)-(Q35-O35)*(P40-N35)</f>
        <v>0</v>
      </c>
      <c r="Q1161" s="7">
        <f>(P40-N40)*(O35-O40)-(Q40-O40)*(N35-N40)</f>
        <v>0</v>
      </c>
      <c r="R1161" s="7">
        <f>(P40-N40)*(Q35-O40)-(Q40-O40)*(P35-N40)</f>
        <v>0</v>
      </c>
      <c r="S1161" s="7">
        <f>IF(N1161,IF(AND(O1161*P1161&lt;=0,Q1161*R1161&lt;=0,MAX(MIN(N35,P35),MIN(N40,P40))&lt;=MIN(MAX(N35,P35),MAX(N40,P40)),MAX(MIN(O35,Q35),MIN(O40,Q40))&lt;=MIN(MAX(O35,Q35),MAX(O40,Q40))),1,0),0)</f>
        <v>0</v>
      </c>
      <c r="T1161" s="7"/>
      <c r="U1161" s="7"/>
      <c r="V1161" s="7"/>
      <c r="W1161" s="7"/>
      <c r="X1161" s="7"/>
      <c r="Y1161" s="7"/>
      <c r="Z1161" s="7"/>
      <c r="AA1161" s="7"/>
      <c r="AB1161" s="7"/>
      <c r="AC1161" s="7"/>
      <c r="AD1161" s="7"/>
      <c r="AE1161" s="7"/>
      <c r="AF1161" s="7"/>
      <c r="AG1161" s="7"/>
      <c r="AH1161" s="7"/>
      <c r="AI1161" s="7"/>
    </row>
    <row r="1162" spans="12:35">
      <c r="L1162" s="7">
        <v>35</v>
      </c>
      <c r="M1162" s="7">
        <v>41</v>
      </c>
      <c r="N1162" s="7" t="b">
        <f>AND($N$6,$N$6,4&lt;=$M$6,10&lt;=$M$6)</f>
        <v>0</v>
      </c>
      <c r="O1162" s="7">
        <f>(P35-N35)*(O41-O35)-(Q35-O35)*(N41-N35)</f>
        <v>0</v>
      </c>
      <c r="P1162" s="7">
        <f>(P35-N35)*(Q41-O35)-(Q35-O35)*(P41-N35)</f>
        <v>0</v>
      </c>
      <c r="Q1162" s="7">
        <f>(P41-N41)*(O35-O41)-(Q41-O41)*(N35-N41)</f>
        <v>0</v>
      </c>
      <c r="R1162" s="7">
        <f>(P41-N41)*(Q35-O41)-(Q41-O41)*(P35-N41)</f>
        <v>0</v>
      </c>
      <c r="S1162" s="7">
        <f>IF(N1162,IF(AND(O1162*P1162&lt;=0,Q1162*R1162&lt;=0,MAX(MIN(N35,P35),MIN(N41,P41))&lt;=MIN(MAX(N35,P35),MAX(N41,P41)),MAX(MIN(O35,Q35),MIN(O41,Q41))&lt;=MIN(MAX(O35,Q35),MAX(O41,Q41))),1,0),0)</f>
        <v>0</v>
      </c>
      <c r="T1162" s="7"/>
      <c r="U1162" s="7"/>
      <c r="V1162" s="7"/>
      <c r="W1162" s="7"/>
      <c r="X1162" s="7"/>
      <c r="Y1162" s="7"/>
      <c r="Z1162" s="7"/>
      <c r="AA1162" s="7"/>
      <c r="AB1162" s="7"/>
      <c r="AC1162" s="7"/>
      <c r="AD1162" s="7"/>
      <c r="AE1162" s="7"/>
      <c r="AF1162" s="7"/>
      <c r="AG1162" s="7"/>
      <c r="AH1162" s="7"/>
      <c r="AI1162" s="7"/>
    </row>
    <row r="1163" spans="12:35">
      <c r="L1163" s="7">
        <v>35</v>
      </c>
      <c r="M1163" s="7">
        <v>42</v>
      </c>
      <c r="N1163" s="7" t="b">
        <f>AND($N$6,$N$6,4&lt;=$M$6,11&lt;=$M$6)</f>
        <v>0</v>
      </c>
      <c r="O1163" s="7">
        <f>(P35-N35)*(O42-O35)-(Q35-O35)*(N42-N35)</f>
        <v>0</v>
      </c>
      <c r="P1163" s="7">
        <f>(P35-N35)*(Q42-O35)-(Q35-O35)*(P42-N35)</f>
        <v>0</v>
      </c>
      <c r="Q1163" s="7">
        <f>(P42-N42)*(O35-O42)-(Q42-O42)*(N35-N42)</f>
        <v>0</v>
      </c>
      <c r="R1163" s="7">
        <f>(P42-N42)*(Q35-O42)-(Q42-O42)*(P35-N42)</f>
        <v>0</v>
      </c>
      <c r="S1163" s="7">
        <f>IF(N1163,IF(AND(O1163*P1163&lt;=0,Q1163*R1163&lt;=0,MAX(MIN(N35,P35),MIN(N42,P42))&lt;=MIN(MAX(N35,P35),MAX(N42,P42)),MAX(MIN(O35,Q35),MIN(O42,Q42))&lt;=MIN(MAX(O35,Q35),MAX(O42,Q42))),1,0),0)</f>
        <v>0</v>
      </c>
      <c r="T1163" s="7"/>
      <c r="U1163" s="7"/>
      <c r="V1163" s="7"/>
      <c r="W1163" s="7"/>
      <c r="X1163" s="7"/>
      <c r="Y1163" s="7"/>
      <c r="Z1163" s="7"/>
      <c r="AA1163" s="7"/>
      <c r="AB1163" s="7"/>
      <c r="AC1163" s="7"/>
      <c r="AD1163" s="7"/>
      <c r="AE1163" s="7"/>
      <c r="AF1163" s="7"/>
      <c r="AG1163" s="7"/>
      <c r="AH1163" s="7"/>
      <c r="AI1163" s="7"/>
    </row>
    <row r="1164" spans="12:35">
      <c r="L1164" s="7">
        <v>35</v>
      </c>
      <c r="M1164" s="7">
        <v>43</v>
      </c>
      <c r="N1164" s="7" t="b">
        <f>AND($N$6,$N$6,4&lt;=$M$6,12&lt;=$M$6)</f>
        <v>0</v>
      </c>
      <c r="O1164" s="7">
        <f>(P35-N35)*(O43-O35)-(Q35-O35)*(N43-N35)</f>
        <v>0</v>
      </c>
      <c r="P1164" s="7">
        <f>(P35-N35)*(Q43-O35)-(Q35-O35)*(P43-N35)</f>
        <v>0</v>
      </c>
      <c r="Q1164" s="7">
        <f>(P43-N43)*(O35-O43)-(Q43-O43)*(N35-N43)</f>
        <v>0</v>
      </c>
      <c r="R1164" s="7">
        <f>(P43-N43)*(Q35-O43)-(Q43-O43)*(P35-N43)</f>
        <v>0</v>
      </c>
      <c r="S1164" s="7">
        <f>IF(N1164,IF(AND(O1164*P1164&lt;=0,Q1164*R1164&lt;=0,MAX(MIN(N35,P35),MIN(N43,P43))&lt;=MIN(MAX(N35,P35),MAX(N43,P43)),MAX(MIN(O35,Q35),MIN(O43,Q43))&lt;=MIN(MAX(O35,Q35),MAX(O43,Q43))),1,0),0)</f>
        <v>0</v>
      </c>
      <c r="T1164" s="7"/>
      <c r="U1164" s="7"/>
      <c r="V1164" s="7"/>
      <c r="W1164" s="7"/>
      <c r="X1164" s="7"/>
      <c r="Y1164" s="7"/>
      <c r="Z1164" s="7"/>
      <c r="AA1164" s="7"/>
      <c r="AB1164" s="7"/>
      <c r="AC1164" s="7"/>
      <c r="AD1164" s="7"/>
      <c r="AE1164" s="7"/>
      <c r="AF1164" s="7"/>
      <c r="AG1164" s="7"/>
      <c r="AH1164" s="7"/>
      <c r="AI1164" s="7"/>
    </row>
    <row r="1165" spans="12:35">
      <c r="L1165" s="7">
        <v>35</v>
      </c>
      <c r="M1165" s="7">
        <v>44</v>
      </c>
      <c r="N1165" s="7" t="b">
        <f>AND($N$6,$N$6,4&lt;=$M$6,13&lt;=$M$6)</f>
        <v>0</v>
      </c>
      <c r="O1165" s="7">
        <f>(P35-N35)*(O44-O35)-(Q35-O35)*(N44-N35)</f>
        <v>0</v>
      </c>
      <c r="P1165" s="7">
        <f>(P35-N35)*(Q44-O35)-(Q35-O35)*(P44-N35)</f>
        <v>0</v>
      </c>
      <c r="Q1165" s="7">
        <f>(P44-N44)*(O35-O44)-(Q44-O44)*(N35-N44)</f>
        <v>0</v>
      </c>
      <c r="R1165" s="7">
        <f>(P44-N44)*(Q35-O44)-(Q44-O44)*(P35-N44)</f>
        <v>0</v>
      </c>
      <c r="S1165" s="7">
        <f>IF(N1165,IF(AND(O1165*P1165&lt;=0,Q1165*R1165&lt;=0,MAX(MIN(N35,P35),MIN(N44,P44))&lt;=MIN(MAX(N35,P35),MAX(N44,P44)),MAX(MIN(O35,Q35),MIN(O44,Q44))&lt;=MIN(MAX(O35,Q35),MAX(O44,Q44))),1,0),0)</f>
        <v>0</v>
      </c>
      <c r="T1165" s="7"/>
      <c r="U1165" s="7"/>
      <c r="V1165" s="7"/>
      <c r="W1165" s="7"/>
      <c r="X1165" s="7"/>
      <c r="Y1165" s="7"/>
      <c r="Z1165" s="7"/>
      <c r="AA1165" s="7"/>
      <c r="AB1165" s="7"/>
      <c r="AC1165" s="7"/>
      <c r="AD1165" s="7"/>
      <c r="AE1165" s="7"/>
      <c r="AF1165" s="7"/>
      <c r="AG1165" s="7"/>
      <c r="AH1165" s="7"/>
      <c r="AI1165" s="7"/>
    </row>
    <row r="1166" spans="12:35">
      <c r="L1166" s="7">
        <v>35</v>
      </c>
      <c r="M1166" s="7">
        <v>45</v>
      </c>
      <c r="N1166" s="7" t="b">
        <f>AND($N$6,$N$6,4&lt;=$M$6,14&lt;=$M$6)</f>
        <v>0</v>
      </c>
      <c r="O1166" s="7">
        <f>(P35-N35)*(O45-O35)-(Q35-O35)*(N45-N35)</f>
        <v>0</v>
      </c>
      <c r="P1166" s="7">
        <f>(P35-N35)*(Q45-O35)-(Q35-O35)*(P45-N35)</f>
        <v>0</v>
      </c>
      <c r="Q1166" s="7">
        <f>(P45-N45)*(O35-O45)-(Q45-O45)*(N35-N45)</f>
        <v>0</v>
      </c>
      <c r="R1166" s="7">
        <f>(P45-N45)*(Q35-O45)-(Q45-O45)*(P35-N45)</f>
        <v>0</v>
      </c>
      <c r="S1166" s="7">
        <f>IF(N1166,IF(AND(O1166*P1166&lt;=0,Q1166*R1166&lt;=0,MAX(MIN(N35,P35),MIN(N45,P45))&lt;=MIN(MAX(N35,P35),MAX(N45,P45)),MAX(MIN(O35,Q35),MIN(O45,Q45))&lt;=MIN(MAX(O35,Q35),MAX(O45,Q45))),1,0),0)</f>
        <v>0</v>
      </c>
      <c r="T1166" s="7"/>
      <c r="U1166" s="7"/>
      <c r="V1166" s="7"/>
      <c r="W1166" s="7"/>
      <c r="X1166" s="7"/>
      <c r="Y1166" s="7"/>
      <c r="Z1166" s="7"/>
      <c r="AA1166" s="7"/>
      <c r="AB1166" s="7"/>
      <c r="AC1166" s="7"/>
      <c r="AD1166" s="7"/>
      <c r="AE1166" s="7"/>
      <c r="AF1166" s="7"/>
      <c r="AG1166" s="7"/>
      <c r="AH1166" s="7"/>
      <c r="AI1166" s="7"/>
    </row>
    <row r="1167" spans="12:35">
      <c r="L1167" s="7">
        <v>35</v>
      </c>
      <c r="M1167" s="7">
        <v>46</v>
      </c>
      <c r="N1167" s="7" t="b">
        <f>AND($N$6,$N$6,4&lt;=$M$6,15&lt;=$M$6)</f>
        <v>0</v>
      </c>
      <c r="O1167" s="7">
        <f>(P35-N35)*(O46-O35)-(Q35-O35)*(N46-N35)</f>
        <v>0</v>
      </c>
      <c r="P1167" s="7">
        <f>(P35-N35)*(Q46-O35)-(Q35-O35)*(P46-N35)</f>
        <v>0</v>
      </c>
      <c r="Q1167" s="7">
        <f>(P46-N46)*(O35-O46)-(Q46-O46)*(N35-N46)</f>
        <v>0</v>
      </c>
      <c r="R1167" s="7">
        <f>(P46-N46)*(Q35-O46)-(Q46-O46)*(P35-N46)</f>
        <v>0</v>
      </c>
      <c r="S1167" s="7">
        <f>IF(N1167,IF(AND(O1167*P1167&lt;=0,Q1167*R1167&lt;=0,MAX(MIN(N35,P35),MIN(N46,P46))&lt;=MIN(MAX(N35,P35),MAX(N46,P46)),MAX(MIN(O35,Q35),MIN(O46,Q46))&lt;=MIN(MAX(O35,Q35),MAX(O46,Q46))),1,0),0)</f>
        <v>0</v>
      </c>
      <c r="T1167" s="7"/>
      <c r="U1167" s="7"/>
      <c r="V1167" s="7"/>
      <c r="W1167" s="7"/>
      <c r="X1167" s="7"/>
      <c r="Y1167" s="7"/>
      <c r="Z1167" s="7"/>
      <c r="AA1167" s="7"/>
      <c r="AB1167" s="7"/>
      <c r="AC1167" s="7"/>
      <c r="AD1167" s="7"/>
      <c r="AE1167" s="7"/>
      <c r="AF1167" s="7"/>
      <c r="AG1167" s="7"/>
      <c r="AH1167" s="7"/>
      <c r="AI1167" s="7"/>
    </row>
    <row r="1168" spans="12:35">
      <c r="L1168" s="7">
        <v>35</v>
      </c>
      <c r="M1168" s="7">
        <v>47</v>
      </c>
      <c r="N1168" s="7" t="b">
        <f>AND($N$6,$N$6,4&lt;=$M$6,16&lt;=$M$6)</f>
        <v>0</v>
      </c>
      <c r="O1168" s="7">
        <f>(P35-N35)*(O47-O35)-(Q35-O35)*(N47-N35)</f>
        <v>0</v>
      </c>
      <c r="P1168" s="7">
        <f>(P35-N35)*(Q47-O35)-(Q35-O35)*(P47-N35)</f>
        <v>0</v>
      </c>
      <c r="Q1168" s="7">
        <f>(P47-N47)*(O35-O47)-(Q47-O47)*(N35-N47)</f>
        <v>0</v>
      </c>
      <c r="R1168" s="7">
        <f>(P47-N47)*(Q35-O47)-(Q47-O47)*(P35-N47)</f>
        <v>0</v>
      </c>
      <c r="S1168" s="7">
        <f>IF(N1168,IF(AND(O1168*P1168&lt;=0,Q1168*R1168&lt;=0,MAX(MIN(N35,P35),MIN(N47,P47))&lt;=MIN(MAX(N35,P35),MAX(N47,P47)),MAX(MIN(O35,Q35),MIN(O47,Q47))&lt;=MIN(MAX(O35,Q35),MAX(O47,Q47))),1,0),0)</f>
        <v>0</v>
      </c>
      <c r="T1168" s="7"/>
      <c r="U1168" s="7"/>
      <c r="V1168" s="7"/>
      <c r="W1168" s="7"/>
      <c r="X1168" s="7"/>
      <c r="Y1168" s="7"/>
      <c r="Z1168" s="7"/>
      <c r="AA1168" s="7"/>
      <c r="AB1168" s="7"/>
      <c r="AC1168" s="7"/>
      <c r="AD1168" s="7"/>
      <c r="AE1168" s="7"/>
      <c r="AF1168" s="7"/>
      <c r="AG1168" s="7"/>
      <c r="AH1168" s="7"/>
      <c r="AI1168" s="7"/>
    </row>
    <row r="1169" spans="12:35">
      <c r="L1169" s="7">
        <v>35</v>
      </c>
      <c r="M1169" s="7">
        <v>48</v>
      </c>
      <c r="N1169" s="7" t="b">
        <f>AND($N$6,$N$6,4&lt;=$M$6,17&lt;=$M$6)</f>
        <v>0</v>
      </c>
      <c r="O1169" s="7">
        <f>(P35-N35)*(O48-O35)-(Q35-O35)*(N48-N35)</f>
        <v>0</v>
      </c>
      <c r="P1169" s="7">
        <f>(P35-N35)*(Q48-O35)-(Q35-O35)*(P48-N35)</f>
        <v>0</v>
      </c>
      <c r="Q1169" s="7">
        <f>(P48-N48)*(O35-O48)-(Q48-O48)*(N35-N48)</f>
        <v>0</v>
      </c>
      <c r="R1169" s="7">
        <f>(P48-N48)*(Q35-O48)-(Q48-O48)*(P35-N48)</f>
        <v>0</v>
      </c>
      <c r="S1169" s="7">
        <f>IF(N1169,IF(AND(O1169*P1169&lt;=0,Q1169*R1169&lt;=0,MAX(MIN(N35,P35),MIN(N48,P48))&lt;=MIN(MAX(N35,P35),MAX(N48,P48)),MAX(MIN(O35,Q35),MIN(O48,Q48))&lt;=MIN(MAX(O35,Q35),MAX(O48,Q48))),1,0),0)</f>
        <v>0</v>
      </c>
      <c r="T1169" s="7"/>
      <c r="U1169" s="7"/>
      <c r="V1169" s="7"/>
      <c r="W1169" s="7"/>
      <c r="X1169" s="7"/>
      <c r="Y1169" s="7"/>
      <c r="Z1169" s="7"/>
      <c r="AA1169" s="7"/>
      <c r="AB1169" s="7"/>
      <c r="AC1169" s="7"/>
      <c r="AD1169" s="7"/>
      <c r="AE1169" s="7"/>
      <c r="AF1169" s="7"/>
      <c r="AG1169" s="7"/>
      <c r="AH1169" s="7"/>
      <c r="AI1169" s="7"/>
    </row>
    <row r="1170" spans="12:35">
      <c r="L1170" s="7">
        <v>35</v>
      </c>
      <c r="M1170" s="7">
        <v>49</v>
      </c>
      <c r="N1170" s="7" t="b">
        <f>AND($N$6,$N$6,4&lt;=$M$6,18&lt;=$M$6)</f>
        <v>0</v>
      </c>
      <c r="O1170" s="7">
        <f>(P35-N35)*(O49-O35)-(Q35-O35)*(N49-N35)</f>
        <v>0</v>
      </c>
      <c r="P1170" s="7">
        <f>(P35-N35)*(Q49-O35)-(Q35-O35)*(P49-N35)</f>
        <v>0</v>
      </c>
      <c r="Q1170" s="7">
        <f>(P49-N49)*(O35-O49)-(Q49-O49)*(N35-N49)</f>
        <v>0</v>
      </c>
      <c r="R1170" s="7">
        <f>(P49-N49)*(Q35-O49)-(Q49-O49)*(P35-N49)</f>
        <v>0</v>
      </c>
      <c r="S1170" s="7">
        <f>IF(N1170,IF(AND(O1170*P1170&lt;=0,Q1170*R1170&lt;=0,MAX(MIN(N35,P35),MIN(N49,P49))&lt;=MIN(MAX(N35,P35),MAX(N49,P49)),MAX(MIN(O35,Q35),MIN(O49,Q49))&lt;=MIN(MAX(O35,Q35),MAX(O49,Q49))),1,0),0)</f>
        <v>0</v>
      </c>
      <c r="T1170" s="7"/>
      <c r="U1170" s="7"/>
      <c r="V1170" s="7"/>
      <c r="W1170" s="7"/>
      <c r="X1170" s="7"/>
      <c r="Y1170" s="7"/>
      <c r="Z1170" s="7"/>
      <c r="AA1170" s="7"/>
      <c r="AB1170" s="7"/>
      <c r="AC1170" s="7"/>
      <c r="AD1170" s="7"/>
      <c r="AE1170" s="7"/>
      <c r="AF1170" s="7"/>
      <c r="AG1170" s="7"/>
      <c r="AH1170" s="7"/>
      <c r="AI1170" s="7"/>
    </row>
    <row r="1171" spans="12:35">
      <c r="L1171" s="7">
        <v>35</v>
      </c>
      <c r="M1171" s="7">
        <v>50</v>
      </c>
      <c r="N1171" s="7" t="b">
        <f>AND($N$6,$N$6,4&lt;=$M$6,19&lt;=$M$6)</f>
        <v>0</v>
      </c>
      <c r="O1171" s="7">
        <f>(P35-N35)*(O50-O35)-(Q35-O35)*(N50-N35)</f>
        <v>0</v>
      </c>
      <c r="P1171" s="7">
        <f>(P35-N35)*(Q50-O35)-(Q35-O35)*(P50-N35)</f>
        <v>0</v>
      </c>
      <c r="Q1171" s="7">
        <f>(P50-N50)*(O35-O50)-(Q50-O50)*(N35-N50)</f>
        <v>0</v>
      </c>
      <c r="R1171" s="7">
        <f>(P50-N50)*(Q35-O50)-(Q50-O50)*(P35-N50)</f>
        <v>0</v>
      </c>
      <c r="S1171" s="7">
        <f>IF(N1171,IF(AND(O1171*P1171&lt;=0,Q1171*R1171&lt;=0,MAX(MIN(N35,P35),MIN(N50,P50))&lt;=MIN(MAX(N35,P35),MAX(N50,P50)),MAX(MIN(O35,Q35),MIN(O50,Q50))&lt;=MIN(MAX(O35,Q35),MAX(O50,Q50))),1,0),0)</f>
        <v>0</v>
      </c>
      <c r="T1171" s="7"/>
      <c r="U1171" s="7"/>
      <c r="V1171" s="7"/>
      <c r="W1171" s="7"/>
      <c r="X1171" s="7"/>
      <c r="Y1171" s="7"/>
      <c r="Z1171" s="7"/>
      <c r="AA1171" s="7"/>
      <c r="AB1171" s="7"/>
      <c r="AC1171" s="7"/>
      <c r="AD1171" s="7"/>
      <c r="AE1171" s="7"/>
      <c r="AF1171" s="7"/>
      <c r="AG1171" s="7"/>
      <c r="AH1171" s="7"/>
      <c r="AI1171" s="7"/>
    </row>
    <row r="1172" spans="12:35">
      <c r="L1172" s="7">
        <v>35</v>
      </c>
      <c r="M1172" s="7">
        <v>51</v>
      </c>
      <c r="N1172" s="7" t="b">
        <f>AND($N$6,$N$6,4&lt;=$M$6,20&lt;=$M$6)</f>
        <v>0</v>
      </c>
      <c r="O1172" s="7">
        <f>(P35-N35)*(O51-O35)-(Q35-O35)*(N51-N35)</f>
        <v>0</v>
      </c>
      <c r="P1172" s="7">
        <f>(P35-N35)*(Q51-O35)-(Q35-O35)*(P51-N35)</f>
        <v>0</v>
      </c>
      <c r="Q1172" s="7">
        <f>(P51-N51)*(O35-O51)-(Q51-O51)*(N35-N51)</f>
        <v>0</v>
      </c>
      <c r="R1172" s="7">
        <f>(P51-N51)*(Q35-O51)-(Q51-O51)*(P35-N51)</f>
        <v>0</v>
      </c>
      <c r="S1172" s="7">
        <f>IF(N1172,IF(AND(O1172*P1172&lt;=0,Q1172*R1172&lt;=0,MAX(MIN(N35,P35),MIN(N51,P51))&lt;=MIN(MAX(N35,P35),MAX(N51,P51)),MAX(MIN(O35,Q35),MIN(O51,Q51))&lt;=MIN(MAX(O35,Q35),MAX(O51,Q51))),1,0),0)</f>
        <v>0</v>
      </c>
      <c r="T1172" s="7"/>
      <c r="U1172" s="7"/>
      <c r="V1172" s="7"/>
      <c r="W1172" s="7"/>
      <c r="X1172" s="7"/>
      <c r="Y1172" s="7"/>
      <c r="Z1172" s="7"/>
      <c r="AA1172" s="7"/>
      <c r="AB1172" s="7"/>
      <c r="AC1172" s="7"/>
      <c r="AD1172" s="7"/>
      <c r="AE1172" s="7"/>
      <c r="AF1172" s="7"/>
      <c r="AG1172" s="7"/>
      <c r="AH1172" s="7"/>
      <c r="AI1172" s="7"/>
    </row>
    <row r="1173" spans="12:35">
      <c r="L1173" s="7">
        <v>35</v>
      </c>
      <c r="M1173" s="7">
        <v>52</v>
      </c>
      <c r="N1173" s="7" t="b">
        <f>AND($N$6,$N$7,4&lt;=$M$6,1&lt;=$M$7)</f>
        <v>0</v>
      </c>
      <c r="O1173" s="7">
        <f>(P35-N35)*(O52-O35)-(Q35-O35)*(N52-N35)</f>
        <v>0</v>
      </c>
      <c r="P1173" s="7">
        <f>(P35-N35)*(Q52-O35)-(Q35-O35)*(P52-N35)</f>
        <v>0</v>
      </c>
      <c r="Q1173" s="7">
        <f>(P52-N52)*(O35-O52)-(Q52-O52)*(N35-N52)</f>
        <v>0</v>
      </c>
      <c r="R1173" s="7">
        <f>(P52-N52)*(Q35-O52)-(Q52-O52)*(P35-N52)</f>
        <v>0</v>
      </c>
      <c r="S1173" s="7">
        <f>IF(N1173,IF(AND(O1173*P1173&lt;=0,Q1173*R1173&lt;=0,MAX(MIN(N35,P35),MIN(N52,P52))&lt;=MIN(MAX(N35,P35),MAX(N52,P52)),MAX(MIN(O35,Q35),MIN(O52,Q52))&lt;=MIN(MAX(O35,Q35),MAX(O52,Q52))),1,0),0)</f>
        <v>0</v>
      </c>
      <c r="T1173" s="7"/>
      <c r="U1173" s="7"/>
      <c r="V1173" s="7"/>
      <c r="W1173" s="7"/>
      <c r="X1173" s="7"/>
      <c r="Y1173" s="7"/>
      <c r="Z1173" s="7"/>
      <c r="AA1173" s="7"/>
      <c r="AB1173" s="7"/>
      <c r="AC1173" s="7"/>
      <c r="AD1173" s="7"/>
      <c r="AE1173" s="7"/>
      <c r="AF1173" s="7"/>
      <c r="AG1173" s="7"/>
      <c r="AH1173" s="7"/>
      <c r="AI1173" s="7"/>
    </row>
    <row r="1174" spans="12:35">
      <c r="L1174" s="7">
        <v>35</v>
      </c>
      <c r="M1174" s="7">
        <v>53</v>
      </c>
      <c r="N1174" s="7" t="b">
        <f>AND($N$6,$N$7,4&lt;=$M$6,2&lt;=$M$7)</f>
        <v>0</v>
      </c>
      <c r="O1174" s="7">
        <f>(P35-N35)*(O53-O35)-(Q35-O35)*(N53-N35)</f>
        <v>0</v>
      </c>
      <c r="P1174" s="7">
        <f>(P35-N35)*(Q53-O35)-(Q35-O35)*(P53-N35)</f>
        <v>0</v>
      </c>
      <c r="Q1174" s="7">
        <f>(P53-N53)*(O35-O53)-(Q53-O53)*(N35-N53)</f>
        <v>0</v>
      </c>
      <c r="R1174" s="7">
        <f>(P53-N53)*(Q35-O53)-(Q53-O53)*(P35-N53)</f>
        <v>0</v>
      </c>
      <c r="S1174" s="7">
        <f>IF(N1174,IF(AND(O1174*P1174&lt;=0,Q1174*R1174&lt;=0,MAX(MIN(N35,P35),MIN(N53,P53))&lt;=MIN(MAX(N35,P35),MAX(N53,P53)),MAX(MIN(O35,Q35),MIN(O53,Q53))&lt;=MIN(MAX(O35,Q35),MAX(O53,Q53))),1,0),0)</f>
        <v>0</v>
      </c>
      <c r="T1174" s="7"/>
      <c r="U1174" s="7"/>
      <c r="V1174" s="7"/>
      <c r="W1174" s="7"/>
      <c r="X1174" s="7"/>
      <c r="Y1174" s="7"/>
      <c r="Z1174" s="7"/>
      <c r="AA1174" s="7"/>
      <c r="AB1174" s="7"/>
      <c r="AC1174" s="7"/>
      <c r="AD1174" s="7"/>
      <c r="AE1174" s="7"/>
      <c r="AF1174" s="7"/>
      <c r="AG1174" s="7"/>
      <c r="AH1174" s="7"/>
      <c r="AI1174" s="7"/>
    </row>
    <row r="1175" spans="12:35">
      <c r="L1175" s="7">
        <v>35</v>
      </c>
      <c r="M1175" s="7">
        <v>54</v>
      </c>
      <c r="N1175" s="7" t="b">
        <f>AND($N$6,$N$7,4&lt;=$M$6,3&lt;=$M$7)</f>
        <v>0</v>
      </c>
      <c r="O1175" s="7">
        <f>(P35-N35)*(O54-O35)-(Q35-O35)*(N54-N35)</f>
        <v>0</v>
      </c>
      <c r="P1175" s="7">
        <f>(P35-N35)*(Q54-O35)-(Q35-O35)*(P54-N35)</f>
        <v>0</v>
      </c>
      <c r="Q1175" s="7">
        <f>(P54-N54)*(O35-O54)-(Q54-O54)*(N35-N54)</f>
        <v>0</v>
      </c>
      <c r="R1175" s="7">
        <f>(P54-N54)*(Q35-O54)-(Q54-O54)*(P35-N54)</f>
        <v>0</v>
      </c>
      <c r="S1175" s="7">
        <f>IF(N1175,IF(AND(O1175*P1175&lt;=0,Q1175*R1175&lt;=0,MAX(MIN(N35,P35),MIN(N54,P54))&lt;=MIN(MAX(N35,P35),MAX(N54,P54)),MAX(MIN(O35,Q35),MIN(O54,Q54))&lt;=MIN(MAX(O35,Q35),MAX(O54,Q54))),1,0),0)</f>
        <v>0</v>
      </c>
      <c r="T1175" s="7"/>
      <c r="U1175" s="7"/>
      <c r="V1175" s="7"/>
      <c r="W1175" s="7"/>
      <c r="X1175" s="7"/>
      <c r="Y1175" s="7"/>
      <c r="Z1175" s="7"/>
      <c r="AA1175" s="7"/>
      <c r="AB1175" s="7"/>
      <c r="AC1175" s="7"/>
      <c r="AD1175" s="7"/>
      <c r="AE1175" s="7"/>
      <c r="AF1175" s="7"/>
      <c r="AG1175" s="7"/>
      <c r="AH1175" s="7"/>
      <c r="AI1175" s="7"/>
    </row>
    <row r="1176" spans="12:35">
      <c r="L1176" s="7">
        <v>35</v>
      </c>
      <c r="M1176" s="7">
        <v>55</v>
      </c>
      <c r="N1176" s="7" t="b">
        <f>AND($N$6,$N$7,4&lt;=$M$6,4&lt;=$M$7)</f>
        <v>0</v>
      </c>
      <c r="O1176" s="7">
        <f>(P35-N35)*(O55-O35)-(Q35-O35)*(N55-N35)</f>
        <v>0</v>
      </c>
      <c r="P1176" s="7">
        <f>(P35-N35)*(Q55-O35)-(Q35-O35)*(P55-N35)</f>
        <v>0</v>
      </c>
      <c r="Q1176" s="7">
        <f>(P55-N55)*(O35-O55)-(Q55-O55)*(N35-N55)</f>
        <v>0</v>
      </c>
      <c r="R1176" s="7">
        <f>(P55-N55)*(Q35-O55)-(Q55-O55)*(P35-N55)</f>
        <v>0</v>
      </c>
      <c r="S1176" s="7">
        <f>IF(N1176,IF(AND(O1176*P1176&lt;=0,Q1176*R1176&lt;=0,MAX(MIN(N35,P35),MIN(N55,P55))&lt;=MIN(MAX(N35,P35),MAX(N55,P55)),MAX(MIN(O35,Q35),MIN(O55,Q55))&lt;=MIN(MAX(O35,Q35),MAX(O55,Q55))),1,0),0)</f>
        <v>0</v>
      </c>
      <c r="T1176" s="7"/>
      <c r="U1176" s="7"/>
      <c r="V1176" s="7"/>
      <c r="W1176" s="7"/>
      <c r="X1176" s="7"/>
      <c r="Y1176" s="7"/>
      <c r="Z1176" s="7"/>
      <c r="AA1176" s="7"/>
      <c r="AB1176" s="7"/>
      <c r="AC1176" s="7"/>
      <c r="AD1176" s="7"/>
      <c r="AE1176" s="7"/>
      <c r="AF1176" s="7"/>
      <c r="AG1176" s="7"/>
      <c r="AH1176" s="7"/>
      <c r="AI1176" s="7"/>
    </row>
    <row r="1177" spans="12:35">
      <c r="L1177" s="7">
        <v>35</v>
      </c>
      <c r="M1177" s="7">
        <v>56</v>
      </c>
      <c r="N1177" s="7" t="b">
        <f>AND($N$6,$N$7,4&lt;=$M$6,5&lt;=$M$7)</f>
        <v>0</v>
      </c>
      <c r="O1177" s="7">
        <f>(P35-N35)*(O56-O35)-(Q35-O35)*(N56-N35)</f>
        <v>0</v>
      </c>
      <c r="P1177" s="7">
        <f>(P35-N35)*(Q56-O35)-(Q35-O35)*(P56-N35)</f>
        <v>0</v>
      </c>
      <c r="Q1177" s="7">
        <f>(P56-N56)*(O35-O56)-(Q56-O56)*(N35-N56)</f>
        <v>0</v>
      </c>
      <c r="R1177" s="7">
        <f>(P56-N56)*(Q35-O56)-(Q56-O56)*(P35-N56)</f>
        <v>0</v>
      </c>
      <c r="S1177" s="7">
        <f>IF(N1177,IF(AND(O1177*P1177&lt;=0,Q1177*R1177&lt;=0,MAX(MIN(N35,P35),MIN(N56,P56))&lt;=MIN(MAX(N35,P35),MAX(N56,P56)),MAX(MIN(O35,Q35),MIN(O56,Q56))&lt;=MIN(MAX(O35,Q35),MAX(O56,Q56))),1,0),0)</f>
        <v>0</v>
      </c>
      <c r="T1177" s="7"/>
      <c r="U1177" s="7"/>
      <c r="V1177" s="7"/>
      <c r="W1177" s="7"/>
      <c r="X1177" s="7"/>
      <c r="Y1177" s="7"/>
      <c r="Z1177" s="7"/>
      <c r="AA1177" s="7"/>
      <c r="AB1177" s="7"/>
      <c r="AC1177" s="7"/>
      <c r="AD1177" s="7"/>
      <c r="AE1177" s="7"/>
      <c r="AF1177" s="7"/>
      <c r="AG1177" s="7"/>
      <c r="AH1177" s="7"/>
      <c r="AI1177" s="7"/>
    </row>
    <row r="1178" spans="12:35">
      <c r="L1178" s="7">
        <v>35</v>
      </c>
      <c r="M1178" s="7">
        <v>57</v>
      </c>
      <c r="N1178" s="7" t="b">
        <f>AND($N$6,$N$7,4&lt;=$M$6,6&lt;=$M$7)</f>
        <v>0</v>
      </c>
      <c r="O1178" s="7">
        <f>(P35-N35)*(O57-O35)-(Q35-O35)*(N57-N35)</f>
        <v>0</v>
      </c>
      <c r="P1178" s="7">
        <f>(P35-N35)*(Q57-O35)-(Q35-O35)*(P57-N35)</f>
        <v>0</v>
      </c>
      <c r="Q1178" s="7">
        <f>(P57-N57)*(O35-O57)-(Q57-O57)*(N35-N57)</f>
        <v>0</v>
      </c>
      <c r="R1178" s="7">
        <f>(P57-N57)*(Q35-O57)-(Q57-O57)*(P35-N57)</f>
        <v>0</v>
      </c>
      <c r="S1178" s="7">
        <f>IF(N1178,IF(AND(O1178*P1178&lt;=0,Q1178*R1178&lt;=0,MAX(MIN(N35,P35),MIN(N57,P57))&lt;=MIN(MAX(N35,P35),MAX(N57,P57)),MAX(MIN(O35,Q35),MIN(O57,Q57))&lt;=MIN(MAX(O35,Q35),MAX(O57,Q57))),1,0),0)</f>
        <v>0</v>
      </c>
      <c r="T1178" s="7"/>
      <c r="U1178" s="7"/>
      <c r="V1178" s="7"/>
      <c r="W1178" s="7"/>
      <c r="X1178" s="7"/>
      <c r="Y1178" s="7"/>
      <c r="Z1178" s="7"/>
      <c r="AA1178" s="7"/>
      <c r="AB1178" s="7"/>
      <c r="AC1178" s="7"/>
      <c r="AD1178" s="7"/>
      <c r="AE1178" s="7"/>
      <c r="AF1178" s="7"/>
      <c r="AG1178" s="7"/>
      <c r="AH1178" s="7"/>
      <c r="AI1178" s="7"/>
    </row>
    <row r="1179" spans="12:35">
      <c r="L1179" s="7">
        <v>35</v>
      </c>
      <c r="M1179" s="7">
        <v>58</v>
      </c>
      <c r="N1179" s="7" t="b">
        <f>AND($N$6,$N$7,4&lt;=$M$6,7&lt;=$M$7)</f>
        <v>0</v>
      </c>
      <c r="O1179" s="7">
        <f>(P35-N35)*(O58-O35)-(Q35-O35)*(N58-N35)</f>
        <v>0</v>
      </c>
      <c r="P1179" s="7">
        <f>(P35-N35)*(Q58-O35)-(Q35-O35)*(P58-N35)</f>
        <v>0</v>
      </c>
      <c r="Q1179" s="7">
        <f>(P58-N58)*(O35-O58)-(Q58-O58)*(N35-N58)</f>
        <v>0</v>
      </c>
      <c r="R1179" s="7">
        <f>(P58-N58)*(Q35-O58)-(Q58-O58)*(P35-N58)</f>
        <v>0</v>
      </c>
      <c r="S1179" s="7">
        <f>IF(N1179,IF(AND(O1179*P1179&lt;=0,Q1179*R1179&lt;=0,MAX(MIN(N35,P35),MIN(N58,P58))&lt;=MIN(MAX(N35,P35),MAX(N58,P58)),MAX(MIN(O35,Q35),MIN(O58,Q58))&lt;=MIN(MAX(O35,Q35),MAX(O58,Q58))),1,0),0)</f>
        <v>0</v>
      </c>
      <c r="T1179" s="7"/>
      <c r="U1179" s="7"/>
      <c r="V1179" s="7"/>
      <c r="W1179" s="7"/>
      <c r="X1179" s="7"/>
      <c r="Y1179" s="7"/>
      <c r="Z1179" s="7"/>
      <c r="AA1179" s="7"/>
      <c r="AB1179" s="7"/>
      <c r="AC1179" s="7"/>
      <c r="AD1179" s="7"/>
      <c r="AE1179" s="7"/>
      <c r="AF1179" s="7"/>
      <c r="AG1179" s="7"/>
      <c r="AH1179" s="7"/>
      <c r="AI1179" s="7"/>
    </row>
    <row r="1180" spans="12:35">
      <c r="L1180" s="7">
        <v>35</v>
      </c>
      <c r="M1180" s="7">
        <v>59</v>
      </c>
      <c r="N1180" s="7" t="b">
        <f>AND($N$6,$N$7,4&lt;=$M$6,8&lt;=$M$7)</f>
        <v>0</v>
      </c>
      <c r="O1180" s="7">
        <f>(P35-N35)*(O59-O35)-(Q35-O35)*(N59-N35)</f>
        <v>0</v>
      </c>
      <c r="P1180" s="7">
        <f>(P35-N35)*(Q59-O35)-(Q35-O35)*(P59-N35)</f>
        <v>0</v>
      </c>
      <c r="Q1180" s="7">
        <f>(P59-N59)*(O35-O59)-(Q59-O59)*(N35-N59)</f>
        <v>0</v>
      </c>
      <c r="R1180" s="7">
        <f>(P59-N59)*(Q35-O59)-(Q59-O59)*(P35-N59)</f>
        <v>0</v>
      </c>
      <c r="S1180" s="7">
        <f>IF(N1180,IF(AND(O1180*P1180&lt;=0,Q1180*R1180&lt;=0,MAX(MIN(N35,P35),MIN(N59,P59))&lt;=MIN(MAX(N35,P35),MAX(N59,P59)),MAX(MIN(O35,Q35),MIN(O59,Q59))&lt;=MIN(MAX(O35,Q35),MAX(O59,Q59))),1,0),0)</f>
        <v>0</v>
      </c>
      <c r="T1180" s="7"/>
      <c r="U1180" s="7"/>
      <c r="V1180" s="7"/>
      <c r="W1180" s="7"/>
      <c r="X1180" s="7"/>
      <c r="Y1180" s="7"/>
      <c r="Z1180" s="7"/>
      <c r="AA1180" s="7"/>
      <c r="AB1180" s="7"/>
      <c r="AC1180" s="7"/>
      <c r="AD1180" s="7"/>
      <c r="AE1180" s="7"/>
      <c r="AF1180" s="7"/>
      <c r="AG1180" s="7"/>
      <c r="AH1180" s="7"/>
      <c r="AI1180" s="7"/>
    </row>
    <row r="1181" spans="12:35">
      <c r="L1181" s="7">
        <v>35</v>
      </c>
      <c r="M1181" s="7">
        <v>60</v>
      </c>
      <c r="N1181" s="7" t="b">
        <f>AND($N$6,$N$7,4&lt;=$M$6,9&lt;=$M$7)</f>
        <v>0</v>
      </c>
      <c r="O1181" s="7">
        <f>(P35-N35)*(O60-O35)-(Q35-O35)*(N60-N35)</f>
        <v>0</v>
      </c>
      <c r="P1181" s="7">
        <f>(P35-N35)*(Q60-O35)-(Q35-O35)*(P60-N35)</f>
        <v>0</v>
      </c>
      <c r="Q1181" s="7">
        <f>(P60-N60)*(O35-O60)-(Q60-O60)*(N35-N60)</f>
        <v>0</v>
      </c>
      <c r="R1181" s="7">
        <f>(P60-N60)*(Q35-O60)-(Q60-O60)*(P35-N60)</f>
        <v>0</v>
      </c>
      <c r="S1181" s="7">
        <f>IF(N1181,IF(AND(O1181*P1181&lt;=0,Q1181*R1181&lt;=0,MAX(MIN(N35,P35),MIN(N60,P60))&lt;=MIN(MAX(N35,P35),MAX(N60,P60)),MAX(MIN(O35,Q35),MIN(O60,Q60))&lt;=MIN(MAX(O35,Q35),MAX(O60,Q60))),1,0),0)</f>
        <v>0</v>
      </c>
      <c r="T1181" s="7"/>
      <c r="U1181" s="7"/>
      <c r="V1181" s="7"/>
      <c r="W1181" s="7"/>
      <c r="X1181" s="7"/>
      <c r="Y1181" s="7"/>
      <c r="Z1181" s="7"/>
      <c r="AA1181" s="7"/>
      <c r="AB1181" s="7"/>
      <c r="AC1181" s="7"/>
      <c r="AD1181" s="7"/>
      <c r="AE1181" s="7"/>
      <c r="AF1181" s="7"/>
      <c r="AG1181" s="7"/>
      <c r="AH1181" s="7"/>
      <c r="AI1181" s="7"/>
    </row>
    <row r="1182" spans="12:35">
      <c r="L1182" s="7">
        <v>35</v>
      </c>
      <c r="M1182" s="7">
        <v>61</v>
      </c>
      <c r="N1182" s="7" t="b">
        <f>AND($N$6,$N$7,4&lt;=$M$6,10&lt;=$M$7)</f>
        <v>0</v>
      </c>
      <c r="O1182" s="7">
        <f>(P35-N35)*(O61-O35)-(Q35-O35)*(N61-N35)</f>
        <v>0</v>
      </c>
      <c r="P1182" s="7">
        <f>(P35-N35)*(Q61-O35)-(Q35-O35)*(P61-N35)</f>
        <v>0</v>
      </c>
      <c r="Q1182" s="7">
        <f>(P61-N61)*(O35-O61)-(Q61-O61)*(N35-N61)</f>
        <v>0</v>
      </c>
      <c r="R1182" s="7">
        <f>(P61-N61)*(Q35-O61)-(Q61-O61)*(P35-N61)</f>
        <v>0</v>
      </c>
      <c r="S1182" s="7">
        <f>IF(N1182,IF(AND(O1182*P1182&lt;=0,Q1182*R1182&lt;=0,MAX(MIN(N35,P35),MIN(N61,P61))&lt;=MIN(MAX(N35,P35),MAX(N61,P61)),MAX(MIN(O35,Q35),MIN(O61,Q61))&lt;=MIN(MAX(O35,Q35),MAX(O61,Q61))),1,0),0)</f>
        <v>0</v>
      </c>
      <c r="T1182" s="7"/>
      <c r="U1182" s="7"/>
      <c r="V1182" s="7"/>
      <c r="W1182" s="7"/>
      <c r="X1182" s="7"/>
      <c r="Y1182" s="7"/>
      <c r="Z1182" s="7"/>
      <c r="AA1182" s="7"/>
      <c r="AB1182" s="7"/>
      <c r="AC1182" s="7"/>
      <c r="AD1182" s="7"/>
      <c r="AE1182" s="7"/>
      <c r="AF1182" s="7"/>
      <c r="AG1182" s="7"/>
      <c r="AH1182" s="7"/>
      <c r="AI1182" s="7"/>
    </row>
    <row r="1183" spans="12:35">
      <c r="L1183" s="7">
        <v>35</v>
      </c>
      <c r="M1183" s="7">
        <v>62</v>
      </c>
      <c r="N1183" s="7" t="b">
        <f>AND($N$6,$N$7,4&lt;=$M$6,11&lt;=$M$7)</f>
        <v>0</v>
      </c>
      <c r="O1183" s="7">
        <f>(P35-N35)*(O62-O35)-(Q35-O35)*(N62-N35)</f>
        <v>0</v>
      </c>
      <c r="P1183" s="7">
        <f>(P35-N35)*(Q62-O35)-(Q35-O35)*(P62-N35)</f>
        <v>0</v>
      </c>
      <c r="Q1183" s="7">
        <f>(P62-N62)*(O35-O62)-(Q62-O62)*(N35-N62)</f>
        <v>0</v>
      </c>
      <c r="R1183" s="7">
        <f>(P62-N62)*(Q35-O62)-(Q62-O62)*(P35-N62)</f>
        <v>0</v>
      </c>
      <c r="S1183" s="7">
        <f>IF(N1183,IF(AND(O1183*P1183&lt;=0,Q1183*R1183&lt;=0,MAX(MIN(N35,P35),MIN(N62,P62))&lt;=MIN(MAX(N35,P35),MAX(N62,P62)),MAX(MIN(O35,Q35),MIN(O62,Q62))&lt;=MIN(MAX(O35,Q35),MAX(O62,Q62))),1,0),0)</f>
        <v>0</v>
      </c>
      <c r="T1183" s="7"/>
      <c r="U1183" s="7"/>
      <c r="V1183" s="7"/>
      <c r="W1183" s="7"/>
      <c r="X1183" s="7"/>
      <c r="Y1183" s="7"/>
      <c r="Z1183" s="7"/>
      <c r="AA1183" s="7"/>
      <c r="AB1183" s="7"/>
      <c r="AC1183" s="7"/>
      <c r="AD1183" s="7"/>
      <c r="AE1183" s="7"/>
      <c r="AF1183" s="7"/>
      <c r="AG1183" s="7"/>
      <c r="AH1183" s="7"/>
      <c r="AI1183" s="7"/>
    </row>
    <row r="1184" spans="12:35">
      <c r="L1184" s="7">
        <v>35</v>
      </c>
      <c r="M1184" s="7">
        <v>63</v>
      </c>
      <c r="N1184" s="7" t="b">
        <f>AND($N$6,$N$7,4&lt;=$M$6,12&lt;=$M$7)</f>
        <v>0</v>
      </c>
      <c r="O1184" s="7">
        <f>(P35-N35)*(O63-O35)-(Q35-O35)*(N63-N35)</f>
        <v>0</v>
      </c>
      <c r="P1184" s="7">
        <f>(P35-N35)*(Q63-O35)-(Q35-O35)*(P63-N35)</f>
        <v>0</v>
      </c>
      <c r="Q1184" s="7">
        <f>(P63-N63)*(O35-O63)-(Q63-O63)*(N35-N63)</f>
        <v>0</v>
      </c>
      <c r="R1184" s="7">
        <f>(P63-N63)*(Q35-O63)-(Q63-O63)*(P35-N63)</f>
        <v>0</v>
      </c>
      <c r="S1184" s="7">
        <f>IF(N1184,IF(AND(O1184*P1184&lt;=0,Q1184*R1184&lt;=0,MAX(MIN(N35,P35),MIN(N63,P63))&lt;=MIN(MAX(N35,P35),MAX(N63,P63)),MAX(MIN(O35,Q35),MIN(O63,Q63))&lt;=MIN(MAX(O35,Q35),MAX(O63,Q63))),1,0),0)</f>
        <v>0</v>
      </c>
      <c r="T1184" s="7"/>
      <c r="U1184" s="7"/>
      <c r="V1184" s="7"/>
      <c r="W1184" s="7"/>
      <c r="X1184" s="7"/>
      <c r="Y1184" s="7"/>
      <c r="Z1184" s="7"/>
      <c r="AA1184" s="7"/>
      <c r="AB1184" s="7"/>
      <c r="AC1184" s="7"/>
      <c r="AD1184" s="7"/>
      <c r="AE1184" s="7"/>
      <c r="AF1184" s="7"/>
      <c r="AG1184" s="7"/>
      <c r="AH1184" s="7"/>
      <c r="AI1184" s="7"/>
    </row>
    <row r="1185" spans="12:35">
      <c r="L1185" s="7">
        <v>35</v>
      </c>
      <c r="M1185" s="7">
        <v>64</v>
      </c>
      <c r="N1185" s="7" t="b">
        <f>AND($N$6,$N$7,4&lt;=$M$6,13&lt;=$M$7)</f>
        <v>0</v>
      </c>
      <c r="O1185" s="7">
        <f>(P35-N35)*(O64-O35)-(Q35-O35)*(N64-N35)</f>
        <v>0</v>
      </c>
      <c r="P1185" s="7">
        <f>(P35-N35)*(Q64-O35)-(Q35-O35)*(P64-N35)</f>
        <v>0</v>
      </c>
      <c r="Q1185" s="7">
        <f>(P64-N64)*(O35-O64)-(Q64-O64)*(N35-N64)</f>
        <v>0</v>
      </c>
      <c r="R1185" s="7">
        <f>(P64-N64)*(Q35-O64)-(Q64-O64)*(P35-N64)</f>
        <v>0</v>
      </c>
      <c r="S1185" s="7">
        <f>IF(N1185,IF(AND(O1185*P1185&lt;=0,Q1185*R1185&lt;=0,MAX(MIN(N35,P35),MIN(N64,P64))&lt;=MIN(MAX(N35,P35),MAX(N64,P64)),MAX(MIN(O35,Q35),MIN(O64,Q64))&lt;=MIN(MAX(O35,Q35),MAX(O64,Q64))),1,0),0)</f>
        <v>0</v>
      </c>
      <c r="T1185" s="7"/>
      <c r="U1185" s="7"/>
      <c r="V1185" s="7"/>
      <c r="W1185" s="7"/>
      <c r="X1185" s="7"/>
      <c r="Y1185" s="7"/>
      <c r="Z1185" s="7"/>
      <c r="AA1185" s="7"/>
      <c r="AB1185" s="7"/>
      <c r="AC1185" s="7"/>
      <c r="AD1185" s="7"/>
      <c r="AE1185" s="7"/>
      <c r="AF1185" s="7"/>
      <c r="AG1185" s="7"/>
      <c r="AH1185" s="7"/>
      <c r="AI1185" s="7"/>
    </row>
    <row r="1186" spans="12:35">
      <c r="L1186" s="7">
        <v>35</v>
      </c>
      <c r="M1186" s="7">
        <v>65</v>
      </c>
      <c r="N1186" s="7" t="b">
        <f>AND($N$6,$N$7,4&lt;=$M$6,14&lt;=$M$7)</f>
        <v>0</v>
      </c>
      <c r="O1186" s="7">
        <f>(P35-N35)*(O65-O35)-(Q35-O35)*(N65-N35)</f>
        <v>0</v>
      </c>
      <c r="P1186" s="7">
        <f>(P35-N35)*(Q65-O35)-(Q35-O35)*(P65-N35)</f>
        <v>0</v>
      </c>
      <c r="Q1186" s="7">
        <f>(P65-N65)*(O35-O65)-(Q65-O65)*(N35-N65)</f>
        <v>0</v>
      </c>
      <c r="R1186" s="7">
        <f>(P65-N65)*(Q35-O65)-(Q65-O65)*(P35-N65)</f>
        <v>0</v>
      </c>
      <c r="S1186" s="7">
        <f>IF(N1186,IF(AND(O1186*P1186&lt;=0,Q1186*R1186&lt;=0,MAX(MIN(N35,P35),MIN(N65,P65))&lt;=MIN(MAX(N35,P35),MAX(N65,P65)),MAX(MIN(O35,Q35),MIN(O65,Q65))&lt;=MIN(MAX(O35,Q35),MAX(O65,Q65))),1,0),0)</f>
        <v>0</v>
      </c>
      <c r="T1186" s="7"/>
      <c r="U1186" s="7"/>
      <c r="V1186" s="7"/>
      <c r="W1186" s="7"/>
      <c r="X1186" s="7"/>
      <c r="Y1186" s="7"/>
      <c r="Z1186" s="7"/>
      <c r="AA1186" s="7"/>
      <c r="AB1186" s="7"/>
      <c r="AC1186" s="7"/>
      <c r="AD1186" s="7"/>
      <c r="AE1186" s="7"/>
      <c r="AF1186" s="7"/>
      <c r="AG1186" s="7"/>
      <c r="AH1186" s="7"/>
      <c r="AI1186" s="7"/>
    </row>
    <row r="1187" spans="12:35">
      <c r="L1187" s="7">
        <v>35</v>
      </c>
      <c r="M1187" s="7">
        <v>66</v>
      </c>
      <c r="N1187" s="7" t="b">
        <f>AND($N$6,$N$7,4&lt;=$M$6,15&lt;=$M$7)</f>
        <v>0</v>
      </c>
      <c r="O1187" s="7">
        <f>(P35-N35)*(O66-O35)-(Q35-O35)*(N66-N35)</f>
        <v>0</v>
      </c>
      <c r="P1187" s="7">
        <f>(P35-N35)*(Q66-O35)-(Q35-O35)*(P66-N35)</f>
        <v>0</v>
      </c>
      <c r="Q1187" s="7">
        <f>(P66-N66)*(O35-O66)-(Q66-O66)*(N35-N66)</f>
        <v>0</v>
      </c>
      <c r="R1187" s="7">
        <f>(P66-N66)*(Q35-O66)-(Q66-O66)*(P35-N66)</f>
        <v>0</v>
      </c>
      <c r="S1187" s="7">
        <f>IF(N1187,IF(AND(O1187*P1187&lt;=0,Q1187*R1187&lt;=0,MAX(MIN(N35,P35),MIN(N66,P66))&lt;=MIN(MAX(N35,P35),MAX(N66,P66)),MAX(MIN(O35,Q35),MIN(O66,Q66))&lt;=MIN(MAX(O35,Q35),MAX(O66,Q66))),1,0),0)</f>
        <v>0</v>
      </c>
      <c r="T1187" s="7"/>
      <c r="U1187" s="7"/>
      <c r="V1187" s="7"/>
      <c r="W1187" s="7"/>
      <c r="X1187" s="7"/>
      <c r="Y1187" s="7"/>
      <c r="Z1187" s="7"/>
      <c r="AA1187" s="7"/>
      <c r="AB1187" s="7"/>
      <c r="AC1187" s="7"/>
      <c r="AD1187" s="7"/>
      <c r="AE1187" s="7"/>
      <c r="AF1187" s="7"/>
      <c r="AG1187" s="7"/>
      <c r="AH1187" s="7"/>
      <c r="AI1187" s="7"/>
    </row>
    <row r="1188" spans="12:35">
      <c r="L1188" s="7">
        <v>35</v>
      </c>
      <c r="M1188" s="7">
        <v>67</v>
      </c>
      <c r="N1188" s="7" t="b">
        <f>AND($N$6,$N$7,4&lt;=$M$6,16&lt;=$M$7)</f>
        <v>0</v>
      </c>
      <c r="O1188" s="7">
        <f>(P35-N35)*(O67-O35)-(Q35-O35)*(N67-N35)</f>
        <v>0</v>
      </c>
      <c r="P1188" s="7">
        <f>(P35-N35)*(Q67-O35)-(Q35-O35)*(P67-N35)</f>
        <v>0</v>
      </c>
      <c r="Q1188" s="7">
        <f>(P67-N67)*(O35-O67)-(Q67-O67)*(N35-N67)</f>
        <v>0</v>
      </c>
      <c r="R1188" s="7">
        <f>(P67-N67)*(Q35-O67)-(Q67-O67)*(P35-N67)</f>
        <v>0</v>
      </c>
      <c r="S1188" s="7">
        <f>IF(N1188,IF(AND(O1188*P1188&lt;=0,Q1188*R1188&lt;=0,MAX(MIN(N35,P35),MIN(N67,P67))&lt;=MIN(MAX(N35,P35),MAX(N67,P67)),MAX(MIN(O35,Q35),MIN(O67,Q67))&lt;=MIN(MAX(O35,Q35),MAX(O67,Q67))),1,0),0)</f>
        <v>0</v>
      </c>
      <c r="T1188" s="7"/>
      <c r="U1188" s="7"/>
      <c r="V1188" s="7"/>
      <c r="W1188" s="7"/>
      <c r="X1188" s="7"/>
      <c r="Y1188" s="7"/>
      <c r="Z1188" s="7"/>
      <c r="AA1188" s="7"/>
      <c r="AB1188" s="7"/>
      <c r="AC1188" s="7"/>
      <c r="AD1188" s="7"/>
      <c r="AE1188" s="7"/>
      <c r="AF1188" s="7"/>
      <c r="AG1188" s="7"/>
      <c r="AH1188" s="7"/>
      <c r="AI1188" s="7"/>
    </row>
    <row r="1189" spans="12:35">
      <c r="L1189" s="7">
        <v>35</v>
      </c>
      <c r="M1189" s="7">
        <v>68</v>
      </c>
      <c r="N1189" s="7" t="b">
        <f>AND($N$6,$N$7,4&lt;=$M$6,17&lt;=$M$7)</f>
        <v>0</v>
      </c>
      <c r="O1189" s="7">
        <f>(P35-N35)*(O68-O35)-(Q35-O35)*(N68-N35)</f>
        <v>0</v>
      </c>
      <c r="P1189" s="7">
        <f>(P35-N35)*(Q68-O35)-(Q35-O35)*(P68-N35)</f>
        <v>0</v>
      </c>
      <c r="Q1189" s="7">
        <f>(P68-N68)*(O35-O68)-(Q68-O68)*(N35-N68)</f>
        <v>0</v>
      </c>
      <c r="R1189" s="7">
        <f>(P68-N68)*(Q35-O68)-(Q68-O68)*(P35-N68)</f>
        <v>0</v>
      </c>
      <c r="S1189" s="7">
        <f>IF(N1189,IF(AND(O1189*P1189&lt;=0,Q1189*R1189&lt;=0,MAX(MIN(N35,P35),MIN(N68,P68))&lt;=MIN(MAX(N35,P35),MAX(N68,P68)),MAX(MIN(O35,Q35),MIN(O68,Q68))&lt;=MIN(MAX(O35,Q35),MAX(O68,Q68))),1,0),0)</f>
        <v>0</v>
      </c>
      <c r="T1189" s="7"/>
      <c r="U1189" s="7"/>
      <c r="V1189" s="7"/>
      <c r="W1189" s="7"/>
      <c r="X1189" s="7"/>
      <c r="Y1189" s="7"/>
      <c r="Z1189" s="7"/>
      <c r="AA1189" s="7"/>
      <c r="AB1189" s="7"/>
      <c r="AC1189" s="7"/>
      <c r="AD1189" s="7"/>
      <c r="AE1189" s="7"/>
      <c r="AF1189" s="7"/>
      <c r="AG1189" s="7"/>
      <c r="AH1189" s="7"/>
      <c r="AI1189" s="7"/>
    </row>
    <row r="1190" spans="12:35">
      <c r="L1190" s="7">
        <v>35</v>
      </c>
      <c r="M1190" s="7">
        <v>69</v>
      </c>
      <c r="N1190" s="7" t="b">
        <f>AND($N$6,$N$7,4&lt;=$M$6,18&lt;=$M$7)</f>
        <v>0</v>
      </c>
      <c r="O1190" s="7">
        <f>(P35-N35)*(O69-O35)-(Q35-O35)*(N69-N35)</f>
        <v>0</v>
      </c>
      <c r="P1190" s="7">
        <f>(P35-N35)*(Q69-O35)-(Q35-O35)*(P69-N35)</f>
        <v>0</v>
      </c>
      <c r="Q1190" s="7">
        <f>(P69-N69)*(O35-O69)-(Q69-O69)*(N35-N69)</f>
        <v>0</v>
      </c>
      <c r="R1190" s="7">
        <f>(P69-N69)*(Q35-O69)-(Q69-O69)*(P35-N69)</f>
        <v>0</v>
      </c>
      <c r="S1190" s="7">
        <f>IF(N1190,IF(AND(O1190*P1190&lt;=0,Q1190*R1190&lt;=0,MAX(MIN(N35,P35),MIN(N69,P69))&lt;=MIN(MAX(N35,P35),MAX(N69,P69)),MAX(MIN(O35,Q35),MIN(O69,Q69))&lt;=MIN(MAX(O35,Q35),MAX(O69,Q69))),1,0),0)</f>
        <v>0</v>
      </c>
      <c r="T1190" s="7"/>
      <c r="U1190" s="7"/>
      <c r="V1190" s="7"/>
      <c r="W1190" s="7"/>
      <c r="X1190" s="7"/>
      <c r="Y1190" s="7"/>
      <c r="Z1190" s="7"/>
      <c r="AA1190" s="7"/>
      <c r="AB1190" s="7"/>
      <c r="AC1190" s="7"/>
      <c r="AD1190" s="7"/>
      <c r="AE1190" s="7"/>
      <c r="AF1190" s="7"/>
      <c r="AG1190" s="7"/>
      <c r="AH1190" s="7"/>
      <c r="AI1190" s="7"/>
    </row>
    <row r="1191" spans="12:35">
      <c r="L1191" s="7">
        <v>35</v>
      </c>
      <c r="M1191" s="7">
        <v>70</v>
      </c>
      <c r="N1191" s="7" t="b">
        <f>AND($N$6,$N$7,4&lt;=$M$6,19&lt;=$M$7)</f>
        <v>0</v>
      </c>
      <c r="O1191" s="7">
        <f>(P35-N35)*(O70-O35)-(Q35-O35)*(N70-N35)</f>
        <v>0</v>
      </c>
      <c r="P1191" s="7">
        <f>(P35-N35)*(Q70-O35)-(Q35-O35)*(P70-N35)</f>
        <v>0</v>
      </c>
      <c r="Q1191" s="7">
        <f>(P70-N70)*(O35-O70)-(Q70-O70)*(N35-N70)</f>
        <v>0</v>
      </c>
      <c r="R1191" s="7">
        <f>(P70-N70)*(Q35-O70)-(Q70-O70)*(P35-N70)</f>
        <v>0</v>
      </c>
      <c r="S1191" s="7">
        <f>IF(N1191,IF(AND(O1191*P1191&lt;=0,Q1191*R1191&lt;=0,MAX(MIN(N35,P35),MIN(N70,P70))&lt;=MIN(MAX(N35,P35),MAX(N70,P70)),MAX(MIN(O35,Q35),MIN(O70,Q70))&lt;=MIN(MAX(O35,Q35),MAX(O70,Q70))),1,0),0)</f>
        <v>0</v>
      </c>
      <c r="T1191" s="7"/>
      <c r="U1191" s="7"/>
      <c r="V1191" s="7"/>
      <c r="W1191" s="7"/>
      <c r="X1191" s="7"/>
      <c r="Y1191" s="7"/>
      <c r="Z1191" s="7"/>
      <c r="AA1191" s="7"/>
      <c r="AB1191" s="7"/>
      <c r="AC1191" s="7"/>
      <c r="AD1191" s="7"/>
      <c r="AE1191" s="7"/>
      <c r="AF1191" s="7"/>
      <c r="AG1191" s="7"/>
      <c r="AH1191" s="7"/>
      <c r="AI1191" s="7"/>
    </row>
    <row r="1192" spans="12:35">
      <c r="L1192" s="7">
        <v>35</v>
      </c>
      <c r="M1192" s="7">
        <v>71</v>
      </c>
      <c r="N1192" s="7" t="b">
        <f>AND($N$6,$N$7,4&lt;=$M$6,20&lt;=$M$7)</f>
        <v>0</v>
      </c>
      <c r="O1192" s="7">
        <f>(P35-N35)*(O71-O35)-(Q35-O35)*(N71-N35)</f>
        <v>0</v>
      </c>
      <c r="P1192" s="7">
        <f>(P35-N35)*(Q71-O35)-(Q35-O35)*(P71-N35)</f>
        <v>0</v>
      </c>
      <c r="Q1192" s="7">
        <f>(P71-N71)*(O35-O71)-(Q71-O71)*(N35-N71)</f>
        <v>0</v>
      </c>
      <c r="R1192" s="7">
        <f>(P71-N71)*(Q35-O71)-(Q71-O71)*(P35-N71)</f>
        <v>0</v>
      </c>
      <c r="S1192" s="7">
        <f>IF(N1192,IF(AND(O1192*P1192&lt;=0,Q1192*R1192&lt;=0,MAX(MIN(N35,P35),MIN(N71,P71))&lt;=MIN(MAX(N35,P35),MAX(N71,P71)),MAX(MIN(O35,Q35),MIN(O71,Q71))&lt;=MIN(MAX(O35,Q35),MAX(O71,Q71))),1,0),0)</f>
        <v>0</v>
      </c>
      <c r="T1192" s="7"/>
      <c r="U1192" s="7"/>
      <c r="V1192" s="7"/>
      <c r="W1192" s="7"/>
      <c r="X1192" s="7"/>
      <c r="Y1192" s="7"/>
      <c r="Z1192" s="7"/>
      <c r="AA1192" s="7"/>
      <c r="AB1192" s="7"/>
      <c r="AC1192" s="7"/>
      <c r="AD1192" s="7"/>
      <c r="AE1192" s="7"/>
      <c r="AF1192" s="7"/>
      <c r="AG1192" s="7"/>
      <c r="AH1192" s="7"/>
      <c r="AI1192" s="7"/>
    </row>
    <row r="1193" spans="12:35">
      <c r="L1193" s="7">
        <v>36</v>
      </c>
      <c r="M1193" s="7">
        <v>38</v>
      </c>
      <c r="N1193" s="7" t="b">
        <f>AND($N$6,$N$6,5&lt;=$M$6,7&lt;=$M$6)</f>
        <v>0</v>
      </c>
      <c r="O1193" s="7">
        <f>(P36-N36)*(O38-O36)-(Q36-O36)*(N38-N36)</f>
        <v>0</v>
      </c>
      <c r="P1193" s="7">
        <f>(P36-N36)*(Q38-O36)-(Q36-O36)*(P38-N36)</f>
        <v>0</v>
      </c>
      <c r="Q1193" s="7">
        <f>(P38-N38)*(O36-O38)-(Q38-O38)*(N36-N38)</f>
        <v>0</v>
      </c>
      <c r="R1193" s="7">
        <f>(P38-N38)*(Q36-O38)-(Q38-O38)*(P36-N38)</f>
        <v>0</v>
      </c>
      <c r="S1193" s="7">
        <f>IF(N1193,IF(AND(O1193*P1193&lt;=0,Q1193*R1193&lt;=0,MAX(MIN(N36,P36),MIN(N38,P38))&lt;=MIN(MAX(N36,P36),MAX(N38,P38)),MAX(MIN(O36,Q36),MIN(O38,Q38))&lt;=MIN(MAX(O36,Q36),MAX(O38,Q38))),1,0),0)</f>
        <v>0</v>
      </c>
      <c r="T1193" s="7"/>
      <c r="U1193" s="7"/>
      <c r="V1193" s="7"/>
      <c r="W1193" s="7"/>
      <c r="X1193" s="7"/>
      <c r="Y1193" s="7"/>
      <c r="Z1193" s="7"/>
      <c r="AA1193" s="7"/>
      <c r="AB1193" s="7"/>
      <c r="AC1193" s="7"/>
      <c r="AD1193" s="7"/>
      <c r="AE1193" s="7"/>
      <c r="AF1193" s="7"/>
      <c r="AG1193" s="7"/>
      <c r="AH1193" s="7"/>
      <c r="AI1193" s="7"/>
    </row>
    <row r="1194" spans="12:35">
      <c r="L1194" s="7">
        <v>36</v>
      </c>
      <c r="M1194" s="7">
        <v>39</v>
      </c>
      <c r="N1194" s="7" t="b">
        <f>AND($N$6,$N$6,5&lt;=$M$6,8&lt;=$M$6)</f>
        <v>0</v>
      </c>
      <c r="O1194" s="7">
        <f>(P36-N36)*(O39-O36)-(Q36-O36)*(N39-N36)</f>
        <v>0</v>
      </c>
      <c r="P1194" s="7">
        <f>(P36-N36)*(Q39-O36)-(Q36-O36)*(P39-N36)</f>
        <v>0</v>
      </c>
      <c r="Q1194" s="7">
        <f>(P39-N39)*(O36-O39)-(Q39-O39)*(N36-N39)</f>
        <v>0</v>
      </c>
      <c r="R1194" s="7">
        <f>(P39-N39)*(Q36-O39)-(Q39-O39)*(P36-N39)</f>
        <v>0</v>
      </c>
      <c r="S1194" s="7">
        <f>IF(N1194,IF(AND(O1194*P1194&lt;=0,Q1194*R1194&lt;=0,MAX(MIN(N36,P36),MIN(N39,P39))&lt;=MIN(MAX(N36,P36),MAX(N39,P39)),MAX(MIN(O36,Q36),MIN(O39,Q39))&lt;=MIN(MAX(O36,Q36),MAX(O39,Q39))),1,0),0)</f>
        <v>0</v>
      </c>
      <c r="T1194" s="7"/>
      <c r="U1194" s="7"/>
      <c r="V1194" s="7"/>
      <c r="W1194" s="7"/>
      <c r="X1194" s="7"/>
      <c r="Y1194" s="7"/>
      <c r="Z1194" s="7"/>
      <c r="AA1194" s="7"/>
      <c r="AB1194" s="7"/>
      <c r="AC1194" s="7"/>
      <c r="AD1194" s="7"/>
      <c r="AE1194" s="7"/>
      <c r="AF1194" s="7"/>
      <c r="AG1194" s="7"/>
      <c r="AH1194" s="7"/>
      <c r="AI1194" s="7"/>
    </row>
    <row r="1195" spans="12:35">
      <c r="L1195" s="7">
        <v>36</v>
      </c>
      <c r="M1195" s="7">
        <v>40</v>
      </c>
      <c r="N1195" s="7" t="b">
        <f>AND($N$6,$N$6,5&lt;=$M$6,9&lt;=$M$6)</f>
        <v>0</v>
      </c>
      <c r="O1195" s="7">
        <f>(P36-N36)*(O40-O36)-(Q36-O36)*(N40-N36)</f>
        <v>0</v>
      </c>
      <c r="P1195" s="7">
        <f>(P36-N36)*(Q40-O36)-(Q36-O36)*(P40-N36)</f>
        <v>0</v>
      </c>
      <c r="Q1195" s="7">
        <f>(P40-N40)*(O36-O40)-(Q40-O40)*(N36-N40)</f>
        <v>0</v>
      </c>
      <c r="R1195" s="7">
        <f>(P40-N40)*(Q36-O40)-(Q40-O40)*(P36-N40)</f>
        <v>0</v>
      </c>
      <c r="S1195" s="7">
        <f>IF(N1195,IF(AND(O1195*P1195&lt;=0,Q1195*R1195&lt;=0,MAX(MIN(N36,P36),MIN(N40,P40))&lt;=MIN(MAX(N36,P36),MAX(N40,P40)),MAX(MIN(O36,Q36),MIN(O40,Q40))&lt;=MIN(MAX(O36,Q36),MAX(O40,Q40))),1,0),0)</f>
        <v>0</v>
      </c>
      <c r="T1195" s="7"/>
      <c r="U1195" s="7"/>
      <c r="V1195" s="7"/>
      <c r="W1195" s="7"/>
      <c r="X1195" s="7"/>
      <c r="Y1195" s="7"/>
      <c r="Z1195" s="7"/>
      <c r="AA1195" s="7"/>
      <c r="AB1195" s="7"/>
      <c r="AC1195" s="7"/>
      <c r="AD1195" s="7"/>
      <c r="AE1195" s="7"/>
      <c r="AF1195" s="7"/>
      <c r="AG1195" s="7"/>
      <c r="AH1195" s="7"/>
      <c r="AI1195" s="7"/>
    </row>
    <row r="1196" spans="12:35">
      <c r="L1196" s="7">
        <v>36</v>
      </c>
      <c r="M1196" s="7">
        <v>41</v>
      </c>
      <c r="N1196" s="7" t="b">
        <f>AND($N$6,$N$6,5&lt;=$M$6,10&lt;=$M$6)</f>
        <v>0</v>
      </c>
      <c r="O1196" s="7">
        <f>(P36-N36)*(O41-O36)-(Q36-O36)*(N41-N36)</f>
        <v>0</v>
      </c>
      <c r="P1196" s="7">
        <f>(P36-N36)*(Q41-O36)-(Q36-O36)*(P41-N36)</f>
        <v>0</v>
      </c>
      <c r="Q1196" s="7">
        <f>(P41-N41)*(O36-O41)-(Q41-O41)*(N36-N41)</f>
        <v>0</v>
      </c>
      <c r="R1196" s="7">
        <f>(P41-N41)*(Q36-O41)-(Q41-O41)*(P36-N41)</f>
        <v>0</v>
      </c>
      <c r="S1196" s="7">
        <f>IF(N1196,IF(AND(O1196*P1196&lt;=0,Q1196*R1196&lt;=0,MAX(MIN(N36,P36),MIN(N41,P41))&lt;=MIN(MAX(N36,P36),MAX(N41,P41)),MAX(MIN(O36,Q36),MIN(O41,Q41))&lt;=MIN(MAX(O36,Q36),MAX(O41,Q41))),1,0),0)</f>
        <v>0</v>
      </c>
      <c r="T1196" s="7"/>
      <c r="U1196" s="7"/>
      <c r="V1196" s="7"/>
      <c r="W1196" s="7"/>
      <c r="X1196" s="7"/>
      <c r="Y1196" s="7"/>
      <c r="Z1196" s="7"/>
      <c r="AA1196" s="7"/>
      <c r="AB1196" s="7"/>
      <c r="AC1196" s="7"/>
      <c r="AD1196" s="7"/>
      <c r="AE1196" s="7"/>
      <c r="AF1196" s="7"/>
      <c r="AG1196" s="7"/>
      <c r="AH1196" s="7"/>
      <c r="AI1196" s="7"/>
    </row>
    <row r="1197" spans="12:35">
      <c r="L1197" s="7">
        <v>36</v>
      </c>
      <c r="M1197" s="7">
        <v>42</v>
      </c>
      <c r="N1197" s="7" t="b">
        <f>AND($N$6,$N$6,5&lt;=$M$6,11&lt;=$M$6)</f>
        <v>0</v>
      </c>
      <c r="O1197" s="7">
        <f>(P36-N36)*(O42-O36)-(Q36-O36)*(N42-N36)</f>
        <v>0</v>
      </c>
      <c r="P1197" s="7">
        <f>(P36-N36)*(Q42-O36)-(Q36-O36)*(P42-N36)</f>
        <v>0</v>
      </c>
      <c r="Q1197" s="7">
        <f>(P42-N42)*(O36-O42)-(Q42-O42)*(N36-N42)</f>
        <v>0</v>
      </c>
      <c r="R1197" s="7">
        <f>(P42-N42)*(Q36-O42)-(Q42-O42)*(P36-N42)</f>
        <v>0</v>
      </c>
      <c r="S1197" s="7">
        <f>IF(N1197,IF(AND(O1197*P1197&lt;=0,Q1197*R1197&lt;=0,MAX(MIN(N36,P36),MIN(N42,P42))&lt;=MIN(MAX(N36,P36),MAX(N42,P42)),MAX(MIN(O36,Q36),MIN(O42,Q42))&lt;=MIN(MAX(O36,Q36),MAX(O42,Q42))),1,0),0)</f>
        <v>0</v>
      </c>
      <c r="T1197" s="7"/>
      <c r="U1197" s="7"/>
      <c r="V1197" s="7"/>
      <c r="W1197" s="7"/>
      <c r="X1197" s="7"/>
      <c r="Y1197" s="7"/>
      <c r="Z1197" s="7"/>
      <c r="AA1197" s="7"/>
      <c r="AB1197" s="7"/>
      <c r="AC1197" s="7"/>
      <c r="AD1197" s="7"/>
      <c r="AE1197" s="7"/>
      <c r="AF1197" s="7"/>
      <c r="AG1197" s="7"/>
      <c r="AH1197" s="7"/>
      <c r="AI1197" s="7"/>
    </row>
    <row r="1198" spans="12:35">
      <c r="L1198" s="7">
        <v>36</v>
      </c>
      <c r="M1198" s="7">
        <v>43</v>
      </c>
      <c r="N1198" s="7" t="b">
        <f>AND($N$6,$N$6,5&lt;=$M$6,12&lt;=$M$6)</f>
        <v>0</v>
      </c>
      <c r="O1198" s="7">
        <f>(P36-N36)*(O43-O36)-(Q36-O36)*(N43-N36)</f>
        <v>0</v>
      </c>
      <c r="P1198" s="7">
        <f>(P36-N36)*(Q43-O36)-(Q36-O36)*(P43-N36)</f>
        <v>0</v>
      </c>
      <c r="Q1198" s="7">
        <f>(P43-N43)*(O36-O43)-(Q43-O43)*(N36-N43)</f>
        <v>0</v>
      </c>
      <c r="R1198" s="7">
        <f>(P43-N43)*(Q36-O43)-(Q43-O43)*(P36-N43)</f>
        <v>0</v>
      </c>
      <c r="S1198" s="7">
        <f>IF(N1198,IF(AND(O1198*P1198&lt;=0,Q1198*R1198&lt;=0,MAX(MIN(N36,P36),MIN(N43,P43))&lt;=MIN(MAX(N36,P36),MAX(N43,P43)),MAX(MIN(O36,Q36),MIN(O43,Q43))&lt;=MIN(MAX(O36,Q36),MAX(O43,Q43))),1,0),0)</f>
        <v>0</v>
      </c>
      <c r="T1198" s="7"/>
      <c r="U1198" s="7"/>
      <c r="V1198" s="7"/>
      <c r="W1198" s="7"/>
      <c r="X1198" s="7"/>
      <c r="Y1198" s="7"/>
      <c r="Z1198" s="7"/>
      <c r="AA1198" s="7"/>
      <c r="AB1198" s="7"/>
      <c r="AC1198" s="7"/>
      <c r="AD1198" s="7"/>
      <c r="AE1198" s="7"/>
      <c r="AF1198" s="7"/>
      <c r="AG1198" s="7"/>
      <c r="AH1198" s="7"/>
      <c r="AI1198" s="7"/>
    </row>
    <row r="1199" spans="12:35">
      <c r="L1199" s="7">
        <v>36</v>
      </c>
      <c r="M1199" s="7">
        <v>44</v>
      </c>
      <c r="N1199" s="7" t="b">
        <f>AND($N$6,$N$6,5&lt;=$M$6,13&lt;=$M$6)</f>
        <v>0</v>
      </c>
      <c r="O1199" s="7">
        <f>(P36-N36)*(O44-O36)-(Q36-O36)*(N44-N36)</f>
        <v>0</v>
      </c>
      <c r="P1199" s="7">
        <f>(P36-N36)*(Q44-O36)-(Q36-O36)*(P44-N36)</f>
        <v>0</v>
      </c>
      <c r="Q1199" s="7">
        <f>(P44-N44)*(O36-O44)-(Q44-O44)*(N36-N44)</f>
        <v>0</v>
      </c>
      <c r="R1199" s="7">
        <f>(P44-N44)*(Q36-O44)-(Q44-O44)*(P36-N44)</f>
        <v>0</v>
      </c>
      <c r="S1199" s="7">
        <f>IF(N1199,IF(AND(O1199*P1199&lt;=0,Q1199*R1199&lt;=0,MAX(MIN(N36,P36),MIN(N44,P44))&lt;=MIN(MAX(N36,P36),MAX(N44,P44)),MAX(MIN(O36,Q36),MIN(O44,Q44))&lt;=MIN(MAX(O36,Q36),MAX(O44,Q44))),1,0),0)</f>
        <v>0</v>
      </c>
      <c r="T1199" s="7"/>
      <c r="U1199" s="7"/>
      <c r="V1199" s="7"/>
      <c r="W1199" s="7"/>
      <c r="X1199" s="7"/>
      <c r="Y1199" s="7"/>
      <c r="Z1199" s="7"/>
      <c r="AA1199" s="7"/>
      <c r="AB1199" s="7"/>
      <c r="AC1199" s="7"/>
      <c r="AD1199" s="7"/>
      <c r="AE1199" s="7"/>
      <c r="AF1199" s="7"/>
      <c r="AG1199" s="7"/>
      <c r="AH1199" s="7"/>
      <c r="AI1199" s="7"/>
    </row>
    <row r="1200" spans="12:35">
      <c r="L1200" s="7">
        <v>36</v>
      </c>
      <c r="M1200" s="7">
        <v>45</v>
      </c>
      <c r="N1200" s="7" t="b">
        <f>AND($N$6,$N$6,5&lt;=$M$6,14&lt;=$M$6)</f>
        <v>0</v>
      </c>
      <c r="O1200" s="7">
        <f>(P36-N36)*(O45-O36)-(Q36-O36)*(N45-N36)</f>
        <v>0</v>
      </c>
      <c r="P1200" s="7">
        <f>(P36-N36)*(Q45-O36)-(Q36-O36)*(P45-N36)</f>
        <v>0</v>
      </c>
      <c r="Q1200" s="7">
        <f>(P45-N45)*(O36-O45)-(Q45-O45)*(N36-N45)</f>
        <v>0</v>
      </c>
      <c r="R1200" s="7">
        <f>(P45-N45)*(Q36-O45)-(Q45-O45)*(P36-N45)</f>
        <v>0</v>
      </c>
      <c r="S1200" s="7">
        <f>IF(N1200,IF(AND(O1200*P1200&lt;=0,Q1200*R1200&lt;=0,MAX(MIN(N36,P36),MIN(N45,P45))&lt;=MIN(MAX(N36,P36),MAX(N45,P45)),MAX(MIN(O36,Q36),MIN(O45,Q45))&lt;=MIN(MAX(O36,Q36),MAX(O45,Q45))),1,0),0)</f>
        <v>0</v>
      </c>
      <c r="T1200" s="7"/>
      <c r="U1200" s="7"/>
      <c r="V1200" s="7"/>
      <c r="W1200" s="7"/>
      <c r="X1200" s="7"/>
      <c r="Y1200" s="7"/>
      <c r="Z1200" s="7"/>
      <c r="AA1200" s="7"/>
      <c r="AB1200" s="7"/>
      <c r="AC1200" s="7"/>
      <c r="AD1200" s="7"/>
      <c r="AE1200" s="7"/>
      <c r="AF1200" s="7"/>
      <c r="AG1200" s="7"/>
      <c r="AH1200" s="7"/>
      <c r="AI1200" s="7"/>
    </row>
    <row r="1201" spans="12:35">
      <c r="L1201" s="7">
        <v>36</v>
      </c>
      <c r="M1201" s="7">
        <v>46</v>
      </c>
      <c r="N1201" s="7" t="b">
        <f>AND($N$6,$N$6,5&lt;=$M$6,15&lt;=$M$6)</f>
        <v>0</v>
      </c>
      <c r="O1201" s="7">
        <f>(P36-N36)*(O46-O36)-(Q36-O36)*(N46-N36)</f>
        <v>0</v>
      </c>
      <c r="P1201" s="7">
        <f>(P36-N36)*(Q46-O36)-(Q36-O36)*(P46-N36)</f>
        <v>0</v>
      </c>
      <c r="Q1201" s="7">
        <f>(P46-N46)*(O36-O46)-(Q46-O46)*(N36-N46)</f>
        <v>0</v>
      </c>
      <c r="R1201" s="7">
        <f>(P46-N46)*(Q36-O46)-(Q46-O46)*(P36-N46)</f>
        <v>0</v>
      </c>
      <c r="S1201" s="7">
        <f>IF(N1201,IF(AND(O1201*P1201&lt;=0,Q1201*R1201&lt;=0,MAX(MIN(N36,P36),MIN(N46,P46))&lt;=MIN(MAX(N36,P36),MAX(N46,P46)),MAX(MIN(O36,Q36),MIN(O46,Q46))&lt;=MIN(MAX(O36,Q36),MAX(O46,Q46))),1,0),0)</f>
        <v>0</v>
      </c>
      <c r="T1201" s="7"/>
      <c r="U1201" s="7"/>
      <c r="V1201" s="7"/>
      <c r="W1201" s="7"/>
      <c r="X1201" s="7"/>
      <c r="Y1201" s="7"/>
      <c r="Z1201" s="7"/>
      <c r="AA1201" s="7"/>
      <c r="AB1201" s="7"/>
      <c r="AC1201" s="7"/>
      <c r="AD1201" s="7"/>
      <c r="AE1201" s="7"/>
      <c r="AF1201" s="7"/>
      <c r="AG1201" s="7"/>
      <c r="AH1201" s="7"/>
      <c r="AI1201" s="7"/>
    </row>
    <row r="1202" spans="12:35">
      <c r="L1202" s="7">
        <v>36</v>
      </c>
      <c r="M1202" s="7">
        <v>47</v>
      </c>
      <c r="N1202" s="7" t="b">
        <f>AND($N$6,$N$6,5&lt;=$M$6,16&lt;=$M$6)</f>
        <v>0</v>
      </c>
      <c r="O1202" s="7">
        <f>(P36-N36)*(O47-O36)-(Q36-O36)*(N47-N36)</f>
        <v>0</v>
      </c>
      <c r="P1202" s="7">
        <f>(P36-N36)*(Q47-O36)-(Q36-O36)*(P47-N36)</f>
        <v>0</v>
      </c>
      <c r="Q1202" s="7">
        <f>(P47-N47)*(O36-O47)-(Q47-O47)*(N36-N47)</f>
        <v>0</v>
      </c>
      <c r="R1202" s="7">
        <f>(P47-N47)*(Q36-O47)-(Q47-O47)*(P36-N47)</f>
        <v>0</v>
      </c>
      <c r="S1202" s="7">
        <f>IF(N1202,IF(AND(O1202*P1202&lt;=0,Q1202*R1202&lt;=0,MAX(MIN(N36,P36),MIN(N47,P47))&lt;=MIN(MAX(N36,P36),MAX(N47,P47)),MAX(MIN(O36,Q36),MIN(O47,Q47))&lt;=MIN(MAX(O36,Q36),MAX(O47,Q47))),1,0),0)</f>
        <v>0</v>
      </c>
      <c r="T1202" s="7"/>
      <c r="U1202" s="7"/>
      <c r="V1202" s="7"/>
      <c r="W1202" s="7"/>
      <c r="X1202" s="7"/>
      <c r="Y1202" s="7"/>
      <c r="Z1202" s="7"/>
      <c r="AA1202" s="7"/>
      <c r="AB1202" s="7"/>
      <c r="AC1202" s="7"/>
      <c r="AD1202" s="7"/>
      <c r="AE1202" s="7"/>
      <c r="AF1202" s="7"/>
      <c r="AG1202" s="7"/>
      <c r="AH1202" s="7"/>
      <c r="AI1202" s="7"/>
    </row>
    <row r="1203" spans="12:35">
      <c r="L1203" s="7">
        <v>36</v>
      </c>
      <c r="M1203" s="7">
        <v>48</v>
      </c>
      <c r="N1203" s="7" t="b">
        <f>AND($N$6,$N$6,5&lt;=$M$6,17&lt;=$M$6)</f>
        <v>0</v>
      </c>
      <c r="O1203" s="7">
        <f>(P36-N36)*(O48-O36)-(Q36-O36)*(N48-N36)</f>
        <v>0</v>
      </c>
      <c r="P1203" s="7">
        <f>(P36-N36)*(Q48-O36)-(Q36-O36)*(P48-N36)</f>
        <v>0</v>
      </c>
      <c r="Q1203" s="7">
        <f>(P48-N48)*(O36-O48)-(Q48-O48)*(N36-N48)</f>
        <v>0</v>
      </c>
      <c r="R1203" s="7">
        <f>(P48-N48)*(Q36-O48)-(Q48-O48)*(P36-N48)</f>
        <v>0</v>
      </c>
      <c r="S1203" s="7">
        <f>IF(N1203,IF(AND(O1203*P1203&lt;=0,Q1203*R1203&lt;=0,MAX(MIN(N36,P36),MIN(N48,P48))&lt;=MIN(MAX(N36,P36),MAX(N48,P48)),MAX(MIN(O36,Q36),MIN(O48,Q48))&lt;=MIN(MAX(O36,Q36),MAX(O48,Q48))),1,0),0)</f>
        <v>0</v>
      </c>
      <c r="T1203" s="7"/>
      <c r="U1203" s="7"/>
      <c r="V1203" s="7"/>
      <c r="W1203" s="7"/>
      <c r="X1203" s="7"/>
      <c r="Y1203" s="7"/>
      <c r="Z1203" s="7"/>
      <c r="AA1203" s="7"/>
      <c r="AB1203" s="7"/>
      <c r="AC1203" s="7"/>
      <c r="AD1203" s="7"/>
      <c r="AE1203" s="7"/>
      <c r="AF1203" s="7"/>
      <c r="AG1203" s="7"/>
      <c r="AH1203" s="7"/>
      <c r="AI1203" s="7"/>
    </row>
    <row r="1204" spans="12:35">
      <c r="L1204" s="7">
        <v>36</v>
      </c>
      <c r="M1204" s="7">
        <v>49</v>
      </c>
      <c r="N1204" s="7" t="b">
        <f>AND($N$6,$N$6,5&lt;=$M$6,18&lt;=$M$6)</f>
        <v>0</v>
      </c>
      <c r="O1204" s="7">
        <f>(P36-N36)*(O49-O36)-(Q36-O36)*(N49-N36)</f>
        <v>0</v>
      </c>
      <c r="P1204" s="7">
        <f>(P36-N36)*(Q49-O36)-(Q36-O36)*(P49-N36)</f>
        <v>0</v>
      </c>
      <c r="Q1204" s="7">
        <f>(P49-N49)*(O36-O49)-(Q49-O49)*(N36-N49)</f>
        <v>0</v>
      </c>
      <c r="R1204" s="7">
        <f>(P49-N49)*(Q36-O49)-(Q49-O49)*(P36-N49)</f>
        <v>0</v>
      </c>
      <c r="S1204" s="7">
        <f>IF(N1204,IF(AND(O1204*P1204&lt;=0,Q1204*R1204&lt;=0,MAX(MIN(N36,P36),MIN(N49,P49))&lt;=MIN(MAX(N36,P36),MAX(N49,P49)),MAX(MIN(O36,Q36),MIN(O49,Q49))&lt;=MIN(MAX(O36,Q36),MAX(O49,Q49))),1,0),0)</f>
        <v>0</v>
      </c>
      <c r="T1204" s="7"/>
      <c r="U1204" s="7"/>
      <c r="V1204" s="7"/>
      <c r="W1204" s="7"/>
      <c r="X1204" s="7"/>
      <c r="Y1204" s="7"/>
      <c r="Z1204" s="7"/>
      <c r="AA1204" s="7"/>
      <c r="AB1204" s="7"/>
      <c r="AC1204" s="7"/>
      <c r="AD1204" s="7"/>
      <c r="AE1204" s="7"/>
      <c r="AF1204" s="7"/>
      <c r="AG1204" s="7"/>
      <c r="AH1204" s="7"/>
      <c r="AI1204" s="7"/>
    </row>
    <row r="1205" spans="12:35">
      <c r="L1205" s="7">
        <v>36</v>
      </c>
      <c r="M1205" s="7">
        <v>50</v>
      </c>
      <c r="N1205" s="7" t="b">
        <f>AND($N$6,$N$6,5&lt;=$M$6,19&lt;=$M$6)</f>
        <v>0</v>
      </c>
      <c r="O1205" s="7">
        <f>(P36-N36)*(O50-O36)-(Q36-O36)*(N50-N36)</f>
        <v>0</v>
      </c>
      <c r="P1205" s="7">
        <f>(P36-N36)*(Q50-O36)-(Q36-O36)*(P50-N36)</f>
        <v>0</v>
      </c>
      <c r="Q1205" s="7">
        <f>(P50-N50)*(O36-O50)-(Q50-O50)*(N36-N50)</f>
        <v>0</v>
      </c>
      <c r="R1205" s="7">
        <f>(P50-N50)*(Q36-O50)-(Q50-O50)*(P36-N50)</f>
        <v>0</v>
      </c>
      <c r="S1205" s="7">
        <f>IF(N1205,IF(AND(O1205*P1205&lt;=0,Q1205*R1205&lt;=0,MAX(MIN(N36,P36),MIN(N50,P50))&lt;=MIN(MAX(N36,P36),MAX(N50,P50)),MAX(MIN(O36,Q36),MIN(O50,Q50))&lt;=MIN(MAX(O36,Q36),MAX(O50,Q50))),1,0),0)</f>
        <v>0</v>
      </c>
      <c r="T1205" s="7"/>
      <c r="U1205" s="7"/>
      <c r="V1205" s="7"/>
      <c r="W1205" s="7"/>
      <c r="X1205" s="7"/>
      <c r="Y1205" s="7"/>
      <c r="Z1205" s="7"/>
      <c r="AA1205" s="7"/>
      <c r="AB1205" s="7"/>
      <c r="AC1205" s="7"/>
      <c r="AD1205" s="7"/>
      <c r="AE1205" s="7"/>
      <c r="AF1205" s="7"/>
      <c r="AG1205" s="7"/>
      <c r="AH1205" s="7"/>
      <c r="AI1205" s="7"/>
    </row>
    <row r="1206" spans="12:35">
      <c r="L1206" s="7">
        <v>36</v>
      </c>
      <c r="M1206" s="7">
        <v>51</v>
      </c>
      <c r="N1206" s="7" t="b">
        <f>AND($N$6,$N$6,5&lt;=$M$6,20&lt;=$M$6)</f>
        <v>0</v>
      </c>
      <c r="O1206" s="7">
        <f>(P36-N36)*(O51-O36)-(Q36-O36)*(N51-N36)</f>
        <v>0</v>
      </c>
      <c r="P1206" s="7">
        <f>(P36-N36)*(Q51-O36)-(Q36-O36)*(P51-N36)</f>
        <v>0</v>
      </c>
      <c r="Q1206" s="7">
        <f>(P51-N51)*(O36-O51)-(Q51-O51)*(N36-N51)</f>
        <v>0</v>
      </c>
      <c r="R1206" s="7">
        <f>(P51-N51)*(Q36-O51)-(Q51-O51)*(P36-N51)</f>
        <v>0</v>
      </c>
      <c r="S1206" s="7">
        <f>IF(N1206,IF(AND(O1206*P1206&lt;=0,Q1206*R1206&lt;=0,MAX(MIN(N36,P36),MIN(N51,P51))&lt;=MIN(MAX(N36,P36),MAX(N51,P51)),MAX(MIN(O36,Q36),MIN(O51,Q51))&lt;=MIN(MAX(O36,Q36),MAX(O51,Q51))),1,0),0)</f>
        <v>0</v>
      </c>
      <c r="T1206" s="7"/>
      <c r="U1206" s="7"/>
      <c r="V1206" s="7"/>
      <c r="W1206" s="7"/>
      <c r="X1206" s="7"/>
      <c r="Y1206" s="7"/>
      <c r="Z1206" s="7"/>
      <c r="AA1206" s="7"/>
      <c r="AB1206" s="7"/>
      <c r="AC1206" s="7"/>
      <c r="AD1206" s="7"/>
      <c r="AE1206" s="7"/>
      <c r="AF1206" s="7"/>
      <c r="AG1206" s="7"/>
      <c r="AH1206" s="7"/>
      <c r="AI1206" s="7"/>
    </row>
    <row r="1207" spans="12:35">
      <c r="L1207" s="7">
        <v>36</v>
      </c>
      <c r="M1207" s="7">
        <v>52</v>
      </c>
      <c r="N1207" s="7" t="b">
        <f>AND($N$6,$N$7,5&lt;=$M$6,1&lt;=$M$7)</f>
        <v>0</v>
      </c>
      <c r="O1207" s="7">
        <f>(P36-N36)*(O52-O36)-(Q36-O36)*(N52-N36)</f>
        <v>0</v>
      </c>
      <c r="P1207" s="7">
        <f>(P36-N36)*(Q52-O36)-(Q36-O36)*(P52-N36)</f>
        <v>0</v>
      </c>
      <c r="Q1207" s="7">
        <f>(P52-N52)*(O36-O52)-(Q52-O52)*(N36-N52)</f>
        <v>0</v>
      </c>
      <c r="R1207" s="7">
        <f>(P52-N52)*(Q36-O52)-(Q52-O52)*(P36-N52)</f>
        <v>0</v>
      </c>
      <c r="S1207" s="7">
        <f>IF(N1207,IF(AND(O1207*P1207&lt;=0,Q1207*R1207&lt;=0,MAX(MIN(N36,P36),MIN(N52,P52))&lt;=MIN(MAX(N36,P36),MAX(N52,P52)),MAX(MIN(O36,Q36),MIN(O52,Q52))&lt;=MIN(MAX(O36,Q36),MAX(O52,Q52))),1,0),0)</f>
        <v>0</v>
      </c>
      <c r="T1207" s="7"/>
      <c r="U1207" s="7"/>
      <c r="V1207" s="7"/>
      <c r="W1207" s="7"/>
      <c r="X1207" s="7"/>
      <c r="Y1207" s="7"/>
      <c r="Z1207" s="7"/>
      <c r="AA1207" s="7"/>
      <c r="AB1207" s="7"/>
      <c r="AC1207" s="7"/>
      <c r="AD1207" s="7"/>
      <c r="AE1207" s="7"/>
      <c r="AF1207" s="7"/>
      <c r="AG1207" s="7"/>
      <c r="AH1207" s="7"/>
      <c r="AI1207" s="7"/>
    </row>
    <row r="1208" spans="12:35">
      <c r="L1208" s="7">
        <v>36</v>
      </c>
      <c r="M1208" s="7">
        <v>53</v>
      </c>
      <c r="N1208" s="7" t="b">
        <f>AND($N$6,$N$7,5&lt;=$M$6,2&lt;=$M$7)</f>
        <v>0</v>
      </c>
      <c r="O1208" s="7">
        <f>(P36-N36)*(O53-O36)-(Q36-O36)*(N53-N36)</f>
        <v>0</v>
      </c>
      <c r="P1208" s="7">
        <f>(P36-N36)*(Q53-O36)-(Q36-O36)*(P53-N36)</f>
        <v>0</v>
      </c>
      <c r="Q1208" s="7">
        <f>(P53-N53)*(O36-O53)-(Q53-O53)*(N36-N53)</f>
        <v>0</v>
      </c>
      <c r="R1208" s="7">
        <f>(P53-N53)*(Q36-O53)-(Q53-O53)*(P36-N53)</f>
        <v>0</v>
      </c>
      <c r="S1208" s="7">
        <f>IF(N1208,IF(AND(O1208*P1208&lt;=0,Q1208*R1208&lt;=0,MAX(MIN(N36,P36),MIN(N53,P53))&lt;=MIN(MAX(N36,P36),MAX(N53,P53)),MAX(MIN(O36,Q36),MIN(O53,Q53))&lt;=MIN(MAX(O36,Q36),MAX(O53,Q53))),1,0),0)</f>
        <v>0</v>
      </c>
      <c r="T1208" s="7"/>
      <c r="U1208" s="7"/>
      <c r="V1208" s="7"/>
      <c r="W1208" s="7"/>
      <c r="X1208" s="7"/>
      <c r="Y1208" s="7"/>
      <c r="Z1208" s="7"/>
      <c r="AA1208" s="7"/>
      <c r="AB1208" s="7"/>
      <c r="AC1208" s="7"/>
      <c r="AD1208" s="7"/>
      <c r="AE1208" s="7"/>
      <c r="AF1208" s="7"/>
      <c r="AG1208" s="7"/>
      <c r="AH1208" s="7"/>
      <c r="AI1208" s="7"/>
    </row>
    <row r="1209" spans="12:35">
      <c r="L1209" s="7">
        <v>36</v>
      </c>
      <c r="M1209" s="7">
        <v>54</v>
      </c>
      <c r="N1209" s="7" t="b">
        <f>AND($N$6,$N$7,5&lt;=$M$6,3&lt;=$M$7)</f>
        <v>0</v>
      </c>
      <c r="O1209" s="7">
        <f>(P36-N36)*(O54-O36)-(Q36-O36)*(N54-N36)</f>
        <v>0</v>
      </c>
      <c r="P1209" s="7">
        <f>(P36-N36)*(Q54-O36)-(Q36-O36)*(P54-N36)</f>
        <v>0</v>
      </c>
      <c r="Q1209" s="7">
        <f>(P54-N54)*(O36-O54)-(Q54-O54)*(N36-N54)</f>
        <v>0</v>
      </c>
      <c r="R1209" s="7">
        <f>(P54-N54)*(Q36-O54)-(Q54-O54)*(P36-N54)</f>
        <v>0</v>
      </c>
      <c r="S1209" s="7">
        <f>IF(N1209,IF(AND(O1209*P1209&lt;=0,Q1209*R1209&lt;=0,MAX(MIN(N36,P36),MIN(N54,P54))&lt;=MIN(MAX(N36,P36),MAX(N54,P54)),MAX(MIN(O36,Q36),MIN(O54,Q54))&lt;=MIN(MAX(O36,Q36),MAX(O54,Q54))),1,0),0)</f>
        <v>0</v>
      </c>
      <c r="T1209" s="7"/>
      <c r="U1209" s="7"/>
      <c r="V1209" s="7"/>
      <c r="W1209" s="7"/>
      <c r="X1209" s="7"/>
      <c r="Y1209" s="7"/>
      <c r="Z1209" s="7"/>
      <c r="AA1209" s="7"/>
      <c r="AB1209" s="7"/>
      <c r="AC1209" s="7"/>
      <c r="AD1209" s="7"/>
      <c r="AE1209" s="7"/>
      <c r="AF1209" s="7"/>
      <c r="AG1209" s="7"/>
      <c r="AH1209" s="7"/>
      <c r="AI1209" s="7"/>
    </row>
    <row r="1210" spans="12:35">
      <c r="L1210" s="7">
        <v>36</v>
      </c>
      <c r="M1210" s="7">
        <v>55</v>
      </c>
      <c r="N1210" s="7" t="b">
        <f>AND($N$6,$N$7,5&lt;=$M$6,4&lt;=$M$7)</f>
        <v>0</v>
      </c>
      <c r="O1210" s="7">
        <f>(P36-N36)*(O55-O36)-(Q36-O36)*(N55-N36)</f>
        <v>0</v>
      </c>
      <c r="P1210" s="7">
        <f>(P36-N36)*(Q55-O36)-(Q36-O36)*(P55-N36)</f>
        <v>0</v>
      </c>
      <c r="Q1210" s="7">
        <f>(P55-N55)*(O36-O55)-(Q55-O55)*(N36-N55)</f>
        <v>0</v>
      </c>
      <c r="R1210" s="7">
        <f>(P55-N55)*(Q36-O55)-(Q55-O55)*(P36-N55)</f>
        <v>0</v>
      </c>
      <c r="S1210" s="7">
        <f>IF(N1210,IF(AND(O1210*P1210&lt;=0,Q1210*R1210&lt;=0,MAX(MIN(N36,P36),MIN(N55,P55))&lt;=MIN(MAX(N36,P36),MAX(N55,P55)),MAX(MIN(O36,Q36),MIN(O55,Q55))&lt;=MIN(MAX(O36,Q36),MAX(O55,Q55))),1,0),0)</f>
        <v>0</v>
      </c>
      <c r="T1210" s="7"/>
      <c r="U1210" s="7"/>
      <c r="V1210" s="7"/>
      <c r="W1210" s="7"/>
      <c r="X1210" s="7"/>
      <c r="Y1210" s="7"/>
      <c r="Z1210" s="7"/>
      <c r="AA1210" s="7"/>
      <c r="AB1210" s="7"/>
      <c r="AC1210" s="7"/>
      <c r="AD1210" s="7"/>
      <c r="AE1210" s="7"/>
      <c r="AF1210" s="7"/>
      <c r="AG1210" s="7"/>
      <c r="AH1210" s="7"/>
      <c r="AI1210" s="7"/>
    </row>
    <row r="1211" spans="12:35">
      <c r="L1211" s="7">
        <v>36</v>
      </c>
      <c r="M1211" s="7">
        <v>56</v>
      </c>
      <c r="N1211" s="7" t="b">
        <f>AND($N$6,$N$7,5&lt;=$M$6,5&lt;=$M$7)</f>
        <v>0</v>
      </c>
      <c r="O1211" s="7">
        <f>(P36-N36)*(O56-O36)-(Q36-O36)*(N56-N36)</f>
        <v>0</v>
      </c>
      <c r="P1211" s="7">
        <f>(P36-N36)*(Q56-O36)-(Q36-O36)*(P56-N36)</f>
        <v>0</v>
      </c>
      <c r="Q1211" s="7">
        <f>(P56-N56)*(O36-O56)-(Q56-O56)*(N36-N56)</f>
        <v>0</v>
      </c>
      <c r="R1211" s="7">
        <f>(P56-N56)*(Q36-O56)-(Q56-O56)*(P36-N56)</f>
        <v>0</v>
      </c>
      <c r="S1211" s="7">
        <f>IF(N1211,IF(AND(O1211*P1211&lt;=0,Q1211*R1211&lt;=0,MAX(MIN(N36,P36),MIN(N56,P56))&lt;=MIN(MAX(N36,P36),MAX(N56,P56)),MAX(MIN(O36,Q36),MIN(O56,Q56))&lt;=MIN(MAX(O36,Q36),MAX(O56,Q56))),1,0),0)</f>
        <v>0</v>
      </c>
      <c r="T1211" s="7"/>
      <c r="U1211" s="7"/>
      <c r="V1211" s="7"/>
      <c r="W1211" s="7"/>
      <c r="X1211" s="7"/>
      <c r="Y1211" s="7"/>
      <c r="Z1211" s="7"/>
      <c r="AA1211" s="7"/>
      <c r="AB1211" s="7"/>
      <c r="AC1211" s="7"/>
      <c r="AD1211" s="7"/>
      <c r="AE1211" s="7"/>
      <c r="AF1211" s="7"/>
      <c r="AG1211" s="7"/>
      <c r="AH1211" s="7"/>
      <c r="AI1211" s="7"/>
    </row>
    <row r="1212" spans="12:35">
      <c r="L1212" s="7">
        <v>36</v>
      </c>
      <c r="M1212" s="7">
        <v>57</v>
      </c>
      <c r="N1212" s="7" t="b">
        <f>AND($N$6,$N$7,5&lt;=$M$6,6&lt;=$M$7)</f>
        <v>0</v>
      </c>
      <c r="O1212" s="7">
        <f>(P36-N36)*(O57-O36)-(Q36-O36)*(N57-N36)</f>
        <v>0</v>
      </c>
      <c r="P1212" s="7">
        <f>(P36-N36)*(Q57-O36)-(Q36-O36)*(P57-N36)</f>
        <v>0</v>
      </c>
      <c r="Q1212" s="7">
        <f>(P57-N57)*(O36-O57)-(Q57-O57)*(N36-N57)</f>
        <v>0</v>
      </c>
      <c r="R1212" s="7">
        <f>(P57-N57)*(Q36-O57)-(Q57-O57)*(P36-N57)</f>
        <v>0</v>
      </c>
      <c r="S1212" s="7">
        <f>IF(N1212,IF(AND(O1212*P1212&lt;=0,Q1212*R1212&lt;=0,MAX(MIN(N36,P36),MIN(N57,P57))&lt;=MIN(MAX(N36,P36),MAX(N57,P57)),MAX(MIN(O36,Q36),MIN(O57,Q57))&lt;=MIN(MAX(O36,Q36),MAX(O57,Q57))),1,0),0)</f>
        <v>0</v>
      </c>
      <c r="T1212" s="7"/>
      <c r="U1212" s="7"/>
      <c r="V1212" s="7"/>
      <c r="W1212" s="7"/>
      <c r="X1212" s="7"/>
      <c r="Y1212" s="7"/>
      <c r="Z1212" s="7"/>
      <c r="AA1212" s="7"/>
      <c r="AB1212" s="7"/>
      <c r="AC1212" s="7"/>
      <c r="AD1212" s="7"/>
      <c r="AE1212" s="7"/>
      <c r="AF1212" s="7"/>
      <c r="AG1212" s="7"/>
      <c r="AH1212" s="7"/>
      <c r="AI1212" s="7"/>
    </row>
    <row r="1213" spans="12:35">
      <c r="L1213" s="7">
        <v>36</v>
      </c>
      <c r="M1213" s="7">
        <v>58</v>
      </c>
      <c r="N1213" s="7" t="b">
        <f>AND($N$6,$N$7,5&lt;=$M$6,7&lt;=$M$7)</f>
        <v>0</v>
      </c>
      <c r="O1213" s="7">
        <f>(P36-N36)*(O58-O36)-(Q36-O36)*(N58-N36)</f>
        <v>0</v>
      </c>
      <c r="P1213" s="7">
        <f>(P36-N36)*(Q58-O36)-(Q36-O36)*(P58-N36)</f>
        <v>0</v>
      </c>
      <c r="Q1213" s="7">
        <f>(P58-N58)*(O36-O58)-(Q58-O58)*(N36-N58)</f>
        <v>0</v>
      </c>
      <c r="R1213" s="7">
        <f>(P58-N58)*(Q36-O58)-(Q58-O58)*(P36-N58)</f>
        <v>0</v>
      </c>
      <c r="S1213" s="7">
        <f>IF(N1213,IF(AND(O1213*P1213&lt;=0,Q1213*R1213&lt;=0,MAX(MIN(N36,P36),MIN(N58,P58))&lt;=MIN(MAX(N36,P36),MAX(N58,P58)),MAX(MIN(O36,Q36),MIN(O58,Q58))&lt;=MIN(MAX(O36,Q36),MAX(O58,Q58))),1,0),0)</f>
        <v>0</v>
      </c>
      <c r="T1213" s="7"/>
      <c r="U1213" s="7"/>
      <c r="V1213" s="7"/>
      <c r="W1213" s="7"/>
      <c r="X1213" s="7"/>
      <c r="Y1213" s="7"/>
      <c r="Z1213" s="7"/>
      <c r="AA1213" s="7"/>
      <c r="AB1213" s="7"/>
      <c r="AC1213" s="7"/>
      <c r="AD1213" s="7"/>
      <c r="AE1213" s="7"/>
      <c r="AF1213" s="7"/>
      <c r="AG1213" s="7"/>
      <c r="AH1213" s="7"/>
      <c r="AI1213" s="7"/>
    </row>
    <row r="1214" spans="12:35">
      <c r="L1214" s="7">
        <v>36</v>
      </c>
      <c r="M1214" s="7">
        <v>59</v>
      </c>
      <c r="N1214" s="7" t="b">
        <f>AND($N$6,$N$7,5&lt;=$M$6,8&lt;=$M$7)</f>
        <v>0</v>
      </c>
      <c r="O1214" s="7">
        <f>(P36-N36)*(O59-O36)-(Q36-O36)*(N59-N36)</f>
        <v>0</v>
      </c>
      <c r="P1214" s="7">
        <f>(P36-N36)*(Q59-O36)-(Q36-O36)*(P59-N36)</f>
        <v>0</v>
      </c>
      <c r="Q1214" s="7">
        <f>(P59-N59)*(O36-O59)-(Q59-O59)*(N36-N59)</f>
        <v>0</v>
      </c>
      <c r="R1214" s="7">
        <f>(P59-N59)*(Q36-O59)-(Q59-O59)*(P36-N59)</f>
        <v>0</v>
      </c>
      <c r="S1214" s="7">
        <f>IF(N1214,IF(AND(O1214*P1214&lt;=0,Q1214*R1214&lt;=0,MAX(MIN(N36,P36),MIN(N59,P59))&lt;=MIN(MAX(N36,P36),MAX(N59,P59)),MAX(MIN(O36,Q36),MIN(O59,Q59))&lt;=MIN(MAX(O36,Q36),MAX(O59,Q59))),1,0),0)</f>
        <v>0</v>
      </c>
      <c r="T1214" s="7"/>
      <c r="U1214" s="7"/>
      <c r="V1214" s="7"/>
      <c r="W1214" s="7"/>
      <c r="X1214" s="7"/>
      <c r="Y1214" s="7"/>
      <c r="Z1214" s="7"/>
      <c r="AA1214" s="7"/>
      <c r="AB1214" s="7"/>
      <c r="AC1214" s="7"/>
      <c r="AD1214" s="7"/>
      <c r="AE1214" s="7"/>
      <c r="AF1214" s="7"/>
      <c r="AG1214" s="7"/>
      <c r="AH1214" s="7"/>
      <c r="AI1214" s="7"/>
    </row>
    <row r="1215" spans="12:35">
      <c r="L1215" s="7">
        <v>36</v>
      </c>
      <c r="M1215" s="7">
        <v>60</v>
      </c>
      <c r="N1215" s="7" t="b">
        <f>AND($N$6,$N$7,5&lt;=$M$6,9&lt;=$M$7)</f>
        <v>0</v>
      </c>
      <c r="O1215" s="7">
        <f>(P36-N36)*(O60-O36)-(Q36-O36)*(N60-N36)</f>
        <v>0</v>
      </c>
      <c r="P1215" s="7">
        <f>(P36-N36)*(Q60-O36)-(Q36-O36)*(P60-N36)</f>
        <v>0</v>
      </c>
      <c r="Q1215" s="7">
        <f>(P60-N60)*(O36-O60)-(Q60-O60)*(N36-N60)</f>
        <v>0</v>
      </c>
      <c r="R1215" s="7">
        <f>(P60-N60)*(Q36-O60)-(Q60-O60)*(P36-N60)</f>
        <v>0</v>
      </c>
      <c r="S1215" s="7">
        <f>IF(N1215,IF(AND(O1215*P1215&lt;=0,Q1215*R1215&lt;=0,MAX(MIN(N36,P36),MIN(N60,P60))&lt;=MIN(MAX(N36,P36),MAX(N60,P60)),MAX(MIN(O36,Q36),MIN(O60,Q60))&lt;=MIN(MAX(O36,Q36),MAX(O60,Q60))),1,0),0)</f>
        <v>0</v>
      </c>
      <c r="T1215" s="7"/>
      <c r="U1215" s="7"/>
      <c r="V1215" s="7"/>
      <c r="W1215" s="7"/>
      <c r="X1215" s="7"/>
      <c r="Y1215" s="7"/>
      <c r="Z1215" s="7"/>
      <c r="AA1215" s="7"/>
      <c r="AB1215" s="7"/>
      <c r="AC1215" s="7"/>
      <c r="AD1215" s="7"/>
      <c r="AE1215" s="7"/>
      <c r="AF1215" s="7"/>
      <c r="AG1215" s="7"/>
      <c r="AH1215" s="7"/>
      <c r="AI1215" s="7"/>
    </row>
    <row r="1216" spans="12:35">
      <c r="L1216" s="7">
        <v>36</v>
      </c>
      <c r="M1216" s="7">
        <v>61</v>
      </c>
      <c r="N1216" s="7" t="b">
        <f>AND($N$6,$N$7,5&lt;=$M$6,10&lt;=$M$7)</f>
        <v>0</v>
      </c>
      <c r="O1216" s="7">
        <f>(P36-N36)*(O61-O36)-(Q36-O36)*(N61-N36)</f>
        <v>0</v>
      </c>
      <c r="P1216" s="7">
        <f>(P36-N36)*(Q61-O36)-(Q36-O36)*(P61-N36)</f>
        <v>0</v>
      </c>
      <c r="Q1216" s="7">
        <f>(P61-N61)*(O36-O61)-(Q61-O61)*(N36-N61)</f>
        <v>0</v>
      </c>
      <c r="R1216" s="7">
        <f>(P61-N61)*(Q36-O61)-(Q61-O61)*(P36-N61)</f>
        <v>0</v>
      </c>
      <c r="S1216" s="7">
        <f>IF(N1216,IF(AND(O1216*P1216&lt;=0,Q1216*R1216&lt;=0,MAX(MIN(N36,P36),MIN(N61,P61))&lt;=MIN(MAX(N36,P36),MAX(N61,P61)),MAX(MIN(O36,Q36),MIN(O61,Q61))&lt;=MIN(MAX(O36,Q36),MAX(O61,Q61))),1,0),0)</f>
        <v>0</v>
      </c>
      <c r="T1216" s="7"/>
      <c r="U1216" s="7"/>
      <c r="V1216" s="7"/>
      <c r="W1216" s="7"/>
      <c r="X1216" s="7"/>
      <c r="Y1216" s="7"/>
      <c r="Z1216" s="7"/>
      <c r="AA1216" s="7"/>
      <c r="AB1216" s="7"/>
      <c r="AC1216" s="7"/>
      <c r="AD1216" s="7"/>
      <c r="AE1216" s="7"/>
      <c r="AF1216" s="7"/>
      <c r="AG1216" s="7"/>
      <c r="AH1216" s="7"/>
      <c r="AI1216" s="7"/>
    </row>
    <row r="1217" spans="12:35">
      <c r="L1217" s="7">
        <v>36</v>
      </c>
      <c r="M1217" s="7">
        <v>62</v>
      </c>
      <c r="N1217" s="7" t="b">
        <f>AND($N$6,$N$7,5&lt;=$M$6,11&lt;=$M$7)</f>
        <v>0</v>
      </c>
      <c r="O1217" s="7">
        <f>(P36-N36)*(O62-O36)-(Q36-O36)*(N62-N36)</f>
        <v>0</v>
      </c>
      <c r="P1217" s="7">
        <f>(P36-N36)*(Q62-O36)-(Q36-O36)*(P62-N36)</f>
        <v>0</v>
      </c>
      <c r="Q1217" s="7">
        <f>(P62-N62)*(O36-O62)-(Q62-O62)*(N36-N62)</f>
        <v>0</v>
      </c>
      <c r="R1217" s="7">
        <f>(P62-N62)*(Q36-O62)-(Q62-O62)*(P36-N62)</f>
        <v>0</v>
      </c>
      <c r="S1217" s="7">
        <f>IF(N1217,IF(AND(O1217*P1217&lt;=0,Q1217*R1217&lt;=0,MAX(MIN(N36,P36),MIN(N62,P62))&lt;=MIN(MAX(N36,P36),MAX(N62,P62)),MAX(MIN(O36,Q36),MIN(O62,Q62))&lt;=MIN(MAX(O36,Q36),MAX(O62,Q62))),1,0),0)</f>
        <v>0</v>
      </c>
      <c r="T1217" s="7"/>
      <c r="U1217" s="7"/>
      <c r="V1217" s="7"/>
      <c r="W1217" s="7"/>
      <c r="X1217" s="7"/>
      <c r="Y1217" s="7"/>
      <c r="Z1217" s="7"/>
      <c r="AA1217" s="7"/>
      <c r="AB1217" s="7"/>
      <c r="AC1217" s="7"/>
      <c r="AD1217" s="7"/>
      <c r="AE1217" s="7"/>
      <c r="AF1217" s="7"/>
      <c r="AG1217" s="7"/>
      <c r="AH1217" s="7"/>
      <c r="AI1217" s="7"/>
    </row>
    <row r="1218" spans="12:35">
      <c r="L1218" s="7">
        <v>36</v>
      </c>
      <c r="M1218" s="7">
        <v>63</v>
      </c>
      <c r="N1218" s="7" t="b">
        <f>AND($N$6,$N$7,5&lt;=$M$6,12&lt;=$M$7)</f>
        <v>0</v>
      </c>
      <c r="O1218" s="7">
        <f>(P36-N36)*(O63-O36)-(Q36-O36)*(N63-N36)</f>
        <v>0</v>
      </c>
      <c r="P1218" s="7">
        <f>(P36-N36)*(Q63-O36)-(Q36-O36)*(P63-N36)</f>
        <v>0</v>
      </c>
      <c r="Q1218" s="7">
        <f>(P63-N63)*(O36-O63)-(Q63-O63)*(N36-N63)</f>
        <v>0</v>
      </c>
      <c r="R1218" s="7">
        <f>(P63-N63)*(Q36-O63)-(Q63-O63)*(P36-N63)</f>
        <v>0</v>
      </c>
      <c r="S1218" s="7">
        <f>IF(N1218,IF(AND(O1218*P1218&lt;=0,Q1218*R1218&lt;=0,MAX(MIN(N36,P36),MIN(N63,P63))&lt;=MIN(MAX(N36,P36),MAX(N63,P63)),MAX(MIN(O36,Q36),MIN(O63,Q63))&lt;=MIN(MAX(O36,Q36),MAX(O63,Q63))),1,0),0)</f>
        <v>0</v>
      </c>
      <c r="T1218" s="7"/>
      <c r="U1218" s="7"/>
      <c r="V1218" s="7"/>
      <c r="W1218" s="7"/>
      <c r="X1218" s="7"/>
      <c r="Y1218" s="7"/>
      <c r="Z1218" s="7"/>
      <c r="AA1218" s="7"/>
      <c r="AB1218" s="7"/>
      <c r="AC1218" s="7"/>
      <c r="AD1218" s="7"/>
      <c r="AE1218" s="7"/>
      <c r="AF1218" s="7"/>
      <c r="AG1218" s="7"/>
      <c r="AH1218" s="7"/>
      <c r="AI1218" s="7"/>
    </row>
    <row r="1219" spans="12:35">
      <c r="L1219" s="7">
        <v>36</v>
      </c>
      <c r="M1219" s="7">
        <v>64</v>
      </c>
      <c r="N1219" s="7" t="b">
        <f>AND($N$6,$N$7,5&lt;=$M$6,13&lt;=$M$7)</f>
        <v>0</v>
      </c>
      <c r="O1219" s="7">
        <f>(P36-N36)*(O64-O36)-(Q36-O36)*(N64-N36)</f>
        <v>0</v>
      </c>
      <c r="P1219" s="7">
        <f>(P36-N36)*(Q64-O36)-(Q36-O36)*(P64-N36)</f>
        <v>0</v>
      </c>
      <c r="Q1219" s="7">
        <f>(P64-N64)*(O36-O64)-(Q64-O64)*(N36-N64)</f>
        <v>0</v>
      </c>
      <c r="R1219" s="7">
        <f>(P64-N64)*(Q36-O64)-(Q64-O64)*(P36-N64)</f>
        <v>0</v>
      </c>
      <c r="S1219" s="7">
        <f>IF(N1219,IF(AND(O1219*P1219&lt;=0,Q1219*R1219&lt;=0,MAX(MIN(N36,P36),MIN(N64,P64))&lt;=MIN(MAX(N36,P36),MAX(N64,P64)),MAX(MIN(O36,Q36),MIN(O64,Q64))&lt;=MIN(MAX(O36,Q36),MAX(O64,Q64))),1,0),0)</f>
        <v>0</v>
      </c>
      <c r="T1219" s="7"/>
      <c r="U1219" s="7"/>
      <c r="V1219" s="7"/>
      <c r="W1219" s="7"/>
      <c r="X1219" s="7"/>
      <c r="Y1219" s="7"/>
      <c r="Z1219" s="7"/>
      <c r="AA1219" s="7"/>
      <c r="AB1219" s="7"/>
      <c r="AC1219" s="7"/>
      <c r="AD1219" s="7"/>
      <c r="AE1219" s="7"/>
      <c r="AF1219" s="7"/>
      <c r="AG1219" s="7"/>
      <c r="AH1219" s="7"/>
      <c r="AI1219" s="7"/>
    </row>
    <row r="1220" spans="12:35">
      <c r="L1220" s="7">
        <v>36</v>
      </c>
      <c r="M1220" s="7">
        <v>65</v>
      </c>
      <c r="N1220" s="7" t="b">
        <f>AND($N$6,$N$7,5&lt;=$M$6,14&lt;=$M$7)</f>
        <v>0</v>
      </c>
      <c r="O1220" s="7">
        <f>(P36-N36)*(O65-O36)-(Q36-O36)*(N65-N36)</f>
        <v>0</v>
      </c>
      <c r="P1220" s="7">
        <f>(P36-N36)*(Q65-O36)-(Q36-O36)*(P65-N36)</f>
        <v>0</v>
      </c>
      <c r="Q1220" s="7">
        <f>(P65-N65)*(O36-O65)-(Q65-O65)*(N36-N65)</f>
        <v>0</v>
      </c>
      <c r="R1220" s="7">
        <f>(P65-N65)*(Q36-O65)-(Q65-O65)*(P36-N65)</f>
        <v>0</v>
      </c>
      <c r="S1220" s="7">
        <f>IF(N1220,IF(AND(O1220*P1220&lt;=0,Q1220*R1220&lt;=0,MAX(MIN(N36,P36),MIN(N65,P65))&lt;=MIN(MAX(N36,P36),MAX(N65,P65)),MAX(MIN(O36,Q36),MIN(O65,Q65))&lt;=MIN(MAX(O36,Q36),MAX(O65,Q65))),1,0),0)</f>
        <v>0</v>
      </c>
      <c r="T1220" s="7"/>
      <c r="U1220" s="7"/>
      <c r="V1220" s="7"/>
      <c r="W1220" s="7"/>
      <c r="X1220" s="7"/>
      <c r="Y1220" s="7"/>
      <c r="Z1220" s="7"/>
      <c r="AA1220" s="7"/>
      <c r="AB1220" s="7"/>
      <c r="AC1220" s="7"/>
      <c r="AD1220" s="7"/>
      <c r="AE1220" s="7"/>
      <c r="AF1220" s="7"/>
      <c r="AG1220" s="7"/>
      <c r="AH1220" s="7"/>
      <c r="AI1220" s="7"/>
    </row>
    <row r="1221" spans="12:35">
      <c r="L1221" s="7">
        <v>36</v>
      </c>
      <c r="M1221" s="7">
        <v>66</v>
      </c>
      <c r="N1221" s="7" t="b">
        <f>AND($N$6,$N$7,5&lt;=$M$6,15&lt;=$M$7)</f>
        <v>0</v>
      </c>
      <c r="O1221" s="7">
        <f>(P36-N36)*(O66-O36)-(Q36-O36)*(N66-N36)</f>
        <v>0</v>
      </c>
      <c r="P1221" s="7">
        <f>(P36-N36)*(Q66-O36)-(Q36-O36)*(P66-N36)</f>
        <v>0</v>
      </c>
      <c r="Q1221" s="7">
        <f>(P66-N66)*(O36-O66)-(Q66-O66)*(N36-N66)</f>
        <v>0</v>
      </c>
      <c r="R1221" s="7">
        <f>(P66-N66)*(Q36-O66)-(Q66-O66)*(P36-N66)</f>
        <v>0</v>
      </c>
      <c r="S1221" s="7">
        <f>IF(N1221,IF(AND(O1221*P1221&lt;=0,Q1221*R1221&lt;=0,MAX(MIN(N36,P36),MIN(N66,P66))&lt;=MIN(MAX(N36,P36),MAX(N66,P66)),MAX(MIN(O36,Q36),MIN(O66,Q66))&lt;=MIN(MAX(O36,Q36),MAX(O66,Q66))),1,0),0)</f>
        <v>0</v>
      </c>
      <c r="T1221" s="7"/>
      <c r="U1221" s="7"/>
      <c r="V1221" s="7"/>
      <c r="W1221" s="7"/>
      <c r="X1221" s="7"/>
      <c r="Y1221" s="7"/>
      <c r="Z1221" s="7"/>
      <c r="AA1221" s="7"/>
      <c r="AB1221" s="7"/>
      <c r="AC1221" s="7"/>
      <c r="AD1221" s="7"/>
      <c r="AE1221" s="7"/>
      <c r="AF1221" s="7"/>
      <c r="AG1221" s="7"/>
      <c r="AH1221" s="7"/>
      <c r="AI1221" s="7"/>
    </row>
    <row r="1222" spans="12:35">
      <c r="L1222" s="7">
        <v>36</v>
      </c>
      <c r="M1222" s="7">
        <v>67</v>
      </c>
      <c r="N1222" s="7" t="b">
        <f>AND($N$6,$N$7,5&lt;=$M$6,16&lt;=$M$7)</f>
        <v>0</v>
      </c>
      <c r="O1222" s="7">
        <f>(P36-N36)*(O67-O36)-(Q36-O36)*(N67-N36)</f>
        <v>0</v>
      </c>
      <c r="P1222" s="7">
        <f>(P36-N36)*(Q67-O36)-(Q36-O36)*(P67-N36)</f>
        <v>0</v>
      </c>
      <c r="Q1222" s="7">
        <f>(P67-N67)*(O36-O67)-(Q67-O67)*(N36-N67)</f>
        <v>0</v>
      </c>
      <c r="R1222" s="7">
        <f>(P67-N67)*(Q36-O67)-(Q67-O67)*(P36-N67)</f>
        <v>0</v>
      </c>
      <c r="S1222" s="7">
        <f>IF(N1222,IF(AND(O1222*P1222&lt;=0,Q1222*R1222&lt;=0,MAX(MIN(N36,P36),MIN(N67,P67))&lt;=MIN(MAX(N36,P36),MAX(N67,P67)),MAX(MIN(O36,Q36),MIN(O67,Q67))&lt;=MIN(MAX(O36,Q36),MAX(O67,Q67))),1,0),0)</f>
        <v>0</v>
      </c>
      <c r="T1222" s="7"/>
      <c r="U1222" s="7"/>
      <c r="V1222" s="7"/>
      <c r="W1222" s="7"/>
      <c r="X1222" s="7"/>
      <c r="Y1222" s="7"/>
      <c r="Z1222" s="7"/>
      <c r="AA1222" s="7"/>
      <c r="AB1222" s="7"/>
      <c r="AC1222" s="7"/>
      <c r="AD1222" s="7"/>
      <c r="AE1222" s="7"/>
      <c r="AF1222" s="7"/>
      <c r="AG1222" s="7"/>
      <c r="AH1222" s="7"/>
      <c r="AI1222" s="7"/>
    </row>
    <row r="1223" spans="12:35">
      <c r="L1223" s="7">
        <v>36</v>
      </c>
      <c r="M1223" s="7">
        <v>68</v>
      </c>
      <c r="N1223" s="7" t="b">
        <f>AND($N$6,$N$7,5&lt;=$M$6,17&lt;=$M$7)</f>
        <v>0</v>
      </c>
      <c r="O1223" s="7">
        <f>(P36-N36)*(O68-O36)-(Q36-O36)*(N68-N36)</f>
        <v>0</v>
      </c>
      <c r="P1223" s="7">
        <f>(P36-N36)*(Q68-O36)-(Q36-O36)*(P68-N36)</f>
        <v>0</v>
      </c>
      <c r="Q1223" s="7">
        <f>(P68-N68)*(O36-O68)-(Q68-O68)*(N36-N68)</f>
        <v>0</v>
      </c>
      <c r="R1223" s="7">
        <f>(P68-N68)*(Q36-O68)-(Q68-O68)*(P36-N68)</f>
        <v>0</v>
      </c>
      <c r="S1223" s="7">
        <f>IF(N1223,IF(AND(O1223*P1223&lt;=0,Q1223*R1223&lt;=0,MAX(MIN(N36,P36),MIN(N68,P68))&lt;=MIN(MAX(N36,P36),MAX(N68,P68)),MAX(MIN(O36,Q36),MIN(O68,Q68))&lt;=MIN(MAX(O36,Q36),MAX(O68,Q68))),1,0),0)</f>
        <v>0</v>
      </c>
      <c r="T1223" s="7"/>
      <c r="U1223" s="7"/>
      <c r="V1223" s="7"/>
      <c r="W1223" s="7"/>
      <c r="X1223" s="7"/>
      <c r="Y1223" s="7"/>
      <c r="Z1223" s="7"/>
      <c r="AA1223" s="7"/>
      <c r="AB1223" s="7"/>
      <c r="AC1223" s="7"/>
      <c r="AD1223" s="7"/>
      <c r="AE1223" s="7"/>
      <c r="AF1223" s="7"/>
      <c r="AG1223" s="7"/>
      <c r="AH1223" s="7"/>
      <c r="AI1223" s="7"/>
    </row>
    <row r="1224" spans="12:35">
      <c r="L1224" s="7">
        <v>36</v>
      </c>
      <c r="M1224" s="7">
        <v>69</v>
      </c>
      <c r="N1224" s="7" t="b">
        <f>AND($N$6,$N$7,5&lt;=$M$6,18&lt;=$M$7)</f>
        <v>0</v>
      </c>
      <c r="O1224" s="7">
        <f>(P36-N36)*(O69-O36)-(Q36-O36)*(N69-N36)</f>
        <v>0</v>
      </c>
      <c r="P1224" s="7">
        <f>(P36-N36)*(Q69-O36)-(Q36-O36)*(P69-N36)</f>
        <v>0</v>
      </c>
      <c r="Q1224" s="7">
        <f>(P69-N69)*(O36-O69)-(Q69-O69)*(N36-N69)</f>
        <v>0</v>
      </c>
      <c r="R1224" s="7">
        <f>(P69-N69)*(Q36-O69)-(Q69-O69)*(P36-N69)</f>
        <v>0</v>
      </c>
      <c r="S1224" s="7">
        <f>IF(N1224,IF(AND(O1224*P1224&lt;=0,Q1224*R1224&lt;=0,MAX(MIN(N36,P36),MIN(N69,P69))&lt;=MIN(MAX(N36,P36),MAX(N69,P69)),MAX(MIN(O36,Q36),MIN(O69,Q69))&lt;=MIN(MAX(O36,Q36),MAX(O69,Q69))),1,0),0)</f>
        <v>0</v>
      </c>
      <c r="T1224" s="7"/>
      <c r="U1224" s="7"/>
      <c r="V1224" s="7"/>
      <c r="W1224" s="7"/>
      <c r="X1224" s="7"/>
      <c r="Y1224" s="7"/>
      <c r="Z1224" s="7"/>
      <c r="AA1224" s="7"/>
      <c r="AB1224" s="7"/>
      <c r="AC1224" s="7"/>
      <c r="AD1224" s="7"/>
      <c r="AE1224" s="7"/>
      <c r="AF1224" s="7"/>
      <c r="AG1224" s="7"/>
      <c r="AH1224" s="7"/>
      <c r="AI1224" s="7"/>
    </row>
    <row r="1225" spans="12:35">
      <c r="L1225" s="7">
        <v>36</v>
      </c>
      <c r="M1225" s="7">
        <v>70</v>
      </c>
      <c r="N1225" s="7" t="b">
        <f>AND($N$6,$N$7,5&lt;=$M$6,19&lt;=$M$7)</f>
        <v>0</v>
      </c>
      <c r="O1225" s="7">
        <f>(P36-N36)*(O70-O36)-(Q36-O36)*(N70-N36)</f>
        <v>0</v>
      </c>
      <c r="P1225" s="7">
        <f>(P36-N36)*(Q70-O36)-(Q36-O36)*(P70-N36)</f>
        <v>0</v>
      </c>
      <c r="Q1225" s="7">
        <f>(P70-N70)*(O36-O70)-(Q70-O70)*(N36-N70)</f>
        <v>0</v>
      </c>
      <c r="R1225" s="7">
        <f>(P70-N70)*(Q36-O70)-(Q70-O70)*(P36-N70)</f>
        <v>0</v>
      </c>
      <c r="S1225" s="7">
        <f>IF(N1225,IF(AND(O1225*P1225&lt;=0,Q1225*R1225&lt;=0,MAX(MIN(N36,P36),MIN(N70,P70))&lt;=MIN(MAX(N36,P36),MAX(N70,P70)),MAX(MIN(O36,Q36),MIN(O70,Q70))&lt;=MIN(MAX(O36,Q36),MAX(O70,Q70))),1,0),0)</f>
        <v>0</v>
      </c>
      <c r="T1225" s="7"/>
      <c r="U1225" s="7"/>
      <c r="V1225" s="7"/>
      <c r="W1225" s="7"/>
      <c r="X1225" s="7"/>
      <c r="Y1225" s="7"/>
      <c r="Z1225" s="7"/>
      <c r="AA1225" s="7"/>
      <c r="AB1225" s="7"/>
      <c r="AC1225" s="7"/>
      <c r="AD1225" s="7"/>
      <c r="AE1225" s="7"/>
      <c r="AF1225" s="7"/>
      <c r="AG1225" s="7"/>
      <c r="AH1225" s="7"/>
      <c r="AI1225" s="7"/>
    </row>
    <row r="1226" spans="12:35">
      <c r="L1226" s="7">
        <v>36</v>
      </c>
      <c r="M1226" s="7">
        <v>71</v>
      </c>
      <c r="N1226" s="7" t="b">
        <f>AND($N$6,$N$7,5&lt;=$M$6,20&lt;=$M$7)</f>
        <v>0</v>
      </c>
      <c r="O1226" s="7">
        <f>(P36-N36)*(O71-O36)-(Q36-O36)*(N71-N36)</f>
        <v>0</v>
      </c>
      <c r="P1226" s="7">
        <f>(P36-N36)*(Q71-O36)-(Q36-O36)*(P71-N36)</f>
        <v>0</v>
      </c>
      <c r="Q1226" s="7">
        <f>(P71-N71)*(O36-O71)-(Q71-O71)*(N36-N71)</f>
        <v>0</v>
      </c>
      <c r="R1226" s="7">
        <f>(P71-N71)*(Q36-O71)-(Q71-O71)*(P36-N71)</f>
        <v>0</v>
      </c>
      <c r="S1226" s="7">
        <f>IF(N1226,IF(AND(O1226*P1226&lt;=0,Q1226*R1226&lt;=0,MAX(MIN(N36,P36),MIN(N71,P71))&lt;=MIN(MAX(N36,P36),MAX(N71,P71)),MAX(MIN(O36,Q36),MIN(O71,Q71))&lt;=MIN(MAX(O36,Q36),MAX(O71,Q71))),1,0),0)</f>
        <v>0</v>
      </c>
      <c r="T1226" s="7"/>
      <c r="U1226" s="7"/>
      <c r="V1226" s="7"/>
      <c r="W1226" s="7"/>
      <c r="X1226" s="7"/>
      <c r="Y1226" s="7"/>
      <c r="Z1226" s="7"/>
      <c r="AA1226" s="7"/>
      <c r="AB1226" s="7"/>
      <c r="AC1226" s="7"/>
      <c r="AD1226" s="7"/>
      <c r="AE1226" s="7"/>
      <c r="AF1226" s="7"/>
      <c r="AG1226" s="7"/>
      <c r="AH1226" s="7"/>
      <c r="AI1226" s="7"/>
    </row>
    <row r="1227" spans="12:35">
      <c r="L1227" s="7">
        <v>37</v>
      </c>
      <c r="M1227" s="7">
        <v>39</v>
      </c>
      <c r="N1227" s="7" t="b">
        <f>AND($N$6,$N$6,6&lt;=$M$6,8&lt;=$M$6)</f>
        <v>0</v>
      </c>
      <c r="O1227" s="7">
        <f>(P37-N37)*(O39-O37)-(Q37-O37)*(N39-N37)</f>
        <v>0</v>
      </c>
      <c r="P1227" s="7">
        <f>(P37-N37)*(Q39-O37)-(Q37-O37)*(P39-N37)</f>
        <v>0</v>
      </c>
      <c r="Q1227" s="7">
        <f>(P39-N39)*(O37-O39)-(Q39-O39)*(N37-N39)</f>
        <v>0</v>
      </c>
      <c r="R1227" s="7">
        <f>(P39-N39)*(Q37-O39)-(Q39-O39)*(P37-N39)</f>
        <v>0</v>
      </c>
      <c r="S1227" s="7">
        <f>IF(N1227,IF(AND(O1227*P1227&lt;=0,Q1227*R1227&lt;=0,MAX(MIN(N37,P37),MIN(N39,P39))&lt;=MIN(MAX(N37,P37),MAX(N39,P39)),MAX(MIN(O37,Q37),MIN(O39,Q39))&lt;=MIN(MAX(O37,Q37),MAX(O39,Q39))),1,0),0)</f>
        <v>0</v>
      </c>
      <c r="T1227" s="7"/>
      <c r="U1227" s="7"/>
      <c r="V1227" s="7"/>
      <c r="W1227" s="7"/>
      <c r="X1227" s="7"/>
      <c r="Y1227" s="7"/>
      <c r="Z1227" s="7"/>
      <c r="AA1227" s="7"/>
      <c r="AB1227" s="7"/>
      <c r="AC1227" s="7"/>
      <c r="AD1227" s="7"/>
      <c r="AE1227" s="7"/>
      <c r="AF1227" s="7"/>
      <c r="AG1227" s="7"/>
      <c r="AH1227" s="7"/>
      <c r="AI1227" s="7"/>
    </row>
    <row r="1228" spans="12:35">
      <c r="L1228" s="7">
        <v>37</v>
      </c>
      <c r="M1228" s="7">
        <v>40</v>
      </c>
      <c r="N1228" s="7" t="b">
        <f>AND($N$6,$N$6,6&lt;=$M$6,9&lt;=$M$6)</f>
        <v>0</v>
      </c>
      <c r="O1228" s="7">
        <f>(P37-N37)*(O40-O37)-(Q37-O37)*(N40-N37)</f>
        <v>0</v>
      </c>
      <c r="P1228" s="7">
        <f>(P37-N37)*(Q40-O37)-(Q37-O37)*(P40-N37)</f>
        <v>0</v>
      </c>
      <c r="Q1228" s="7">
        <f>(P40-N40)*(O37-O40)-(Q40-O40)*(N37-N40)</f>
        <v>0</v>
      </c>
      <c r="R1228" s="7">
        <f>(P40-N40)*(Q37-O40)-(Q40-O40)*(P37-N40)</f>
        <v>0</v>
      </c>
      <c r="S1228" s="7">
        <f>IF(N1228,IF(AND(O1228*P1228&lt;=0,Q1228*R1228&lt;=0,MAX(MIN(N37,P37),MIN(N40,P40))&lt;=MIN(MAX(N37,P37),MAX(N40,P40)),MAX(MIN(O37,Q37),MIN(O40,Q40))&lt;=MIN(MAX(O37,Q37),MAX(O40,Q40))),1,0),0)</f>
        <v>0</v>
      </c>
      <c r="T1228" s="7"/>
      <c r="U1228" s="7"/>
      <c r="V1228" s="7"/>
      <c r="W1228" s="7"/>
      <c r="X1228" s="7"/>
      <c r="Y1228" s="7"/>
      <c r="Z1228" s="7"/>
      <c r="AA1228" s="7"/>
      <c r="AB1228" s="7"/>
      <c r="AC1228" s="7"/>
      <c r="AD1228" s="7"/>
      <c r="AE1228" s="7"/>
      <c r="AF1228" s="7"/>
      <c r="AG1228" s="7"/>
      <c r="AH1228" s="7"/>
      <c r="AI1228" s="7"/>
    </row>
    <row r="1229" spans="12:35">
      <c r="L1229" s="7">
        <v>37</v>
      </c>
      <c r="M1229" s="7">
        <v>41</v>
      </c>
      <c r="N1229" s="7" t="b">
        <f>AND($N$6,$N$6,6&lt;=$M$6,10&lt;=$M$6)</f>
        <v>0</v>
      </c>
      <c r="O1229" s="7">
        <f>(P37-N37)*(O41-O37)-(Q37-O37)*(N41-N37)</f>
        <v>0</v>
      </c>
      <c r="P1229" s="7">
        <f>(P37-N37)*(Q41-O37)-(Q37-O37)*(P41-N37)</f>
        <v>0</v>
      </c>
      <c r="Q1229" s="7">
        <f>(P41-N41)*(O37-O41)-(Q41-O41)*(N37-N41)</f>
        <v>0</v>
      </c>
      <c r="R1229" s="7">
        <f>(P41-N41)*(Q37-O41)-(Q41-O41)*(P37-N41)</f>
        <v>0</v>
      </c>
      <c r="S1229" s="7">
        <f>IF(N1229,IF(AND(O1229*P1229&lt;=0,Q1229*R1229&lt;=0,MAX(MIN(N37,P37),MIN(N41,P41))&lt;=MIN(MAX(N37,P37),MAX(N41,P41)),MAX(MIN(O37,Q37),MIN(O41,Q41))&lt;=MIN(MAX(O37,Q37),MAX(O41,Q41))),1,0),0)</f>
        <v>0</v>
      </c>
      <c r="T1229" s="7"/>
      <c r="U1229" s="7"/>
      <c r="V1229" s="7"/>
      <c r="W1229" s="7"/>
      <c r="X1229" s="7"/>
      <c r="Y1229" s="7"/>
      <c r="Z1229" s="7"/>
      <c r="AA1229" s="7"/>
      <c r="AB1229" s="7"/>
      <c r="AC1229" s="7"/>
      <c r="AD1229" s="7"/>
      <c r="AE1229" s="7"/>
      <c r="AF1229" s="7"/>
      <c r="AG1229" s="7"/>
      <c r="AH1229" s="7"/>
      <c r="AI1229" s="7"/>
    </row>
    <row r="1230" spans="12:35">
      <c r="L1230" s="7">
        <v>37</v>
      </c>
      <c r="M1230" s="7">
        <v>42</v>
      </c>
      <c r="N1230" s="7" t="b">
        <f>AND($N$6,$N$6,6&lt;=$M$6,11&lt;=$M$6)</f>
        <v>0</v>
      </c>
      <c r="O1230" s="7">
        <f>(P37-N37)*(O42-O37)-(Q37-O37)*(N42-N37)</f>
        <v>0</v>
      </c>
      <c r="P1230" s="7">
        <f>(P37-N37)*(Q42-O37)-(Q37-O37)*(P42-N37)</f>
        <v>0</v>
      </c>
      <c r="Q1230" s="7">
        <f>(P42-N42)*(O37-O42)-(Q42-O42)*(N37-N42)</f>
        <v>0</v>
      </c>
      <c r="R1230" s="7">
        <f>(P42-N42)*(Q37-O42)-(Q42-O42)*(P37-N42)</f>
        <v>0</v>
      </c>
      <c r="S1230" s="7">
        <f>IF(N1230,IF(AND(O1230*P1230&lt;=0,Q1230*R1230&lt;=0,MAX(MIN(N37,P37),MIN(N42,P42))&lt;=MIN(MAX(N37,P37),MAX(N42,P42)),MAX(MIN(O37,Q37),MIN(O42,Q42))&lt;=MIN(MAX(O37,Q37),MAX(O42,Q42))),1,0),0)</f>
        <v>0</v>
      </c>
      <c r="T1230" s="7"/>
      <c r="U1230" s="7"/>
      <c r="V1230" s="7"/>
      <c r="W1230" s="7"/>
      <c r="X1230" s="7"/>
      <c r="Y1230" s="7"/>
      <c r="Z1230" s="7"/>
      <c r="AA1230" s="7"/>
      <c r="AB1230" s="7"/>
      <c r="AC1230" s="7"/>
      <c r="AD1230" s="7"/>
      <c r="AE1230" s="7"/>
      <c r="AF1230" s="7"/>
      <c r="AG1230" s="7"/>
      <c r="AH1230" s="7"/>
      <c r="AI1230" s="7"/>
    </row>
    <row r="1231" spans="12:35">
      <c r="L1231" s="7">
        <v>37</v>
      </c>
      <c r="M1231" s="7">
        <v>43</v>
      </c>
      <c r="N1231" s="7" t="b">
        <f>AND($N$6,$N$6,6&lt;=$M$6,12&lt;=$M$6)</f>
        <v>0</v>
      </c>
      <c r="O1231" s="7">
        <f>(P37-N37)*(O43-O37)-(Q37-O37)*(N43-N37)</f>
        <v>0</v>
      </c>
      <c r="P1231" s="7">
        <f>(P37-N37)*(Q43-O37)-(Q37-O37)*(P43-N37)</f>
        <v>0</v>
      </c>
      <c r="Q1231" s="7">
        <f>(P43-N43)*(O37-O43)-(Q43-O43)*(N37-N43)</f>
        <v>0</v>
      </c>
      <c r="R1231" s="7">
        <f>(P43-N43)*(Q37-O43)-(Q43-O43)*(P37-N43)</f>
        <v>0</v>
      </c>
      <c r="S1231" s="7">
        <f>IF(N1231,IF(AND(O1231*P1231&lt;=0,Q1231*R1231&lt;=0,MAX(MIN(N37,P37),MIN(N43,P43))&lt;=MIN(MAX(N37,P37),MAX(N43,P43)),MAX(MIN(O37,Q37),MIN(O43,Q43))&lt;=MIN(MAX(O37,Q37),MAX(O43,Q43))),1,0),0)</f>
        <v>0</v>
      </c>
      <c r="T1231" s="7"/>
      <c r="U1231" s="7"/>
      <c r="V1231" s="7"/>
      <c r="W1231" s="7"/>
      <c r="X1231" s="7"/>
      <c r="Y1231" s="7"/>
      <c r="Z1231" s="7"/>
      <c r="AA1231" s="7"/>
      <c r="AB1231" s="7"/>
      <c r="AC1231" s="7"/>
      <c r="AD1231" s="7"/>
      <c r="AE1231" s="7"/>
      <c r="AF1231" s="7"/>
      <c r="AG1231" s="7"/>
      <c r="AH1231" s="7"/>
      <c r="AI1231" s="7"/>
    </row>
    <row r="1232" spans="12:35">
      <c r="L1232" s="7">
        <v>37</v>
      </c>
      <c r="M1232" s="7">
        <v>44</v>
      </c>
      <c r="N1232" s="7" t="b">
        <f>AND($N$6,$N$6,6&lt;=$M$6,13&lt;=$M$6)</f>
        <v>0</v>
      </c>
      <c r="O1232" s="7">
        <f>(P37-N37)*(O44-O37)-(Q37-O37)*(N44-N37)</f>
        <v>0</v>
      </c>
      <c r="P1232" s="7">
        <f>(P37-N37)*(Q44-O37)-(Q37-O37)*(P44-N37)</f>
        <v>0</v>
      </c>
      <c r="Q1232" s="7">
        <f>(P44-N44)*(O37-O44)-(Q44-O44)*(N37-N44)</f>
        <v>0</v>
      </c>
      <c r="R1232" s="7">
        <f>(P44-N44)*(Q37-O44)-(Q44-O44)*(P37-N44)</f>
        <v>0</v>
      </c>
      <c r="S1232" s="7">
        <f>IF(N1232,IF(AND(O1232*P1232&lt;=0,Q1232*R1232&lt;=0,MAX(MIN(N37,P37),MIN(N44,P44))&lt;=MIN(MAX(N37,P37),MAX(N44,P44)),MAX(MIN(O37,Q37),MIN(O44,Q44))&lt;=MIN(MAX(O37,Q37),MAX(O44,Q44))),1,0),0)</f>
        <v>0</v>
      </c>
      <c r="T1232" s="7"/>
      <c r="U1232" s="7"/>
      <c r="V1232" s="7"/>
      <c r="W1232" s="7"/>
      <c r="X1232" s="7"/>
      <c r="Y1232" s="7"/>
      <c r="Z1232" s="7"/>
      <c r="AA1232" s="7"/>
      <c r="AB1232" s="7"/>
      <c r="AC1232" s="7"/>
      <c r="AD1232" s="7"/>
      <c r="AE1232" s="7"/>
      <c r="AF1232" s="7"/>
      <c r="AG1232" s="7"/>
      <c r="AH1232" s="7"/>
      <c r="AI1232" s="7"/>
    </row>
    <row r="1233" spans="12:35">
      <c r="L1233" s="7">
        <v>37</v>
      </c>
      <c r="M1233" s="7">
        <v>45</v>
      </c>
      <c r="N1233" s="7" t="b">
        <f>AND($N$6,$N$6,6&lt;=$M$6,14&lt;=$M$6)</f>
        <v>0</v>
      </c>
      <c r="O1233" s="7">
        <f>(P37-N37)*(O45-O37)-(Q37-O37)*(N45-N37)</f>
        <v>0</v>
      </c>
      <c r="P1233" s="7">
        <f>(P37-N37)*(Q45-O37)-(Q37-O37)*(P45-N37)</f>
        <v>0</v>
      </c>
      <c r="Q1233" s="7">
        <f>(P45-N45)*(O37-O45)-(Q45-O45)*(N37-N45)</f>
        <v>0</v>
      </c>
      <c r="R1233" s="7">
        <f>(P45-N45)*(Q37-O45)-(Q45-O45)*(P37-N45)</f>
        <v>0</v>
      </c>
      <c r="S1233" s="7">
        <f>IF(N1233,IF(AND(O1233*P1233&lt;=0,Q1233*R1233&lt;=0,MAX(MIN(N37,P37),MIN(N45,P45))&lt;=MIN(MAX(N37,P37),MAX(N45,P45)),MAX(MIN(O37,Q37),MIN(O45,Q45))&lt;=MIN(MAX(O37,Q37),MAX(O45,Q45))),1,0),0)</f>
        <v>0</v>
      </c>
      <c r="T1233" s="7"/>
      <c r="U1233" s="7"/>
      <c r="V1233" s="7"/>
      <c r="W1233" s="7"/>
      <c r="X1233" s="7"/>
      <c r="Y1233" s="7"/>
      <c r="Z1233" s="7"/>
      <c r="AA1233" s="7"/>
      <c r="AB1233" s="7"/>
      <c r="AC1233" s="7"/>
      <c r="AD1233" s="7"/>
      <c r="AE1233" s="7"/>
      <c r="AF1233" s="7"/>
      <c r="AG1233" s="7"/>
      <c r="AH1233" s="7"/>
      <c r="AI1233" s="7"/>
    </row>
    <row r="1234" spans="12:35">
      <c r="L1234" s="7">
        <v>37</v>
      </c>
      <c r="M1234" s="7">
        <v>46</v>
      </c>
      <c r="N1234" s="7" t="b">
        <f>AND($N$6,$N$6,6&lt;=$M$6,15&lt;=$M$6)</f>
        <v>0</v>
      </c>
      <c r="O1234" s="7">
        <f>(P37-N37)*(O46-O37)-(Q37-O37)*(N46-N37)</f>
        <v>0</v>
      </c>
      <c r="P1234" s="7">
        <f>(P37-N37)*(Q46-O37)-(Q37-O37)*(P46-N37)</f>
        <v>0</v>
      </c>
      <c r="Q1234" s="7">
        <f>(P46-N46)*(O37-O46)-(Q46-O46)*(N37-N46)</f>
        <v>0</v>
      </c>
      <c r="R1234" s="7">
        <f>(P46-N46)*(Q37-O46)-(Q46-O46)*(P37-N46)</f>
        <v>0</v>
      </c>
      <c r="S1234" s="7">
        <f>IF(N1234,IF(AND(O1234*P1234&lt;=0,Q1234*R1234&lt;=0,MAX(MIN(N37,P37),MIN(N46,P46))&lt;=MIN(MAX(N37,P37),MAX(N46,P46)),MAX(MIN(O37,Q37),MIN(O46,Q46))&lt;=MIN(MAX(O37,Q37),MAX(O46,Q46))),1,0),0)</f>
        <v>0</v>
      </c>
      <c r="T1234" s="7"/>
      <c r="U1234" s="7"/>
      <c r="V1234" s="7"/>
      <c r="W1234" s="7"/>
      <c r="X1234" s="7"/>
      <c r="Y1234" s="7"/>
      <c r="Z1234" s="7"/>
      <c r="AA1234" s="7"/>
      <c r="AB1234" s="7"/>
      <c r="AC1234" s="7"/>
      <c r="AD1234" s="7"/>
      <c r="AE1234" s="7"/>
      <c r="AF1234" s="7"/>
      <c r="AG1234" s="7"/>
      <c r="AH1234" s="7"/>
      <c r="AI1234" s="7"/>
    </row>
    <row r="1235" spans="12:35">
      <c r="L1235" s="7">
        <v>37</v>
      </c>
      <c r="M1235" s="7">
        <v>47</v>
      </c>
      <c r="N1235" s="7" t="b">
        <f>AND($N$6,$N$6,6&lt;=$M$6,16&lt;=$M$6)</f>
        <v>0</v>
      </c>
      <c r="O1235" s="7">
        <f>(P37-N37)*(O47-O37)-(Q37-O37)*(N47-N37)</f>
        <v>0</v>
      </c>
      <c r="P1235" s="7">
        <f>(P37-N37)*(Q47-O37)-(Q37-O37)*(P47-N37)</f>
        <v>0</v>
      </c>
      <c r="Q1235" s="7">
        <f>(P47-N47)*(O37-O47)-(Q47-O47)*(N37-N47)</f>
        <v>0</v>
      </c>
      <c r="R1235" s="7">
        <f>(P47-N47)*(Q37-O47)-(Q47-O47)*(P37-N47)</f>
        <v>0</v>
      </c>
      <c r="S1235" s="7">
        <f>IF(N1235,IF(AND(O1235*P1235&lt;=0,Q1235*R1235&lt;=0,MAX(MIN(N37,P37),MIN(N47,P47))&lt;=MIN(MAX(N37,P37),MAX(N47,P47)),MAX(MIN(O37,Q37),MIN(O47,Q47))&lt;=MIN(MAX(O37,Q37),MAX(O47,Q47))),1,0),0)</f>
        <v>0</v>
      </c>
      <c r="T1235" s="7"/>
      <c r="U1235" s="7"/>
      <c r="V1235" s="7"/>
      <c r="W1235" s="7"/>
      <c r="X1235" s="7"/>
      <c r="Y1235" s="7"/>
      <c r="Z1235" s="7"/>
      <c r="AA1235" s="7"/>
      <c r="AB1235" s="7"/>
      <c r="AC1235" s="7"/>
      <c r="AD1235" s="7"/>
      <c r="AE1235" s="7"/>
      <c r="AF1235" s="7"/>
      <c r="AG1235" s="7"/>
      <c r="AH1235" s="7"/>
      <c r="AI1235" s="7"/>
    </row>
    <row r="1236" spans="12:35">
      <c r="L1236" s="7">
        <v>37</v>
      </c>
      <c r="M1236" s="7">
        <v>48</v>
      </c>
      <c r="N1236" s="7" t="b">
        <f>AND($N$6,$N$6,6&lt;=$M$6,17&lt;=$M$6)</f>
        <v>0</v>
      </c>
      <c r="O1236" s="7">
        <f>(P37-N37)*(O48-O37)-(Q37-O37)*(N48-N37)</f>
        <v>0</v>
      </c>
      <c r="P1236" s="7">
        <f>(P37-N37)*(Q48-O37)-(Q37-O37)*(P48-N37)</f>
        <v>0</v>
      </c>
      <c r="Q1236" s="7">
        <f>(P48-N48)*(O37-O48)-(Q48-O48)*(N37-N48)</f>
        <v>0</v>
      </c>
      <c r="R1236" s="7">
        <f>(P48-N48)*(Q37-O48)-(Q48-O48)*(P37-N48)</f>
        <v>0</v>
      </c>
      <c r="S1236" s="7">
        <f>IF(N1236,IF(AND(O1236*P1236&lt;=0,Q1236*R1236&lt;=0,MAX(MIN(N37,P37),MIN(N48,P48))&lt;=MIN(MAX(N37,P37),MAX(N48,P48)),MAX(MIN(O37,Q37),MIN(O48,Q48))&lt;=MIN(MAX(O37,Q37),MAX(O48,Q48))),1,0),0)</f>
        <v>0</v>
      </c>
      <c r="T1236" s="7"/>
      <c r="U1236" s="7"/>
      <c r="V1236" s="7"/>
      <c r="W1236" s="7"/>
      <c r="X1236" s="7"/>
      <c r="Y1236" s="7"/>
      <c r="Z1236" s="7"/>
      <c r="AA1236" s="7"/>
      <c r="AB1236" s="7"/>
      <c r="AC1236" s="7"/>
      <c r="AD1236" s="7"/>
      <c r="AE1236" s="7"/>
      <c r="AF1236" s="7"/>
      <c r="AG1236" s="7"/>
      <c r="AH1236" s="7"/>
      <c r="AI1236" s="7"/>
    </row>
    <row r="1237" spans="12:35">
      <c r="L1237" s="7">
        <v>37</v>
      </c>
      <c r="M1237" s="7">
        <v>49</v>
      </c>
      <c r="N1237" s="7" t="b">
        <f>AND($N$6,$N$6,6&lt;=$M$6,18&lt;=$M$6)</f>
        <v>0</v>
      </c>
      <c r="O1237" s="7">
        <f>(P37-N37)*(O49-O37)-(Q37-O37)*(N49-N37)</f>
        <v>0</v>
      </c>
      <c r="P1237" s="7">
        <f>(P37-N37)*(Q49-O37)-(Q37-O37)*(P49-N37)</f>
        <v>0</v>
      </c>
      <c r="Q1237" s="7">
        <f>(P49-N49)*(O37-O49)-(Q49-O49)*(N37-N49)</f>
        <v>0</v>
      </c>
      <c r="R1237" s="7">
        <f>(P49-N49)*(Q37-O49)-(Q49-O49)*(P37-N49)</f>
        <v>0</v>
      </c>
      <c r="S1237" s="7">
        <f>IF(N1237,IF(AND(O1237*P1237&lt;=0,Q1237*R1237&lt;=0,MAX(MIN(N37,P37),MIN(N49,P49))&lt;=MIN(MAX(N37,P37),MAX(N49,P49)),MAX(MIN(O37,Q37),MIN(O49,Q49))&lt;=MIN(MAX(O37,Q37),MAX(O49,Q49))),1,0),0)</f>
        <v>0</v>
      </c>
      <c r="T1237" s="7"/>
      <c r="U1237" s="7"/>
      <c r="V1237" s="7"/>
      <c r="W1237" s="7"/>
      <c r="X1237" s="7"/>
      <c r="Y1237" s="7"/>
      <c r="Z1237" s="7"/>
      <c r="AA1237" s="7"/>
      <c r="AB1237" s="7"/>
      <c r="AC1237" s="7"/>
      <c r="AD1237" s="7"/>
      <c r="AE1237" s="7"/>
      <c r="AF1237" s="7"/>
      <c r="AG1237" s="7"/>
      <c r="AH1237" s="7"/>
      <c r="AI1237" s="7"/>
    </row>
    <row r="1238" spans="12:35">
      <c r="L1238" s="7">
        <v>37</v>
      </c>
      <c r="M1238" s="7">
        <v>50</v>
      </c>
      <c r="N1238" s="7" t="b">
        <f>AND($N$6,$N$6,6&lt;=$M$6,19&lt;=$M$6)</f>
        <v>0</v>
      </c>
      <c r="O1238" s="7">
        <f>(P37-N37)*(O50-O37)-(Q37-O37)*(N50-N37)</f>
        <v>0</v>
      </c>
      <c r="P1238" s="7">
        <f>(P37-N37)*(Q50-O37)-(Q37-O37)*(P50-N37)</f>
        <v>0</v>
      </c>
      <c r="Q1238" s="7">
        <f>(P50-N50)*(O37-O50)-(Q50-O50)*(N37-N50)</f>
        <v>0</v>
      </c>
      <c r="R1238" s="7">
        <f>(P50-N50)*(Q37-O50)-(Q50-O50)*(P37-N50)</f>
        <v>0</v>
      </c>
      <c r="S1238" s="7">
        <f>IF(N1238,IF(AND(O1238*P1238&lt;=0,Q1238*R1238&lt;=0,MAX(MIN(N37,P37),MIN(N50,P50))&lt;=MIN(MAX(N37,P37),MAX(N50,P50)),MAX(MIN(O37,Q37),MIN(O50,Q50))&lt;=MIN(MAX(O37,Q37),MAX(O50,Q50))),1,0),0)</f>
        <v>0</v>
      </c>
      <c r="T1238" s="7"/>
      <c r="U1238" s="7"/>
      <c r="V1238" s="7"/>
      <c r="W1238" s="7"/>
      <c r="X1238" s="7"/>
      <c r="Y1238" s="7"/>
      <c r="Z1238" s="7"/>
      <c r="AA1238" s="7"/>
      <c r="AB1238" s="7"/>
      <c r="AC1238" s="7"/>
      <c r="AD1238" s="7"/>
      <c r="AE1238" s="7"/>
      <c r="AF1238" s="7"/>
      <c r="AG1238" s="7"/>
      <c r="AH1238" s="7"/>
      <c r="AI1238" s="7"/>
    </row>
    <row r="1239" spans="12:35">
      <c r="L1239" s="7">
        <v>37</v>
      </c>
      <c r="M1239" s="7">
        <v>51</v>
      </c>
      <c r="N1239" s="7" t="b">
        <f>AND($N$6,$N$6,6&lt;=$M$6,20&lt;=$M$6)</f>
        <v>0</v>
      </c>
      <c r="O1239" s="7">
        <f>(P37-N37)*(O51-O37)-(Q37-O37)*(N51-N37)</f>
        <v>0</v>
      </c>
      <c r="P1239" s="7">
        <f>(P37-N37)*(Q51-O37)-(Q37-O37)*(P51-N37)</f>
        <v>0</v>
      </c>
      <c r="Q1239" s="7">
        <f>(P51-N51)*(O37-O51)-(Q51-O51)*(N37-N51)</f>
        <v>0</v>
      </c>
      <c r="R1239" s="7">
        <f>(P51-N51)*(Q37-O51)-(Q51-O51)*(P37-N51)</f>
        <v>0</v>
      </c>
      <c r="S1239" s="7">
        <f>IF(N1239,IF(AND(O1239*P1239&lt;=0,Q1239*R1239&lt;=0,MAX(MIN(N37,P37),MIN(N51,P51))&lt;=MIN(MAX(N37,P37),MAX(N51,P51)),MAX(MIN(O37,Q37),MIN(O51,Q51))&lt;=MIN(MAX(O37,Q37),MAX(O51,Q51))),1,0),0)</f>
        <v>0</v>
      </c>
      <c r="T1239" s="7"/>
      <c r="U1239" s="7"/>
      <c r="V1239" s="7"/>
      <c r="W1239" s="7"/>
      <c r="X1239" s="7"/>
      <c r="Y1239" s="7"/>
      <c r="Z1239" s="7"/>
      <c r="AA1239" s="7"/>
      <c r="AB1239" s="7"/>
      <c r="AC1239" s="7"/>
      <c r="AD1239" s="7"/>
      <c r="AE1239" s="7"/>
      <c r="AF1239" s="7"/>
      <c r="AG1239" s="7"/>
      <c r="AH1239" s="7"/>
      <c r="AI1239" s="7"/>
    </row>
    <row r="1240" spans="12:35">
      <c r="L1240" s="7">
        <v>37</v>
      </c>
      <c r="M1240" s="7">
        <v>52</v>
      </c>
      <c r="N1240" s="7" t="b">
        <f>AND($N$6,$N$7,6&lt;=$M$6,1&lt;=$M$7)</f>
        <v>0</v>
      </c>
      <c r="O1240" s="7">
        <f>(P37-N37)*(O52-O37)-(Q37-O37)*(N52-N37)</f>
        <v>0</v>
      </c>
      <c r="P1240" s="7">
        <f>(P37-N37)*(Q52-O37)-(Q37-O37)*(P52-N37)</f>
        <v>0</v>
      </c>
      <c r="Q1240" s="7">
        <f>(P52-N52)*(O37-O52)-(Q52-O52)*(N37-N52)</f>
        <v>0</v>
      </c>
      <c r="R1240" s="7">
        <f>(P52-N52)*(Q37-O52)-(Q52-O52)*(P37-N52)</f>
        <v>0</v>
      </c>
      <c r="S1240" s="7">
        <f>IF(N1240,IF(AND(O1240*P1240&lt;=0,Q1240*R1240&lt;=0,MAX(MIN(N37,P37),MIN(N52,P52))&lt;=MIN(MAX(N37,P37),MAX(N52,P52)),MAX(MIN(O37,Q37),MIN(O52,Q52))&lt;=MIN(MAX(O37,Q37),MAX(O52,Q52))),1,0),0)</f>
        <v>0</v>
      </c>
      <c r="T1240" s="7"/>
      <c r="U1240" s="7"/>
      <c r="V1240" s="7"/>
      <c r="W1240" s="7"/>
      <c r="X1240" s="7"/>
      <c r="Y1240" s="7"/>
      <c r="Z1240" s="7"/>
      <c r="AA1240" s="7"/>
      <c r="AB1240" s="7"/>
      <c r="AC1240" s="7"/>
      <c r="AD1240" s="7"/>
      <c r="AE1240" s="7"/>
      <c r="AF1240" s="7"/>
      <c r="AG1240" s="7"/>
      <c r="AH1240" s="7"/>
      <c r="AI1240" s="7"/>
    </row>
    <row r="1241" spans="12:35">
      <c r="L1241" s="7">
        <v>37</v>
      </c>
      <c r="M1241" s="7">
        <v>53</v>
      </c>
      <c r="N1241" s="7" t="b">
        <f>AND($N$6,$N$7,6&lt;=$M$6,2&lt;=$M$7)</f>
        <v>0</v>
      </c>
      <c r="O1241" s="7">
        <f>(P37-N37)*(O53-O37)-(Q37-O37)*(N53-N37)</f>
        <v>0</v>
      </c>
      <c r="P1241" s="7">
        <f>(P37-N37)*(Q53-O37)-(Q37-O37)*(P53-N37)</f>
        <v>0</v>
      </c>
      <c r="Q1241" s="7">
        <f>(P53-N53)*(O37-O53)-(Q53-O53)*(N37-N53)</f>
        <v>0</v>
      </c>
      <c r="R1241" s="7">
        <f>(P53-N53)*(Q37-O53)-(Q53-O53)*(P37-N53)</f>
        <v>0</v>
      </c>
      <c r="S1241" s="7">
        <f>IF(N1241,IF(AND(O1241*P1241&lt;=0,Q1241*R1241&lt;=0,MAX(MIN(N37,P37),MIN(N53,P53))&lt;=MIN(MAX(N37,P37),MAX(N53,P53)),MAX(MIN(O37,Q37),MIN(O53,Q53))&lt;=MIN(MAX(O37,Q37),MAX(O53,Q53))),1,0),0)</f>
        <v>0</v>
      </c>
      <c r="T1241" s="7"/>
      <c r="U1241" s="7"/>
      <c r="V1241" s="7"/>
      <c r="W1241" s="7"/>
      <c r="X1241" s="7"/>
      <c r="Y1241" s="7"/>
      <c r="Z1241" s="7"/>
      <c r="AA1241" s="7"/>
      <c r="AB1241" s="7"/>
      <c r="AC1241" s="7"/>
      <c r="AD1241" s="7"/>
      <c r="AE1241" s="7"/>
      <c r="AF1241" s="7"/>
      <c r="AG1241" s="7"/>
      <c r="AH1241" s="7"/>
      <c r="AI1241" s="7"/>
    </row>
    <row r="1242" spans="12:35">
      <c r="L1242" s="7">
        <v>37</v>
      </c>
      <c r="M1242" s="7">
        <v>54</v>
      </c>
      <c r="N1242" s="7" t="b">
        <f>AND($N$6,$N$7,6&lt;=$M$6,3&lt;=$M$7)</f>
        <v>0</v>
      </c>
      <c r="O1242" s="7">
        <f>(P37-N37)*(O54-O37)-(Q37-O37)*(N54-N37)</f>
        <v>0</v>
      </c>
      <c r="P1242" s="7">
        <f>(P37-N37)*(Q54-O37)-(Q37-O37)*(P54-N37)</f>
        <v>0</v>
      </c>
      <c r="Q1242" s="7">
        <f>(P54-N54)*(O37-O54)-(Q54-O54)*(N37-N54)</f>
        <v>0</v>
      </c>
      <c r="R1242" s="7">
        <f>(P54-N54)*(Q37-O54)-(Q54-O54)*(P37-N54)</f>
        <v>0</v>
      </c>
      <c r="S1242" s="7">
        <f>IF(N1242,IF(AND(O1242*P1242&lt;=0,Q1242*R1242&lt;=0,MAX(MIN(N37,P37),MIN(N54,P54))&lt;=MIN(MAX(N37,P37),MAX(N54,P54)),MAX(MIN(O37,Q37),MIN(O54,Q54))&lt;=MIN(MAX(O37,Q37),MAX(O54,Q54))),1,0),0)</f>
        <v>0</v>
      </c>
      <c r="T1242" s="7"/>
      <c r="U1242" s="7"/>
      <c r="V1242" s="7"/>
      <c r="W1242" s="7"/>
      <c r="X1242" s="7"/>
      <c r="Y1242" s="7"/>
      <c r="Z1242" s="7"/>
      <c r="AA1242" s="7"/>
      <c r="AB1242" s="7"/>
      <c r="AC1242" s="7"/>
      <c r="AD1242" s="7"/>
      <c r="AE1242" s="7"/>
      <c r="AF1242" s="7"/>
      <c r="AG1242" s="7"/>
      <c r="AH1242" s="7"/>
      <c r="AI1242" s="7"/>
    </row>
    <row r="1243" spans="12:35">
      <c r="L1243" s="7">
        <v>37</v>
      </c>
      <c r="M1243" s="7">
        <v>55</v>
      </c>
      <c r="N1243" s="7" t="b">
        <f>AND($N$6,$N$7,6&lt;=$M$6,4&lt;=$M$7)</f>
        <v>0</v>
      </c>
      <c r="O1243" s="7">
        <f>(P37-N37)*(O55-O37)-(Q37-O37)*(N55-N37)</f>
        <v>0</v>
      </c>
      <c r="P1243" s="7">
        <f>(P37-N37)*(Q55-O37)-(Q37-O37)*(P55-N37)</f>
        <v>0</v>
      </c>
      <c r="Q1243" s="7">
        <f>(P55-N55)*(O37-O55)-(Q55-O55)*(N37-N55)</f>
        <v>0</v>
      </c>
      <c r="R1243" s="7">
        <f>(P55-N55)*(Q37-O55)-(Q55-O55)*(P37-N55)</f>
        <v>0</v>
      </c>
      <c r="S1243" s="7">
        <f>IF(N1243,IF(AND(O1243*P1243&lt;=0,Q1243*R1243&lt;=0,MAX(MIN(N37,P37),MIN(N55,P55))&lt;=MIN(MAX(N37,P37),MAX(N55,P55)),MAX(MIN(O37,Q37),MIN(O55,Q55))&lt;=MIN(MAX(O37,Q37),MAX(O55,Q55))),1,0),0)</f>
        <v>0</v>
      </c>
      <c r="T1243" s="7"/>
      <c r="U1243" s="7"/>
      <c r="V1243" s="7"/>
      <c r="W1243" s="7"/>
      <c r="X1243" s="7"/>
      <c r="Y1243" s="7"/>
      <c r="Z1243" s="7"/>
      <c r="AA1243" s="7"/>
      <c r="AB1243" s="7"/>
      <c r="AC1243" s="7"/>
      <c r="AD1243" s="7"/>
      <c r="AE1243" s="7"/>
      <c r="AF1243" s="7"/>
      <c r="AG1243" s="7"/>
      <c r="AH1243" s="7"/>
      <c r="AI1243" s="7"/>
    </row>
    <row r="1244" spans="12:35">
      <c r="L1244" s="7">
        <v>37</v>
      </c>
      <c r="M1244" s="7">
        <v>56</v>
      </c>
      <c r="N1244" s="7" t="b">
        <f>AND($N$6,$N$7,6&lt;=$M$6,5&lt;=$M$7)</f>
        <v>0</v>
      </c>
      <c r="O1244" s="7">
        <f>(P37-N37)*(O56-O37)-(Q37-O37)*(N56-N37)</f>
        <v>0</v>
      </c>
      <c r="P1244" s="7">
        <f>(P37-N37)*(Q56-O37)-(Q37-O37)*(P56-N37)</f>
        <v>0</v>
      </c>
      <c r="Q1244" s="7">
        <f>(P56-N56)*(O37-O56)-(Q56-O56)*(N37-N56)</f>
        <v>0</v>
      </c>
      <c r="R1244" s="7">
        <f>(P56-N56)*(Q37-O56)-(Q56-O56)*(P37-N56)</f>
        <v>0</v>
      </c>
      <c r="S1244" s="7">
        <f>IF(N1244,IF(AND(O1244*P1244&lt;=0,Q1244*R1244&lt;=0,MAX(MIN(N37,P37),MIN(N56,P56))&lt;=MIN(MAX(N37,P37),MAX(N56,P56)),MAX(MIN(O37,Q37),MIN(O56,Q56))&lt;=MIN(MAX(O37,Q37),MAX(O56,Q56))),1,0),0)</f>
        <v>0</v>
      </c>
      <c r="T1244" s="7"/>
      <c r="U1244" s="7"/>
      <c r="V1244" s="7"/>
      <c r="W1244" s="7"/>
      <c r="X1244" s="7"/>
      <c r="Y1244" s="7"/>
      <c r="Z1244" s="7"/>
      <c r="AA1244" s="7"/>
      <c r="AB1244" s="7"/>
      <c r="AC1244" s="7"/>
      <c r="AD1244" s="7"/>
      <c r="AE1244" s="7"/>
      <c r="AF1244" s="7"/>
      <c r="AG1244" s="7"/>
      <c r="AH1244" s="7"/>
      <c r="AI1244" s="7"/>
    </row>
    <row r="1245" spans="12:35">
      <c r="L1245" s="7">
        <v>37</v>
      </c>
      <c r="M1245" s="7">
        <v>57</v>
      </c>
      <c r="N1245" s="7" t="b">
        <f>AND($N$6,$N$7,6&lt;=$M$6,6&lt;=$M$7)</f>
        <v>0</v>
      </c>
      <c r="O1245" s="7">
        <f>(P37-N37)*(O57-O37)-(Q37-O37)*(N57-N37)</f>
        <v>0</v>
      </c>
      <c r="P1245" s="7">
        <f>(P37-N37)*(Q57-O37)-(Q37-O37)*(P57-N37)</f>
        <v>0</v>
      </c>
      <c r="Q1245" s="7">
        <f>(P57-N57)*(O37-O57)-(Q57-O57)*(N37-N57)</f>
        <v>0</v>
      </c>
      <c r="R1245" s="7">
        <f>(P57-N57)*(Q37-O57)-(Q57-O57)*(P37-N57)</f>
        <v>0</v>
      </c>
      <c r="S1245" s="7">
        <f>IF(N1245,IF(AND(O1245*P1245&lt;=0,Q1245*R1245&lt;=0,MAX(MIN(N37,P37),MIN(N57,P57))&lt;=MIN(MAX(N37,P37),MAX(N57,P57)),MAX(MIN(O37,Q37),MIN(O57,Q57))&lt;=MIN(MAX(O37,Q37),MAX(O57,Q57))),1,0),0)</f>
        <v>0</v>
      </c>
      <c r="T1245" s="7"/>
      <c r="U1245" s="7"/>
      <c r="V1245" s="7"/>
      <c r="W1245" s="7"/>
      <c r="X1245" s="7"/>
      <c r="Y1245" s="7"/>
      <c r="Z1245" s="7"/>
      <c r="AA1245" s="7"/>
      <c r="AB1245" s="7"/>
      <c r="AC1245" s="7"/>
      <c r="AD1245" s="7"/>
      <c r="AE1245" s="7"/>
      <c r="AF1245" s="7"/>
      <c r="AG1245" s="7"/>
      <c r="AH1245" s="7"/>
      <c r="AI1245" s="7"/>
    </row>
    <row r="1246" spans="12:35">
      <c r="L1246" s="7">
        <v>37</v>
      </c>
      <c r="M1246" s="7">
        <v>58</v>
      </c>
      <c r="N1246" s="7" t="b">
        <f>AND($N$6,$N$7,6&lt;=$M$6,7&lt;=$M$7)</f>
        <v>0</v>
      </c>
      <c r="O1246" s="7">
        <f>(P37-N37)*(O58-O37)-(Q37-O37)*(N58-N37)</f>
        <v>0</v>
      </c>
      <c r="P1246" s="7">
        <f>(P37-N37)*(Q58-O37)-(Q37-O37)*(P58-N37)</f>
        <v>0</v>
      </c>
      <c r="Q1246" s="7">
        <f>(P58-N58)*(O37-O58)-(Q58-O58)*(N37-N58)</f>
        <v>0</v>
      </c>
      <c r="R1246" s="7">
        <f>(P58-N58)*(Q37-O58)-(Q58-O58)*(P37-N58)</f>
        <v>0</v>
      </c>
      <c r="S1246" s="7">
        <f>IF(N1246,IF(AND(O1246*P1246&lt;=0,Q1246*R1246&lt;=0,MAX(MIN(N37,P37),MIN(N58,P58))&lt;=MIN(MAX(N37,P37),MAX(N58,P58)),MAX(MIN(O37,Q37),MIN(O58,Q58))&lt;=MIN(MAX(O37,Q37),MAX(O58,Q58))),1,0),0)</f>
        <v>0</v>
      </c>
      <c r="T1246" s="7"/>
      <c r="U1246" s="7"/>
      <c r="V1246" s="7"/>
      <c r="W1246" s="7"/>
      <c r="X1246" s="7"/>
      <c r="Y1246" s="7"/>
      <c r="Z1246" s="7"/>
      <c r="AA1246" s="7"/>
      <c r="AB1246" s="7"/>
      <c r="AC1246" s="7"/>
      <c r="AD1246" s="7"/>
      <c r="AE1246" s="7"/>
      <c r="AF1246" s="7"/>
      <c r="AG1246" s="7"/>
      <c r="AH1246" s="7"/>
      <c r="AI1246" s="7"/>
    </row>
    <row r="1247" spans="12:35">
      <c r="L1247" s="7">
        <v>37</v>
      </c>
      <c r="M1247" s="7">
        <v>59</v>
      </c>
      <c r="N1247" s="7" t="b">
        <f>AND($N$6,$N$7,6&lt;=$M$6,8&lt;=$M$7)</f>
        <v>0</v>
      </c>
      <c r="O1247" s="7">
        <f>(P37-N37)*(O59-O37)-(Q37-O37)*(N59-N37)</f>
        <v>0</v>
      </c>
      <c r="P1247" s="7">
        <f>(P37-N37)*(Q59-O37)-(Q37-O37)*(P59-N37)</f>
        <v>0</v>
      </c>
      <c r="Q1247" s="7">
        <f>(P59-N59)*(O37-O59)-(Q59-O59)*(N37-N59)</f>
        <v>0</v>
      </c>
      <c r="R1247" s="7">
        <f>(P59-N59)*(Q37-O59)-(Q59-O59)*(P37-N59)</f>
        <v>0</v>
      </c>
      <c r="S1247" s="7">
        <f>IF(N1247,IF(AND(O1247*P1247&lt;=0,Q1247*R1247&lt;=0,MAX(MIN(N37,P37),MIN(N59,P59))&lt;=MIN(MAX(N37,P37),MAX(N59,P59)),MAX(MIN(O37,Q37),MIN(O59,Q59))&lt;=MIN(MAX(O37,Q37),MAX(O59,Q59))),1,0),0)</f>
        <v>0</v>
      </c>
      <c r="T1247" s="7"/>
      <c r="U1247" s="7"/>
      <c r="V1247" s="7"/>
      <c r="W1247" s="7"/>
      <c r="X1247" s="7"/>
      <c r="Y1247" s="7"/>
      <c r="Z1247" s="7"/>
      <c r="AA1247" s="7"/>
      <c r="AB1247" s="7"/>
      <c r="AC1247" s="7"/>
      <c r="AD1247" s="7"/>
      <c r="AE1247" s="7"/>
      <c r="AF1247" s="7"/>
      <c r="AG1247" s="7"/>
      <c r="AH1247" s="7"/>
      <c r="AI1247" s="7"/>
    </row>
    <row r="1248" spans="12:35">
      <c r="L1248" s="7">
        <v>37</v>
      </c>
      <c r="M1248" s="7">
        <v>60</v>
      </c>
      <c r="N1248" s="7" t="b">
        <f>AND($N$6,$N$7,6&lt;=$M$6,9&lt;=$M$7)</f>
        <v>0</v>
      </c>
      <c r="O1248" s="7">
        <f>(P37-N37)*(O60-O37)-(Q37-O37)*(N60-N37)</f>
        <v>0</v>
      </c>
      <c r="P1248" s="7">
        <f>(P37-N37)*(Q60-O37)-(Q37-O37)*(P60-N37)</f>
        <v>0</v>
      </c>
      <c r="Q1248" s="7">
        <f>(P60-N60)*(O37-O60)-(Q60-O60)*(N37-N60)</f>
        <v>0</v>
      </c>
      <c r="R1248" s="7">
        <f>(P60-N60)*(Q37-O60)-(Q60-O60)*(P37-N60)</f>
        <v>0</v>
      </c>
      <c r="S1248" s="7">
        <f>IF(N1248,IF(AND(O1248*P1248&lt;=0,Q1248*R1248&lt;=0,MAX(MIN(N37,P37),MIN(N60,P60))&lt;=MIN(MAX(N37,P37),MAX(N60,P60)),MAX(MIN(O37,Q37),MIN(O60,Q60))&lt;=MIN(MAX(O37,Q37),MAX(O60,Q60))),1,0),0)</f>
        <v>0</v>
      </c>
      <c r="T1248" s="7"/>
      <c r="U1248" s="7"/>
      <c r="V1248" s="7"/>
      <c r="W1248" s="7"/>
      <c r="X1248" s="7"/>
      <c r="Y1248" s="7"/>
      <c r="Z1248" s="7"/>
      <c r="AA1248" s="7"/>
      <c r="AB1248" s="7"/>
      <c r="AC1248" s="7"/>
      <c r="AD1248" s="7"/>
      <c r="AE1248" s="7"/>
      <c r="AF1248" s="7"/>
      <c r="AG1248" s="7"/>
      <c r="AH1248" s="7"/>
      <c r="AI1248" s="7"/>
    </row>
    <row r="1249" spans="12:35">
      <c r="L1249" s="7">
        <v>37</v>
      </c>
      <c r="M1249" s="7">
        <v>61</v>
      </c>
      <c r="N1249" s="7" t="b">
        <f>AND($N$6,$N$7,6&lt;=$M$6,10&lt;=$M$7)</f>
        <v>0</v>
      </c>
      <c r="O1249" s="7">
        <f>(P37-N37)*(O61-O37)-(Q37-O37)*(N61-N37)</f>
        <v>0</v>
      </c>
      <c r="P1249" s="7">
        <f>(P37-N37)*(Q61-O37)-(Q37-O37)*(P61-N37)</f>
        <v>0</v>
      </c>
      <c r="Q1249" s="7">
        <f>(P61-N61)*(O37-O61)-(Q61-O61)*(N37-N61)</f>
        <v>0</v>
      </c>
      <c r="R1249" s="7">
        <f>(P61-N61)*(Q37-O61)-(Q61-O61)*(P37-N61)</f>
        <v>0</v>
      </c>
      <c r="S1249" s="7">
        <f>IF(N1249,IF(AND(O1249*P1249&lt;=0,Q1249*R1249&lt;=0,MAX(MIN(N37,P37),MIN(N61,P61))&lt;=MIN(MAX(N37,P37),MAX(N61,P61)),MAX(MIN(O37,Q37),MIN(O61,Q61))&lt;=MIN(MAX(O37,Q37),MAX(O61,Q61))),1,0),0)</f>
        <v>0</v>
      </c>
      <c r="T1249" s="7"/>
      <c r="U1249" s="7"/>
      <c r="V1249" s="7"/>
      <c r="W1249" s="7"/>
      <c r="X1249" s="7"/>
      <c r="Y1249" s="7"/>
      <c r="Z1249" s="7"/>
      <c r="AA1249" s="7"/>
      <c r="AB1249" s="7"/>
      <c r="AC1249" s="7"/>
      <c r="AD1249" s="7"/>
      <c r="AE1249" s="7"/>
      <c r="AF1249" s="7"/>
      <c r="AG1249" s="7"/>
      <c r="AH1249" s="7"/>
      <c r="AI1249" s="7"/>
    </row>
    <row r="1250" spans="12:35">
      <c r="L1250" s="7">
        <v>37</v>
      </c>
      <c r="M1250" s="7">
        <v>62</v>
      </c>
      <c r="N1250" s="7" t="b">
        <f>AND($N$6,$N$7,6&lt;=$M$6,11&lt;=$M$7)</f>
        <v>0</v>
      </c>
      <c r="O1250" s="7">
        <f>(P37-N37)*(O62-O37)-(Q37-O37)*(N62-N37)</f>
        <v>0</v>
      </c>
      <c r="P1250" s="7">
        <f>(P37-N37)*(Q62-O37)-(Q37-O37)*(P62-N37)</f>
        <v>0</v>
      </c>
      <c r="Q1250" s="7">
        <f>(P62-N62)*(O37-O62)-(Q62-O62)*(N37-N62)</f>
        <v>0</v>
      </c>
      <c r="R1250" s="7">
        <f>(P62-N62)*(Q37-O62)-(Q62-O62)*(P37-N62)</f>
        <v>0</v>
      </c>
      <c r="S1250" s="7">
        <f>IF(N1250,IF(AND(O1250*P1250&lt;=0,Q1250*R1250&lt;=0,MAX(MIN(N37,P37),MIN(N62,P62))&lt;=MIN(MAX(N37,P37),MAX(N62,P62)),MAX(MIN(O37,Q37),MIN(O62,Q62))&lt;=MIN(MAX(O37,Q37),MAX(O62,Q62))),1,0),0)</f>
        <v>0</v>
      </c>
      <c r="T1250" s="7"/>
      <c r="U1250" s="7"/>
      <c r="V1250" s="7"/>
      <c r="W1250" s="7"/>
      <c r="X1250" s="7"/>
      <c r="Y1250" s="7"/>
      <c r="Z1250" s="7"/>
      <c r="AA1250" s="7"/>
      <c r="AB1250" s="7"/>
      <c r="AC1250" s="7"/>
      <c r="AD1250" s="7"/>
      <c r="AE1250" s="7"/>
      <c r="AF1250" s="7"/>
      <c r="AG1250" s="7"/>
      <c r="AH1250" s="7"/>
      <c r="AI1250" s="7"/>
    </row>
    <row r="1251" spans="12:35">
      <c r="L1251" s="7">
        <v>37</v>
      </c>
      <c r="M1251" s="7">
        <v>63</v>
      </c>
      <c r="N1251" s="7" t="b">
        <f>AND($N$6,$N$7,6&lt;=$M$6,12&lt;=$M$7)</f>
        <v>0</v>
      </c>
      <c r="O1251" s="7">
        <f>(P37-N37)*(O63-O37)-(Q37-O37)*(N63-N37)</f>
        <v>0</v>
      </c>
      <c r="P1251" s="7">
        <f>(P37-N37)*(Q63-O37)-(Q37-O37)*(P63-N37)</f>
        <v>0</v>
      </c>
      <c r="Q1251" s="7">
        <f>(P63-N63)*(O37-O63)-(Q63-O63)*(N37-N63)</f>
        <v>0</v>
      </c>
      <c r="R1251" s="7">
        <f>(P63-N63)*(Q37-O63)-(Q63-O63)*(P37-N63)</f>
        <v>0</v>
      </c>
      <c r="S1251" s="7">
        <f>IF(N1251,IF(AND(O1251*P1251&lt;=0,Q1251*R1251&lt;=0,MAX(MIN(N37,P37),MIN(N63,P63))&lt;=MIN(MAX(N37,P37),MAX(N63,P63)),MAX(MIN(O37,Q37),MIN(O63,Q63))&lt;=MIN(MAX(O37,Q37),MAX(O63,Q63))),1,0),0)</f>
        <v>0</v>
      </c>
      <c r="T1251" s="7"/>
      <c r="U1251" s="7"/>
      <c r="V1251" s="7"/>
      <c r="W1251" s="7"/>
      <c r="X1251" s="7"/>
      <c r="Y1251" s="7"/>
      <c r="Z1251" s="7"/>
      <c r="AA1251" s="7"/>
      <c r="AB1251" s="7"/>
      <c r="AC1251" s="7"/>
      <c r="AD1251" s="7"/>
      <c r="AE1251" s="7"/>
      <c r="AF1251" s="7"/>
      <c r="AG1251" s="7"/>
      <c r="AH1251" s="7"/>
      <c r="AI1251" s="7"/>
    </row>
    <row r="1252" spans="12:35">
      <c r="L1252" s="7">
        <v>37</v>
      </c>
      <c r="M1252" s="7">
        <v>64</v>
      </c>
      <c r="N1252" s="7" t="b">
        <f>AND($N$6,$N$7,6&lt;=$M$6,13&lt;=$M$7)</f>
        <v>0</v>
      </c>
      <c r="O1252" s="7">
        <f>(P37-N37)*(O64-O37)-(Q37-O37)*(N64-N37)</f>
        <v>0</v>
      </c>
      <c r="P1252" s="7">
        <f>(P37-N37)*(Q64-O37)-(Q37-O37)*(P64-N37)</f>
        <v>0</v>
      </c>
      <c r="Q1252" s="7">
        <f>(P64-N64)*(O37-O64)-(Q64-O64)*(N37-N64)</f>
        <v>0</v>
      </c>
      <c r="R1252" s="7">
        <f>(P64-N64)*(Q37-O64)-(Q64-O64)*(P37-N64)</f>
        <v>0</v>
      </c>
      <c r="S1252" s="7">
        <f>IF(N1252,IF(AND(O1252*P1252&lt;=0,Q1252*R1252&lt;=0,MAX(MIN(N37,P37),MIN(N64,P64))&lt;=MIN(MAX(N37,P37),MAX(N64,P64)),MAX(MIN(O37,Q37),MIN(O64,Q64))&lt;=MIN(MAX(O37,Q37),MAX(O64,Q64))),1,0),0)</f>
        <v>0</v>
      </c>
      <c r="T1252" s="7"/>
      <c r="U1252" s="7"/>
      <c r="V1252" s="7"/>
      <c r="W1252" s="7"/>
      <c r="X1252" s="7"/>
      <c r="Y1252" s="7"/>
      <c r="Z1252" s="7"/>
      <c r="AA1252" s="7"/>
      <c r="AB1252" s="7"/>
      <c r="AC1252" s="7"/>
      <c r="AD1252" s="7"/>
      <c r="AE1252" s="7"/>
      <c r="AF1252" s="7"/>
      <c r="AG1252" s="7"/>
      <c r="AH1252" s="7"/>
      <c r="AI1252" s="7"/>
    </row>
    <row r="1253" spans="12:35">
      <c r="L1253" s="7">
        <v>37</v>
      </c>
      <c r="M1253" s="7">
        <v>65</v>
      </c>
      <c r="N1253" s="7" t="b">
        <f>AND($N$6,$N$7,6&lt;=$M$6,14&lt;=$M$7)</f>
        <v>0</v>
      </c>
      <c r="O1253" s="7">
        <f>(P37-N37)*(O65-O37)-(Q37-O37)*(N65-N37)</f>
        <v>0</v>
      </c>
      <c r="P1253" s="7">
        <f>(P37-N37)*(Q65-O37)-(Q37-O37)*(P65-N37)</f>
        <v>0</v>
      </c>
      <c r="Q1253" s="7">
        <f>(P65-N65)*(O37-O65)-(Q65-O65)*(N37-N65)</f>
        <v>0</v>
      </c>
      <c r="R1253" s="7">
        <f>(P65-N65)*(Q37-O65)-(Q65-O65)*(P37-N65)</f>
        <v>0</v>
      </c>
      <c r="S1253" s="7">
        <f>IF(N1253,IF(AND(O1253*P1253&lt;=0,Q1253*R1253&lt;=0,MAX(MIN(N37,P37),MIN(N65,P65))&lt;=MIN(MAX(N37,P37),MAX(N65,P65)),MAX(MIN(O37,Q37),MIN(O65,Q65))&lt;=MIN(MAX(O37,Q37),MAX(O65,Q65))),1,0),0)</f>
        <v>0</v>
      </c>
      <c r="T1253" s="7"/>
      <c r="U1253" s="7"/>
      <c r="V1253" s="7"/>
      <c r="W1253" s="7"/>
      <c r="X1253" s="7"/>
      <c r="Y1253" s="7"/>
      <c r="Z1253" s="7"/>
      <c r="AA1253" s="7"/>
      <c r="AB1253" s="7"/>
      <c r="AC1253" s="7"/>
      <c r="AD1253" s="7"/>
      <c r="AE1253" s="7"/>
      <c r="AF1253" s="7"/>
      <c r="AG1253" s="7"/>
      <c r="AH1253" s="7"/>
      <c r="AI1253" s="7"/>
    </row>
    <row r="1254" spans="12:35">
      <c r="L1254" s="7">
        <v>37</v>
      </c>
      <c r="M1254" s="7">
        <v>66</v>
      </c>
      <c r="N1254" s="7" t="b">
        <f>AND($N$6,$N$7,6&lt;=$M$6,15&lt;=$M$7)</f>
        <v>0</v>
      </c>
      <c r="O1254" s="7">
        <f>(P37-N37)*(O66-O37)-(Q37-O37)*(N66-N37)</f>
        <v>0</v>
      </c>
      <c r="P1254" s="7">
        <f>(P37-N37)*(Q66-O37)-(Q37-O37)*(P66-N37)</f>
        <v>0</v>
      </c>
      <c r="Q1254" s="7">
        <f>(P66-N66)*(O37-O66)-(Q66-O66)*(N37-N66)</f>
        <v>0</v>
      </c>
      <c r="R1254" s="7">
        <f>(P66-N66)*(Q37-O66)-(Q66-O66)*(P37-N66)</f>
        <v>0</v>
      </c>
      <c r="S1254" s="7">
        <f>IF(N1254,IF(AND(O1254*P1254&lt;=0,Q1254*R1254&lt;=0,MAX(MIN(N37,P37),MIN(N66,P66))&lt;=MIN(MAX(N37,P37),MAX(N66,P66)),MAX(MIN(O37,Q37),MIN(O66,Q66))&lt;=MIN(MAX(O37,Q37),MAX(O66,Q66))),1,0),0)</f>
        <v>0</v>
      </c>
      <c r="T1254" s="7"/>
      <c r="U1254" s="7"/>
      <c r="V1254" s="7"/>
      <c r="W1254" s="7"/>
      <c r="X1254" s="7"/>
      <c r="Y1254" s="7"/>
      <c r="Z1254" s="7"/>
      <c r="AA1254" s="7"/>
      <c r="AB1254" s="7"/>
      <c r="AC1254" s="7"/>
      <c r="AD1254" s="7"/>
      <c r="AE1254" s="7"/>
      <c r="AF1254" s="7"/>
      <c r="AG1254" s="7"/>
      <c r="AH1254" s="7"/>
      <c r="AI1254" s="7"/>
    </row>
    <row r="1255" spans="12:35">
      <c r="L1255" s="7">
        <v>37</v>
      </c>
      <c r="M1255" s="7">
        <v>67</v>
      </c>
      <c r="N1255" s="7" t="b">
        <f>AND($N$6,$N$7,6&lt;=$M$6,16&lt;=$M$7)</f>
        <v>0</v>
      </c>
      <c r="O1255" s="7">
        <f>(P37-N37)*(O67-O37)-(Q37-O37)*(N67-N37)</f>
        <v>0</v>
      </c>
      <c r="P1255" s="7">
        <f>(P37-N37)*(Q67-O37)-(Q37-O37)*(P67-N37)</f>
        <v>0</v>
      </c>
      <c r="Q1255" s="7">
        <f>(P67-N67)*(O37-O67)-(Q67-O67)*(N37-N67)</f>
        <v>0</v>
      </c>
      <c r="R1255" s="7">
        <f>(P67-N67)*(Q37-O67)-(Q67-O67)*(P37-N67)</f>
        <v>0</v>
      </c>
      <c r="S1255" s="7">
        <f>IF(N1255,IF(AND(O1255*P1255&lt;=0,Q1255*R1255&lt;=0,MAX(MIN(N37,P37),MIN(N67,P67))&lt;=MIN(MAX(N37,P37),MAX(N67,P67)),MAX(MIN(O37,Q37),MIN(O67,Q67))&lt;=MIN(MAX(O37,Q37),MAX(O67,Q67))),1,0),0)</f>
        <v>0</v>
      </c>
      <c r="T1255" s="7"/>
      <c r="U1255" s="7"/>
      <c r="V1255" s="7"/>
      <c r="W1255" s="7"/>
      <c r="X1255" s="7"/>
      <c r="Y1255" s="7"/>
      <c r="Z1255" s="7"/>
      <c r="AA1255" s="7"/>
      <c r="AB1255" s="7"/>
      <c r="AC1255" s="7"/>
      <c r="AD1255" s="7"/>
      <c r="AE1255" s="7"/>
      <c r="AF1255" s="7"/>
      <c r="AG1255" s="7"/>
      <c r="AH1255" s="7"/>
      <c r="AI1255" s="7"/>
    </row>
    <row r="1256" spans="12:35">
      <c r="L1256" s="7">
        <v>37</v>
      </c>
      <c r="M1256" s="7">
        <v>68</v>
      </c>
      <c r="N1256" s="7" t="b">
        <f>AND($N$6,$N$7,6&lt;=$M$6,17&lt;=$M$7)</f>
        <v>0</v>
      </c>
      <c r="O1256" s="7">
        <f>(P37-N37)*(O68-O37)-(Q37-O37)*(N68-N37)</f>
        <v>0</v>
      </c>
      <c r="P1256" s="7">
        <f>(P37-N37)*(Q68-O37)-(Q37-O37)*(P68-N37)</f>
        <v>0</v>
      </c>
      <c r="Q1256" s="7">
        <f>(P68-N68)*(O37-O68)-(Q68-O68)*(N37-N68)</f>
        <v>0</v>
      </c>
      <c r="R1256" s="7">
        <f>(P68-N68)*(Q37-O68)-(Q68-O68)*(P37-N68)</f>
        <v>0</v>
      </c>
      <c r="S1256" s="7">
        <f>IF(N1256,IF(AND(O1256*P1256&lt;=0,Q1256*R1256&lt;=0,MAX(MIN(N37,P37),MIN(N68,P68))&lt;=MIN(MAX(N37,P37),MAX(N68,P68)),MAX(MIN(O37,Q37),MIN(O68,Q68))&lt;=MIN(MAX(O37,Q37),MAX(O68,Q68))),1,0),0)</f>
        <v>0</v>
      </c>
      <c r="T1256" s="7"/>
      <c r="U1256" s="7"/>
      <c r="V1256" s="7"/>
      <c r="W1256" s="7"/>
      <c r="X1256" s="7"/>
      <c r="Y1256" s="7"/>
      <c r="Z1256" s="7"/>
      <c r="AA1256" s="7"/>
      <c r="AB1256" s="7"/>
      <c r="AC1256" s="7"/>
      <c r="AD1256" s="7"/>
      <c r="AE1256" s="7"/>
      <c r="AF1256" s="7"/>
      <c r="AG1256" s="7"/>
      <c r="AH1256" s="7"/>
      <c r="AI1256" s="7"/>
    </row>
    <row r="1257" spans="12:35">
      <c r="L1257" s="7">
        <v>37</v>
      </c>
      <c r="M1257" s="7">
        <v>69</v>
      </c>
      <c r="N1257" s="7" t="b">
        <f>AND($N$6,$N$7,6&lt;=$M$6,18&lt;=$M$7)</f>
        <v>0</v>
      </c>
      <c r="O1257" s="7">
        <f>(P37-N37)*(O69-O37)-(Q37-O37)*(N69-N37)</f>
        <v>0</v>
      </c>
      <c r="P1257" s="7">
        <f>(P37-N37)*(Q69-O37)-(Q37-O37)*(P69-N37)</f>
        <v>0</v>
      </c>
      <c r="Q1257" s="7">
        <f>(P69-N69)*(O37-O69)-(Q69-O69)*(N37-N69)</f>
        <v>0</v>
      </c>
      <c r="R1257" s="7">
        <f>(P69-N69)*(Q37-O69)-(Q69-O69)*(P37-N69)</f>
        <v>0</v>
      </c>
      <c r="S1257" s="7">
        <f>IF(N1257,IF(AND(O1257*P1257&lt;=0,Q1257*R1257&lt;=0,MAX(MIN(N37,P37),MIN(N69,P69))&lt;=MIN(MAX(N37,P37),MAX(N69,P69)),MAX(MIN(O37,Q37),MIN(O69,Q69))&lt;=MIN(MAX(O37,Q37),MAX(O69,Q69))),1,0),0)</f>
        <v>0</v>
      </c>
      <c r="T1257" s="7"/>
      <c r="U1257" s="7"/>
      <c r="V1257" s="7"/>
      <c r="W1257" s="7"/>
      <c r="X1257" s="7"/>
      <c r="Y1257" s="7"/>
      <c r="Z1257" s="7"/>
      <c r="AA1257" s="7"/>
      <c r="AB1257" s="7"/>
      <c r="AC1257" s="7"/>
      <c r="AD1257" s="7"/>
      <c r="AE1257" s="7"/>
      <c r="AF1257" s="7"/>
      <c r="AG1257" s="7"/>
      <c r="AH1257" s="7"/>
      <c r="AI1257" s="7"/>
    </row>
    <row r="1258" spans="12:35">
      <c r="L1258" s="7">
        <v>37</v>
      </c>
      <c r="M1258" s="7">
        <v>70</v>
      </c>
      <c r="N1258" s="7" t="b">
        <f>AND($N$6,$N$7,6&lt;=$M$6,19&lt;=$M$7)</f>
        <v>0</v>
      </c>
      <c r="O1258" s="7">
        <f>(P37-N37)*(O70-O37)-(Q37-O37)*(N70-N37)</f>
        <v>0</v>
      </c>
      <c r="P1258" s="7">
        <f>(P37-N37)*(Q70-O37)-(Q37-O37)*(P70-N37)</f>
        <v>0</v>
      </c>
      <c r="Q1258" s="7">
        <f>(P70-N70)*(O37-O70)-(Q70-O70)*(N37-N70)</f>
        <v>0</v>
      </c>
      <c r="R1258" s="7">
        <f>(P70-N70)*(Q37-O70)-(Q70-O70)*(P37-N70)</f>
        <v>0</v>
      </c>
      <c r="S1258" s="7">
        <f>IF(N1258,IF(AND(O1258*P1258&lt;=0,Q1258*R1258&lt;=0,MAX(MIN(N37,P37),MIN(N70,P70))&lt;=MIN(MAX(N37,P37),MAX(N70,P70)),MAX(MIN(O37,Q37),MIN(O70,Q70))&lt;=MIN(MAX(O37,Q37),MAX(O70,Q70))),1,0),0)</f>
        <v>0</v>
      </c>
      <c r="T1258" s="7"/>
      <c r="U1258" s="7"/>
      <c r="V1258" s="7"/>
      <c r="W1258" s="7"/>
      <c r="X1258" s="7"/>
      <c r="Y1258" s="7"/>
      <c r="Z1258" s="7"/>
      <c r="AA1258" s="7"/>
      <c r="AB1258" s="7"/>
      <c r="AC1258" s="7"/>
      <c r="AD1258" s="7"/>
      <c r="AE1258" s="7"/>
      <c r="AF1258" s="7"/>
      <c r="AG1258" s="7"/>
      <c r="AH1258" s="7"/>
      <c r="AI1258" s="7"/>
    </row>
    <row r="1259" spans="12:35">
      <c r="L1259" s="7">
        <v>37</v>
      </c>
      <c r="M1259" s="7">
        <v>71</v>
      </c>
      <c r="N1259" s="7" t="b">
        <f>AND($N$6,$N$7,6&lt;=$M$6,20&lt;=$M$7)</f>
        <v>0</v>
      </c>
      <c r="O1259" s="7">
        <f>(P37-N37)*(O71-O37)-(Q37-O37)*(N71-N37)</f>
        <v>0</v>
      </c>
      <c r="P1259" s="7">
        <f>(P37-N37)*(Q71-O37)-(Q37-O37)*(P71-N37)</f>
        <v>0</v>
      </c>
      <c r="Q1259" s="7">
        <f>(P71-N71)*(O37-O71)-(Q71-O71)*(N37-N71)</f>
        <v>0</v>
      </c>
      <c r="R1259" s="7">
        <f>(P71-N71)*(Q37-O71)-(Q71-O71)*(P37-N71)</f>
        <v>0</v>
      </c>
      <c r="S1259" s="7">
        <f>IF(N1259,IF(AND(O1259*P1259&lt;=0,Q1259*R1259&lt;=0,MAX(MIN(N37,P37),MIN(N71,P71))&lt;=MIN(MAX(N37,P37),MAX(N71,P71)),MAX(MIN(O37,Q37),MIN(O71,Q71))&lt;=MIN(MAX(O37,Q37),MAX(O71,Q71))),1,0),0)</f>
        <v>0</v>
      </c>
      <c r="T1259" s="7"/>
      <c r="U1259" s="7"/>
      <c r="V1259" s="7"/>
      <c r="W1259" s="7"/>
      <c r="X1259" s="7"/>
      <c r="Y1259" s="7"/>
      <c r="Z1259" s="7"/>
      <c r="AA1259" s="7"/>
      <c r="AB1259" s="7"/>
      <c r="AC1259" s="7"/>
      <c r="AD1259" s="7"/>
      <c r="AE1259" s="7"/>
      <c r="AF1259" s="7"/>
      <c r="AG1259" s="7"/>
      <c r="AH1259" s="7"/>
      <c r="AI1259" s="7"/>
    </row>
    <row r="1260" spans="12:35">
      <c r="L1260" s="7">
        <v>38</v>
      </c>
      <c r="M1260" s="7">
        <v>40</v>
      </c>
      <c r="N1260" s="7" t="b">
        <f>AND($N$6,$N$6,7&lt;=$M$6,9&lt;=$M$6)</f>
        <v>0</v>
      </c>
      <c r="O1260" s="7">
        <f>(P38-N38)*(O40-O38)-(Q38-O38)*(N40-N38)</f>
        <v>0</v>
      </c>
      <c r="P1260" s="7">
        <f>(P38-N38)*(Q40-O38)-(Q38-O38)*(P40-N38)</f>
        <v>0</v>
      </c>
      <c r="Q1260" s="7">
        <f>(P40-N40)*(O38-O40)-(Q40-O40)*(N38-N40)</f>
        <v>0</v>
      </c>
      <c r="R1260" s="7">
        <f>(P40-N40)*(Q38-O40)-(Q40-O40)*(P38-N40)</f>
        <v>0</v>
      </c>
      <c r="S1260" s="7">
        <f>IF(N1260,IF(AND(O1260*P1260&lt;=0,Q1260*R1260&lt;=0,MAX(MIN(N38,P38),MIN(N40,P40))&lt;=MIN(MAX(N38,P38),MAX(N40,P40)),MAX(MIN(O38,Q38),MIN(O40,Q40))&lt;=MIN(MAX(O38,Q38),MAX(O40,Q40))),1,0),0)</f>
        <v>0</v>
      </c>
      <c r="T1260" s="7"/>
      <c r="U1260" s="7"/>
      <c r="V1260" s="7"/>
      <c r="W1260" s="7"/>
      <c r="X1260" s="7"/>
      <c r="Y1260" s="7"/>
      <c r="Z1260" s="7"/>
      <c r="AA1260" s="7"/>
      <c r="AB1260" s="7"/>
      <c r="AC1260" s="7"/>
      <c r="AD1260" s="7"/>
      <c r="AE1260" s="7"/>
      <c r="AF1260" s="7"/>
      <c r="AG1260" s="7"/>
      <c r="AH1260" s="7"/>
      <c r="AI1260" s="7"/>
    </row>
    <row r="1261" spans="12:35">
      <c r="L1261" s="7">
        <v>38</v>
      </c>
      <c r="M1261" s="7">
        <v>41</v>
      </c>
      <c r="N1261" s="7" t="b">
        <f>AND($N$6,$N$6,7&lt;=$M$6,10&lt;=$M$6)</f>
        <v>0</v>
      </c>
      <c r="O1261" s="7">
        <f>(P38-N38)*(O41-O38)-(Q38-O38)*(N41-N38)</f>
        <v>0</v>
      </c>
      <c r="P1261" s="7">
        <f>(P38-N38)*(Q41-O38)-(Q38-O38)*(P41-N38)</f>
        <v>0</v>
      </c>
      <c r="Q1261" s="7">
        <f>(P41-N41)*(O38-O41)-(Q41-O41)*(N38-N41)</f>
        <v>0</v>
      </c>
      <c r="R1261" s="7">
        <f>(P41-N41)*(Q38-O41)-(Q41-O41)*(P38-N41)</f>
        <v>0</v>
      </c>
      <c r="S1261" s="7">
        <f>IF(N1261,IF(AND(O1261*P1261&lt;=0,Q1261*R1261&lt;=0,MAX(MIN(N38,P38),MIN(N41,P41))&lt;=MIN(MAX(N38,P38),MAX(N41,P41)),MAX(MIN(O38,Q38),MIN(O41,Q41))&lt;=MIN(MAX(O38,Q38),MAX(O41,Q41))),1,0),0)</f>
        <v>0</v>
      </c>
      <c r="T1261" s="7"/>
      <c r="U1261" s="7"/>
      <c r="V1261" s="7"/>
      <c r="W1261" s="7"/>
      <c r="X1261" s="7"/>
      <c r="Y1261" s="7"/>
      <c r="Z1261" s="7"/>
      <c r="AA1261" s="7"/>
      <c r="AB1261" s="7"/>
      <c r="AC1261" s="7"/>
      <c r="AD1261" s="7"/>
      <c r="AE1261" s="7"/>
      <c r="AF1261" s="7"/>
      <c r="AG1261" s="7"/>
      <c r="AH1261" s="7"/>
      <c r="AI1261" s="7"/>
    </row>
    <row r="1262" spans="12:35">
      <c r="L1262" s="7">
        <v>38</v>
      </c>
      <c r="M1262" s="7">
        <v>42</v>
      </c>
      <c r="N1262" s="7" t="b">
        <f>AND($N$6,$N$6,7&lt;=$M$6,11&lt;=$M$6)</f>
        <v>0</v>
      </c>
      <c r="O1262" s="7">
        <f>(P38-N38)*(O42-O38)-(Q38-O38)*(N42-N38)</f>
        <v>0</v>
      </c>
      <c r="P1262" s="7">
        <f>(P38-N38)*(Q42-O38)-(Q38-O38)*(P42-N38)</f>
        <v>0</v>
      </c>
      <c r="Q1262" s="7">
        <f>(P42-N42)*(O38-O42)-(Q42-O42)*(N38-N42)</f>
        <v>0</v>
      </c>
      <c r="R1262" s="7">
        <f>(P42-N42)*(Q38-O42)-(Q42-O42)*(P38-N42)</f>
        <v>0</v>
      </c>
      <c r="S1262" s="7">
        <f>IF(N1262,IF(AND(O1262*P1262&lt;=0,Q1262*R1262&lt;=0,MAX(MIN(N38,P38),MIN(N42,P42))&lt;=MIN(MAX(N38,P38),MAX(N42,P42)),MAX(MIN(O38,Q38),MIN(O42,Q42))&lt;=MIN(MAX(O38,Q38),MAX(O42,Q42))),1,0),0)</f>
        <v>0</v>
      </c>
      <c r="T1262" s="7"/>
      <c r="U1262" s="7"/>
      <c r="V1262" s="7"/>
      <c r="W1262" s="7"/>
      <c r="X1262" s="7"/>
      <c r="Y1262" s="7"/>
      <c r="Z1262" s="7"/>
      <c r="AA1262" s="7"/>
      <c r="AB1262" s="7"/>
      <c r="AC1262" s="7"/>
      <c r="AD1262" s="7"/>
      <c r="AE1262" s="7"/>
      <c r="AF1262" s="7"/>
      <c r="AG1262" s="7"/>
      <c r="AH1262" s="7"/>
      <c r="AI1262" s="7"/>
    </row>
    <row r="1263" spans="12:35">
      <c r="L1263" s="7">
        <v>38</v>
      </c>
      <c r="M1263" s="7">
        <v>43</v>
      </c>
      <c r="N1263" s="7" t="b">
        <f>AND($N$6,$N$6,7&lt;=$M$6,12&lt;=$M$6)</f>
        <v>0</v>
      </c>
      <c r="O1263" s="7">
        <f>(P38-N38)*(O43-O38)-(Q38-O38)*(N43-N38)</f>
        <v>0</v>
      </c>
      <c r="P1263" s="7">
        <f>(P38-N38)*(Q43-O38)-(Q38-O38)*(P43-N38)</f>
        <v>0</v>
      </c>
      <c r="Q1263" s="7">
        <f>(P43-N43)*(O38-O43)-(Q43-O43)*(N38-N43)</f>
        <v>0</v>
      </c>
      <c r="R1263" s="7">
        <f>(P43-N43)*(Q38-O43)-(Q43-O43)*(P38-N43)</f>
        <v>0</v>
      </c>
      <c r="S1263" s="7">
        <f>IF(N1263,IF(AND(O1263*P1263&lt;=0,Q1263*R1263&lt;=0,MAX(MIN(N38,P38),MIN(N43,P43))&lt;=MIN(MAX(N38,P38),MAX(N43,P43)),MAX(MIN(O38,Q38),MIN(O43,Q43))&lt;=MIN(MAX(O38,Q38),MAX(O43,Q43))),1,0),0)</f>
        <v>0</v>
      </c>
      <c r="T1263" s="7"/>
      <c r="U1263" s="7"/>
      <c r="V1263" s="7"/>
      <c r="W1263" s="7"/>
      <c r="X1263" s="7"/>
      <c r="Y1263" s="7"/>
      <c r="Z1263" s="7"/>
      <c r="AA1263" s="7"/>
      <c r="AB1263" s="7"/>
      <c r="AC1263" s="7"/>
      <c r="AD1263" s="7"/>
      <c r="AE1263" s="7"/>
      <c r="AF1263" s="7"/>
      <c r="AG1263" s="7"/>
      <c r="AH1263" s="7"/>
      <c r="AI1263" s="7"/>
    </row>
    <row r="1264" spans="12:35">
      <c r="L1264" s="7">
        <v>38</v>
      </c>
      <c r="M1264" s="7">
        <v>44</v>
      </c>
      <c r="N1264" s="7" t="b">
        <f>AND($N$6,$N$6,7&lt;=$M$6,13&lt;=$M$6)</f>
        <v>0</v>
      </c>
      <c r="O1264" s="7">
        <f>(P38-N38)*(O44-O38)-(Q38-O38)*(N44-N38)</f>
        <v>0</v>
      </c>
      <c r="P1264" s="7">
        <f>(P38-N38)*(Q44-O38)-(Q38-O38)*(P44-N38)</f>
        <v>0</v>
      </c>
      <c r="Q1264" s="7">
        <f>(P44-N44)*(O38-O44)-(Q44-O44)*(N38-N44)</f>
        <v>0</v>
      </c>
      <c r="R1264" s="7">
        <f>(P44-N44)*(Q38-O44)-(Q44-O44)*(P38-N44)</f>
        <v>0</v>
      </c>
      <c r="S1264" s="7">
        <f>IF(N1264,IF(AND(O1264*P1264&lt;=0,Q1264*R1264&lt;=0,MAX(MIN(N38,P38),MIN(N44,P44))&lt;=MIN(MAX(N38,P38),MAX(N44,P44)),MAX(MIN(O38,Q38),MIN(O44,Q44))&lt;=MIN(MAX(O38,Q38),MAX(O44,Q44))),1,0),0)</f>
        <v>0</v>
      </c>
      <c r="T1264" s="7"/>
      <c r="U1264" s="7"/>
      <c r="V1264" s="7"/>
      <c r="W1264" s="7"/>
      <c r="X1264" s="7"/>
      <c r="Y1264" s="7"/>
      <c r="Z1264" s="7"/>
      <c r="AA1264" s="7"/>
      <c r="AB1264" s="7"/>
      <c r="AC1264" s="7"/>
      <c r="AD1264" s="7"/>
      <c r="AE1264" s="7"/>
      <c r="AF1264" s="7"/>
      <c r="AG1264" s="7"/>
      <c r="AH1264" s="7"/>
      <c r="AI1264" s="7"/>
    </row>
    <row r="1265" spans="12:35">
      <c r="L1265" s="7">
        <v>38</v>
      </c>
      <c r="M1265" s="7">
        <v>45</v>
      </c>
      <c r="N1265" s="7" t="b">
        <f>AND($N$6,$N$6,7&lt;=$M$6,14&lt;=$M$6)</f>
        <v>0</v>
      </c>
      <c r="O1265" s="7">
        <f>(P38-N38)*(O45-O38)-(Q38-O38)*(N45-N38)</f>
        <v>0</v>
      </c>
      <c r="P1265" s="7">
        <f>(P38-N38)*(Q45-O38)-(Q38-O38)*(P45-N38)</f>
        <v>0</v>
      </c>
      <c r="Q1265" s="7">
        <f>(P45-N45)*(O38-O45)-(Q45-O45)*(N38-N45)</f>
        <v>0</v>
      </c>
      <c r="R1265" s="7">
        <f>(P45-N45)*(Q38-O45)-(Q45-O45)*(P38-N45)</f>
        <v>0</v>
      </c>
      <c r="S1265" s="7">
        <f>IF(N1265,IF(AND(O1265*P1265&lt;=0,Q1265*R1265&lt;=0,MAX(MIN(N38,P38),MIN(N45,P45))&lt;=MIN(MAX(N38,P38),MAX(N45,P45)),MAX(MIN(O38,Q38),MIN(O45,Q45))&lt;=MIN(MAX(O38,Q38),MAX(O45,Q45))),1,0),0)</f>
        <v>0</v>
      </c>
      <c r="T1265" s="7"/>
      <c r="U1265" s="7"/>
      <c r="V1265" s="7"/>
      <c r="W1265" s="7"/>
      <c r="X1265" s="7"/>
      <c r="Y1265" s="7"/>
      <c r="Z1265" s="7"/>
      <c r="AA1265" s="7"/>
      <c r="AB1265" s="7"/>
      <c r="AC1265" s="7"/>
      <c r="AD1265" s="7"/>
      <c r="AE1265" s="7"/>
      <c r="AF1265" s="7"/>
      <c r="AG1265" s="7"/>
      <c r="AH1265" s="7"/>
      <c r="AI1265" s="7"/>
    </row>
    <row r="1266" spans="12:35">
      <c r="L1266" s="7">
        <v>38</v>
      </c>
      <c r="M1266" s="7">
        <v>46</v>
      </c>
      <c r="N1266" s="7" t="b">
        <f>AND($N$6,$N$6,7&lt;=$M$6,15&lt;=$M$6)</f>
        <v>0</v>
      </c>
      <c r="O1266" s="7">
        <f>(P38-N38)*(O46-O38)-(Q38-O38)*(N46-N38)</f>
        <v>0</v>
      </c>
      <c r="P1266" s="7">
        <f>(P38-N38)*(Q46-O38)-(Q38-O38)*(P46-N38)</f>
        <v>0</v>
      </c>
      <c r="Q1266" s="7">
        <f>(P46-N46)*(O38-O46)-(Q46-O46)*(N38-N46)</f>
        <v>0</v>
      </c>
      <c r="R1266" s="7">
        <f>(P46-N46)*(Q38-O46)-(Q46-O46)*(P38-N46)</f>
        <v>0</v>
      </c>
      <c r="S1266" s="7">
        <f>IF(N1266,IF(AND(O1266*P1266&lt;=0,Q1266*R1266&lt;=0,MAX(MIN(N38,P38),MIN(N46,P46))&lt;=MIN(MAX(N38,P38),MAX(N46,P46)),MAX(MIN(O38,Q38),MIN(O46,Q46))&lt;=MIN(MAX(O38,Q38),MAX(O46,Q46))),1,0),0)</f>
        <v>0</v>
      </c>
      <c r="T1266" s="7"/>
      <c r="U1266" s="7"/>
      <c r="V1266" s="7"/>
      <c r="W1266" s="7"/>
      <c r="X1266" s="7"/>
      <c r="Y1266" s="7"/>
      <c r="Z1266" s="7"/>
      <c r="AA1266" s="7"/>
      <c r="AB1266" s="7"/>
      <c r="AC1266" s="7"/>
      <c r="AD1266" s="7"/>
      <c r="AE1266" s="7"/>
      <c r="AF1266" s="7"/>
      <c r="AG1266" s="7"/>
      <c r="AH1266" s="7"/>
      <c r="AI1266" s="7"/>
    </row>
    <row r="1267" spans="12:35">
      <c r="L1267" s="7">
        <v>38</v>
      </c>
      <c r="M1267" s="7">
        <v>47</v>
      </c>
      <c r="N1267" s="7" t="b">
        <f>AND($N$6,$N$6,7&lt;=$M$6,16&lt;=$M$6)</f>
        <v>0</v>
      </c>
      <c r="O1267" s="7">
        <f>(P38-N38)*(O47-O38)-(Q38-O38)*(N47-N38)</f>
        <v>0</v>
      </c>
      <c r="P1267" s="7">
        <f>(P38-N38)*(Q47-O38)-(Q38-O38)*(P47-N38)</f>
        <v>0</v>
      </c>
      <c r="Q1267" s="7">
        <f>(P47-N47)*(O38-O47)-(Q47-O47)*(N38-N47)</f>
        <v>0</v>
      </c>
      <c r="R1267" s="7">
        <f>(P47-N47)*(Q38-O47)-(Q47-O47)*(P38-N47)</f>
        <v>0</v>
      </c>
      <c r="S1267" s="7">
        <f>IF(N1267,IF(AND(O1267*P1267&lt;=0,Q1267*R1267&lt;=0,MAX(MIN(N38,P38),MIN(N47,P47))&lt;=MIN(MAX(N38,P38),MAX(N47,P47)),MAX(MIN(O38,Q38),MIN(O47,Q47))&lt;=MIN(MAX(O38,Q38),MAX(O47,Q47))),1,0),0)</f>
        <v>0</v>
      </c>
      <c r="T1267" s="7"/>
      <c r="U1267" s="7"/>
      <c r="V1267" s="7"/>
      <c r="W1267" s="7"/>
      <c r="X1267" s="7"/>
      <c r="Y1267" s="7"/>
      <c r="Z1267" s="7"/>
      <c r="AA1267" s="7"/>
      <c r="AB1267" s="7"/>
      <c r="AC1267" s="7"/>
      <c r="AD1267" s="7"/>
      <c r="AE1267" s="7"/>
      <c r="AF1267" s="7"/>
      <c r="AG1267" s="7"/>
      <c r="AH1267" s="7"/>
      <c r="AI1267" s="7"/>
    </row>
    <row r="1268" spans="12:35">
      <c r="L1268" s="7">
        <v>38</v>
      </c>
      <c r="M1268" s="7">
        <v>48</v>
      </c>
      <c r="N1268" s="7" t="b">
        <f>AND($N$6,$N$6,7&lt;=$M$6,17&lt;=$M$6)</f>
        <v>0</v>
      </c>
      <c r="O1268" s="7">
        <f>(P38-N38)*(O48-O38)-(Q38-O38)*(N48-N38)</f>
        <v>0</v>
      </c>
      <c r="P1268" s="7">
        <f>(P38-N38)*(Q48-O38)-(Q38-O38)*(P48-N38)</f>
        <v>0</v>
      </c>
      <c r="Q1268" s="7">
        <f>(P48-N48)*(O38-O48)-(Q48-O48)*(N38-N48)</f>
        <v>0</v>
      </c>
      <c r="R1268" s="7">
        <f>(P48-N48)*(Q38-O48)-(Q48-O48)*(P38-N48)</f>
        <v>0</v>
      </c>
      <c r="S1268" s="7">
        <f>IF(N1268,IF(AND(O1268*P1268&lt;=0,Q1268*R1268&lt;=0,MAX(MIN(N38,P38),MIN(N48,P48))&lt;=MIN(MAX(N38,P38),MAX(N48,P48)),MAX(MIN(O38,Q38),MIN(O48,Q48))&lt;=MIN(MAX(O38,Q38),MAX(O48,Q48))),1,0),0)</f>
        <v>0</v>
      </c>
      <c r="T1268" s="7"/>
      <c r="U1268" s="7"/>
      <c r="V1268" s="7"/>
      <c r="W1268" s="7"/>
      <c r="X1268" s="7"/>
      <c r="Y1268" s="7"/>
      <c r="Z1268" s="7"/>
      <c r="AA1268" s="7"/>
      <c r="AB1268" s="7"/>
      <c r="AC1268" s="7"/>
      <c r="AD1268" s="7"/>
      <c r="AE1268" s="7"/>
      <c r="AF1268" s="7"/>
      <c r="AG1268" s="7"/>
      <c r="AH1268" s="7"/>
      <c r="AI1268" s="7"/>
    </row>
    <row r="1269" spans="12:35">
      <c r="L1269" s="7">
        <v>38</v>
      </c>
      <c r="M1269" s="7">
        <v>49</v>
      </c>
      <c r="N1269" s="7" t="b">
        <f>AND($N$6,$N$6,7&lt;=$M$6,18&lt;=$M$6)</f>
        <v>0</v>
      </c>
      <c r="O1269" s="7">
        <f>(P38-N38)*(O49-O38)-(Q38-O38)*(N49-N38)</f>
        <v>0</v>
      </c>
      <c r="P1269" s="7">
        <f>(P38-N38)*(Q49-O38)-(Q38-O38)*(P49-N38)</f>
        <v>0</v>
      </c>
      <c r="Q1269" s="7">
        <f>(P49-N49)*(O38-O49)-(Q49-O49)*(N38-N49)</f>
        <v>0</v>
      </c>
      <c r="R1269" s="7">
        <f>(P49-N49)*(Q38-O49)-(Q49-O49)*(P38-N49)</f>
        <v>0</v>
      </c>
      <c r="S1269" s="7">
        <f>IF(N1269,IF(AND(O1269*P1269&lt;=0,Q1269*R1269&lt;=0,MAX(MIN(N38,P38),MIN(N49,P49))&lt;=MIN(MAX(N38,P38),MAX(N49,P49)),MAX(MIN(O38,Q38),MIN(O49,Q49))&lt;=MIN(MAX(O38,Q38),MAX(O49,Q49))),1,0),0)</f>
        <v>0</v>
      </c>
      <c r="T1269" s="7"/>
      <c r="U1269" s="7"/>
      <c r="V1269" s="7"/>
      <c r="W1269" s="7"/>
      <c r="X1269" s="7"/>
      <c r="Y1269" s="7"/>
      <c r="Z1269" s="7"/>
      <c r="AA1269" s="7"/>
      <c r="AB1269" s="7"/>
      <c r="AC1269" s="7"/>
      <c r="AD1269" s="7"/>
      <c r="AE1269" s="7"/>
      <c r="AF1269" s="7"/>
      <c r="AG1269" s="7"/>
      <c r="AH1269" s="7"/>
      <c r="AI1269" s="7"/>
    </row>
    <row r="1270" spans="12:35">
      <c r="L1270" s="7">
        <v>38</v>
      </c>
      <c r="M1270" s="7">
        <v>50</v>
      </c>
      <c r="N1270" s="7" t="b">
        <f>AND($N$6,$N$6,7&lt;=$M$6,19&lt;=$M$6)</f>
        <v>0</v>
      </c>
      <c r="O1270" s="7">
        <f>(P38-N38)*(O50-O38)-(Q38-O38)*(N50-N38)</f>
        <v>0</v>
      </c>
      <c r="P1270" s="7">
        <f>(P38-N38)*(Q50-O38)-(Q38-O38)*(P50-N38)</f>
        <v>0</v>
      </c>
      <c r="Q1270" s="7">
        <f>(P50-N50)*(O38-O50)-(Q50-O50)*(N38-N50)</f>
        <v>0</v>
      </c>
      <c r="R1270" s="7">
        <f>(P50-N50)*(Q38-O50)-(Q50-O50)*(P38-N50)</f>
        <v>0</v>
      </c>
      <c r="S1270" s="7">
        <f>IF(N1270,IF(AND(O1270*P1270&lt;=0,Q1270*R1270&lt;=0,MAX(MIN(N38,P38),MIN(N50,P50))&lt;=MIN(MAX(N38,P38),MAX(N50,P50)),MAX(MIN(O38,Q38),MIN(O50,Q50))&lt;=MIN(MAX(O38,Q38),MAX(O50,Q50))),1,0),0)</f>
        <v>0</v>
      </c>
      <c r="T1270" s="7"/>
      <c r="U1270" s="7"/>
      <c r="V1270" s="7"/>
      <c r="W1270" s="7"/>
      <c r="X1270" s="7"/>
      <c r="Y1270" s="7"/>
      <c r="Z1270" s="7"/>
      <c r="AA1270" s="7"/>
      <c r="AB1270" s="7"/>
      <c r="AC1270" s="7"/>
      <c r="AD1270" s="7"/>
      <c r="AE1270" s="7"/>
      <c r="AF1270" s="7"/>
      <c r="AG1270" s="7"/>
      <c r="AH1270" s="7"/>
      <c r="AI1270" s="7"/>
    </row>
    <row r="1271" spans="12:35">
      <c r="L1271" s="7">
        <v>38</v>
      </c>
      <c r="M1271" s="7">
        <v>51</v>
      </c>
      <c r="N1271" s="7" t="b">
        <f>AND($N$6,$N$6,7&lt;=$M$6,20&lt;=$M$6)</f>
        <v>0</v>
      </c>
      <c r="O1271" s="7">
        <f>(P38-N38)*(O51-O38)-(Q38-O38)*(N51-N38)</f>
        <v>0</v>
      </c>
      <c r="P1271" s="7">
        <f>(P38-N38)*(Q51-O38)-(Q38-O38)*(P51-N38)</f>
        <v>0</v>
      </c>
      <c r="Q1271" s="7">
        <f>(P51-N51)*(O38-O51)-(Q51-O51)*(N38-N51)</f>
        <v>0</v>
      </c>
      <c r="R1271" s="7">
        <f>(P51-N51)*(Q38-O51)-(Q51-O51)*(P38-N51)</f>
        <v>0</v>
      </c>
      <c r="S1271" s="7">
        <f>IF(N1271,IF(AND(O1271*P1271&lt;=0,Q1271*R1271&lt;=0,MAX(MIN(N38,P38),MIN(N51,P51))&lt;=MIN(MAX(N38,P38),MAX(N51,P51)),MAX(MIN(O38,Q38),MIN(O51,Q51))&lt;=MIN(MAX(O38,Q38),MAX(O51,Q51))),1,0),0)</f>
        <v>0</v>
      </c>
      <c r="T1271" s="7"/>
      <c r="U1271" s="7"/>
      <c r="V1271" s="7"/>
      <c r="W1271" s="7"/>
      <c r="X1271" s="7"/>
      <c r="Y1271" s="7"/>
      <c r="Z1271" s="7"/>
      <c r="AA1271" s="7"/>
      <c r="AB1271" s="7"/>
      <c r="AC1271" s="7"/>
      <c r="AD1271" s="7"/>
      <c r="AE1271" s="7"/>
      <c r="AF1271" s="7"/>
      <c r="AG1271" s="7"/>
      <c r="AH1271" s="7"/>
      <c r="AI1271" s="7"/>
    </row>
    <row r="1272" spans="12:35">
      <c r="L1272" s="7">
        <v>38</v>
      </c>
      <c r="M1272" s="7">
        <v>52</v>
      </c>
      <c r="N1272" s="7" t="b">
        <f>AND($N$6,$N$7,7&lt;=$M$6,1&lt;=$M$7)</f>
        <v>0</v>
      </c>
      <c r="O1272" s="7">
        <f>(P38-N38)*(O52-O38)-(Q38-O38)*(N52-N38)</f>
        <v>0</v>
      </c>
      <c r="P1272" s="7">
        <f>(P38-N38)*(Q52-O38)-(Q38-O38)*(P52-N38)</f>
        <v>0</v>
      </c>
      <c r="Q1272" s="7">
        <f>(P52-N52)*(O38-O52)-(Q52-O52)*(N38-N52)</f>
        <v>0</v>
      </c>
      <c r="R1272" s="7">
        <f>(P52-N52)*(Q38-O52)-(Q52-O52)*(P38-N52)</f>
        <v>0</v>
      </c>
      <c r="S1272" s="7">
        <f>IF(N1272,IF(AND(O1272*P1272&lt;=0,Q1272*R1272&lt;=0,MAX(MIN(N38,P38),MIN(N52,P52))&lt;=MIN(MAX(N38,P38),MAX(N52,P52)),MAX(MIN(O38,Q38),MIN(O52,Q52))&lt;=MIN(MAX(O38,Q38),MAX(O52,Q52))),1,0),0)</f>
        <v>0</v>
      </c>
      <c r="T1272" s="7"/>
      <c r="U1272" s="7"/>
      <c r="V1272" s="7"/>
      <c r="W1272" s="7"/>
      <c r="X1272" s="7"/>
      <c r="Y1272" s="7"/>
      <c r="Z1272" s="7"/>
      <c r="AA1272" s="7"/>
      <c r="AB1272" s="7"/>
      <c r="AC1272" s="7"/>
      <c r="AD1272" s="7"/>
      <c r="AE1272" s="7"/>
      <c r="AF1272" s="7"/>
      <c r="AG1272" s="7"/>
      <c r="AH1272" s="7"/>
      <c r="AI1272" s="7"/>
    </row>
    <row r="1273" spans="12:35">
      <c r="L1273" s="7">
        <v>38</v>
      </c>
      <c r="M1273" s="7">
        <v>53</v>
      </c>
      <c r="N1273" s="7" t="b">
        <f>AND($N$6,$N$7,7&lt;=$M$6,2&lt;=$M$7)</f>
        <v>0</v>
      </c>
      <c r="O1273" s="7">
        <f>(P38-N38)*(O53-O38)-(Q38-O38)*(N53-N38)</f>
        <v>0</v>
      </c>
      <c r="P1273" s="7">
        <f>(P38-N38)*(Q53-O38)-(Q38-O38)*(P53-N38)</f>
        <v>0</v>
      </c>
      <c r="Q1273" s="7">
        <f>(P53-N53)*(O38-O53)-(Q53-O53)*(N38-N53)</f>
        <v>0</v>
      </c>
      <c r="R1273" s="7">
        <f>(P53-N53)*(Q38-O53)-(Q53-O53)*(P38-N53)</f>
        <v>0</v>
      </c>
      <c r="S1273" s="7">
        <f>IF(N1273,IF(AND(O1273*P1273&lt;=0,Q1273*R1273&lt;=0,MAX(MIN(N38,P38),MIN(N53,P53))&lt;=MIN(MAX(N38,P38),MAX(N53,P53)),MAX(MIN(O38,Q38),MIN(O53,Q53))&lt;=MIN(MAX(O38,Q38),MAX(O53,Q53))),1,0),0)</f>
        <v>0</v>
      </c>
      <c r="T1273" s="7"/>
      <c r="U1273" s="7"/>
      <c r="V1273" s="7"/>
      <c r="W1273" s="7"/>
      <c r="X1273" s="7"/>
      <c r="Y1273" s="7"/>
      <c r="Z1273" s="7"/>
      <c r="AA1273" s="7"/>
      <c r="AB1273" s="7"/>
      <c r="AC1273" s="7"/>
      <c r="AD1273" s="7"/>
      <c r="AE1273" s="7"/>
      <c r="AF1273" s="7"/>
      <c r="AG1273" s="7"/>
      <c r="AH1273" s="7"/>
      <c r="AI1273" s="7"/>
    </row>
    <row r="1274" spans="12:35">
      <c r="L1274" s="7">
        <v>38</v>
      </c>
      <c r="M1274" s="7">
        <v>54</v>
      </c>
      <c r="N1274" s="7" t="b">
        <f>AND($N$6,$N$7,7&lt;=$M$6,3&lt;=$M$7)</f>
        <v>0</v>
      </c>
      <c r="O1274" s="7">
        <f>(P38-N38)*(O54-O38)-(Q38-O38)*(N54-N38)</f>
        <v>0</v>
      </c>
      <c r="P1274" s="7">
        <f>(P38-N38)*(Q54-O38)-(Q38-O38)*(P54-N38)</f>
        <v>0</v>
      </c>
      <c r="Q1274" s="7">
        <f>(P54-N54)*(O38-O54)-(Q54-O54)*(N38-N54)</f>
        <v>0</v>
      </c>
      <c r="R1274" s="7">
        <f>(P54-N54)*(Q38-O54)-(Q54-O54)*(P38-N54)</f>
        <v>0</v>
      </c>
      <c r="S1274" s="7">
        <f>IF(N1274,IF(AND(O1274*P1274&lt;=0,Q1274*R1274&lt;=0,MAX(MIN(N38,P38),MIN(N54,P54))&lt;=MIN(MAX(N38,P38),MAX(N54,P54)),MAX(MIN(O38,Q38),MIN(O54,Q54))&lt;=MIN(MAX(O38,Q38),MAX(O54,Q54))),1,0),0)</f>
        <v>0</v>
      </c>
      <c r="T1274" s="7"/>
      <c r="U1274" s="7"/>
      <c r="V1274" s="7"/>
      <c r="W1274" s="7"/>
      <c r="X1274" s="7"/>
      <c r="Y1274" s="7"/>
      <c r="Z1274" s="7"/>
      <c r="AA1274" s="7"/>
      <c r="AB1274" s="7"/>
      <c r="AC1274" s="7"/>
      <c r="AD1274" s="7"/>
      <c r="AE1274" s="7"/>
      <c r="AF1274" s="7"/>
      <c r="AG1274" s="7"/>
      <c r="AH1274" s="7"/>
      <c r="AI1274" s="7"/>
    </row>
    <row r="1275" spans="12:35">
      <c r="L1275" s="7">
        <v>38</v>
      </c>
      <c r="M1275" s="7">
        <v>55</v>
      </c>
      <c r="N1275" s="7" t="b">
        <f>AND($N$6,$N$7,7&lt;=$M$6,4&lt;=$M$7)</f>
        <v>0</v>
      </c>
      <c r="O1275" s="7">
        <f>(P38-N38)*(O55-O38)-(Q38-O38)*(N55-N38)</f>
        <v>0</v>
      </c>
      <c r="P1275" s="7">
        <f>(P38-N38)*(Q55-O38)-(Q38-O38)*(P55-N38)</f>
        <v>0</v>
      </c>
      <c r="Q1275" s="7">
        <f>(P55-N55)*(O38-O55)-(Q55-O55)*(N38-N55)</f>
        <v>0</v>
      </c>
      <c r="R1275" s="7">
        <f>(P55-N55)*(Q38-O55)-(Q55-O55)*(P38-N55)</f>
        <v>0</v>
      </c>
      <c r="S1275" s="7">
        <f>IF(N1275,IF(AND(O1275*P1275&lt;=0,Q1275*R1275&lt;=0,MAX(MIN(N38,P38),MIN(N55,P55))&lt;=MIN(MAX(N38,P38),MAX(N55,P55)),MAX(MIN(O38,Q38),MIN(O55,Q55))&lt;=MIN(MAX(O38,Q38),MAX(O55,Q55))),1,0),0)</f>
        <v>0</v>
      </c>
      <c r="T1275" s="7"/>
      <c r="U1275" s="7"/>
      <c r="V1275" s="7"/>
      <c r="W1275" s="7"/>
      <c r="X1275" s="7"/>
      <c r="Y1275" s="7"/>
      <c r="Z1275" s="7"/>
      <c r="AA1275" s="7"/>
      <c r="AB1275" s="7"/>
      <c r="AC1275" s="7"/>
      <c r="AD1275" s="7"/>
      <c r="AE1275" s="7"/>
      <c r="AF1275" s="7"/>
      <c r="AG1275" s="7"/>
      <c r="AH1275" s="7"/>
      <c r="AI1275" s="7"/>
    </row>
    <row r="1276" spans="12:35">
      <c r="L1276" s="7">
        <v>38</v>
      </c>
      <c r="M1276" s="7">
        <v>56</v>
      </c>
      <c r="N1276" s="7" t="b">
        <f>AND($N$6,$N$7,7&lt;=$M$6,5&lt;=$M$7)</f>
        <v>0</v>
      </c>
      <c r="O1276" s="7">
        <f>(P38-N38)*(O56-O38)-(Q38-O38)*(N56-N38)</f>
        <v>0</v>
      </c>
      <c r="P1276" s="7">
        <f>(P38-N38)*(Q56-O38)-(Q38-O38)*(P56-N38)</f>
        <v>0</v>
      </c>
      <c r="Q1276" s="7">
        <f>(P56-N56)*(O38-O56)-(Q56-O56)*(N38-N56)</f>
        <v>0</v>
      </c>
      <c r="R1276" s="7">
        <f>(P56-N56)*(Q38-O56)-(Q56-O56)*(P38-N56)</f>
        <v>0</v>
      </c>
      <c r="S1276" s="7">
        <f>IF(N1276,IF(AND(O1276*P1276&lt;=0,Q1276*R1276&lt;=0,MAX(MIN(N38,P38),MIN(N56,P56))&lt;=MIN(MAX(N38,P38),MAX(N56,P56)),MAX(MIN(O38,Q38),MIN(O56,Q56))&lt;=MIN(MAX(O38,Q38),MAX(O56,Q56))),1,0),0)</f>
        <v>0</v>
      </c>
      <c r="T1276" s="7"/>
      <c r="U1276" s="7"/>
      <c r="V1276" s="7"/>
      <c r="W1276" s="7"/>
      <c r="X1276" s="7"/>
      <c r="Y1276" s="7"/>
      <c r="Z1276" s="7"/>
      <c r="AA1276" s="7"/>
      <c r="AB1276" s="7"/>
      <c r="AC1276" s="7"/>
      <c r="AD1276" s="7"/>
      <c r="AE1276" s="7"/>
      <c r="AF1276" s="7"/>
      <c r="AG1276" s="7"/>
      <c r="AH1276" s="7"/>
      <c r="AI1276" s="7"/>
    </row>
    <row r="1277" spans="12:35">
      <c r="L1277" s="7">
        <v>38</v>
      </c>
      <c r="M1277" s="7">
        <v>57</v>
      </c>
      <c r="N1277" s="7" t="b">
        <f>AND($N$6,$N$7,7&lt;=$M$6,6&lt;=$M$7)</f>
        <v>0</v>
      </c>
      <c r="O1277" s="7">
        <f>(P38-N38)*(O57-O38)-(Q38-O38)*(N57-N38)</f>
        <v>0</v>
      </c>
      <c r="P1277" s="7">
        <f>(P38-N38)*(Q57-O38)-(Q38-O38)*(P57-N38)</f>
        <v>0</v>
      </c>
      <c r="Q1277" s="7">
        <f>(P57-N57)*(O38-O57)-(Q57-O57)*(N38-N57)</f>
        <v>0</v>
      </c>
      <c r="R1277" s="7">
        <f>(P57-N57)*(Q38-O57)-(Q57-O57)*(P38-N57)</f>
        <v>0</v>
      </c>
      <c r="S1277" s="7">
        <f>IF(N1277,IF(AND(O1277*P1277&lt;=0,Q1277*R1277&lt;=0,MAX(MIN(N38,P38),MIN(N57,P57))&lt;=MIN(MAX(N38,P38),MAX(N57,P57)),MAX(MIN(O38,Q38),MIN(O57,Q57))&lt;=MIN(MAX(O38,Q38),MAX(O57,Q57))),1,0),0)</f>
        <v>0</v>
      </c>
      <c r="T1277" s="7"/>
      <c r="U1277" s="7"/>
      <c r="V1277" s="7"/>
      <c r="W1277" s="7"/>
      <c r="X1277" s="7"/>
      <c r="Y1277" s="7"/>
      <c r="Z1277" s="7"/>
      <c r="AA1277" s="7"/>
      <c r="AB1277" s="7"/>
      <c r="AC1277" s="7"/>
      <c r="AD1277" s="7"/>
      <c r="AE1277" s="7"/>
      <c r="AF1277" s="7"/>
      <c r="AG1277" s="7"/>
      <c r="AH1277" s="7"/>
      <c r="AI1277" s="7"/>
    </row>
    <row r="1278" spans="12:35">
      <c r="L1278" s="7">
        <v>38</v>
      </c>
      <c r="M1278" s="7">
        <v>58</v>
      </c>
      <c r="N1278" s="7" t="b">
        <f>AND($N$6,$N$7,7&lt;=$M$6,7&lt;=$M$7)</f>
        <v>0</v>
      </c>
      <c r="O1278" s="7">
        <f>(P38-N38)*(O58-O38)-(Q38-O38)*(N58-N38)</f>
        <v>0</v>
      </c>
      <c r="P1278" s="7">
        <f>(P38-N38)*(Q58-O38)-(Q38-O38)*(P58-N38)</f>
        <v>0</v>
      </c>
      <c r="Q1278" s="7">
        <f>(P58-N58)*(O38-O58)-(Q58-O58)*(N38-N58)</f>
        <v>0</v>
      </c>
      <c r="R1278" s="7">
        <f>(P58-N58)*(Q38-O58)-(Q58-O58)*(P38-N58)</f>
        <v>0</v>
      </c>
      <c r="S1278" s="7">
        <f>IF(N1278,IF(AND(O1278*P1278&lt;=0,Q1278*R1278&lt;=0,MAX(MIN(N38,P38),MIN(N58,P58))&lt;=MIN(MAX(N38,P38),MAX(N58,P58)),MAX(MIN(O38,Q38),MIN(O58,Q58))&lt;=MIN(MAX(O38,Q38),MAX(O58,Q58))),1,0),0)</f>
        <v>0</v>
      </c>
      <c r="T1278" s="7"/>
      <c r="U1278" s="7"/>
      <c r="V1278" s="7"/>
      <c r="W1278" s="7"/>
      <c r="X1278" s="7"/>
      <c r="Y1278" s="7"/>
      <c r="Z1278" s="7"/>
      <c r="AA1278" s="7"/>
      <c r="AB1278" s="7"/>
      <c r="AC1278" s="7"/>
      <c r="AD1278" s="7"/>
      <c r="AE1278" s="7"/>
      <c r="AF1278" s="7"/>
      <c r="AG1278" s="7"/>
      <c r="AH1278" s="7"/>
      <c r="AI1278" s="7"/>
    </row>
    <row r="1279" spans="12:35">
      <c r="L1279" s="7">
        <v>38</v>
      </c>
      <c r="M1279" s="7">
        <v>59</v>
      </c>
      <c r="N1279" s="7" t="b">
        <f>AND($N$6,$N$7,7&lt;=$M$6,8&lt;=$M$7)</f>
        <v>0</v>
      </c>
      <c r="O1279" s="7">
        <f>(P38-N38)*(O59-O38)-(Q38-O38)*(N59-N38)</f>
        <v>0</v>
      </c>
      <c r="P1279" s="7">
        <f>(P38-N38)*(Q59-O38)-(Q38-O38)*(P59-N38)</f>
        <v>0</v>
      </c>
      <c r="Q1279" s="7">
        <f>(P59-N59)*(O38-O59)-(Q59-O59)*(N38-N59)</f>
        <v>0</v>
      </c>
      <c r="R1279" s="7">
        <f>(P59-N59)*(Q38-O59)-(Q59-O59)*(P38-N59)</f>
        <v>0</v>
      </c>
      <c r="S1279" s="7">
        <f>IF(N1279,IF(AND(O1279*P1279&lt;=0,Q1279*R1279&lt;=0,MAX(MIN(N38,P38),MIN(N59,P59))&lt;=MIN(MAX(N38,P38),MAX(N59,P59)),MAX(MIN(O38,Q38),MIN(O59,Q59))&lt;=MIN(MAX(O38,Q38),MAX(O59,Q59))),1,0),0)</f>
        <v>0</v>
      </c>
      <c r="T1279" s="7"/>
      <c r="U1279" s="7"/>
      <c r="V1279" s="7"/>
      <c r="W1279" s="7"/>
      <c r="X1279" s="7"/>
      <c r="Y1279" s="7"/>
      <c r="Z1279" s="7"/>
      <c r="AA1279" s="7"/>
      <c r="AB1279" s="7"/>
      <c r="AC1279" s="7"/>
      <c r="AD1279" s="7"/>
      <c r="AE1279" s="7"/>
      <c r="AF1279" s="7"/>
      <c r="AG1279" s="7"/>
      <c r="AH1279" s="7"/>
      <c r="AI1279" s="7"/>
    </row>
    <row r="1280" spans="12:35">
      <c r="L1280" s="7">
        <v>38</v>
      </c>
      <c r="M1280" s="7">
        <v>60</v>
      </c>
      <c r="N1280" s="7" t="b">
        <f>AND($N$6,$N$7,7&lt;=$M$6,9&lt;=$M$7)</f>
        <v>0</v>
      </c>
      <c r="O1280" s="7">
        <f>(P38-N38)*(O60-O38)-(Q38-O38)*(N60-N38)</f>
        <v>0</v>
      </c>
      <c r="P1280" s="7">
        <f>(P38-N38)*(Q60-O38)-(Q38-O38)*(P60-N38)</f>
        <v>0</v>
      </c>
      <c r="Q1280" s="7">
        <f>(P60-N60)*(O38-O60)-(Q60-O60)*(N38-N60)</f>
        <v>0</v>
      </c>
      <c r="R1280" s="7">
        <f>(P60-N60)*(Q38-O60)-(Q60-O60)*(P38-N60)</f>
        <v>0</v>
      </c>
      <c r="S1280" s="7">
        <f>IF(N1280,IF(AND(O1280*P1280&lt;=0,Q1280*R1280&lt;=0,MAX(MIN(N38,P38),MIN(N60,P60))&lt;=MIN(MAX(N38,P38),MAX(N60,P60)),MAX(MIN(O38,Q38),MIN(O60,Q60))&lt;=MIN(MAX(O38,Q38),MAX(O60,Q60))),1,0),0)</f>
        <v>0</v>
      </c>
      <c r="T1280" s="7"/>
      <c r="U1280" s="7"/>
      <c r="V1280" s="7"/>
      <c r="W1280" s="7"/>
      <c r="X1280" s="7"/>
      <c r="Y1280" s="7"/>
      <c r="Z1280" s="7"/>
      <c r="AA1280" s="7"/>
      <c r="AB1280" s="7"/>
      <c r="AC1280" s="7"/>
      <c r="AD1280" s="7"/>
      <c r="AE1280" s="7"/>
      <c r="AF1280" s="7"/>
      <c r="AG1280" s="7"/>
      <c r="AH1280" s="7"/>
      <c r="AI1280" s="7"/>
    </row>
    <row r="1281" spans="12:35">
      <c r="L1281" s="7">
        <v>38</v>
      </c>
      <c r="M1281" s="7">
        <v>61</v>
      </c>
      <c r="N1281" s="7" t="b">
        <f>AND($N$6,$N$7,7&lt;=$M$6,10&lt;=$M$7)</f>
        <v>0</v>
      </c>
      <c r="O1281" s="7">
        <f>(P38-N38)*(O61-O38)-(Q38-O38)*(N61-N38)</f>
        <v>0</v>
      </c>
      <c r="P1281" s="7">
        <f>(P38-N38)*(Q61-O38)-(Q38-O38)*(P61-N38)</f>
        <v>0</v>
      </c>
      <c r="Q1281" s="7">
        <f>(P61-N61)*(O38-O61)-(Q61-O61)*(N38-N61)</f>
        <v>0</v>
      </c>
      <c r="R1281" s="7">
        <f>(P61-N61)*(Q38-O61)-(Q61-O61)*(P38-N61)</f>
        <v>0</v>
      </c>
      <c r="S1281" s="7">
        <f>IF(N1281,IF(AND(O1281*P1281&lt;=0,Q1281*R1281&lt;=0,MAX(MIN(N38,P38),MIN(N61,P61))&lt;=MIN(MAX(N38,P38),MAX(N61,P61)),MAX(MIN(O38,Q38),MIN(O61,Q61))&lt;=MIN(MAX(O38,Q38),MAX(O61,Q61))),1,0),0)</f>
        <v>0</v>
      </c>
      <c r="T1281" s="7"/>
      <c r="U1281" s="7"/>
      <c r="V1281" s="7"/>
      <c r="W1281" s="7"/>
      <c r="X1281" s="7"/>
      <c r="Y1281" s="7"/>
      <c r="Z1281" s="7"/>
      <c r="AA1281" s="7"/>
      <c r="AB1281" s="7"/>
      <c r="AC1281" s="7"/>
      <c r="AD1281" s="7"/>
      <c r="AE1281" s="7"/>
      <c r="AF1281" s="7"/>
      <c r="AG1281" s="7"/>
      <c r="AH1281" s="7"/>
      <c r="AI1281" s="7"/>
    </row>
    <row r="1282" spans="12:35">
      <c r="L1282" s="7">
        <v>38</v>
      </c>
      <c r="M1282" s="7">
        <v>62</v>
      </c>
      <c r="N1282" s="7" t="b">
        <f>AND($N$6,$N$7,7&lt;=$M$6,11&lt;=$M$7)</f>
        <v>0</v>
      </c>
      <c r="O1282" s="7">
        <f>(P38-N38)*(O62-O38)-(Q38-O38)*(N62-N38)</f>
        <v>0</v>
      </c>
      <c r="P1282" s="7">
        <f>(P38-N38)*(Q62-O38)-(Q38-O38)*(P62-N38)</f>
        <v>0</v>
      </c>
      <c r="Q1282" s="7">
        <f>(P62-N62)*(O38-O62)-(Q62-O62)*(N38-N62)</f>
        <v>0</v>
      </c>
      <c r="R1282" s="7">
        <f>(P62-N62)*(Q38-O62)-(Q62-O62)*(P38-N62)</f>
        <v>0</v>
      </c>
      <c r="S1282" s="7">
        <f>IF(N1282,IF(AND(O1282*P1282&lt;=0,Q1282*R1282&lt;=0,MAX(MIN(N38,P38),MIN(N62,P62))&lt;=MIN(MAX(N38,P38),MAX(N62,P62)),MAX(MIN(O38,Q38),MIN(O62,Q62))&lt;=MIN(MAX(O38,Q38),MAX(O62,Q62))),1,0),0)</f>
        <v>0</v>
      </c>
      <c r="T1282" s="7"/>
      <c r="U1282" s="7"/>
      <c r="V1282" s="7"/>
      <c r="W1282" s="7"/>
      <c r="X1282" s="7"/>
      <c r="Y1282" s="7"/>
      <c r="Z1282" s="7"/>
      <c r="AA1282" s="7"/>
      <c r="AB1282" s="7"/>
      <c r="AC1282" s="7"/>
      <c r="AD1282" s="7"/>
      <c r="AE1282" s="7"/>
      <c r="AF1282" s="7"/>
      <c r="AG1282" s="7"/>
      <c r="AH1282" s="7"/>
      <c r="AI1282" s="7"/>
    </row>
    <row r="1283" spans="12:35">
      <c r="L1283" s="7">
        <v>38</v>
      </c>
      <c r="M1283" s="7">
        <v>63</v>
      </c>
      <c r="N1283" s="7" t="b">
        <f>AND($N$6,$N$7,7&lt;=$M$6,12&lt;=$M$7)</f>
        <v>0</v>
      </c>
      <c r="O1283" s="7">
        <f>(P38-N38)*(O63-O38)-(Q38-O38)*(N63-N38)</f>
        <v>0</v>
      </c>
      <c r="P1283" s="7">
        <f>(P38-N38)*(Q63-O38)-(Q38-O38)*(P63-N38)</f>
        <v>0</v>
      </c>
      <c r="Q1283" s="7">
        <f>(P63-N63)*(O38-O63)-(Q63-O63)*(N38-N63)</f>
        <v>0</v>
      </c>
      <c r="R1283" s="7">
        <f>(P63-N63)*(Q38-O63)-(Q63-O63)*(P38-N63)</f>
        <v>0</v>
      </c>
      <c r="S1283" s="7">
        <f>IF(N1283,IF(AND(O1283*P1283&lt;=0,Q1283*R1283&lt;=0,MAX(MIN(N38,P38),MIN(N63,P63))&lt;=MIN(MAX(N38,P38),MAX(N63,P63)),MAX(MIN(O38,Q38),MIN(O63,Q63))&lt;=MIN(MAX(O38,Q38),MAX(O63,Q63))),1,0),0)</f>
        <v>0</v>
      </c>
      <c r="T1283" s="7"/>
      <c r="U1283" s="7"/>
      <c r="V1283" s="7"/>
      <c r="W1283" s="7"/>
      <c r="X1283" s="7"/>
      <c r="Y1283" s="7"/>
      <c r="Z1283" s="7"/>
      <c r="AA1283" s="7"/>
      <c r="AB1283" s="7"/>
      <c r="AC1283" s="7"/>
      <c r="AD1283" s="7"/>
      <c r="AE1283" s="7"/>
      <c r="AF1283" s="7"/>
      <c r="AG1283" s="7"/>
      <c r="AH1283" s="7"/>
      <c r="AI1283" s="7"/>
    </row>
    <row r="1284" spans="12:35">
      <c r="L1284" s="7">
        <v>38</v>
      </c>
      <c r="M1284" s="7">
        <v>64</v>
      </c>
      <c r="N1284" s="7" t="b">
        <f>AND($N$6,$N$7,7&lt;=$M$6,13&lt;=$M$7)</f>
        <v>0</v>
      </c>
      <c r="O1284" s="7">
        <f>(P38-N38)*(O64-O38)-(Q38-O38)*(N64-N38)</f>
        <v>0</v>
      </c>
      <c r="P1284" s="7">
        <f>(P38-N38)*(Q64-O38)-(Q38-O38)*(P64-N38)</f>
        <v>0</v>
      </c>
      <c r="Q1284" s="7">
        <f>(P64-N64)*(O38-O64)-(Q64-O64)*(N38-N64)</f>
        <v>0</v>
      </c>
      <c r="R1284" s="7">
        <f>(P64-N64)*(Q38-O64)-(Q64-O64)*(P38-N64)</f>
        <v>0</v>
      </c>
      <c r="S1284" s="7">
        <f>IF(N1284,IF(AND(O1284*P1284&lt;=0,Q1284*R1284&lt;=0,MAX(MIN(N38,P38),MIN(N64,P64))&lt;=MIN(MAX(N38,P38),MAX(N64,P64)),MAX(MIN(O38,Q38),MIN(O64,Q64))&lt;=MIN(MAX(O38,Q38),MAX(O64,Q64))),1,0),0)</f>
        <v>0</v>
      </c>
      <c r="T1284" s="7"/>
      <c r="U1284" s="7"/>
      <c r="V1284" s="7"/>
      <c r="W1284" s="7"/>
      <c r="X1284" s="7"/>
      <c r="Y1284" s="7"/>
      <c r="Z1284" s="7"/>
      <c r="AA1284" s="7"/>
      <c r="AB1284" s="7"/>
      <c r="AC1284" s="7"/>
      <c r="AD1284" s="7"/>
      <c r="AE1284" s="7"/>
      <c r="AF1284" s="7"/>
      <c r="AG1284" s="7"/>
      <c r="AH1284" s="7"/>
      <c r="AI1284" s="7"/>
    </row>
    <row r="1285" spans="12:35">
      <c r="L1285" s="7">
        <v>38</v>
      </c>
      <c r="M1285" s="7">
        <v>65</v>
      </c>
      <c r="N1285" s="7" t="b">
        <f>AND($N$6,$N$7,7&lt;=$M$6,14&lt;=$M$7)</f>
        <v>0</v>
      </c>
      <c r="O1285" s="7">
        <f>(P38-N38)*(O65-O38)-(Q38-O38)*(N65-N38)</f>
        <v>0</v>
      </c>
      <c r="P1285" s="7">
        <f>(P38-N38)*(Q65-O38)-(Q38-O38)*(P65-N38)</f>
        <v>0</v>
      </c>
      <c r="Q1285" s="7">
        <f>(P65-N65)*(O38-O65)-(Q65-O65)*(N38-N65)</f>
        <v>0</v>
      </c>
      <c r="R1285" s="7">
        <f>(P65-N65)*(Q38-O65)-(Q65-O65)*(P38-N65)</f>
        <v>0</v>
      </c>
      <c r="S1285" s="7">
        <f>IF(N1285,IF(AND(O1285*P1285&lt;=0,Q1285*R1285&lt;=0,MAX(MIN(N38,P38),MIN(N65,P65))&lt;=MIN(MAX(N38,P38),MAX(N65,P65)),MAX(MIN(O38,Q38),MIN(O65,Q65))&lt;=MIN(MAX(O38,Q38),MAX(O65,Q65))),1,0),0)</f>
        <v>0</v>
      </c>
      <c r="T1285" s="7"/>
      <c r="U1285" s="7"/>
      <c r="V1285" s="7"/>
      <c r="W1285" s="7"/>
      <c r="X1285" s="7"/>
      <c r="Y1285" s="7"/>
      <c r="Z1285" s="7"/>
      <c r="AA1285" s="7"/>
      <c r="AB1285" s="7"/>
      <c r="AC1285" s="7"/>
      <c r="AD1285" s="7"/>
      <c r="AE1285" s="7"/>
      <c r="AF1285" s="7"/>
      <c r="AG1285" s="7"/>
      <c r="AH1285" s="7"/>
      <c r="AI1285" s="7"/>
    </row>
    <row r="1286" spans="12:35">
      <c r="L1286" s="7">
        <v>38</v>
      </c>
      <c r="M1286" s="7">
        <v>66</v>
      </c>
      <c r="N1286" s="7" t="b">
        <f>AND($N$6,$N$7,7&lt;=$M$6,15&lt;=$M$7)</f>
        <v>0</v>
      </c>
      <c r="O1286" s="7">
        <f>(P38-N38)*(O66-O38)-(Q38-O38)*(N66-N38)</f>
        <v>0</v>
      </c>
      <c r="P1286" s="7">
        <f>(P38-N38)*(Q66-O38)-(Q38-O38)*(P66-N38)</f>
        <v>0</v>
      </c>
      <c r="Q1286" s="7">
        <f>(P66-N66)*(O38-O66)-(Q66-O66)*(N38-N66)</f>
        <v>0</v>
      </c>
      <c r="R1286" s="7">
        <f>(P66-N66)*(Q38-O66)-(Q66-O66)*(P38-N66)</f>
        <v>0</v>
      </c>
      <c r="S1286" s="7">
        <f>IF(N1286,IF(AND(O1286*P1286&lt;=0,Q1286*R1286&lt;=0,MAX(MIN(N38,P38),MIN(N66,P66))&lt;=MIN(MAX(N38,P38),MAX(N66,P66)),MAX(MIN(O38,Q38),MIN(O66,Q66))&lt;=MIN(MAX(O38,Q38),MAX(O66,Q66))),1,0),0)</f>
        <v>0</v>
      </c>
      <c r="T1286" s="7"/>
      <c r="U1286" s="7"/>
      <c r="V1286" s="7"/>
      <c r="W1286" s="7"/>
      <c r="X1286" s="7"/>
      <c r="Y1286" s="7"/>
      <c r="Z1286" s="7"/>
      <c r="AA1286" s="7"/>
      <c r="AB1286" s="7"/>
      <c r="AC1286" s="7"/>
      <c r="AD1286" s="7"/>
      <c r="AE1286" s="7"/>
      <c r="AF1286" s="7"/>
      <c r="AG1286" s="7"/>
      <c r="AH1286" s="7"/>
      <c r="AI1286" s="7"/>
    </row>
    <row r="1287" spans="12:35">
      <c r="L1287" s="7">
        <v>38</v>
      </c>
      <c r="M1287" s="7">
        <v>67</v>
      </c>
      <c r="N1287" s="7" t="b">
        <f>AND($N$6,$N$7,7&lt;=$M$6,16&lt;=$M$7)</f>
        <v>0</v>
      </c>
      <c r="O1287" s="7">
        <f>(P38-N38)*(O67-O38)-(Q38-O38)*(N67-N38)</f>
        <v>0</v>
      </c>
      <c r="P1287" s="7">
        <f>(P38-N38)*(Q67-O38)-(Q38-O38)*(P67-N38)</f>
        <v>0</v>
      </c>
      <c r="Q1287" s="7">
        <f>(P67-N67)*(O38-O67)-(Q67-O67)*(N38-N67)</f>
        <v>0</v>
      </c>
      <c r="R1287" s="7">
        <f>(P67-N67)*(Q38-O67)-(Q67-O67)*(P38-N67)</f>
        <v>0</v>
      </c>
      <c r="S1287" s="7">
        <f>IF(N1287,IF(AND(O1287*P1287&lt;=0,Q1287*R1287&lt;=0,MAX(MIN(N38,P38),MIN(N67,P67))&lt;=MIN(MAX(N38,P38),MAX(N67,P67)),MAX(MIN(O38,Q38),MIN(O67,Q67))&lt;=MIN(MAX(O38,Q38),MAX(O67,Q67))),1,0),0)</f>
        <v>0</v>
      </c>
      <c r="T1287" s="7"/>
      <c r="U1287" s="7"/>
      <c r="V1287" s="7"/>
      <c r="W1287" s="7"/>
      <c r="X1287" s="7"/>
      <c r="Y1287" s="7"/>
      <c r="Z1287" s="7"/>
      <c r="AA1287" s="7"/>
      <c r="AB1287" s="7"/>
      <c r="AC1287" s="7"/>
      <c r="AD1287" s="7"/>
      <c r="AE1287" s="7"/>
      <c r="AF1287" s="7"/>
      <c r="AG1287" s="7"/>
      <c r="AH1287" s="7"/>
      <c r="AI1287" s="7"/>
    </row>
    <row r="1288" spans="12:35">
      <c r="L1288" s="7">
        <v>38</v>
      </c>
      <c r="M1288" s="7">
        <v>68</v>
      </c>
      <c r="N1288" s="7" t="b">
        <f>AND($N$6,$N$7,7&lt;=$M$6,17&lt;=$M$7)</f>
        <v>0</v>
      </c>
      <c r="O1288" s="7">
        <f>(P38-N38)*(O68-O38)-(Q38-O38)*(N68-N38)</f>
        <v>0</v>
      </c>
      <c r="P1288" s="7">
        <f>(P38-N38)*(Q68-O38)-(Q38-O38)*(P68-N38)</f>
        <v>0</v>
      </c>
      <c r="Q1288" s="7">
        <f>(P68-N68)*(O38-O68)-(Q68-O68)*(N38-N68)</f>
        <v>0</v>
      </c>
      <c r="R1288" s="7">
        <f>(P68-N68)*(Q38-O68)-(Q68-O68)*(P38-N68)</f>
        <v>0</v>
      </c>
      <c r="S1288" s="7">
        <f>IF(N1288,IF(AND(O1288*P1288&lt;=0,Q1288*R1288&lt;=0,MAX(MIN(N38,P38),MIN(N68,P68))&lt;=MIN(MAX(N38,P38),MAX(N68,P68)),MAX(MIN(O38,Q38),MIN(O68,Q68))&lt;=MIN(MAX(O38,Q38),MAX(O68,Q68))),1,0),0)</f>
        <v>0</v>
      </c>
      <c r="T1288" s="7"/>
      <c r="U1288" s="7"/>
      <c r="V1288" s="7"/>
      <c r="W1288" s="7"/>
      <c r="X1288" s="7"/>
      <c r="Y1288" s="7"/>
      <c r="Z1288" s="7"/>
      <c r="AA1288" s="7"/>
      <c r="AB1288" s="7"/>
      <c r="AC1288" s="7"/>
      <c r="AD1288" s="7"/>
      <c r="AE1288" s="7"/>
      <c r="AF1288" s="7"/>
      <c r="AG1288" s="7"/>
      <c r="AH1288" s="7"/>
      <c r="AI1288" s="7"/>
    </row>
    <row r="1289" spans="12:35">
      <c r="L1289" s="7">
        <v>38</v>
      </c>
      <c r="M1289" s="7">
        <v>69</v>
      </c>
      <c r="N1289" s="7" t="b">
        <f>AND($N$6,$N$7,7&lt;=$M$6,18&lt;=$M$7)</f>
        <v>0</v>
      </c>
      <c r="O1289" s="7">
        <f>(P38-N38)*(O69-O38)-(Q38-O38)*(N69-N38)</f>
        <v>0</v>
      </c>
      <c r="P1289" s="7">
        <f>(P38-N38)*(Q69-O38)-(Q38-O38)*(P69-N38)</f>
        <v>0</v>
      </c>
      <c r="Q1289" s="7">
        <f>(P69-N69)*(O38-O69)-(Q69-O69)*(N38-N69)</f>
        <v>0</v>
      </c>
      <c r="R1289" s="7">
        <f>(P69-N69)*(Q38-O69)-(Q69-O69)*(P38-N69)</f>
        <v>0</v>
      </c>
      <c r="S1289" s="7">
        <f>IF(N1289,IF(AND(O1289*P1289&lt;=0,Q1289*R1289&lt;=0,MAX(MIN(N38,P38),MIN(N69,P69))&lt;=MIN(MAX(N38,P38),MAX(N69,P69)),MAX(MIN(O38,Q38),MIN(O69,Q69))&lt;=MIN(MAX(O38,Q38),MAX(O69,Q69))),1,0),0)</f>
        <v>0</v>
      </c>
      <c r="T1289" s="7"/>
      <c r="U1289" s="7"/>
      <c r="V1289" s="7"/>
      <c r="W1289" s="7"/>
      <c r="X1289" s="7"/>
      <c r="Y1289" s="7"/>
      <c r="Z1289" s="7"/>
      <c r="AA1289" s="7"/>
      <c r="AB1289" s="7"/>
      <c r="AC1289" s="7"/>
      <c r="AD1289" s="7"/>
      <c r="AE1289" s="7"/>
      <c r="AF1289" s="7"/>
      <c r="AG1289" s="7"/>
      <c r="AH1289" s="7"/>
      <c r="AI1289" s="7"/>
    </row>
    <row r="1290" spans="12:35">
      <c r="L1290" s="7">
        <v>38</v>
      </c>
      <c r="M1290" s="7">
        <v>70</v>
      </c>
      <c r="N1290" s="7" t="b">
        <f>AND($N$6,$N$7,7&lt;=$M$6,19&lt;=$M$7)</f>
        <v>0</v>
      </c>
      <c r="O1290" s="7">
        <f>(P38-N38)*(O70-O38)-(Q38-O38)*(N70-N38)</f>
        <v>0</v>
      </c>
      <c r="P1290" s="7">
        <f>(P38-N38)*(Q70-O38)-(Q38-O38)*(P70-N38)</f>
        <v>0</v>
      </c>
      <c r="Q1290" s="7">
        <f>(P70-N70)*(O38-O70)-(Q70-O70)*(N38-N70)</f>
        <v>0</v>
      </c>
      <c r="R1290" s="7">
        <f>(P70-N70)*(Q38-O70)-(Q70-O70)*(P38-N70)</f>
        <v>0</v>
      </c>
      <c r="S1290" s="7">
        <f>IF(N1290,IF(AND(O1290*P1290&lt;=0,Q1290*R1290&lt;=0,MAX(MIN(N38,P38),MIN(N70,P70))&lt;=MIN(MAX(N38,P38),MAX(N70,P70)),MAX(MIN(O38,Q38),MIN(O70,Q70))&lt;=MIN(MAX(O38,Q38),MAX(O70,Q70))),1,0),0)</f>
        <v>0</v>
      </c>
      <c r="T1290" s="7"/>
      <c r="U1290" s="7"/>
      <c r="V1290" s="7"/>
      <c r="W1290" s="7"/>
      <c r="X1290" s="7"/>
      <c r="Y1290" s="7"/>
      <c r="Z1290" s="7"/>
      <c r="AA1290" s="7"/>
      <c r="AB1290" s="7"/>
      <c r="AC1290" s="7"/>
      <c r="AD1290" s="7"/>
      <c r="AE1290" s="7"/>
      <c r="AF1290" s="7"/>
      <c r="AG1290" s="7"/>
      <c r="AH1290" s="7"/>
      <c r="AI1290" s="7"/>
    </row>
    <row r="1291" spans="12:35">
      <c r="L1291" s="7">
        <v>38</v>
      </c>
      <c r="M1291" s="7">
        <v>71</v>
      </c>
      <c r="N1291" s="7" t="b">
        <f>AND($N$6,$N$7,7&lt;=$M$6,20&lt;=$M$7)</f>
        <v>0</v>
      </c>
      <c r="O1291" s="7">
        <f>(P38-N38)*(O71-O38)-(Q38-O38)*(N71-N38)</f>
        <v>0</v>
      </c>
      <c r="P1291" s="7">
        <f>(P38-N38)*(Q71-O38)-(Q38-O38)*(P71-N38)</f>
        <v>0</v>
      </c>
      <c r="Q1291" s="7">
        <f>(P71-N71)*(O38-O71)-(Q71-O71)*(N38-N71)</f>
        <v>0</v>
      </c>
      <c r="R1291" s="7">
        <f>(P71-N71)*(Q38-O71)-(Q71-O71)*(P38-N71)</f>
        <v>0</v>
      </c>
      <c r="S1291" s="7">
        <f>IF(N1291,IF(AND(O1291*P1291&lt;=0,Q1291*R1291&lt;=0,MAX(MIN(N38,P38),MIN(N71,P71))&lt;=MIN(MAX(N38,P38),MAX(N71,P71)),MAX(MIN(O38,Q38),MIN(O71,Q71))&lt;=MIN(MAX(O38,Q38),MAX(O71,Q71))),1,0),0)</f>
        <v>0</v>
      </c>
      <c r="T1291" s="7"/>
      <c r="U1291" s="7"/>
      <c r="V1291" s="7"/>
      <c r="W1291" s="7"/>
      <c r="X1291" s="7"/>
      <c r="Y1291" s="7"/>
      <c r="Z1291" s="7"/>
      <c r="AA1291" s="7"/>
      <c r="AB1291" s="7"/>
      <c r="AC1291" s="7"/>
      <c r="AD1291" s="7"/>
      <c r="AE1291" s="7"/>
      <c r="AF1291" s="7"/>
      <c r="AG1291" s="7"/>
      <c r="AH1291" s="7"/>
      <c r="AI1291" s="7"/>
    </row>
    <row r="1292" spans="12:35">
      <c r="L1292" s="7">
        <v>39</v>
      </c>
      <c r="M1292" s="7">
        <v>41</v>
      </c>
      <c r="N1292" s="7" t="b">
        <f>AND($N$6,$N$6,8&lt;=$M$6,10&lt;=$M$6)</f>
        <v>0</v>
      </c>
      <c r="O1292" s="7">
        <f>(P39-N39)*(O41-O39)-(Q39-O39)*(N41-N39)</f>
        <v>0</v>
      </c>
      <c r="P1292" s="7">
        <f>(P39-N39)*(Q41-O39)-(Q39-O39)*(P41-N39)</f>
        <v>0</v>
      </c>
      <c r="Q1292" s="7">
        <f>(P41-N41)*(O39-O41)-(Q41-O41)*(N39-N41)</f>
        <v>0</v>
      </c>
      <c r="R1292" s="7">
        <f>(P41-N41)*(Q39-O41)-(Q41-O41)*(P39-N41)</f>
        <v>0</v>
      </c>
      <c r="S1292" s="7">
        <f>IF(N1292,IF(AND(O1292*P1292&lt;=0,Q1292*R1292&lt;=0,MAX(MIN(N39,P39),MIN(N41,P41))&lt;=MIN(MAX(N39,P39),MAX(N41,P41)),MAX(MIN(O39,Q39),MIN(O41,Q41))&lt;=MIN(MAX(O39,Q39),MAX(O41,Q41))),1,0),0)</f>
        <v>0</v>
      </c>
      <c r="T1292" s="7"/>
      <c r="U1292" s="7"/>
      <c r="V1292" s="7"/>
      <c r="W1292" s="7"/>
      <c r="X1292" s="7"/>
      <c r="Y1292" s="7"/>
      <c r="Z1292" s="7"/>
      <c r="AA1292" s="7"/>
      <c r="AB1292" s="7"/>
      <c r="AC1292" s="7"/>
      <c r="AD1292" s="7"/>
      <c r="AE1292" s="7"/>
      <c r="AF1292" s="7"/>
      <c r="AG1292" s="7"/>
      <c r="AH1292" s="7"/>
      <c r="AI1292" s="7"/>
    </row>
    <row r="1293" spans="12:35">
      <c r="L1293" s="7">
        <v>39</v>
      </c>
      <c r="M1293" s="7">
        <v>42</v>
      </c>
      <c r="N1293" s="7" t="b">
        <f>AND($N$6,$N$6,8&lt;=$M$6,11&lt;=$M$6)</f>
        <v>0</v>
      </c>
      <c r="O1293" s="7">
        <f>(P39-N39)*(O42-O39)-(Q39-O39)*(N42-N39)</f>
        <v>0</v>
      </c>
      <c r="P1293" s="7">
        <f>(P39-N39)*(Q42-O39)-(Q39-O39)*(P42-N39)</f>
        <v>0</v>
      </c>
      <c r="Q1293" s="7">
        <f>(P42-N42)*(O39-O42)-(Q42-O42)*(N39-N42)</f>
        <v>0</v>
      </c>
      <c r="R1293" s="7">
        <f>(P42-N42)*(Q39-O42)-(Q42-O42)*(P39-N42)</f>
        <v>0</v>
      </c>
      <c r="S1293" s="7">
        <f>IF(N1293,IF(AND(O1293*P1293&lt;=0,Q1293*R1293&lt;=0,MAX(MIN(N39,P39),MIN(N42,P42))&lt;=MIN(MAX(N39,P39),MAX(N42,P42)),MAX(MIN(O39,Q39),MIN(O42,Q42))&lt;=MIN(MAX(O39,Q39),MAX(O42,Q42))),1,0),0)</f>
        <v>0</v>
      </c>
      <c r="T1293" s="7"/>
      <c r="U1293" s="7"/>
      <c r="V1293" s="7"/>
      <c r="W1293" s="7"/>
      <c r="X1293" s="7"/>
      <c r="Y1293" s="7"/>
      <c r="Z1293" s="7"/>
      <c r="AA1293" s="7"/>
      <c r="AB1293" s="7"/>
      <c r="AC1293" s="7"/>
      <c r="AD1293" s="7"/>
      <c r="AE1293" s="7"/>
      <c r="AF1293" s="7"/>
      <c r="AG1293" s="7"/>
      <c r="AH1293" s="7"/>
      <c r="AI1293" s="7"/>
    </row>
    <row r="1294" spans="12:35">
      <c r="L1294" s="7">
        <v>39</v>
      </c>
      <c r="M1294" s="7">
        <v>43</v>
      </c>
      <c r="N1294" s="7" t="b">
        <f>AND($N$6,$N$6,8&lt;=$M$6,12&lt;=$M$6)</f>
        <v>0</v>
      </c>
      <c r="O1294" s="7">
        <f>(P39-N39)*(O43-O39)-(Q39-O39)*(N43-N39)</f>
        <v>0</v>
      </c>
      <c r="P1294" s="7">
        <f>(P39-N39)*(Q43-O39)-(Q39-O39)*(P43-N39)</f>
        <v>0</v>
      </c>
      <c r="Q1294" s="7">
        <f>(P43-N43)*(O39-O43)-(Q43-O43)*(N39-N43)</f>
        <v>0</v>
      </c>
      <c r="R1294" s="7">
        <f>(P43-N43)*(Q39-O43)-(Q43-O43)*(P39-N43)</f>
        <v>0</v>
      </c>
      <c r="S1294" s="7">
        <f>IF(N1294,IF(AND(O1294*P1294&lt;=0,Q1294*R1294&lt;=0,MAX(MIN(N39,P39),MIN(N43,P43))&lt;=MIN(MAX(N39,P39),MAX(N43,P43)),MAX(MIN(O39,Q39),MIN(O43,Q43))&lt;=MIN(MAX(O39,Q39),MAX(O43,Q43))),1,0),0)</f>
        <v>0</v>
      </c>
      <c r="T1294" s="7"/>
      <c r="U1294" s="7"/>
      <c r="V1294" s="7"/>
      <c r="W1294" s="7"/>
      <c r="X1294" s="7"/>
      <c r="Y1294" s="7"/>
      <c r="Z1294" s="7"/>
      <c r="AA1294" s="7"/>
      <c r="AB1294" s="7"/>
      <c r="AC1294" s="7"/>
      <c r="AD1294" s="7"/>
      <c r="AE1294" s="7"/>
      <c r="AF1294" s="7"/>
      <c r="AG1294" s="7"/>
      <c r="AH1294" s="7"/>
      <c r="AI1294" s="7"/>
    </row>
    <row r="1295" spans="12:35">
      <c r="L1295" s="7">
        <v>39</v>
      </c>
      <c r="M1295" s="7">
        <v>44</v>
      </c>
      <c r="N1295" s="7" t="b">
        <f>AND($N$6,$N$6,8&lt;=$M$6,13&lt;=$M$6)</f>
        <v>0</v>
      </c>
      <c r="O1295" s="7">
        <f>(P39-N39)*(O44-O39)-(Q39-O39)*(N44-N39)</f>
        <v>0</v>
      </c>
      <c r="P1295" s="7">
        <f>(P39-N39)*(Q44-O39)-(Q39-O39)*(P44-N39)</f>
        <v>0</v>
      </c>
      <c r="Q1295" s="7">
        <f>(P44-N44)*(O39-O44)-(Q44-O44)*(N39-N44)</f>
        <v>0</v>
      </c>
      <c r="R1295" s="7">
        <f>(P44-N44)*(Q39-O44)-(Q44-O44)*(P39-N44)</f>
        <v>0</v>
      </c>
      <c r="S1295" s="7">
        <f>IF(N1295,IF(AND(O1295*P1295&lt;=0,Q1295*R1295&lt;=0,MAX(MIN(N39,P39),MIN(N44,P44))&lt;=MIN(MAX(N39,P39),MAX(N44,P44)),MAX(MIN(O39,Q39),MIN(O44,Q44))&lt;=MIN(MAX(O39,Q39),MAX(O44,Q44))),1,0),0)</f>
        <v>0</v>
      </c>
      <c r="T1295" s="7"/>
      <c r="U1295" s="7"/>
      <c r="V1295" s="7"/>
      <c r="W1295" s="7"/>
      <c r="X1295" s="7"/>
      <c r="Y1295" s="7"/>
      <c r="Z1295" s="7"/>
      <c r="AA1295" s="7"/>
      <c r="AB1295" s="7"/>
      <c r="AC1295" s="7"/>
      <c r="AD1295" s="7"/>
      <c r="AE1295" s="7"/>
      <c r="AF1295" s="7"/>
      <c r="AG1295" s="7"/>
      <c r="AH1295" s="7"/>
      <c r="AI1295" s="7"/>
    </row>
    <row r="1296" spans="12:35">
      <c r="L1296" s="7">
        <v>39</v>
      </c>
      <c r="M1296" s="7">
        <v>45</v>
      </c>
      <c r="N1296" s="7" t="b">
        <f>AND($N$6,$N$6,8&lt;=$M$6,14&lt;=$M$6)</f>
        <v>0</v>
      </c>
      <c r="O1296" s="7">
        <f>(P39-N39)*(O45-O39)-(Q39-O39)*(N45-N39)</f>
        <v>0</v>
      </c>
      <c r="P1296" s="7">
        <f>(P39-N39)*(Q45-O39)-(Q39-O39)*(P45-N39)</f>
        <v>0</v>
      </c>
      <c r="Q1296" s="7">
        <f>(P45-N45)*(O39-O45)-(Q45-O45)*(N39-N45)</f>
        <v>0</v>
      </c>
      <c r="R1296" s="7">
        <f>(P45-N45)*(Q39-O45)-(Q45-O45)*(P39-N45)</f>
        <v>0</v>
      </c>
      <c r="S1296" s="7">
        <f>IF(N1296,IF(AND(O1296*P1296&lt;=0,Q1296*R1296&lt;=0,MAX(MIN(N39,P39),MIN(N45,P45))&lt;=MIN(MAX(N39,P39),MAX(N45,P45)),MAX(MIN(O39,Q39),MIN(O45,Q45))&lt;=MIN(MAX(O39,Q39),MAX(O45,Q45))),1,0),0)</f>
        <v>0</v>
      </c>
      <c r="T1296" s="7"/>
      <c r="U1296" s="7"/>
      <c r="V1296" s="7"/>
      <c r="W1296" s="7"/>
      <c r="X1296" s="7"/>
      <c r="Y1296" s="7"/>
      <c r="Z1296" s="7"/>
      <c r="AA1296" s="7"/>
      <c r="AB1296" s="7"/>
      <c r="AC1296" s="7"/>
      <c r="AD1296" s="7"/>
      <c r="AE1296" s="7"/>
      <c r="AF1296" s="7"/>
      <c r="AG1296" s="7"/>
      <c r="AH1296" s="7"/>
      <c r="AI1296" s="7"/>
    </row>
    <row r="1297" spans="12:35">
      <c r="L1297" s="7">
        <v>39</v>
      </c>
      <c r="M1297" s="7">
        <v>46</v>
      </c>
      <c r="N1297" s="7" t="b">
        <f>AND($N$6,$N$6,8&lt;=$M$6,15&lt;=$M$6)</f>
        <v>0</v>
      </c>
      <c r="O1297" s="7">
        <f>(P39-N39)*(O46-O39)-(Q39-O39)*(N46-N39)</f>
        <v>0</v>
      </c>
      <c r="P1297" s="7">
        <f>(P39-N39)*(Q46-O39)-(Q39-O39)*(P46-N39)</f>
        <v>0</v>
      </c>
      <c r="Q1297" s="7">
        <f>(P46-N46)*(O39-O46)-(Q46-O46)*(N39-N46)</f>
        <v>0</v>
      </c>
      <c r="R1297" s="7">
        <f>(P46-N46)*(Q39-O46)-(Q46-O46)*(P39-N46)</f>
        <v>0</v>
      </c>
      <c r="S1297" s="7">
        <f>IF(N1297,IF(AND(O1297*P1297&lt;=0,Q1297*R1297&lt;=0,MAX(MIN(N39,P39),MIN(N46,P46))&lt;=MIN(MAX(N39,P39),MAX(N46,P46)),MAX(MIN(O39,Q39),MIN(O46,Q46))&lt;=MIN(MAX(O39,Q39),MAX(O46,Q46))),1,0),0)</f>
        <v>0</v>
      </c>
      <c r="T1297" s="7"/>
      <c r="U1297" s="7"/>
      <c r="V1297" s="7"/>
      <c r="W1297" s="7"/>
      <c r="X1297" s="7"/>
      <c r="Y1297" s="7"/>
      <c r="Z1297" s="7"/>
      <c r="AA1297" s="7"/>
      <c r="AB1297" s="7"/>
      <c r="AC1297" s="7"/>
      <c r="AD1297" s="7"/>
      <c r="AE1297" s="7"/>
      <c r="AF1297" s="7"/>
      <c r="AG1297" s="7"/>
      <c r="AH1297" s="7"/>
      <c r="AI1297" s="7"/>
    </row>
    <row r="1298" spans="12:35">
      <c r="L1298" s="7">
        <v>39</v>
      </c>
      <c r="M1298" s="7">
        <v>47</v>
      </c>
      <c r="N1298" s="7" t="b">
        <f>AND($N$6,$N$6,8&lt;=$M$6,16&lt;=$M$6)</f>
        <v>0</v>
      </c>
      <c r="O1298" s="7">
        <f>(P39-N39)*(O47-O39)-(Q39-O39)*(N47-N39)</f>
        <v>0</v>
      </c>
      <c r="P1298" s="7">
        <f>(P39-N39)*(Q47-O39)-(Q39-O39)*(P47-N39)</f>
        <v>0</v>
      </c>
      <c r="Q1298" s="7">
        <f>(P47-N47)*(O39-O47)-(Q47-O47)*(N39-N47)</f>
        <v>0</v>
      </c>
      <c r="R1298" s="7">
        <f>(P47-N47)*(Q39-O47)-(Q47-O47)*(P39-N47)</f>
        <v>0</v>
      </c>
      <c r="S1298" s="7">
        <f>IF(N1298,IF(AND(O1298*P1298&lt;=0,Q1298*R1298&lt;=0,MAX(MIN(N39,P39),MIN(N47,P47))&lt;=MIN(MAX(N39,P39),MAX(N47,P47)),MAX(MIN(O39,Q39),MIN(O47,Q47))&lt;=MIN(MAX(O39,Q39),MAX(O47,Q47))),1,0),0)</f>
        <v>0</v>
      </c>
      <c r="T1298" s="7"/>
      <c r="U1298" s="7"/>
      <c r="V1298" s="7"/>
      <c r="W1298" s="7"/>
      <c r="X1298" s="7"/>
      <c r="Y1298" s="7"/>
      <c r="Z1298" s="7"/>
      <c r="AA1298" s="7"/>
      <c r="AB1298" s="7"/>
      <c r="AC1298" s="7"/>
      <c r="AD1298" s="7"/>
      <c r="AE1298" s="7"/>
      <c r="AF1298" s="7"/>
      <c r="AG1298" s="7"/>
      <c r="AH1298" s="7"/>
      <c r="AI1298" s="7"/>
    </row>
    <row r="1299" spans="12:35">
      <c r="L1299" s="7">
        <v>39</v>
      </c>
      <c r="M1299" s="7">
        <v>48</v>
      </c>
      <c r="N1299" s="7" t="b">
        <f>AND($N$6,$N$6,8&lt;=$M$6,17&lt;=$M$6)</f>
        <v>0</v>
      </c>
      <c r="O1299" s="7">
        <f>(P39-N39)*(O48-O39)-(Q39-O39)*(N48-N39)</f>
        <v>0</v>
      </c>
      <c r="P1299" s="7">
        <f>(P39-N39)*(Q48-O39)-(Q39-O39)*(P48-N39)</f>
        <v>0</v>
      </c>
      <c r="Q1299" s="7">
        <f>(P48-N48)*(O39-O48)-(Q48-O48)*(N39-N48)</f>
        <v>0</v>
      </c>
      <c r="R1299" s="7">
        <f>(P48-N48)*(Q39-O48)-(Q48-O48)*(P39-N48)</f>
        <v>0</v>
      </c>
      <c r="S1299" s="7">
        <f>IF(N1299,IF(AND(O1299*P1299&lt;=0,Q1299*R1299&lt;=0,MAX(MIN(N39,P39),MIN(N48,P48))&lt;=MIN(MAX(N39,P39),MAX(N48,P48)),MAX(MIN(O39,Q39),MIN(O48,Q48))&lt;=MIN(MAX(O39,Q39),MAX(O48,Q48))),1,0),0)</f>
        <v>0</v>
      </c>
      <c r="T1299" s="7"/>
      <c r="U1299" s="7"/>
      <c r="V1299" s="7"/>
      <c r="W1299" s="7"/>
      <c r="X1299" s="7"/>
      <c r="Y1299" s="7"/>
      <c r="Z1299" s="7"/>
      <c r="AA1299" s="7"/>
      <c r="AB1299" s="7"/>
      <c r="AC1299" s="7"/>
      <c r="AD1299" s="7"/>
      <c r="AE1299" s="7"/>
      <c r="AF1299" s="7"/>
      <c r="AG1299" s="7"/>
      <c r="AH1299" s="7"/>
      <c r="AI1299" s="7"/>
    </row>
    <row r="1300" spans="12:35">
      <c r="L1300" s="7">
        <v>39</v>
      </c>
      <c r="M1300" s="7">
        <v>49</v>
      </c>
      <c r="N1300" s="7" t="b">
        <f>AND($N$6,$N$6,8&lt;=$M$6,18&lt;=$M$6)</f>
        <v>0</v>
      </c>
      <c r="O1300" s="7">
        <f>(P39-N39)*(O49-O39)-(Q39-O39)*(N49-N39)</f>
        <v>0</v>
      </c>
      <c r="P1300" s="7">
        <f>(P39-N39)*(Q49-O39)-(Q39-O39)*(P49-N39)</f>
        <v>0</v>
      </c>
      <c r="Q1300" s="7">
        <f>(P49-N49)*(O39-O49)-(Q49-O49)*(N39-N49)</f>
        <v>0</v>
      </c>
      <c r="R1300" s="7">
        <f>(P49-N49)*(Q39-O49)-(Q49-O49)*(P39-N49)</f>
        <v>0</v>
      </c>
      <c r="S1300" s="7">
        <f>IF(N1300,IF(AND(O1300*P1300&lt;=0,Q1300*R1300&lt;=0,MAX(MIN(N39,P39),MIN(N49,P49))&lt;=MIN(MAX(N39,P39),MAX(N49,P49)),MAX(MIN(O39,Q39),MIN(O49,Q49))&lt;=MIN(MAX(O39,Q39),MAX(O49,Q49))),1,0),0)</f>
        <v>0</v>
      </c>
      <c r="T1300" s="7"/>
      <c r="U1300" s="7"/>
      <c r="V1300" s="7"/>
      <c r="W1300" s="7"/>
      <c r="X1300" s="7"/>
      <c r="Y1300" s="7"/>
      <c r="Z1300" s="7"/>
      <c r="AA1300" s="7"/>
      <c r="AB1300" s="7"/>
      <c r="AC1300" s="7"/>
      <c r="AD1300" s="7"/>
      <c r="AE1300" s="7"/>
      <c r="AF1300" s="7"/>
      <c r="AG1300" s="7"/>
      <c r="AH1300" s="7"/>
      <c r="AI1300" s="7"/>
    </row>
    <row r="1301" spans="12:35">
      <c r="L1301" s="7">
        <v>39</v>
      </c>
      <c r="M1301" s="7">
        <v>50</v>
      </c>
      <c r="N1301" s="7" t="b">
        <f>AND($N$6,$N$6,8&lt;=$M$6,19&lt;=$M$6)</f>
        <v>0</v>
      </c>
      <c r="O1301" s="7">
        <f>(P39-N39)*(O50-O39)-(Q39-O39)*(N50-N39)</f>
        <v>0</v>
      </c>
      <c r="P1301" s="7">
        <f>(P39-N39)*(Q50-O39)-(Q39-O39)*(P50-N39)</f>
        <v>0</v>
      </c>
      <c r="Q1301" s="7">
        <f>(P50-N50)*(O39-O50)-(Q50-O50)*(N39-N50)</f>
        <v>0</v>
      </c>
      <c r="R1301" s="7">
        <f>(P50-N50)*(Q39-O50)-(Q50-O50)*(P39-N50)</f>
        <v>0</v>
      </c>
      <c r="S1301" s="7">
        <f>IF(N1301,IF(AND(O1301*P1301&lt;=0,Q1301*R1301&lt;=0,MAX(MIN(N39,P39),MIN(N50,P50))&lt;=MIN(MAX(N39,P39),MAX(N50,P50)),MAX(MIN(O39,Q39),MIN(O50,Q50))&lt;=MIN(MAX(O39,Q39),MAX(O50,Q50))),1,0),0)</f>
        <v>0</v>
      </c>
      <c r="T1301" s="7"/>
      <c r="U1301" s="7"/>
      <c r="V1301" s="7"/>
      <c r="W1301" s="7"/>
      <c r="X1301" s="7"/>
      <c r="Y1301" s="7"/>
      <c r="Z1301" s="7"/>
      <c r="AA1301" s="7"/>
      <c r="AB1301" s="7"/>
      <c r="AC1301" s="7"/>
      <c r="AD1301" s="7"/>
      <c r="AE1301" s="7"/>
      <c r="AF1301" s="7"/>
      <c r="AG1301" s="7"/>
      <c r="AH1301" s="7"/>
      <c r="AI1301" s="7"/>
    </row>
    <row r="1302" spans="12:35">
      <c r="L1302" s="7">
        <v>39</v>
      </c>
      <c r="M1302" s="7">
        <v>51</v>
      </c>
      <c r="N1302" s="7" t="b">
        <f>AND($N$6,$N$6,8&lt;=$M$6,20&lt;=$M$6)</f>
        <v>0</v>
      </c>
      <c r="O1302" s="7">
        <f>(P39-N39)*(O51-O39)-(Q39-O39)*(N51-N39)</f>
        <v>0</v>
      </c>
      <c r="P1302" s="7">
        <f>(P39-N39)*(Q51-O39)-(Q39-O39)*(P51-N39)</f>
        <v>0</v>
      </c>
      <c r="Q1302" s="7">
        <f>(P51-N51)*(O39-O51)-(Q51-O51)*(N39-N51)</f>
        <v>0</v>
      </c>
      <c r="R1302" s="7">
        <f>(P51-N51)*(Q39-O51)-(Q51-O51)*(P39-N51)</f>
        <v>0</v>
      </c>
      <c r="S1302" s="7">
        <f>IF(N1302,IF(AND(O1302*P1302&lt;=0,Q1302*R1302&lt;=0,MAX(MIN(N39,P39),MIN(N51,P51))&lt;=MIN(MAX(N39,P39),MAX(N51,P51)),MAX(MIN(O39,Q39),MIN(O51,Q51))&lt;=MIN(MAX(O39,Q39),MAX(O51,Q51))),1,0),0)</f>
        <v>0</v>
      </c>
      <c r="T1302" s="7"/>
      <c r="U1302" s="7"/>
      <c r="V1302" s="7"/>
      <c r="W1302" s="7"/>
      <c r="X1302" s="7"/>
      <c r="Y1302" s="7"/>
      <c r="Z1302" s="7"/>
      <c r="AA1302" s="7"/>
      <c r="AB1302" s="7"/>
      <c r="AC1302" s="7"/>
      <c r="AD1302" s="7"/>
      <c r="AE1302" s="7"/>
      <c r="AF1302" s="7"/>
      <c r="AG1302" s="7"/>
      <c r="AH1302" s="7"/>
      <c r="AI1302" s="7"/>
    </row>
    <row r="1303" spans="12:35">
      <c r="L1303" s="7">
        <v>39</v>
      </c>
      <c r="M1303" s="7">
        <v>52</v>
      </c>
      <c r="N1303" s="7" t="b">
        <f>AND($N$6,$N$7,8&lt;=$M$6,1&lt;=$M$7)</f>
        <v>0</v>
      </c>
      <c r="O1303" s="7">
        <f>(P39-N39)*(O52-O39)-(Q39-O39)*(N52-N39)</f>
        <v>0</v>
      </c>
      <c r="P1303" s="7">
        <f>(P39-N39)*(Q52-O39)-(Q39-O39)*(P52-N39)</f>
        <v>0</v>
      </c>
      <c r="Q1303" s="7">
        <f>(P52-N52)*(O39-O52)-(Q52-O52)*(N39-N52)</f>
        <v>0</v>
      </c>
      <c r="R1303" s="7">
        <f>(P52-N52)*(Q39-O52)-(Q52-O52)*(P39-N52)</f>
        <v>0</v>
      </c>
      <c r="S1303" s="7">
        <f>IF(N1303,IF(AND(O1303*P1303&lt;=0,Q1303*R1303&lt;=0,MAX(MIN(N39,P39),MIN(N52,P52))&lt;=MIN(MAX(N39,P39),MAX(N52,P52)),MAX(MIN(O39,Q39),MIN(O52,Q52))&lt;=MIN(MAX(O39,Q39),MAX(O52,Q52))),1,0),0)</f>
        <v>0</v>
      </c>
      <c r="T1303" s="7"/>
      <c r="U1303" s="7"/>
      <c r="V1303" s="7"/>
      <c r="W1303" s="7"/>
      <c r="X1303" s="7"/>
      <c r="Y1303" s="7"/>
      <c r="Z1303" s="7"/>
      <c r="AA1303" s="7"/>
      <c r="AB1303" s="7"/>
      <c r="AC1303" s="7"/>
      <c r="AD1303" s="7"/>
      <c r="AE1303" s="7"/>
      <c r="AF1303" s="7"/>
      <c r="AG1303" s="7"/>
      <c r="AH1303" s="7"/>
      <c r="AI1303" s="7"/>
    </row>
    <row r="1304" spans="12:35">
      <c r="L1304" s="7">
        <v>39</v>
      </c>
      <c r="M1304" s="7">
        <v>53</v>
      </c>
      <c r="N1304" s="7" t="b">
        <f>AND($N$6,$N$7,8&lt;=$M$6,2&lt;=$M$7)</f>
        <v>0</v>
      </c>
      <c r="O1304" s="7">
        <f>(P39-N39)*(O53-O39)-(Q39-O39)*(N53-N39)</f>
        <v>0</v>
      </c>
      <c r="P1304" s="7">
        <f>(P39-N39)*(Q53-O39)-(Q39-O39)*(P53-N39)</f>
        <v>0</v>
      </c>
      <c r="Q1304" s="7">
        <f>(P53-N53)*(O39-O53)-(Q53-O53)*(N39-N53)</f>
        <v>0</v>
      </c>
      <c r="R1304" s="7">
        <f>(P53-N53)*(Q39-O53)-(Q53-O53)*(P39-N53)</f>
        <v>0</v>
      </c>
      <c r="S1304" s="7">
        <f>IF(N1304,IF(AND(O1304*P1304&lt;=0,Q1304*R1304&lt;=0,MAX(MIN(N39,P39),MIN(N53,P53))&lt;=MIN(MAX(N39,P39),MAX(N53,P53)),MAX(MIN(O39,Q39),MIN(O53,Q53))&lt;=MIN(MAX(O39,Q39),MAX(O53,Q53))),1,0),0)</f>
        <v>0</v>
      </c>
      <c r="T1304" s="7"/>
      <c r="U1304" s="7"/>
      <c r="V1304" s="7"/>
      <c r="W1304" s="7"/>
      <c r="X1304" s="7"/>
      <c r="Y1304" s="7"/>
      <c r="Z1304" s="7"/>
      <c r="AA1304" s="7"/>
      <c r="AB1304" s="7"/>
      <c r="AC1304" s="7"/>
      <c r="AD1304" s="7"/>
      <c r="AE1304" s="7"/>
      <c r="AF1304" s="7"/>
      <c r="AG1304" s="7"/>
      <c r="AH1304" s="7"/>
      <c r="AI1304" s="7"/>
    </row>
    <row r="1305" spans="12:35">
      <c r="L1305" s="7">
        <v>39</v>
      </c>
      <c r="M1305" s="7">
        <v>54</v>
      </c>
      <c r="N1305" s="7" t="b">
        <f>AND($N$6,$N$7,8&lt;=$M$6,3&lt;=$M$7)</f>
        <v>0</v>
      </c>
      <c r="O1305" s="7">
        <f>(P39-N39)*(O54-O39)-(Q39-O39)*(N54-N39)</f>
        <v>0</v>
      </c>
      <c r="P1305" s="7">
        <f>(P39-N39)*(Q54-O39)-(Q39-O39)*(P54-N39)</f>
        <v>0</v>
      </c>
      <c r="Q1305" s="7">
        <f>(P54-N54)*(O39-O54)-(Q54-O54)*(N39-N54)</f>
        <v>0</v>
      </c>
      <c r="R1305" s="7">
        <f>(P54-N54)*(Q39-O54)-(Q54-O54)*(P39-N54)</f>
        <v>0</v>
      </c>
      <c r="S1305" s="7">
        <f>IF(N1305,IF(AND(O1305*P1305&lt;=0,Q1305*R1305&lt;=0,MAX(MIN(N39,P39),MIN(N54,P54))&lt;=MIN(MAX(N39,P39),MAX(N54,P54)),MAX(MIN(O39,Q39),MIN(O54,Q54))&lt;=MIN(MAX(O39,Q39),MAX(O54,Q54))),1,0),0)</f>
        <v>0</v>
      </c>
      <c r="T1305" s="7"/>
      <c r="U1305" s="7"/>
      <c r="V1305" s="7"/>
      <c r="W1305" s="7"/>
      <c r="X1305" s="7"/>
      <c r="Y1305" s="7"/>
      <c r="Z1305" s="7"/>
      <c r="AA1305" s="7"/>
      <c r="AB1305" s="7"/>
      <c r="AC1305" s="7"/>
      <c r="AD1305" s="7"/>
      <c r="AE1305" s="7"/>
      <c r="AF1305" s="7"/>
      <c r="AG1305" s="7"/>
      <c r="AH1305" s="7"/>
      <c r="AI1305" s="7"/>
    </row>
    <row r="1306" spans="12:35">
      <c r="L1306" s="7">
        <v>39</v>
      </c>
      <c r="M1306" s="7">
        <v>55</v>
      </c>
      <c r="N1306" s="7" t="b">
        <f>AND($N$6,$N$7,8&lt;=$M$6,4&lt;=$M$7)</f>
        <v>0</v>
      </c>
      <c r="O1306" s="7">
        <f>(P39-N39)*(O55-O39)-(Q39-O39)*(N55-N39)</f>
        <v>0</v>
      </c>
      <c r="P1306" s="7">
        <f>(P39-N39)*(Q55-O39)-(Q39-O39)*(P55-N39)</f>
        <v>0</v>
      </c>
      <c r="Q1306" s="7">
        <f>(P55-N55)*(O39-O55)-(Q55-O55)*(N39-N55)</f>
        <v>0</v>
      </c>
      <c r="R1306" s="7">
        <f>(P55-N55)*(Q39-O55)-(Q55-O55)*(P39-N55)</f>
        <v>0</v>
      </c>
      <c r="S1306" s="7">
        <f>IF(N1306,IF(AND(O1306*P1306&lt;=0,Q1306*R1306&lt;=0,MAX(MIN(N39,P39),MIN(N55,P55))&lt;=MIN(MAX(N39,P39),MAX(N55,P55)),MAX(MIN(O39,Q39),MIN(O55,Q55))&lt;=MIN(MAX(O39,Q39),MAX(O55,Q55))),1,0),0)</f>
        <v>0</v>
      </c>
      <c r="T1306" s="7"/>
      <c r="U1306" s="7"/>
      <c r="V1306" s="7"/>
      <c r="W1306" s="7"/>
      <c r="X1306" s="7"/>
      <c r="Y1306" s="7"/>
      <c r="Z1306" s="7"/>
      <c r="AA1306" s="7"/>
      <c r="AB1306" s="7"/>
      <c r="AC1306" s="7"/>
      <c r="AD1306" s="7"/>
      <c r="AE1306" s="7"/>
      <c r="AF1306" s="7"/>
      <c r="AG1306" s="7"/>
      <c r="AH1306" s="7"/>
      <c r="AI1306" s="7"/>
    </row>
    <row r="1307" spans="12:35">
      <c r="L1307" s="7">
        <v>39</v>
      </c>
      <c r="M1307" s="7">
        <v>56</v>
      </c>
      <c r="N1307" s="7" t="b">
        <f>AND($N$6,$N$7,8&lt;=$M$6,5&lt;=$M$7)</f>
        <v>0</v>
      </c>
      <c r="O1307" s="7">
        <f>(P39-N39)*(O56-O39)-(Q39-O39)*(N56-N39)</f>
        <v>0</v>
      </c>
      <c r="P1307" s="7">
        <f>(P39-N39)*(Q56-O39)-(Q39-O39)*(P56-N39)</f>
        <v>0</v>
      </c>
      <c r="Q1307" s="7">
        <f>(P56-N56)*(O39-O56)-(Q56-O56)*(N39-N56)</f>
        <v>0</v>
      </c>
      <c r="R1307" s="7">
        <f>(P56-N56)*(Q39-O56)-(Q56-O56)*(P39-N56)</f>
        <v>0</v>
      </c>
      <c r="S1307" s="7">
        <f>IF(N1307,IF(AND(O1307*P1307&lt;=0,Q1307*R1307&lt;=0,MAX(MIN(N39,P39),MIN(N56,P56))&lt;=MIN(MAX(N39,P39),MAX(N56,P56)),MAX(MIN(O39,Q39),MIN(O56,Q56))&lt;=MIN(MAX(O39,Q39),MAX(O56,Q56))),1,0),0)</f>
        <v>0</v>
      </c>
      <c r="T1307" s="7"/>
      <c r="U1307" s="7"/>
      <c r="V1307" s="7"/>
      <c r="W1307" s="7"/>
      <c r="X1307" s="7"/>
      <c r="Y1307" s="7"/>
      <c r="Z1307" s="7"/>
      <c r="AA1307" s="7"/>
      <c r="AB1307" s="7"/>
      <c r="AC1307" s="7"/>
      <c r="AD1307" s="7"/>
      <c r="AE1307" s="7"/>
      <c r="AF1307" s="7"/>
      <c r="AG1307" s="7"/>
      <c r="AH1307" s="7"/>
      <c r="AI1307" s="7"/>
    </row>
    <row r="1308" spans="12:35">
      <c r="L1308" s="7">
        <v>39</v>
      </c>
      <c r="M1308" s="7">
        <v>57</v>
      </c>
      <c r="N1308" s="7" t="b">
        <f>AND($N$6,$N$7,8&lt;=$M$6,6&lt;=$M$7)</f>
        <v>0</v>
      </c>
      <c r="O1308" s="7">
        <f>(P39-N39)*(O57-O39)-(Q39-O39)*(N57-N39)</f>
        <v>0</v>
      </c>
      <c r="P1308" s="7">
        <f>(P39-N39)*(Q57-O39)-(Q39-O39)*(P57-N39)</f>
        <v>0</v>
      </c>
      <c r="Q1308" s="7">
        <f>(P57-N57)*(O39-O57)-(Q57-O57)*(N39-N57)</f>
        <v>0</v>
      </c>
      <c r="R1308" s="7">
        <f>(P57-N57)*(Q39-O57)-(Q57-O57)*(P39-N57)</f>
        <v>0</v>
      </c>
      <c r="S1308" s="7">
        <f>IF(N1308,IF(AND(O1308*P1308&lt;=0,Q1308*R1308&lt;=0,MAX(MIN(N39,P39),MIN(N57,P57))&lt;=MIN(MAX(N39,P39),MAX(N57,P57)),MAX(MIN(O39,Q39),MIN(O57,Q57))&lt;=MIN(MAX(O39,Q39),MAX(O57,Q57))),1,0),0)</f>
        <v>0</v>
      </c>
      <c r="T1308" s="7"/>
      <c r="U1308" s="7"/>
      <c r="V1308" s="7"/>
      <c r="W1308" s="7"/>
      <c r="X1308" s="7"/>
      <c r="Y1308" s="7"/>
      <c r="Z1308" s="7"/>
      <c r="AA1308" s="7"/>
      <c r="AB1308" s="7"/>
      <c r="AC1308" s="7"/>
      <c r="AD1308" s="7"/>
      <c r="AE1308" s="7"/>
      <c r="AF1308" s="7"/>
      <c r="AG1308" s="7"/>
      <c r="AH1308" s="7"/>
      <c r="AI1308" s="7"/>
    </row>
    <row r="1309" spans="12:35">
      <c r="L1309" s="7">
        <v>39</v>
      </c>
      <c r="M1309" s="7">
        <v>58</v>
      </c>
      <c r="N1309" s="7" t="b">
        <f>AND($N$6,$N$7,8&lt;=$M$6,7&lt;=$M$7)</f>
        <v>0</v>
      </c>
      <c r="O1309" s="7">
        <f>(P39-N39)*(O58-O39)-(Q39-O39)*(N58-N39)</f>
        <v>0</v>
      </c>
      <c r="P1309" s="7">
        <f>(P39-N39)*(Q58-O39)-(Q39-O39)*(P58-N39)</f>
        <v>0</v>
      </c>
      <c r="Q1309" s="7">
        <f>(P58-N58)*(O39-O58)-(Q58-O58)*(N39-N58)</f>
        <v>0</v>
      </c>
      <c r="R1309" s="7">
        <f>(P58-N58)*(Q39-O58)-(Q58-O58)*(P39-N58)</f>
        <v>0</v>
      </c>
      <c r="S1309" s="7">
        <f>IF(N1309,IF(AND(O1309*P1309&lt;=0,Q1309*R1309&lt;=0,MAX(MIN(N39,P39),MIN(N58,P58))&lt;=MIN(MAX(N39,P39),MAX(N58,P58)),MAX(MIN(O39,Q39),MIN(O58,Q58))&lt;=MIN(MAX(O39,Q39),MAX(O58,Q58))),1,0),0)</f>
        <v>0</v>
      </c>
      <c r="T1309" s="7"/>
      <c r="U1309" s="7"/>
      <c r="V1309" s="7"/>
      <c r="W1309" s="7"/>
      <c r="X1309" s="7"/>
      <c r="Y1309" s="7"/>
      <c r="Z1309" s="7"/>
      <c r="AA1309" s="7"/>
      <c r="AB1309" s="7"/>
      <c r="AC1309" s="7"/>
      <c r="AD1309" s="7"/>
      <c r="AE1309" s="7"/>
      <c r="AF1309" s="7"/>
      <c r="AG1309" s="7"/>
      <c r="AH1309" s="7"/>
      <c r="AI1309" s="7"/>
    </row>
    <row r="1310" spans="12:35">
      <c r="L1310" s="7">
        <v>39</v>
      </c>
      <c r="M1310" s="7">
        <v>59</v>
      </c>
      <c r="N1310" s="7" t="b">
        <f>AND($N$6,$N$7,8&lt;=$M$6,8&lt;=$M$7)</f>
        <v>0</v>
      </c>
      <c r="O1310" s="7">
        <f>(P39-N39)*(O59-O39)-(Q39-O39)*(N59-N39)</f>
        <v>0</v>
      </c>
      <c r="P1310" s="7">
        <f>(P39-N39)*(Q59-O39)-(Q39-O39)*(P59-N39)</f>
        <v>0</v>
      </c>
      <c r="Q1310" s="7">
        <f>(P59-N59)*(O39-O59)-(Q59-O59)*(N39-N59)</f>
        <v>0</v>
      </c>
      <c r="R1310" s="7">
        <f>(P59-N59)*(Q39-O59)-(Q59-O59)*(P39-N59)</f>
        <v>0</v>
      </c>
      <c r="S1310" s="7">
        <f>IF(N1310,IF(AND(O1310*P1310&lt;=0,Q1310*R1310&lt;=0,MAX(MIN(N39,P39),MIN(N59,P59))&lt;=MIN(MAX(N39,P39),MAX(N59,P59)),MAX(MIN(O39,Q39),MIN(O59,Q59))&lt;=MIN(MAX(O39,Q39),MAX(O59,Q59))),1,0),0)</f>
        <v>0</v>
      </c>
      <c r="T1310" s="7"/>
      <c r="U1310" s="7"/>
      <c r="V1310" s="7"/>
      <c r="W1310" s="7"/>
      <c r="X1310" s="7"/>
      <c r="Y1310" s="7"/>
      <c r="Z1310" s="7"/>
      <c r="AA1310" s="7"/>
      <c r="AB1310" s="7"/>
      <c r="AC1310" s="7"/>
      <c r="AD1310" s="7"/>
      <c r="AE1310" s="7"/>
      <c r="AF1310" s="7"/>
      <c r="AG1310" s="7"/>
      <c r="AH1310" s="7"/>
      <c r="AI1310" s="7"/>
    </row>
    <row r="1311" spans="12:35">
      <c r="L1311" s="7">
        <v>39</v>
      </c>
      <c r="M1311" s="7">
        <v>60</v>
      </c>
      <c r="N1311" s="7" t="b">
        <f>AND($N$6,$N$7,8&lt;=$M$6,9&lt;=$M$7)</f>
        <v>0</v>
      </c>
      <c r="O1311" s="7">
        <f>(P39-N39)*(O60-O39)-(Q39-O39)*(N60-N39)</f>
        <v>0</v>
      </c>
      <c r="P1311" s="7">
        <f>(P39-N39)*(Q60-O39)-(Q39-O39)*(P60-N39)</f>
        <v>0</v>
      </c>
      <c r="Q1311" s="7">
        <f>(P60-N60)*(O39-O60)-(Q60-O60)*(N39-N60)</f>
        <v>0</v>
      </c>
      <c r="R1311" s="7">
        <f>(P60-N60)*(Q39-O60)-(Q60-O60)*(P39-N60)</f>
        <v>0</v>
      </c>
      <c r="S1311" s="7">
        <f>IF(N1311,IF(AND(O1311*P1311&lt;=0,Q1311*R1311&lt;=0,MAX(MIN(N39,P39),MIN(N60,P60))&lt;=MIN(MAX(N39,P39),MAX(N60,P60)),MAX(MIN(O39,Q39),MIN(O60,Q60))&lt;=MIN(MAX(O39,Q39),MAX(O60,Q60))),1,0),0)</f>
        <v>0</v>
      </c>
      <c r="T1311" s="7"/>
      <c r="U1311" s="7"/>
      <c r="V1311" s="7"/>
      <c r="W1311" s="7"/>
      <c r="X1311" s="7"/>
      <c r="Y1311" s="7"/>
      <c r="Z1311" s="7"/>
      <c r="AA1311" s="7"/>
      <c r="AB1311" s="7"/>
      <c r="AC1311" s="7"/>
      <c r="AD1311" s="7"/>
      <c r="AE1311" s="7"/>
      <c r="AF1311" s="7"/>
      <c r="AG1311" s="7"/>
      <c r="AH1311" s="7"/>
      <c r="AI1311" s="7"/>
    </row>
    <row r="1312" spans="12:35">
      <c r="L1312" s="7">
        <v>39</v>
      </c>
      <c r="M1312" s="7">
        <v>61</v>
      </c>
      <c r="N1312" s="7" t="b">
        <f>AND($N$6,$N$7,8&lt;=$M$6,10&lt;=$M$7)</f>
        <v>0</v>
      </c>
      <c r="O1312" s="7">
        <f>(P39-N39)*(O61-O39)-(Q39-O39)*(N61-N39)</f>
        <v>0</v>
      </c>
      <c r="P1312" s="7">
        <f>(P39-N39)*(Q61-O39)-(Q39-O39)*(P61-N39)</f>
        <v>0</v>
      </c>
      <c r="Q1312" s="7">
        <f>(P61-N61)*(O39-O61)-(Q61-O61)*(N39-N61)</f>
        <v>0</v>
      </c>
      <c r="R1312" s="7">
        <f>(P61-N61)*(Q39-O61)-(Q61-O61)*(P39-N61)</f>
        <v>0</v>
      </c>
      <c r="S1312" s="7">
        <f>IF(N1312,IF(AND(O1312*P1312&lt;=0,Q1312*R1312&lt;=0,MAX(MIN(N39,P39),MIN(N61,P61))&lt;=MIN(MAX(N39,P39),MAX(N61,P61)),MAX(MIN(O39,Q39),MIN(O61,Q61))&lt;=MIN(MAX(O39,Q39),MAX(O61,Q61))),1,0),0)</f>
        <v>0</v>
      </c>
      <c r="T1312" s="7"/>
      <c r="U1312" s="7"/>
      <c r="V1312" s="7"/>
      <c r="W1312" s="7"/>
      <c r="X1312" s="7"/>
      <c r="Y1312" s="7"/>
      <c r="Z1312" s="7"/>
      <c r="AA1312" s="7"/>
      <c r="AB1312" s="7"/>
      <c r="AC1312" s="7"/>
      <c r="AD1312" s="7"/>
      <c r="AE1312" s="7"/>
      <c r="AF1312" s="7"/>
      <c r="AG1312" s="7"/>
      <c r="AH1312" s="7"/>
      <c r="AI1312" s="7"/>
    </row>
    <row r="1313" spans="12:35">
      <c r="L1313" s="7">
        <v>39</v>
      </c>
      <c r="M1313" s="7">
        <v>62</v>
      </c>
      <c r="N1313" s="7" t="b">
        <f>AND($N$6,$N$7,8&lt;=$M$6,11&lt;=$M$7)</f>
        <v>0</v>
      </c>
      <c r="O1313" s="7">
        <f>(P39-N39)*(O62-O39)-(Q39-O39)*(N62-N39)</f>
        <v>0</v>
      </c>
      <c r="P1313" s="7">
        <f>(P39-N39)*(Q62-O39)-(Q39-O39)*(P62-N39)</f>
        <v>0</v>
      </c>
      <c r="Q1313" s="7">
        <f>(P62-N62)*(O39-O62)-(Q62-O62)*(N39-N62)</f>
        <v>0</v>
      </c>
      <c r="R1313" s="7">
        <f>(P62-N62)*(Q39-O62)-(Q62-O62)*(P39-N62)</f>
        <v>0</v>
      </c>
      <c r="S1313" s="7">
        <f>IF(N1313,IF(AND(O1313*P1313&lt;=0,Q1313*R1313&lt;=0,MAX(MIN(N39,P39),MIN(N62,P62))&lt;=MIN(MAX(N39,P39),MAX(N62,P62)),MAX(MIN(O39,Q39),MIN(O62,Q62))&lt;=MIN(MAX(O39,Q39),MAX(O62,Q62))),1,0),0)</f>
        <v>0</v>
      </c>
      <c r="T1313" s="7"/>
      <c r="U1313" s="7"/>
      <c r="V1313" s="7"/>
      <c r="W1313" s="7"/>
      <c r="X1313" s="7"/>
      <c r="Y1313" s="7"/>
      <c r="Z1313" s="7"/>
      <c r="AA1313" s="7"/>
      <c r="AB1313" s="7"/>
      <c r="AC1313" s="7"/>
      <c r="AD1313" s="7"/>
      <c r="AE1313" s="7"/>
      <c r="AF1313" s="7"/>
      <c r="AG1313" s="7"/>
      <c r="AH1313" s="7"/>
      <c r="AI1313" s="7"/>
    </row>
    <row r="1314" spans="12:35">
      <c r="L1314" s="7">
        <v>39</v>
      </c>
      <c r="M1314" s="7">
        <v>63</v>
      </c>
      <c r="N1314" s="7" t="b">
        <f>AND($N$6,$N$7,8&lt;=$M$6,12&lt;=$M$7)</f>
        <v>0</v>
      </c>
      <c r="O1314" s="7">
        <f>(P39-N39)*(O63-O39)-(Q39-O39)*(N63-N39)</f>
        <v>0</v>
      </c>
      <c r="P1314" s="7">
        <f>(P39-N39)*(Q63-O39)-(Q39-O39)*(P63-N39)</f>
        <v>0</v>
      </c>
      <c r="Q1314" s="7">
        <f>(P63-N63)*(O39-O63)-(Q63-O63)*(N39-N63)</f>
        <v>0</v>
      </c>
      <c r="R1314" s="7">
        <f>(P63-N63)*(Q39-O63)-(Q63-O63)*(P39-N63)</f>
        <v>0</v>
      </c>
      <c r="S1314" s="7">
        <f>IF(N1314,IF(AND(O1314*P1314&lt;=0,Q1314*R1314&lt;=0,MAX(MIN(N39,P39),MIN(N63,P63))&lt;=MIN(MAX(N39,P39),MAX(N63,P63)),MAX(MIN(O39,Q39),MIN(O63,Q63))&lt;=MIN(MAX(O39,Q39),MAX(O63,Q63))),1,0),0)</f>
        <v>0</v>
      </c>
      <c r="T1314" s="7"/>
      <c r="U1314" s="7"/>
      <c r="V1314" s="7"/>
      <c r="W1314" s="7"/>
      <c r="X1314" s="7"/>
      <c r="Y1314" s="7"/>
      <c r="Z1314" s="7"/>
      <c r="AA1314" s="7"/>
      <c r="AB1314" s="7"/>
      <c r="AC1314" s="7"/>
      <c r="AD1314" s="7"/>
      <c r="AE1314" s="7"/>
      <c r="AF1314" s="7"/>
      <c r="AG1314" s="7"/>
      <c r="AH1314" s="7"/>
      <c r="AI1314" s="7"/>
    </row>
    <row r="1315" spans="12:35">
      <c r="L1315" s="7">
        <v>39</v>
      </c>
      <c r="M1315" s="7">
        <v>64</v>
      </c>
      <c r="N1315" s="7" t="b">
        <f>AND($N$6,$N$7,8&lt;=$M$6,13&lt;=$M$7)</f>
        <v>0</v>
      </c>
      <c r="O1315" s="7">
        <f>(P39-N39)*(O64-O39)-(Q39-O39)*(N64-N39)</f>
        <v>0</v>
      </c>
      <c r="P1315" s="7">
        <f>(P39-N39)*(Q64-O39)-(Q39-O39)*(P64-N39)</f>
        <v>0</v>
      </c>
      <c r="Q1315" s="7">
        <f>(P64-N64)*(O39-O64)-(Q64-O64)*(N39-N64)</f>
        <v>0</v>
      </c>
      <c r="R1315" s="7">
        <f>(P64-N64)*(Q39-O64)-(Q64-O64)*(P39-N64)</f>
        <v>0</v>
      </c>
      <c r="S1315" s="7">
        <f>IF(N1315,IF(AND(O1315*P1315&lt;=0,Q1315*R1315&lt;=0,MAX(MIN(N39,P39),MIN(N64,P64))&lt;=MIN(MAX(N39,P39),MAX(N64,P64)),MAX(MIN(O39,Q39),MIN(O64,Q64))&lt;=MIN(MAX(O39,Q39),MAX(O64,Q64))),1,0),0)</f>
        <v>0</v>
      </c>
      <c r="T1315" s="7"/>
      <c r="U1315" s="7"/>
      <c r="V1315" s="7"/>
      <c r="W1315" s="7"/>
      <c r="X1315" s="7"/>
      <c r="Y1315" s="7"/>
      <c r="Z1315" s="7"/>
      <c r="AA1315" s="7"/>
      <c r="AB1315" s="7"/>
      <c r="AC1315" s="7"/>
      <c r="AD1315" s="7"/>
      <c r="AE1315" s="7"/>
      <c r="AF1315" s="7"/>
      <c r="AG1315" s="7"/>
      <c r="AH1315" s="7"/>
      <c r="AI1315" s="7"/>
    </row>
    <row r="1316" spans="12:35">
      <c r="L1316" s="7">
        <v>39</v>
      </c>
      <c r="M1316" s="7">
        <v>65</v>
      </c>
      <c r="N1316" s="7" t="b">
        <f>AND($N$6,$N$7,8&lt;=$M$6,14&lt;=$M$7)</f>
        <v>0</v>
      </c>
      <c r="O1316" s="7">
        <f>(P39-N39)*(O65-O39)-(Q39-O39)*(N65-N39)</f>
        <v>0</v>
      </c>
      <c r="P1316" s="7">
        <f>(P39-N39)*(Q65-O39)-(Q39-O39)*(P65-N39)</f>
        <v>0</v>
      </c>
      <c r="Q1316" s="7">
        <f>(P65-N65)*(O39-O65)-(Q65-O65)*(N39-N65)</f>
        <v>0</v>
      </c>
      <c r="R1316" s="7">
        <f>(P65-N65)*(Q39-O65)-(Q65-O65)*(P39-N65)</f>
        <v>0</v>
      </c>
      <c r="S1316" s="7">
        <f>IF(N1316,IF(AND(O1316*P1316&lt;=0,Q1316*R1316&lt;=0,MAX(MIN(N39,P39),MIN(N65,P65))&lt;=MIN(MAX(N39,P39),MAX(N65,P65)),MAX(MIN(O39,Q39),MIN(O65,Q65))&lt;=MIN(MAX(O39,Q39),MAX(O65,Q65))),1,0),0)</f>
        <v>0</v>
      </c>
      <c r="T1316" s="7"/>
      <c r="U1316" s="7"/>
      <c r="V1316" s="7"/>
      <c r="W1316" s="7"/>
      <c r="X1316" s="7"/>
      <c r="Y1316" s="7"/>
      <c r="Z1316" s="7"/>
      <c r="AA1316" s="7"/>
      <c r="AB1316" s="7"/>
      <c r="AC1316" s="7"/>
      <c r="AD1316" s="7"/>
      <c r="AE1316" s="7"/>
      <c r="AF1316" s="7"/>
      <c r="AG1316" s="7"/>
      <c r="AH1316" s="7"/>
      <c r="AI1316" s="7"/>
    </row>
    <row r="1317" spans="12:35">
      <c r="L1317" s="7">
        <v>39</v>
      </c>
      <c r="M1317" s="7">
        <v>66</v>
      </c>
      <c r="N1317" s="7" t="b">
        <f>AND($N$6,$N$7,8&lt;=$M$6,15&lt;=$M$7)</f>
        <v>0</v>
      </c>
      <c r="O1317" s="7">
        <f>(P39-N39)*(O66-O39)-(Q39-O39)*(N66-N39)</f>
        <v>0</v>
      </c>
      <c r="P1317" s="7">
        <f>(P39-N39)*(Q66-O39)-(Q39-O39)*(P66-N39)</f>
        <v>0</v>
      </c>
      <c r="Q1317" s="7">
        <f>(P66-N66)*(O39-O66)-(Q66-O66)*(N39-N66)</f>
        <v>0</v>
      </c>
      <c r="R1317" s="7">
        <f>(P66-N66)*(Q39-O66)-(Q66-O66)*(P39-N66)</f>
        <v>0</v>
      </c>
      <c r="S1317" s="7">
        <f>IF(N1317,IF(AND(O1317*P1317&lt;=0,Q1317*R1317&lt;=0,MAX(MIN(N39,P39),MIN(N66,P66))&lt;=MIN(MAX(N39,P39),MAX(N66,P66)),MAX(MIN(O39,Q39),MIN(O66,Q66))&lt;=MIN(MAX(O39,Q39),MAX(O66,Q66))),1,0),0)</f>
        <v>0</v>
      </c>
      <c r="T1317" s="7"/>
      <c r="U1317" s="7"/>
      <c r="V1317" s="7"/>
      <c r="W1317" s="7"/>
      <c r="X1317" s="7"/>
      <c r="Y1317" s="7"/>
      <c r="Z1317" s="7"/>
      <c r="AA1317" s="7"/>
      <c r="AB1317" s="7"/>
      <c r="AC1317" s="7"/>
      <c r="AD1317" s="7"/>
      <c r="AE1317" s="7"/>
      <c r="AF1317" s="7"/>
      <c r="AG1317" s="7"/>
      <c r="AH1317" s="7"/>
      <c r="AI1317" s="7"/>
    </row>
    <row r="1318" spans="12:35">
      <c r="L1318" s="7">
        <v>39</v>
      </c>
      <c r="M1318" s="7">
        <v>67</v>
      </c>
      <c r="N1318" s="7" t="b">
        <f>AND($N$6,$N$7,8&lt;=$M$6,16&lt;=$M$7)</f>
        <v>0</v>
      </c>
      <c r="O1318" s="7">
        <f>(P39-N39)*(O67-O39)-(Q39-O39)*(N67-N39)</f>
        <v>0</v>
      </c>
      <c r="P1318" s="7">
        <f>(P39-N39)*(Q67-O39)-(Q39-O39)*(P67-N39)</f>
        <v>0</v>
      </c>
      <c r="Q1318" s="7">
        <f>(P67-N67)*(O39-O67)-(Q67-O67)*(N39-N67)</f>
        <v>0</v>
      </c>
      <c r="R1318" s="7">
        <f>(P67-N67)*(Q39-O67)-(Q67-O67)*(P39-N67)</f>
        <v>0</v>
      </c>
      <c r="S1318" s="7">
        <f>IF(N1318,IF(AND(O1318*P1318&lt;=0,Q1318*R1318&lt;=0,MAX(MIN(N39,P39),MIN(N67,P67))&lt;=MIN(MAX(N39,P39),MAX(N67,P67)),MAX(MIN(O39,Q39),MIN(O67,Q67))&lt;=MIN(MAX(O39,Q39),MAX(O67,Q67))),1,0),0)</f>
        <v>0</v>
      </c>
      <c r="T1318" s="7"/>
      <c r="U1318" s="7"/>
      <c r="V1318" s="7"/>
      <c r="W1318" s="7"/>
      <c r="X1318" s="7"/>
      <c r="Y1318" s="7"/>
      <c r="Z1318" s="7"/>
      <c r="AA1318" s="7"/>
      <c r="AB1318" s="7"/>
      <c r="AC1318" s="7"/>
      <c r="AD1318" s="7"/>
      <c r="AE1318" s="7"/>
      <c r="AF1318" s="7"/>
      <c r="AG1318" s="7"/>
      <c r="AH1318" s="7"/>
      <c r="AI1318" s="7"/>
    </row>
    <row r="1319" spans="12:35">
      <c r="L1319" s="7">
        <v>39</v>
      </c>
      <c r="M1319" s="7">
        <v>68</v>
      </c>
      <c r="N1319" s="7" t="b">
        <f>AND($N$6,$N$7,8&lt;=$M$6,17&lt;=$M$7)</f>
        <v>0</v>
      </c>
      <c r="O1319" s="7">
        <f>(P39-N39)*(O68-O39)-(Q39-O39)*(N68-N39)</f>
        <v>0</v>
      </c>
      <c r="P1319" s="7">
        <f>(P39-N39)*(Q68-O39)-(Q39-O39)*(P68-N39)</f>
        <v>0</v>
      </c>
      <c r="Q1319" s="7">
        <f>(P68-N68)*(O39-O68)-(Q68-O68)*(N39-N68)</f>
        <v>0</v>
      </c>
      <c r="R1319" s="7">
        <f>(P68-N68)*(Q39-O68)-(Q68-O68)*(P39-N68)</f>
        <v>0</v>
      </c>
      <c r="S1319" s="7">
        <f>IF(N1319,IF(AND(O1319*P1319&lt;=0,Q1319*R1319&lt;=0,MAX(MIN(N39,P39),MIN(N68,P68))&lt;=MIN(MAX(N39,P39),MAX(N68,P68)),MAX(MIN(O39,Q39),MIN(O68,Q68))&lt;=MIN(MAX(O39,Q39),MAX(O68,Q68))),1,0),0)</f>
        <v>0</v>
      </c>
      <c r="T1319" s="7"/>
      <c r="U1319" s="7"/>
      <c r="V1319" s="7"/>
      <c r="W1319" s="7"/>
      <c r="X1319" s="7"/>
      <c r="Y1319" s="7"/>
      <c r="Z1319" s="7"/>
      <c r="AA1319" s="7"/>
      <c r="AB1319" s="7"/>
      <c r="AC1319" s="7"/>
      <c r="AD1319" s="7"/>
      <c r="AE1319" s="7"/>
      <c r="AF1319" s="7"/>
      <c r="AG1319" s="7"/>
      <c r="AH1319" s="7"/>
      <c r="AI1319" s="7"/>
    </row>
    <row r="1320" spans="12:35">
      <c r="L1320" s="7">
        <v>39</v>
      </c>
      <c r="M1320" s="7">
        <v>69</v>
      </c>
      <c r="N1320" s="7" t="b">
        <f>AND($N$6,$N$7,8&lt;=$M$6,18&lt;=$M$7)</f>
        <v>0</v>
      </c>
      <c r="O1320" s="7">
        <f>(P39-N39)*(O69-O39)-(Q39-O39)*(N69-N39)</f>
        <v>0</v>
      </c>
      <c r="P1320" s="7">
        <f>(P39-N39)*(Q69-O39)-(Q39-O39)*(P69-N39)</f>
        <v>0</v>
      </c>
      <c r="Q1320" s="7">
        <f>(P69-N69)*(O39-O69)-(Q69-O69)*(N39-N69)</f>
        <v>0</v>
      </c>
      <c r="R1320" s="7">
        <f>(P69-N69)*(Q39-O69)-(Q69-O69)*(P39-N69)</f>
        <v>0</v>
      </c>
      <c r="S1320" s="7">
        <f>IF(N1320,IF(AND(O1320*P1320&lt;=0,Q1320*R1320&lt;=0,MAX(MIN(N39,P39),MIN(N69,P69))&lt;=MIN(MAX(N39,P39),MAX(N69,P69)),MAX(MIN(O39,Q39),MIN(O69,Q69))&lt;=MIN(MAX(O39,Q39),MAX(O69,Q69))),1,0),0)</f>
        <v>0</v>
      </c>
      <c r="T1320" s="7"/>
      <c r="U1320" s="7"/>
      <c r="V1320" s="7"/>
      <c r="W1320" s="7"/>
      <c r="X1320" s="7"/>
      <c r="Y1320" s="7"/>
      <c r="Z1320" s="7"/>
      <c r="AA1320" s="7"/>
      <c r="AB1320" s="7"/>
      <c r="AC1320" s="7"/>
      <c r="AD1320" s="7"/>
      <c r="AE1320" s="7"/>
      <c r="AF1320" s="7"/>
      <c r="AG1320" s="7"/>
      <c r="AH1320" s="7"/>
      <c r="AI1320" s="7"/>
    </row>
    <row r="1321" spans="12:35">
      <c r="L1321" s="7">
        <v>39</v>
      </c>
      <c r="M1321" s="7">
        <v>70</v>
      </c>
      <c r="N1321" s="7" t="b">
        <f>AND($N$6,$N$7,8&lt;=$M$6,19&lt;=$M$7)</f>
        <v>0</v>
      </c>
      <c r="O1321" s="7">
        <f>(P39-N39)*(O70-O39)-(Q39-O39)*(N70-N39)</f>
        <v>0</v>
      </c>
      <c r="P1321" s="7">
        <f>(P39-N39)*(Q70-O39)-(Q39-O39)*(P70-N39)</f>
        <v>0</v>
      </c>
      <c r="Q1321" s="7">
        <f>(P70-N70)*(O39-O70)-(Q70-O70)*(N39-N70)</f>
        <v>0</v>
      </c>
      <c r="R1321" s="7">
        <f>(P70-N70)*(Q39-O70)-(Q70-O70)*(P39-N70)</f>
        <v>0</v>
      </c>
      <c r="S1321" s="7">
        <f>IF(N1321,IF(AND(O1321*P1321&lt;=0,Q1321*R1321&lt;=0,MAX(MIN(N39,P39),MIN(N70,P70))&lt;=MIN(MAX(N39,P39),MAX(N70,P70)),MAX(MIN(O39,Q39),MIN(O70,Q70))&lt;=MIN(MAX(O39,Q39),MAX(O70,Q70))),1,0),0)</f>
        <v>0</v>
      </c>
      <c r="T1321" s="7"/>
      <c r="U1321" s="7"/>
      <c r="V1321" s="7"/>
      <c r="W1321" s="7"/>
      <c r="X1321" s="7"/>
      <c r="Y1321" s="7"/>
      <c r="Z1321" s="7"/>
      <c r="AA1321" s="7"/>
      <c r="AB1321" s="7"/>
      <c r="AC1321" s="7"/>
      <c r="AD1321" s="7"/>
      <c r="AE1321" s="7"/>
      <c r="AF1321" s="7"/>
      <c r="AG1321" s="7"/>
      <c r="AH1321" s="7"/>
      <c r="AI1321" s="7"/>
    </row>
    <row r="1322" spans="12:35">
      <c r="L1322" s="7">
        <v>39</v>
      </c>
      <c r="M1322" s="7">
        <v>71</v>
      </c>
      <c r="N1322" s="7" t="b">
        <f>AND($N$6,$N$7,8&lt;=$M$6,20&lt;=$M$7)</f>
        <v>0</v>
      </c>
      <c r="O1322" s="7">
        <f>(P39-N39)*(O71-O39)-(Q39-O39)*(N71-N39)</f>
        <v>0</v>
      </c>
      <c r="P1322" s="7">
        <f>(P39-N39)*(Q71-O39)-(Q39-O39)*(P71-N39)</f>
        <v>0</v>
      </c>
      <c r="Q1322" s="7">
        <f>(P71-N71)*(O39-O71)-(Q71-O71)*(N39-N71)</f>
        <v>0</v>
      </c>
      <c r="R1322" s="7">
        <f>(P71-N71)*(Q39-O71)-(Q71-O71)*(P39-N71)</f>
        <v>0</v>
      </c>
      <c r="S1322" s="7">
        <f>IF(N1322,IF(AND(O1322*P1322&lt;=0,Q1322*R1322&lt;=0,MAX(MIN(N39,P39),MIN(N71,P71))&lt;=MIN(MAX(N39,P39),MAX(N71,P71)),MAX(MIN(O39,Q39),MIN(O71,Q71))&lt;=MIN(MAX(O39,Q39),MAX(O71,Q71))),1,0),0)</f>
        <v>0</v>
      </c>
      <c r="T1322" s="7"/>
      <c r="U1322" s="7"/>
      <c r="V1322" s="7"/>
      <c r="W1322" s="7"/>
      <c r="X1322" s="7"/>
      <c r="Y1322" s="7"/>
      <c r="Z1322" s="7"/>
      <c r="AA1322" s="7"/>
      <c r="AB1322" s="7"/>
      <c r="AC1322" s="7"/>
      <c r="AD1322" s="7"/>
      <c r="AE1322" s="7"/>
      <c r="AF1322" s="7"/>
      <c r="AG1322" s="7"/>
      <c r="AH1322" s="7"/>
      <c r="AI1322" s="7"/>
    </row>
    <row r="1323" spans="12:35">
      <c r="L1323" s="7">
        <v>40</v>
      </c>
      <c r="M1323" s="7">
        <v>42</v>
      </c>
      <c r="N1323" s="7" t="b">
        <f>AND($N$6,$N$6,9&lt;=$M$6,11&lt;=$M$6)</f>
        <v>0</v>
      </c>
      <c r="O1323" s="7">
        <f>(P40-N40)*(O42-O40)-(Q40-O40)*(N42-N40)</f>
        <v>0</v>
      </c>
      <c r="P1323" s="7">
        <f>(P40-N40)*(Q42-O40)-(Q40-O40)*(P42-N40)</f>
        <v>0</v>
      </c>
      <c r="Q1323" s="7">
        <f>(P42-N42)*(O40-O42)-(Q42-O42)*(N40-N42)</f>
        <v>0</v>
      </c>
      <c r="R1323" s="7">
        <f>(P42-N42)*(Q40-O42)-(Q42-O42)*(P40-N42)</f>
        <v>0</v>
      </c>
      <c r="S1323" s="7">
        <f>IF(N1323,IF(AND(O1323*P1323&lt;=0,Q1323*R1323&lt;=0,MAX(MIN(N40,P40),MIN(N42,P42))&lt;=MIN(MAX(N40,P40),MAX(N42,P42)),MAX(MIN(O40,Q40),MIN(O42,Q42))&lt;=MIN(MAX(O40,Q40),MAX(O42,Q42))),1,0),0)</f>
        <v>0</v>
      </c>
      <c r="T1323" s="7"/>
      <c r="U1323" s="7"/>
      <c r="V1323" s="7"/>
      <c r="W1323" s="7"/>
      <c r="X1323" s="7"/>
      <c r="Y1323" s="7"/>
      <c r="Z1323" s="7"/>
      <c r="AA1323" s="7"/>
      <c r="AB1323" s="7"/>
      <c r="AC1323" s="7"/>
      <c r="AD1323" s="7"/>
      <c r="AE1323" s="7"/>
      <c r="AF1323" s="7"/>
      <c r="AG1323" s="7"/>
      <c r="AH1323" s="7"/>
      <c r="AI1323" s="7"/>
    </row>
    <row r="1324" spans="12:35">
      <c r="L1324" s="7">
        <v>40</v>
      </c>
      <c r="M1324" s="7">
        <v>43</v>
      </c>
      <c r="N1324" s="7" t="b">
        <f>AND($N$6,$N$6,9&lt;=$M$6,12&lt;=$M$6)</f>
        <v>0</v>
      </c>
      <c r="O1324" s="7">
        <f>(P40-N40)*(O43-O40)-(Q40-O40)*(N43-N40)</f>
        <v>0</v>
      </c>
      <c r="P1324" s="7">
        <f>(P40-N40)*(Q43-O40)-(Q40-O40)*(P43-N40)</f>
        <v>0</v>
      </c>
      <c r="Q1324" s="7">
        <f>(P43-N43)*(O40-O43)-(Q43-O43)*(N40-N43)</f>
        <v>0</v>
      </c>
      <c r="R1324" s="7">
        <f>(P43-N43)*(Q40-O43)-(Q43-O43)*(P40-N43)</f>
        <v>0</v>
      </c>
      <c r="S1324" s="7">
        <f>IF(N1324,IF(AND(O1324*P1324&lt;=0,Q1324*R1324&lt;=0,MAX(MIN(N40,P40),MIN(N43,P43))&lt;=MIN(MAX(N40,P40),MAX(N43,P43)),MAX(MIN(O40,Q40),MIN(O43,Q43))&lt;=MIN(MAX(O40,Q40),MAX(O43,Q43))),1,0),0)</f>
        <v>0</v>
      </c>
      <c r="T1324" s="7"/>
      <c r="U1324" s="7"/>
      <c r="V1324" s="7"/>
      <c r="W1324" s="7"/>
      <c r="X1324" s="7"/>
      <c r="Y1324" s="7"/>
      <c r="Z1324" s="7"/>
      <c r="AA1324" s="7"/>
      <c r="AB1324" s="7"/>
      <c r="AC1324" s="7"/>
      <c r="AD1324" s="7"/>
      <c r="AE1324" s="7"/>
      <c r="AF1324" s="7"/>
      <c r="AG1324" s="7"/>
      <c r="AH1324" s="7"/>
      <c r="AI1324" s="7"/>
    </row>
    <row r="1325" spans="12:35">
      <c r="L1325" s="7">
        <v>40</v>
      </c>
      <c r="M1325" s="7">
        <v>44</v>
      </c>
      <c r="N1325" s="7" t="b">
        <f>AND($N$6,$N$6,9&lt;=$M$6,13&lt;=$M$6)</f>
        <v>0</v>
      </c>
      <c r="O1325" s="7">
        <f>(P40-N40)*(O44-O40)-(Q40-O40)*(N44-N40)</f>
        <v>0</v>
      </c>
      <c r="P1325" s="7">
        <f>(P40-N40)*(Q44-O40)-(Q40-O40)*(P44-N40)</f>
        <v>0</v>
      </c>
      <c r="Q1325" s="7">
        <f>(P44-N44)*(O40-O44)-(Q44-O44)*(N40-N44)</f>
        <v>0</v>
      </c>
      <c r="R1325" s="7">
        <f>(P44-N44)*(Q40-O44)-(Q44-O44)*(P40-N44)</f>
        <v>0</v>
      </c>
      <c r="S1325" s="7">
        <f>IF(N1325,IF(AND(O1325*P1325&lt;=0,Q1325*R1325&lt;=0,MAX(MIN(N40,P40),MIN(N44,P44))&lt;=MIN(MAX(N40,P40),MAX(N44,P44)),MAX(MIN(O40,Q40),MIN(O44,Q44))&lt;=MIN(MAX(O40,Q40),MAX(O44,Q44))),1,0),0)</f>
        <v>0</v>
      </c>
      <c r="T1325" s="7"/>
      <c r="U1325" s="7"/>
      <c r="V1325" s="7"/>
      <c r="W1325" s="7"/>
      <c r="X1325" s="7"/>
      <c r="Y1325" s="7"/>
      <c r="Z1325" s="7"/>
      <c r="AA1325" s="7"/>
      <c r="AB1325" s="7"/>
      <c r="AC1325" s="7"/>
      <c r="AD1325" s="7"/>
      <c r="AE1325" s="7"/>
      <c r="AF1325" s="7"/>
      <c r="AG1325" s="7"/>
      <c r="AH1325" s="7"/>
      <c r="AI1325" s="7"/>
    </row>
    <row r="1326" spans="12:35">
      <c r="L1326" s="7">
        <v>40</v>
      </c>
      <c r="M1326" s="7">
        <v>45</v>
      </c>
      <c r="N1326" s="7" t="b">
        <f>AND($N$6,$N$6,9&lt;=$M$6,14&lt;=$M$6)</f>
        <v>0</v>
      </c>
      <c r="O1326" s="7">
        <f>(P40-N40)*(O45-O40)-(Q40-O40)*(N45-N40)</f>
        <v>0</v>
      </c>
      <c r="P1326" s="7">
        <f>(P40-N40)*(Q45-O40)-(Q40-O40)*(P45-N40)</f>
        <v>0</v>
      </c>
      <c r="Q1326" s="7">
        <f>(P45-N45)*(O40-O45)-(Q45-O45)*(N40-N45)</f>
        <v>0</v>
      </c>
      <c r="R1326" s="7">
        <f>(P45-N45)*(Q40-O45)-(Q45-O45)*(P40-N45)</f>
        <v>0</v>
      </c>
      <c r="S1326" s="7">
        <f>IF(N1326,IF(AND(O1326*P1326&lt;=0,Q1326*R1326&lt;=0,MAX(MIN(N40,P40),MIN(N45,P45))&lt;=MIN(MAX(N40,P40),MAX(N45,P45)),MAX(MIN(O40,Q40),MIN(O45,Q45))&lt;=MIN(MAX(O40,Q40),MAX(O45,Q45))),1,0),0)</f>
        <v>0</v>
      </c>
      <c r="T1326" s="7"/>
      <c r="U1326" s="7"/>
      <c r="V1326" s="7"/>
      <c r="W1326" s="7"/>
      <c r="X1326" s="7"/>
      <c r="Y1326" s="7"/>
      <c r="Z1326" s="7"/>
      <c r="AA1326" s="7"/>
      <c r="AB1326" s="7"/>
      <c r="AC1326" s="7"/>
      <c r="AD1326" s="7"/>
      <c r="AE1326" s="7"/>
      <c r="AF1326" s="7"/>
      <c r="AG1326" s="7"/>
      <c r="AH1326" s="7"/>
      <c r="AI1326" s="7"/>
    </row>
    <row r="1327" spans="12:35">
      <c r="L1327" s="7">
        <v>40</v>
      </c>
      <c r="M1327" s="7">
        <v>46</v>
      </c>
      <c r="N1327" s="7" t="b">
        <f>AND($N$6,$N$6,9&lt;=$M$6,15&lt;=$M$6)</f>
        <v>0</v>
      </c>
      <c r="O1327" s="7">
        <f>(P40-N40)*(O46-O40)-(Q40-O40)*(N46-N40)</f>
        <v>0</v>
      </c>
      <c r="P1327" s="7">
        <f>(P40-N40)*(Q46-O40)-(Q40-O40)*(P46-N40)</f>
        <v>0</v>
      </c>
      <c r="Q1327" s="7">
        <f>(P46-N46)*(O40-O46)-(Q46-O46)*(N40-N46)</f>
        <v>0</v>
      </c>
      <c r="R1327" s="7">
        <f>(P46-N46)*(Q40-O46)-(Q46-O46)*(P40-N46)</f>
        <v>0</v>
      </c>
      <c r="S1327" s="7">
        <f>IF(N1327,IF(AND(O1327*P1327&lt;=0,Q1327*R1327&lt;=0,MAX(MIN(N40,P40),MIN(N46,P46))&lt;=MIN(MAX(N40,P40),MAX(N46,P46)),MAX(MIN(O40,Q40),MIN(O46,Q46))&lt;=MIN(MAX(O40,Q40),MAX(O46,Q46))),1,0),0)</f>
        <v>0</v>
      </c>
      <c r="T1327" s="7"/>
      <c r="U1327" s="7"/>
      <c r="V1327" s="7"/>
      <c r="W1327" s="7"/>
      <c r="X1327" s="7"/>
      <c r="Y1327" s="7"/>
      <c r="Z1327" s="7"/>
      <c r="AA1327" s="7"/>
      <c r="AB1327" s="7"/>
      <c r="AC1327" s="7"/>
      <c r="AD1327" s="7"/>
      <c r="AE1327" s="7"/>
      <c r="AF1327" s="7"/>
      <c r="AG1327" s="7"/>
      <c r="AH1327" s="7"/>
      <c r="AI1327" s="7"/>
    </row>
    <row r="1328" spans="12:35">
      <c r="L1328" s="7">
        <v>40</v>
      </c>
      <c r="M1328" s="7">
        <v>47</v>
      </c>
      <c r="N1328" s="7" t="b">
        <f>AND($N$6,$N$6,9&lt;=$M$6,16&lt;=$M$6)</f>
        <v>0</v>
      </c>
      <c r="O1328" s="7">
        <f>(P40-N40)*(O47-O40)-(Q40-O40)*(N47-N40)</f>
        <v>0</v>
      </c>
      <c r="P1328" s="7">
        <f>(P40-N40)*(Q47-O40)-(Q40-O40)*(P47-N40)</f>
        <v>0</v>
      </c>
      <c r="Q1328" s="7">
        <f>(P47-N47)*(O40-O47)-(Q47-O47)*(N40-N47)</f>
        <v>0</v>
      </c>
      <c r="R1328" s="7">
        <f>(P47-N47)*(Q40-O47)-(Q47-O47)*(P40-N47)</f>
        <v>0</v>
      </c>
      <c r="S1328" s="7">
        <f>IF(N1328,IF(AND(O1328*P1328&lt;=0,Q1328*R1328&lt;=0,MAX(MIN(N40,P40),MIN(N47,P47))&lt;=MIN(MAX(N40,P40),MAX(N47,P47)),MAX(MIN(O40,Q40),MIN(O47,Q47))&lt;=MIN(MAX(O40,Q40),MAX(O47,Q47))),1,0),0)</f>
        <v>0</v>
      </c>
      <c r="T1328" s="7"/>
      <c r="U1328" s="7"/>
      <c r="V1328" s="7"/>
      <c r="W1328" s="7"/>
      <c r="X1328" s="7"/>
      <c r="Y1328" s="7"/>
      <c r="Z1328" s="7"/>
      <c r="AA1328" s="7"/>
      <c r="AB1328" s="7"/>
      <c r="AC1328" s="7"/>
      <c r="AD1328" s="7"/>
      <c r="AE1328" s="7"/>
      <c r="AF1328" s="7"/>
      <c r="AG1328" s="7"/>
      <c r="AH1328" s="7"/>
      <c r="AI1328" s="7"/>
    </row>
    <row r="1329" spans="12:35">
      <c r="L1329" s="7">
        <v>40</v>
      </c>
      <c r="M1329" s="7">
        <v>48</v>
      </c>
      <c r="N1329" s="7" t="b">
        <f>AND($N$6,$N$6,9&lt;=$M$6,17&lt;=$M$6)</f>
        <v>0</v>
      </c>
      <c r="O1329" s="7">
        <f>(P40-N40)*(O48-O40)-(Q40-O40)*(N48-N40)</f>
        <v>0</v>
      </c>
      <c r="P1329" s="7">
        <f>(P40-N40)*(Q48-O40)-(Q40-O40)*(P48-N40)</f>
        <v>0</v>
      </c>
      <c r="Q1329" s="7">
        <f>(P48-N48)*(O40-O48)-(Q48-O48)*(N40-N48)</f>
        <v>0</v>
      </c>
      <c r="R1329" s="7">
        <f>(P48-N48)*(Q40-O48)-(Q48-O48)*(P40-N48)</f>
        <v>0</v>
      </c>
      <c r="S1329" s="7">
        <f>IF(N1329,IF(AND(O1329*P1329&lt;=0,Q1329*R1329&lt;=0,MAX(MIN(N40,P40),MIN(N48,P48))&lt;=MIN(MAX(N40,P40),MAX(N48,P48)),MAX(MIN(O40,Q40),MIN(O48,Q48))&lt;=MIN(MAX(O40,Q40),MAX(O48,Q48))),1,0),0)</f>
        <v>0</v>
      </c>
      <c r="T1329" s="7"/>
      <c r="U1329" s="7"/>
      <c r="V1329" s="7"/>
      <c r="W1329" s="7"/>
      <c r="X1329" s="7"/>
      <c r="Y1329" s="7"/>
      <c r="Z1329" s="7"/>
      <c r="AA1329" s="7"/>
      <c r="AB1329" s="7"/>
      <c r="AC1329" s="7"/>
      <c r="AD1329" s="7"/>
      <c r="AE1329" s="7"/>
      <c r="AF1329" s="7"/>
      <c r="AG1329" s="7"/>
      <c r="AH1329" s="7"/>
      <c r="AI1329" s="7"/>
    </row>
    <row r="1330" spans="12:35">
      <c r="L1330" s="7">
        <v>40</v>
      </c>
      <c r="M1330" s="7">
        <v>49</v>
      </c>
      <c r="N1330" s="7" t="b">
        <f>AND($N$6,$N$6,9&lt;=$M$6,18&lt;=$M$6)</f>
        <v>0</v>
      </c>
      <c r="O1330" s="7">
        <f>(P40-N40)*(O49-O40)-(Q40-O40)*(N49-N40)</f>
        <v>0</v>
      </c>
      <c r="P1330" s="7">
        <f>(P40-N40)*(Q49-O40)-(Q40-O40)*(P49-N40)</f>
        <v>0</v>
      </c>
      <c r="Q1330" s="7">
        <f>(P49-N49)*(O40-O49)-(Q49-O49)*(N40-N49)</f>
        <v>0</v>
      </c>
      <c r="R1330" s="7">
        <f>(P49-N49)*(Q40-O49)-(Q49-O49)*(P40-N49)</f>
        <v>0</v>
      </c>
      <c r="S1330" s="7">
        <f>IF(N1330,IF(AND(O1330*P1330&lt;=0,Q1330*R1330&lt;=0,MAX(MIN(N40,P40),MIN(N49,P49))&lt;=MIN(MAX(N40,P40),MAX(N49,P49)),MAX(MIN(O40,Q40),MIN(O49,Q49))&lt;=MIN(MAX(O40,Q40),MAX(O49,Q49))),1,0),0)</f>
        <v>0</v>
      </c>
      <c r="T1330" s="7"/>
      <c r="U1330" s="7"/>
      <c r="V1330" s="7"/>
      <c r="W1330" s="7"/>
      <c r="X1330" s="7"/>
      <c r="Y1330" s="7"/>
      <c r="Z1330" s="7"/>
      <c r="AA1330" s="7"/>
      <c r="AB1330" s="7"/>
      <c r="AC1330" s="7"/>
      <c r="AD1330" s="7"/>
      <c r="AE1330" s="7"/>
      <c r="AF1330" s="7"/>
      <c r="AG1330" s="7"/>
      <c r="AH1330" s="7"/>
      <c r="AI1330" s="7"/>
    </row>
    <row r="1331" spans="12:35">
      <c r="L1331" s="7">
        <v>40</v>
      </c>
      <c r="M1331" s="7">
        <v>50</v>
      </c>
      <c r="N1331" s="7" t="b">
        <f>AND($N$6,$N$6,9&lt;=$M$6,19&lt;=$M$6)</f>
        <v>0</v>
      </c>
      <c r="O1331" s="7">
        <f>(P40-N40)*(O50-O40)-(Q40-O40)*(N50-N40)</f>
        <v>0</v>
      </c>
      <c r="P1331" s="7">
        <f>(P40-N40)*(Q50-O40)-(Q40-O40)*(P50-N40)</f>
        <v>0</v>
      </c>
      <c r="Q1331" s="7">
        <f>(P50-N50)*(O40-O50)-(Q50-O50)*(N40-N50)</f>
        <v>0</v>
      </c>
      <c r="R1331" s="7">
        <f>(P50-N50)*(Q40-O50)-(Q50-O50)*(P40-N50)</f>
        <v>0</v>
      </c>
      <c r="S1331" s="7">
        <f>IF(N1331,IF(AND(O1331*P1331&lt;=0,Q1331*R1331&lt;=0,MAX(MIN(N40,P40),MIN(N50,P50))&lt;=MIN(MAX(N40,P40),MAX(N50,P50)),MAX(MIN(O40,Q40),MIN(O50,Q50))&lt;=MIN(MAX(O40,Q40),MAX(O50,Q50))),1,0),0)</f>
        <v>0</v>
      </c>
      <c r="T1331" s="7"/>
      <c r="U1331" s="7"/>
      <c r="V1331" s="7"/>
      <c r="W1331" s="7"/>
      <c r="X1331" s="7"/>
      <c r="Y1331" s="7"/>
      <c r="Z1331" s="7"/>
      <c r="AA1331" s="7"/>
      <c r="AB1331" s="7"/>
      <c r="AC1331" s="7"/>
      <c r="AD1331" s="7"/>
      <c r="AE1331" s="7"/>
      <c r="AF1331" s="7"/>
      <c r="AG1331" s="7"/>
      <c r="AH1331" s="7"/>
      <c r="AI1331" s="7"/>
    </row>
    <row r="1332" spans="12:35">
      <c r="L1332" s="7">
        <v>40</v>
      </c>
      <c r="M1332" s="7">
        <v>51</v>
      </c>
      <c r="N1332" s="7" t="b">
        <f>AND($N$6,$N$6,9&lt;=$M$6,20&lt;=$M$6)</f>
        <v>0</v>
      </c>
      <c r="O1332" s="7">
        <f>(P40-N40)*(O51-O40)-(Q40-O40)*(N51-N40)</f>
        <v>0</v>
      </c>
      <c r="P1332" s="7">
        <f>(P40-N40)*(Q51-O40)-(Q40-O40)*(P51-N40)</f>
        <v>0</v>
      </c>
      <c r="Q1332" s="7">
        <f>(P51-N51)*(O40-O51)-(Q51-O51)*(N40-N51)</f>
        <v>0</v>
      </c>
      <c r="R1332" s="7">
        <f>(P51-N51)*(Q40-O51)-(Q51-O51)*(P40-N51)</f>
        <v>0</v>
      </c>
      <c r="S1332" s="7">
        <f>IF(N1332,IF(AND(O1332*P1332&lt;=0,Q1332*R1332&lt;=0,MAX(MIN(N40,P40),MIN(N51,P51))&lt;=MIN(MAX(N40,P40),MAX(N51,P51)),MAX(MIN(O40,Q40),MIN(O51,Q51))&lt;=MIN(MAX(O40,Q40),MAX(O51,Q51))),1,0),0)</f>
        <v>0</v>
      </c>
      <c r="T1332" s="7"/>
      <c r="U1332" s="7"/>
      <c r="V1332" s="7"/>
      <c r="W1332" s="7"/>
      <c r="X1332" s="7"/>
      <c r="Y1332" s="7"/>
      <c r="Z1332" s="7"/>
      <c r="AA1332" s="7"/>
      <c r="AB1332" s="7"/>
      <c r="AC1332" s="7"/>
      <c r="AD1332" s="7"/>
      <c r="AE1332" s="7"/>
      <c r="AF1332" s="7"/>
      <c r="AG1332" s="7"/>
      <c r="AH1332" s="7"/>
      <c r="AI1332" s="7"/>
    </row>
    <row r="1333" spans="12:35">
      <c r="L1333" s="7">
        <v>40</v>
      </c>
      <c r="M1333" s="7">
        <v>52</v>
      </c>
      <c r="N1333" s="7" t="b">
        <f>AND($N$6,$N$7,9&lt;=$M$6,1&lt;=$M$7)</f>
        <v>0</v>
      </c>
      <c r="O1333" s="7">
        <f>(P40-N40)*(O52-O40)-(Q40-O40)*(N52-N40)</f>
        <v>0</v>
      </c>
      <c r="P1333" s="7">
        <f>(P40-N40)*(Q52-O40)-(Q40-O40)*(P52-N40)</f>
        <v>0</v>
      </c>
      <c r="Q1333" s="7">
        <f>(P52-N52)*(O40-O52)-(Q52-O52)*(N40-N52)</f>
        <v>0</v>
      </c>
      <c r="R1333" s="7">
        <f>(P52-N52)*(Q40-O52)-(Q52-O52)*(P40-N52)</f>
        <v>0</v>
      </c>
      <c r="S1333" s="7">
        <f>IF(N1333,IF(AND(O1333*P1333&lt;=0,Q1333*R1333&lt;=0,MAX(MIN(N40,P40),MIN(N52,P52))&lt;=MIN(MAX(N40,P40),MAX(N52,P52)),MAX(MIN(O40,Q40),MIN(O52,Q52))&lt;=MIN(MAX(O40,Q40),MAX(O52,Q52))),1,0),0)</f>
        <v>0</v>
      </c>
      <c r="T1333" s="7"/>
      <c r="U1333" s="7"/>
      <c r="V1333" s="7"/>
      <c r="W1333" s="7"/>
      <c r="X1333" s="7"/>
      <c r="Y1333" s="7"/>
      <c r="Z1333" s="7"/>
      <c r="AA1333" s="7"/>
      <c r="AB1333" s="7"/>
      <c r="AC1333" s="7"/>
      <c r="AD1333" s="7"/>
      <c r="AE1333" s="7"/>
      <c r="AF1333" s="7"/>
      <c r="AG1333" s="7"/>
      <c r="AH1333" s="7"/>
      <c r="AI1333" s="7"/>
    </row>
    <row r="1334" spans="12:35">
      <c r="L1334" s="7">
        <v>40</v>
      </c>
      <c r="M1334" s="7">
        <v>53</v>
      </c>
      <c r="N1334" s="7" t="b">
        <f>AND($N$6,$N$7,9&lt;=$M$6,2&lt;=$M$7)</f>
        <v>0</v>
      </c>
      <c r="O1334" s="7">
        <f>(P40-N40)*(O53-O40)-(Q40-O40)*(N53-N40)</f>
        <v>0</v>
      </c>
      <c r="P1334" s="7">
        <f>(P40-N40)*(Q53-O40)-(Q40-O40)*(P53-N40)</f>
        <v>0</v>
      </c>
      <c r="Q1334" s="7">
        <f>(P53-N53)*(O40-O53)-(Q53-O53)*(N40-N53)</f>
        <v>0</v>
      </c>
      <c r="R1334" s="7">
        <f>(P53-N53)*(Q40-O53)-(Q53-O53)*(P40-N53)</f>
        <v>0</v>
      </c>
      <c r="S1334" s="7">
        <f>IF(N1334,IF(AND(O1334*P1334&lt;=0,Q1334*R1334&lt;=0,MAX(MIN(N40,P40),MIN(N53,P53))&lt;=MIN(MAX(N40,P40),MAX(N53,P53)),MAX(MIN(O40,Q40),MIN(O53,Q53))&lt;=MIN(MAX(O40,Q40),MAX(O53,Q53))),1,0),0)</f>
        <v>0</v>
      </c>
      <c r="T1334" s="7"/>
      <c r="U1334" s="7"/>
      <c r="V1334" s="7"/>
      <c r="W1334" s="7"/>
      <c r="X1334" s="7"/>
      <c r="Y1334" s="7"/>
      <c r="Z1334" s="7"/>
      <c r="AA1334" s="7"/>
      <c r="AB1334" s="7"/>
      <c r="AC1334" s="7"/>
      <c r="AD1334" s="7"/>
      <c r="AE1334" s="7"/>
      <c r="AF1334" s="7"/>
      <c r="AG1334" s="7"/>
      <c r="AH1334" s="7"/>
      <c r="AI1334" s="7"/>
    </row>
    <row r="1335" spans="12:35">
      <c r="L1335" s="7">
        <v>40</v>
      </c>
      <c r="M1335" s="7">
        <v>54</v>
      </c>
      <c r="N1335" s="7" t="b">
        <f>AND($N$6,$N$7,9&lt;=$M$6,3&lt;=$M$7)</f>
        <v>0</v>
      </c>
      <c r="O1335" s="7">
        <f>(P40-N40)*(O54-O40)-(Q40-O40)*(N54-N40)</f>
        <v>0</v>
      </c>
      <c r="P1335" s="7">
        <f>(P40-N40)*(Q54-O40)-(Q40-O40)*(P54-N40)</f>
        <v>0</v>
      </c>
      <c r="Q1335" s="7">
        <f>(P54-N54)*(O40-O54)-(Q54-O54)*(N40-N54)</f>
        <v>0</v>
      </c>
      <c r="R1335" s="7">
        <f>(P54-N54)*(Q40-O54)-(Q54-O54)*(P40-N54)</f>
        <v>0</v>
      </c>
      <c r="S1335" s="7">
        <f>IF(N1335,IF(AND(O1335*P1335&lt;=0,Q1335*R1335&lt;=0,MAX(MIN(N40,P40),MIN(N54,P54))&lt;=MIN(MAX(N40,P40),MAX(N54,P54)),MAX(MIN(O40,Q40),MIN(O54,Q54))&lt;=MIN(MAX(O40,Q40),MAX(O54,Q54))),1,0),0)</f>
        <v>0</v>
      </c>
      <c r="T1335" s="7"/>
      <c r="U1335" s="7"/>
      <c r="V1335" s="7"/>
      <c r="W1335" s="7"/>
      <c r="X1335" s="7"/>
      <c r="Y1335" s="7"/>
      <c r="Z1335" s="7"/>
      <c r="AA1335" s="7"/>
      <c r="AB1335" s="7"/>
      <c r="AC1335" s="7"/>
      <c r="AD1335" s="7"/>
      <c r="AE1335" s="7"/>
      <c r="AF1335" s="7"/>
      <c r="AG1335" s="7"/>
      <c r="AH1335" s="7"/>
      <c r="AI1335" s="7"/>
    </row>
    <row r="1336" spans="12:35">
      <c r="L1336" s="7">
        <v>40</v>
      </c>
      <c r="M1336" s="7">
        <v>55</v>
      </c>
      <c r="N1336" s="7" t="b">
        <f>AND($N$6,$N$7,9&lt;=$M$6,4&lt;=$M$7)</f>
        <v>0</v>
      </c>
      <c r="O1336" s="7">
        <f>(P40-N40)*(O55-O40)-(Q40-O40)*(N55-N40)</f>
        <v>0</v>
      </c>
      <c r="P1336" s="7">
        <f>(P40-N40)*(Q55-O40)-(Q40-O40)*(P55-N40)</f>
        <v>0</v>
      </c>
      <c r="Q1336" s="7">
        <f>(P55-N55)*(O40-O55)-(Q55-O55)*(N40-N55)</f>
        <v>0</v>
      </c>
      <c r="R1336" s="7">
        <f>(P55-N55)*(Q40-O55)-(Q55-O55)*(P40-N55)</f>
        <v>0</v>
      </c>
      <c r="S1336" s="7">
        <f>IF(N1336,IF(AND(O1336*P1336&lt;=0,Q1336*R1336&lt;=0,MAX(MIN(N40,P40),MIN(N55,P55))&lt;=MIN(MAX(N40,P40),MAX(N55,P55)),MAX(MIN(O40,Q40),MIN(O55,Q55))&lt;=MIN(MAX(O40,Q40),MAX(O55,Q55))),1,0),0)</f>
        <v>0</v>
      </c>
      <c r="T1336" s="7"/>
      <c r="U1336" s="7"/>
      <c r="V1336" s="7"/>
      <c r="W1336" s="7"/>
      <c r="X1336" s="7"/>
      <c r="Y1336" s="7"/>
      <c r="Z1336" s="7"/>
      <c r="AA1336" s="7"/>
      <c r="AB1336" s="7"/>
      <c r="AC1336" s="7"/>
      <c r="AD1336" s="7"/>
      <c r="AE1336" s="7"/>
      <c r="AF1336" s="7"/>
      <c r="AG1336" s="7"/>
      <c r="AH1336" s="7"/>
      <c r="AI1336" s="7"/>
    </row>
    <row r="1337" spans="12:35">
      <c r="L1337" s="7">
        <v>40</v>
      </c>
      <c r="M1337" s="7">
        <v>56</v>
      </c>
      <c r="N1337" s="7" t="b">
        <f>AND($N$6,$N$7,9&lt;=$M$6,5&lt;=$M$7)</f>
        <v>0</v>
      </c>
      <c r="O1337" s="7">
        <f>(P40-N40)*(O56-O40)-(Q40-O40)*(N56-N40)</f>
        <v>0</v>
      </c>
      <c r="P1337" s="7">
        <f>(P40-N40)*(Q56-O40)-(Q40-O40)*(P56-N40)</f>
        <v>0</v>
      </c>
      <c r="Q1337" s="7">
        <f>(P56-N56)*(O40-O56)-(Q56-O56)*(N40-N56)</f>
        <v>0</v>
      </c>
      <c r="R1337" s="7">
        <f>(P56-N56)*(Q40-O56)-(Q56-O56)*(P40-N56)</f>
        <v>0</v>
      </c>
      <c r="S1337" s="7">
        <f>IF(N1337,IF(AND(O1337*P1337&lt;=0,Q1337*R1337&lt;=0,MAX(MIN(N40,P40),MIN(N56,P56))&lt;=MIN(MAX(N40,P40),MAX(N56,P56)),MAX(MIN(O40,Q40),MIN(O56,Q56))&lt;=MIN(MAX(O40,Q40),MAX(O56,Q56))),1,0),0)</f>
        <v>0</v>
      </c>
      <c r="T1337" s="7"/>
      <c r="U1337" s="7"/>
      <c r="V1337" s="7"/>
      <c r="W1337" s="7"/>
      <c r="X1337" s="7"/>
      <c r="Y1337" s="7"/>
      <c r="Z1337" s="7"/>
      <c r="AA1337" s="7"/>
      <c r="AB1337" s="7"/>
      <c r="AC1337" s="7"/>
      <c r="AD1337" s="7"/>
      <c r="AE1337" s="7"/>
      <c r="AF1337" s="7"/>
      <c r="AG1337" s="7"/>
      <c r="AH1337" s="7"/>
      <c r="AI1337" s="7"/>
    </row>
    <row r="1338" spans="12:35">
      <c r="L1338" s="7">
        <v>40</v>
      </c>
      <c r="M1338" s="7">
        <v>57</v>
      </c>
      <c r="N1338" s="7" t="b">
        <f>AND($N$6,$N$7,9&lt;=$M$6,6&lt;=$M$7)</f>
        <v>0</v>
      </c>
      <c r="O1338" s="7">
        <f>(P40-N40)*(O57-O40)-(Q40-O40)*(N57-N40)</f>
        <v>0</v>
      </c>
      <c r="P1338" s="7">
        <f>(P40-N40)*(Q57-O40)-(Q40-O40)*(P57-N40)</f>
        <v>0</v>
      </c>
      <c r="Q1338" s="7">
        <f>(P57-N57)*(O40-O57)-(Q57-O57)*(N40-N57)</f>
        <v>0</v>
      </c>
      <c r="R1338" s="7">
        <f>(P57-N57)*(Q40-O57)-(Q57-O57)*(P40-N57)</f>
        <v>0</v>
      </c>
      <c r="S1338" s="7">
        <f>IF(N1338,IF(AND(O1338*P1338&lt;=0,Q1338*R1338&lt;=0,MAX(MIN(N40,P40),MIN(N57,P57))&lt;=MIN(MAX(N40,P40),MAX(N57,P57)),MAX(MIN(O40,Q40),MIN(O57,Q57))&lt;=MIN(MAX(O40,Q40),MAX(O57,Q57))),1,0),0)</f>
        <v>0</v>
      </c>
      <c r="T1338" s="7"/>
      <c r="U1338" s="7"/>
      <c r="V1338" s="7"/>
      <c r="W1338" s="7"/>
      <c r="X1338" s="7"/>
      <c r="Y1338" s="7"/>
      <c r="Z1338" s="7"/>
      <c r="AA1338" s="7"/>
      <c r="AB1338" s="7"/>
      <c r="AC1338" s="7"/>
      <c r="AD1338" s="7"/>
      <c r="AE1338" s="7"/>
      <c r="AF1338" s="7"/>
      <c r="AG1338" s="7"/>
      <c r="AH1338" s="7"/>
      <c r="AI1338" s="7"/>
    </row>
    <row r="1339" spans="12:35">
      <c r="L1339" s="7">
        <v>40</v>
      </c>
      <c r="M1339" s="7">
        <v>58</v>
      </c>
      <c r="N1339" s="7" t="b">
        <f>AND($N$6,$N$7,9&lt;=$M$6,7&lt;=$M$7)</f>
        <v>0</v>
      </c>
      <c r="O1339" s="7">
        <f>(P40-N40)*(O58-O40)-(Q40-O40)*(N58-N40)</f>
        <v>0</v>
      </c>
      <c r="P1339" s="7">
        <f>(P40-N40)*(Q58-O40)-(Q40-O40)*(P58-N40)</f>
        <v>0</v>
      </c>
      <c r="Q1339" s="7">
        <f>(P58-N58)*(O40-O58)-(Q58-O58)*(N40-N58)</f>
        <v>0</v>
      </c>
      <c r="R1339" s="7">
        <f>(P58-N58)*(Q40-O58)-(Q58-O58)*(P40-N58)</f>
        <v>0</v>
      </c>
      <c r="S1339" s="7">
        <f>IF(N1339,IF(AND(O1339*P1339&lt;=0,Q1339*R1339&lt;=0,MAX(MIN(N40,P40),MIN(N58,P58))&lt;=MIN(MAX(N40,P40),MAX(N58,P58)),MAX(MIN(O40,Q40),MIN(O58,Q58))&lt;=MIN(MAX(O40,Q40),MAX(O58,Q58))),1,0),0)</f>
        <v>0</v>
      </c>
      <c r="T1339" s="7"/>
      <c r="U1339" s="7"/>
      <c r="V1339" s="7"/>
      <c r="W1339" s="7"/>
      <c r="X1339" s="7"/>
      <c r="Y1339" s="7"/>
      <c r="Z1339" s="7"/>
      <c r="AA1339" s="7"/>
      <c r="AB1339" s="7"/>
      <c r="AC1339" s="7"/>
      <c r="AD1339" s="7"/>
      <c r="AE1339" s="7"/>
      <c r="AF1339" s="7"/>
      <c r="AG1339" s="7"/>
      <c r="AH1339" s="7"/>
      <c r="AI1339" s="7"/>
    </row>
    <row r="1340" spans="12:35">
      <c r="L1340" s="7">
        <v>40</v>
      </c>
      <c r="M1340" s="7">
        <v>59</v>
      </c>
      <c r="N1340" s="7" t="b">
        <f>AND($N$6,$N$7,9&lt;=$M$6,8&lt;=$M$7)</f>
        <v>0</v>
      </c>
      <c r="O1340" s="7">
        <f>(P40-N40)*(O59-O40)-(Q40-O40)*(N59-N40)</f>
        <v>0</v>
      </c>
      <c r="P1340" s="7">
        <f>(P40-N40)*(Q59-O40)-(Q40-O40)*(P59-N40)</f>
        <v>0</v>
      </c>
      <c r="Q1340" s="7">
        <f>(P59-N59)*(O40-O59)-(Q59-O59)*(N40-N59)</f>
        <v>0</v>
      </c>
      <c r="R1340" s="7">
        <f>(P59-N59)*(Q40-O59)-(Q59-O59)*(P40-N59)</f>
        <v>0</v>
      </c>
      <c r="S1340" s="7">
        <f>IF(N1340,IF(AND(O1340*P1340&lt;=0,Q1340*R1340&lt;=0,MAX(MIN(N40,P40),MIN(N59,P59))&lt;=MIN(MAX(N40,P40),MAX(N59,P59)),MAX(MIN(O40,Q40),MIN(O59,Q59))&lt;=MIN(MAX(O40,Q40),MAX(O59,Q59))),1,0),0)</f>
        <v>0</v>
      </c>
      <c r="T1340" s="7"/>
      <c r="U1340" s="7"/>
      <c r="V1340" s="7"/>
      <c r="W1340" s="7"/>
      <c r="X1340" s="7"/>
      <c r="Y1340" s="7"/>
      <c r="Z1340" s="7"/>
      <c r="AA1340" s="7"/>
      <c r="AB1340" s="7"/>
      <c r="AC1340" s="7"/>
      <c r="AD1340" s="7"/>
      <c r="AE1340" s="7"/>
      <c r="AF1340" s="7"/>
      <c r="AG1340" s="7"/>
      <c r="AH1340" s="7"/>
      <c r="AI1340" s="7"/>
    </row>
    <row r="1341" spans="12:35">
      <c r="L1341" s="7">
        <v>40</v>
      </c>
      <c r="M1341" s="7">
        <v>60</v>
      </c>
      <c r="N1341" s="7" t="b">
        <f>AND($N$6,$N$7,9&lt;=$M$6,9&lt;=$M$7)</f>
        <v>0</v>
      </c>
      <c r="O1341" s="7">
        <f>(P40-N40)*(O60-O40)-(Q40-O40)*(N60-N40)</f>
        <v>0</v>
      </c>
      <c r="P1341" s="7">
        <f>(P40-N40)*(Q60-O40)-(Q40-O40)*(P60-N40)</f>
        <v>0</v>
      </c>
      <c r="Q1341" s="7">
        <f>(P60-N60)*(O40-O60)-(Q60-O60)*(N40-N60)</f>
        <v>0</v>
      </c>
      <c r="R1341" s="7">
        <f>(P60-N60)*(Q40-O60)-(Q60-O60)*(P40-N60)</f>
        <v>0</v>
      </c>
      <c r="S1341" s="7">
        <f>IF(N1341,IF(AND(O1341*P1341&lt;=0,Q1341*R1341&lt;=0,MAX(MIN(N40,P40),MIN(N60,P60))&lt;=MIN(MAX(N40,P40),MAX(N60,P60)),MAX(MIN(O40,Q40),MIN(O60,Q60))&lt;=MIN(MAX(O40,Q40),MAX(O60,Q60))),1,0),0)</f>
        <v>0</v>
      </c>
      <c r="T1341" s="7"/>
      <c r="U1341" s="7"/>
      <c r="V1341" s="7"/>
      <c r="W1341" s="7"/>
      <c r="X1341" s="7"/>
      <c r="Y1341" s="7"/>
      <c r="Z1341" s="7"/>
      <c r="AA1341" s="7"/>
      <c r="AB1341" s="7"/>
      <c r="AC1341" s="7"/>
      <c r="AD1341" s="7"/>
      <c r="AE1341" s="7"/>
      <c r="AF1341" s="7"/>
      <c r="AG1341" s="7"/>
      <c r="AH1341" s="7"/>
      <c r="AI1341" s="7"/>
    </row>
    <row r="1342" spans="12:35">
      <c r="L1342" s="7">
        <v>40</v>
      </c>
      <c r="M1342" s="7">
        <v>61</v>
      </c>
      <c r="N1342" s="7" t="b">
        <f>AND($N$6,$N$7,9&lt;=$M$6,10&lt;=$M$7)</f>
        <v>0</v>
      </c>
      <c r="O1342" s="7">
        <f>(P40-N40)*(O61-O40)-(Q40-O40)*(N61-N40)</f>
        <v>0</v>
      </c>
      <c r="P1342" s="7">
        <f>(P40-N40)*(Q61-O40)-(Q40-O40)*(P61-N40)</f>
        <v>0</v>
      </c>
      <c r="Q1342" s="7">
        <f>(P61-N61)*(O40-O61)-(Q61-O61)*(N40-N61)</f>
        <v>0</v>
      </c>
      <c r="R1342" s="7">
        <f>(P61-N61)*(Q40-O61)-(Q61-O61)*(P40-N61)</f>
        <v>0</v>
      </c>
      <c r="S1342" s="7">
        <f>IF(N1342,IF(AND(O1342*P1342&lt;=0,Q1342*R1342&lt;=0,MAX(MIN(N40,P40),MIN(N61,P61))&lt;=MIN(MAX(N40,P40),MAX(N61,P61)),MAX(MIN(O40,Q40),MIN(O61,Q61))&lt;=MIN(MAX(O40,Q40),MAX(O61,Q61))),1,0),0)</f>
        <v>0</v>
      </c>
      <c r="T1342" s="7"/>
      <c r="U1342" s="7"/>
      <c r="V1342" s="7"/>
      <c r="W1342" s="7"/>
      <c r="X1342" s="7"/>
      <c r="Y1342" s="7"/>
      <c r="Z1342" s="7"/>
      <c r="AA1342" s="7"/>
      <c r="AB1342" s="7"/>
      <c r="AC1342" s="7"/>
      <c r="AD1342" s="7"/>
      <c r="AE1342" s="7"/>
      <c r="AF1342" s="7"/>
      <c r="AG1342" s="7"/>
      <c r="AH1342" s="7"/>
      <c r="AI1342" s="7"/>
    </row>
    <row r="1343" spans="12:35">
      <c r="L1343" s="7">
        <v>40</v>
      </c>
      <c r="M1343" s="7">
        <v>62</v>
      </c>
      <c r="N1343" s="7" t="b">
        <f>AND($N$6,$N$7,9&lt;=$M$6,11&lt;=$M$7)</f>
        <v>0</v>
      </c>
      <c r="O1343" s="7">
        <f>(P40-N40)*(O62-O40)-(Q40-O40)*(N62-N40)</f>
        <v>0</v>
      </c>
      <c r="P1343" s="7">
        <f>(P40-N40)*(Q62-O40)-(Q40-O40)*(P62-N40)</f>
        <v>0</v>
      </c>
      <c r="Q1343" s="7">
        <f>(P62-N62)*(O40-O62)-(Q62-O62)*(N40-N62)</f>
        <v>0</v>
      </c>
      <c r="R1343" s="7">
        <f>(P62-N62)*(Q40-O62)-(Q62-O62)*(P40-N62)</f>
        <v>0</v>
      </c>
      <c r="S1343" s="7">
        <f>IF(N1343,IF(AND(O1343*P1343&lt;=0,Q1343*R1343&lt;=0,MAX(MIN(N40,P40),MIN(N62,P62))&lt;=MIN(MAX(N40,P40),MAX(N62,P62)),MAX(MIN(O40,Q40),MIN(O62,Q62))&lt;=MIN(MAX(O40,Q40),MAX(O62,Q62))),1,0),0)</f>
        <v>0</v>
      </c>
      <c r="T1343" s="7"/>
      <c r="U1343" s="7"/>
      <c r="V1343" s="7"/>
      <c r="W1343" s="7"/>
      <c r="X1343" s="7"/>
      <c r="Y1343" s="7"/>
      <c r="Z1343" s="7"/>
      <c r="AA1343" s="7"/>
      <c r="AB1343" s="7"/>
      <c r="AC1343" s="7"/>
      <c r="AD1343" s="7"/>
      <c r="AE1343" s="7"/>
      <c r="AF1343" s="7"/>
      <c r="AG1343" s="7"/>
      <c r="AH1343" s="7"/>
      <c r="AI1343" s="7"/>
    </row>
    <row r="1344" spans="12:35">
      <c r="L1344" s="7">
        <v>40</v>
      </c>
      <c r="M1344" s="7">
        <v>63</v>
      </c>
      <c r="N1344" s="7" t="b">
        <f>AND($N$6,$N$7,9&lt;=$M$6,12&lt;=$M$7)</f>
        <v>0</v>
      </c>
      <c r="O1344" s="7">
        <f>(P40-N40)*(O63-O40)-(Q40-O40)*(N63-N40)</f>
        <v>0</v>
      </c>
      <c r="P1344" s="7">
        <f>(P40-N40)*(Q63-O40)-(Q40-O40)*(P63-N40)</f>
        <v>0</v>
      </c>
      <c r="Q1344" s="7">
        <f>(P63-N63)*(O40-O63)-(Q63-O63)*(N40-N63)</f>
        <v>0</v>
      </c>
      <c r="R1344" s="7">
        <f>(P63-N63)*(Q40-O63)-(Q63-O63)*(P40-N63)</f>
        <v>0</v>
      </c>
      <c r="S1344" s="7">
        <f>IF(N1344,IF(AND(O1344*P1344&lt;=0,Q1344*R1344&lt;=0,MAX(MIN(N40,P40),MIN(N63,P63))&lt;=MIN(MAX(N40,P40),MAX(N63,P63)),MAX(MIN(O40,Q40),MIN(O63,Q63))&lt;=MIN(MAX(O40,Q40),MAX(O63,Q63))),1,0),0)</f>
        <v>0</v>
      </c>
      <c r="T1344" s="7"/>
      <c r="U1344" s="7"/>
      <c r="V1344" s="7"/>
      <c r="W1344" s="7"/>
      <c r="X1344" s="7"/>
      <c r="Y1344" s="7"/>
      <c r="Z1344" s="7"/>
      <c r="AA1344" s="7"/>
      <c r="AB1344" s="7"/>
      <c r="AC1344" s="7"/>
      <c r="AD1344" s="7"/>
      <c r="AE1344" s="7"/>
      <c r="AF1344" s="7"/>
      <c r="AG1344" s="7"/>
      <c r="AH1344" s="7"/>
      <c r="AI1344" s="7"/>
    </row>
    <row r="1345" spans="12:35">
      <c r="L1345" s="7">
        <v>40</v>
      </c>
      <c r="M1345" s="7">
        <v>64</v>
      </c>
      <c r="N1345" s="7" t="b">
        <f>AND($N$6,$N$7,9&lt;=$M$6,13&lt;=$M$7)</f>
        <v>0</v>
      </c>
      <c r="O1345" s="7">
        <f>(P40-N40)*(O64-O40)-(Q40-O40)*(N64-N40)</f>
        <v>0</v>
      </c>
      <c r="P1345" s="7">
        <f>(P40-N40)*(Q64-O40)-(Q40-O40)*(P64-N40)</f>
        <v>0</v>
      </c>
      <c r="Q1345" s="7">
        <f>(P64-N64)*(O40-O64)-(Q64-O64)*(N40-N64)</f>
        <v>0</v>
      </c>
      <c r="R1345" s="7">
        <f>(P64-N64)*(Q40-O64)-(Q64-O64)*(P40-N64)</f>
        <v>0</v>
      </c>
      <c r="S1345" s="7">
        <f>IF(N1345,IF(AND(O1345*P1345&lt;=0,Q1345*R1345&lt;=0,MAX(MIN(N40,P40),MIN(N64,P64))&lt;=MIN(MAX(N40,P40),MAX(N64,P64)),MAX(MIN(O40,Q40),MIN(O64,Q64))&lt;=MIN(MAX(O40,Q40),MAX(O64,Q64))),1,0),0)</f>
        <v>0</v>
      </c>
      <c r="T1345" s="7"/>
      <c r="U1345" s="7"/>
      <c r="V1345" s="7"/>
      <c r="W1345" s="7"/>
      <c r="X1345" s="7"/>
      <c r="Y1345" s="7"/>
      <c r="Z1345" s="7"/>
      <c r="AA1345" s="7"/>
      <c r="AB1345" s="7"/>
      <c r="AC1345" s="7"/>
      <c r="AD1345" s="7"/>
      <c r="AE1345" s="7"/>
      <c r="AF1345" s="7"/>
      <c r="AG1345" s="7"/>
      <c r="AH1345" s="7"/>
      <c r="AI1345" s="7"/>
    </row>
    <row r="1346" spans="12:35">
      <c r="L1346" s="7">
        <v>40</v>
      </c>
      <c r="M1346" s="7">
        <v>65</v>
      </c>
      <c r="N1346" s="7" t="b">
        <f>AND($N$6,$N$7,9&lt;=$M$6,14&lt;=$M$7)</f>
        <v>0</v>
      </c>
      <c r="O1346" s="7">
        <f>(P40-N40)*(O65-O40)-(Q40-O40)*(N65-N40)</f>
        <v>0</v>
      </c>
      <c r="P1346" s="7">
        <f>(P40-N40)*(Q65-O40)-(Q40-O40)*(P65-N40)</f>
        <v>0</v>
      </c>
      <c r="Q1346" s="7">
        <f>(P65-N65)*(O40-O65)-(Q65-O65)*(N40-N65)</f>
        <v>0</v>
      </c>
      <c r="R1346" s="7">
        <f>(P65-N65)*(Q40-O65)-(Q65-O65)*(P40-N65)</f>
        <v>0</v>
      </c>
      <c r="S1346" s="7">
        <f>IF(N1346,IF(AND(O1346*P1346&lt;=0,Q1346*R1346&lt;=0,MAX(MIN(N40,P40),MIN(N65,P65))&lt;=MIN(MAX(N40,P40),MAX(N65,P65)),MAX(MIN(O40,Q40),MIN(O65,Q65))&lt;=MIN(MAX(O40,Q40),MAX(O65,Q65))),1,0),0)</f>
        <v>0</v>
      </c>
      <c r="T1346" s="7"/>
      <c r="U1346" s="7"/>
      <c r="V1346" s="7"/>
      <c r="W1346" s="7"/>
      <c r="X1346" s="7"/>
      <c r="Y1346" s="7"/>
      <c r="Z1346" s="7"/>
      <c r="AA1346" s="7"/>
      <c r="AB1346" s="7"/>
      <c r="AC1346" s="7"/>
      <c r="AD1346" s="7"/>
      <c r="AE1346" s="7"/>
      <c r="AF1346" s="7"/>
      <c r="AG1346" s="7"/>
      <c r="AH1346" s="7"/>
      <c r="AI1346" s="7"/>
    </row>
    <row r="1347" spans="12:35">
      <c r="L1347" s="7">
        <v>40</v>
      </c>
      <c r="M1347" s="7">
        <v>66</v>
      </c>
      <c r="N1347" s="7" t="b">
        <f>AND($N$6,$N$7,9&lt;=$M$6,15&lt;=$M$7)</f>
        <v>0</v>
      </c>
      <c r="O1347" s="7">
        <f>(P40-N40)*(O66-O40)-(Q40-O40)*(N66-N40)</f>
        <v>0</v>
      </c>
      <c r="P1347" s="7">
        <f>(P40-N40)*(Q66-O40)-(Q40-O40)*(P66-N40)</f>
        <v>0</v>
      </c>
      <c r="Q1347" s="7">
        <f>(P66-N66)*(O40-O66)-(Q66-O66)*(N40-N66)</f>
        <v>0</v>
      </c>
      <c r="R1347" s="7">
        <f>(P66-N66)*(Q40-O66)-(Q66-O66)*(P40-N66)</f>
        <v>0</v>
      </c>
      <c r="S1347" s="7">
        <f>IF(N1347,IF(AND(O1347*P1347&lt;=0,Q1347*R1347&lt;=0,MAX(MIN(N40,P40),MIN(N66,P66))&lt;=MIN(MAX(N40,P40),MAX(N66,P66)),MAX(MIN(O40,Q40),MIN(O66,Q66))&lt;=MIN(MAX(O40,Q40),MAX(O66,Q66))),1,0),0)</f>
        <v>0</v>
      </c>
      <c r="T1347" s="7"/>
      <c r="U1347" s="7"/>
      <c r="V1347" s="7"/>
      <c r="W1347" s="7"/>
      <c r="X1347" s="7"/>
      <c r="Y1347" s="7"/>
      <c r="Z1347" s="7"/>
      <c r="AA1347" s="7"/>
      <c r="AB1347" s="7"/>
      <c r="AC1347" s="7"/>
      <c r="AD1347" s="7"/>
      <c r="AE1347" s="7"/>
      <c r="AF1347" s="7"/>
      <c r="AG1347" s="7"/>
      <c r="AH1347" s="7"/>
      <c r="AI1347" s="7"/>
    </row>
    <row r="1348" spans="12:35">
      <c r="L1348" s="7">
        <v>40</v>
      </c>
      <c r="M1348" s="7">
        <v>67</v>
      </c>
      <c r="N1348" s="7" t="b">
        <f>AND($N$6,$N$7,9&lt;=$M$6,16&lt;=$M$7)</f>
        <v>0</v>
      </c>
      <c r="O1348" s="7">
        <f>(P40-N40)*(O67-O40)-(Q40-O40)*(N67-N40)</f>
        <v>0</v>
      </c>
      <c r="P1348" s="7">
        <f>(P40-N40)*(Q67-O40)-(Q40-O40)*(P67-N40)</f>
        <v>0</v>
      </c>
      <c r="Q1348" s="7">
        <f>(P67-N67)*(O40-O67)-(Q67-O67)*(N40-N67)</f>
        <v>0</v>
      </c>
      <c r="R1348" s="7">
        <f>(P67-N67)*(Q40-O67)-(Q67-O67)*(P40-N67)</f>
        <v>0</v>
      </c>
      <c r="S1348" s="7">
        <f>IF(N1348,IF(AND(O1348*P1348&lt;=0,Q1348*R1348&lt;=0,MAX(MIN(N40,P40),MIN(N67,P67))&lt;=MIN(MAX(N40,P40),MAX(N67,P67)),MAX(MIN(O40,Q40),MIN(O67,Q67))&lt;=MIN(MAX(O40,Q40),MAX(O67,Q67))),1,0),0)</f>
        <v>0</v>
      </c>
      <c r="T1348" s="7"/>
      <c r="U1348" s="7"/>
      <c r="V1348" s="7"/>
      <c r="W1348" s="7"/>
      <c r="X1348" s="7"/>
      <c r="Y1348" s="7"/>
      <c r="Z1348" s="7"/>
      <c r="AA1348" s="7"/>
      <c r="AB1348" s="7"/>
      <c r="AC1348" s="7"/>
      <c r="AD1348" s="7"/>
      <c r="AE1348" s="7"/>
      <c r="AF1348" s="7"/>
      <c r="AG1348" s="7"/>
      <c r="AH1348" s="7"/>
      <c r="AI1348" s="7"/>
    </row>
    <row r="1349" spans="12:35">
      <c r="L1349" s="7">
        <v>40</v>
      </c>
      <c r="M1349" s="7">
        <v>68</v>
      </c>
      <c r="N1349" s="7" t="b">
        <f>AND($N$6,$N$7,9&lt;=$M$6,17&lt;=$M$7)</f>
        <v>0</v>
      </c>
      <c r="O1349" s="7">
        <f>(P40-N40)*(O68-O40)-(Q40-O40)*(N68-N40)</f>
        <v>0</v>
      </c>
      <c r="P1349" s="7">
        <f>(P40-N40)*(Q68-O40)-(Q40-O40)*(P68-N40)</f>
        <v>0</v>
      </c>
      <c r="Q1349" s="7">
        <f>(P68-N68)*(O40-O68)-(Q68-O68)*(N40-N68)</f>
        <v>0</v>
      </c>
      <c r="R1349" s="7">
        <f>(P68-N68)*(Q40-O68)-(Q68-O68)*(P40-N68)</f>
        <v>0</v>
      </c>
      <c r="S1349" s="7">
        <f>IF(N1349,IF(AND(O1349*P1349&lt;=0,Q1349*R1349&lt;=0,MAX(MIN(N40,P40),MIN(N68,P68))&lt;=MIN(MAX(N40,P40),MAX(N68,P68)),MAX(MIN(O40,Q40),MIN(O68,Q68))&lt;=MIN(MAX(O40,Q40),MAX(O68,Q68))),1,0),0)</f>
        <v>0</v>
      </c>
      <c r="T1349" s="7"/>
      <c r="U1349" s="7"/>
      <c r="V1349" s="7"/>
      <c r="W1349" s="7"/>
      <c r="X1349" s="7"/>
      <c r="Y1349" s="7"/>
      <c r="Z1349" s="7"/>
      <c r="AA1349" s="7"/>
      <c r="AB1349" s="7"/>
      <c r="AC1349" s="7"/>
      <c r="AD1349" s="7"/>
      <c r="AE1349" s="7"/>
      <c r="AF1349" s="7"/>
      <c r="AG1349" s="7"/>
      <c r="AH1349" s="7"/>
      <c r="AI1349" s="7"/>
    </row>
    <row r="1350" spans="12:35">
      <c r="L1350" s="7">
        <v>40</v>
      </c>
      <c r="M1350" s="7">
        <v>69</v>
      </c>
      <c r="N1350" s="7" t="b">
        <f>AND($N$6,$N$7,9&lt;=$M$6,18&lt;=$M$7)</f>
        <v>0</v>
      </c>
      <c r="O1350" s="7">
        <f>(P40-N40)*(O69-O40)-(Q40-O40)*(N69-N40)</f>
        <v>0</v>
      </c>
      <c r="P1350" s="7">
        <f>(P40-N40)*(Q69-O40)-(Q40-O40)*(P69-N40)</f>
        <v>0</v>
      </c>
      <c r="Q1350" s="7">
        <f>(P69-N69)*(O40-O69)-(Q69-O69)*(N40-N69)</f>
        <v>0</v>
      </c>
      <c r="R1350" s="7">
        <f>(P69-N69)*(Q40-O69)-(Q69-O69)*(P40-N69)</f>
        <v>0</v>
      </c>
      <c r="S1350" s="7">
        <f>IF(N1350,IF(AND(O1350*P1350&lt;=0,Q1350*R1350&lt;=0,MAX(MIN(N40,P40),MIN(N69,P69))&lt;=MIN(MAX(N40,P40),MAX(N69,P69)),MAX(MIN(O40,Q40),MIN(O69,Q69))&lt;=MIN(MAX(O40,Q40),MAX(O69,Q69))),1,0),0)</f>
        <v>0</v>
      </c>
      <c r="T1350" s="7"/>
      <c r="U1350" s="7"/>
      <c r="V1350" s="7"/>
      <c r="W1350" s="7"/>
      <c r="X1350" s="7"/>
      <c r="Y1350" s="7"/>
      <c r="Z1350" s="7"/>
      <c r="AA1350" s="7"/>
      <c r="AB1350" s="7"/>
      <c r="AC1350" s="7"/>
      <c r="AD1350" s="7"/>
      <c r="AE1350" s="7"/>
      <c r="AF1350" s="7"/>
      <c r="AG1350" s="7"/>
      <c r="AH1350" s="7"/>
      <c r="AI1350" s="7"/>
    </row>
    <row r="1351" spans="12:35">
      <c r="L1351" s="7">
        <v>40</v>
      </c>
      <c r="M1351" s="7">
        <v>70</v>
      </c>
      <c r="N1351" s="7" t="b">
        <f>AND($N$6,$N$7,9&lt;=$M$6,19&lt;=$M$7)</f>
        <v>0</v>
      </c>
      <c r="O1351" s="7">
        <f>(P40-N40)*(O70-O40)-(Q40-O40)*(N70-N40)</f>
        <v>0</v>
      </c>
      <c r="P1351" s="7">
        <f>(P40-N40)*(Q70-O40)-(Q40-O40)*(P70-N40)</f>
        <v>0</v>
      </c>
      <c r="Q1351" s="7">
        <f>(P70-N70)*(O40-O70)-(Q70-O70)*(N40-N70)</f>
        <v>0</v>
      </c>
      <c r="R1351" s="7">
        <f>(P70-N70)*(Q40-O70)-(Q70-O70)*(P40-N70)</f>
        <v>0</v>
      </c>
      <c r="S1351" s="7">
        <f>IF(N1351,IF(AND(O1351*P1351&lt;=0,Q1351*R1351&lt;=0,MAX(MIN(N40,P40),MIN(N70,P70))&lt;=MIN(MAX(N40,P40),MAX(N70,P70)),MAX(MIN(O40,Q40),MIN(O70,Q70))&lt;=MIN(MAX(O40,Q40),MAX(O70,Q70))),1,0),0)</f>
        <v>0</v>
      </c>
      <c r="T1351" s="7"/>
      <c r="U1351" s="7"/>
      <c r="V1351" s="7"/>
      <c r="W1351" s="7"/>
      <c r="X1351" s="7"/>
      <c r="Y1351" s="7"/>
      <c r="Z1351" s="7"/>
      <c r="AA1351" s="7"/>
      <c r="AB1351" s="7"/>
      <c r="AC1351" s="7"/>
      <c r="AD1351" s="7"/>
      <c r="AE1351" s="7"/>
      <c r="AF1351" s="7"/>
      <c r="AG1351" s="7"/>
      <c r="AH1351" s="7"/>
      <c r="AI1351" s="7"/>
    </row>
    <row r="1352" spans="12:35">
      <c r="L1352" s="7">
        <v>40</v>
      </c>
      <c r="M1352" s="7">
        <v>71</v>
      </c>
      <c r="N1352" s="7" t="b">
        <f>AND($N$6,$N$7,9&lt;=$M$6,20&lt;=$M$7)</f>
        <v>0</v>
      </c>
      <c r="O1352" s="7">
        <f>(P40-N40)*(O71-O40)-(Q40-O40)*(N71-N40)</f>
        <v>0</v>
      </c>
      <c r="P1352" s="7">
        <f>(P40-N40)*(Q71-O40)-(Q40-O40)*(P71-N40)</f>
        <v>0</v>
      </c>
      <c r="Q1352" s="7">
        <f>(P71-N71)*(O40-O71)-(Q71-O71)*(N40-N71)</f>
        <v>0</v>
      </c>
      <c r="R1352" s="7">
        <f>(P71-N71)*(Q40-O71)-(Q71-O71)*(P40-N71)</f>
        <v>0</v>
      </c>
      <c r="S1352" s="7">
        <f>IF(N1352,IF(AND(O1352*P1352&lt;=0,Q1352*R1352&lt;=0,MAX(MIN(N40,P40),MIN(N71,P71))&lt;=MIN(MAX(N40,P40),MAX(N71,P71)),MAX(MIN(O40,Q40),MIN(O71,Q71))&lt;=MIN(MAX(O40,Q40),MAX(O71,Q71))),1,0),0)</f>
        <v>0</v>
      </c>
      <c r="T1352" s="7"/>
      <c r="U1352" s="7"/>
      <c r="V1352" s="7"/>
      <c r="W1352" s="7"/>
      <c r="X1352" s="7"/>
      <c r="Y1352" s="7"/>
      <c r="Z1352" s="7"/>
      <c r="AA1352" s="7"/>
      <c r="AB1352" s="7"/>
      <c r="AC1352" s="7"/>
      <c r="AD1352" s="7"/>
      <c r="AE1352" s="7"/>
      <c r="AF1352" s="7"/>
      <c r="AG1352" s="7"/>
      <c r="AH1352" s="7"/>
      <c r="AI1352" s="7"/>
    </row>
    <row r="1353" spans="12:35">
      <c r="L1353" s="7">
        <v>41</v>
      </c>
      <c r="M1353" s="7">
        <v>43</v>
      </c>
      <c r="N1353" s="7" t="b">
        <f>AND($N$6,$N$6,10&lt;=$M$6,12&lt;=$M$6)</f>
        <v>0</v>
      </c>
      <c r="O1353" s="7">
        <f>(P41-N41)*(O43-O41)-(Q41-O41)*(N43-N41)</f>
        <v>0</v>
      </c>
      <c r="P1353" s="7">
        <f>(P41-N41)*(Q43-O41)-(Q41-O41)*(P43-N41)</f>
        <v>0</v>
      </c>
      <c r="Q1353" s="7">
        <f>(P43-N43)*(O41-O43)-(Q43-O43)*(N41-N43)</f>
        <v>0</v>
      </c>
      <c r="R1353" s="7">
        <f>(P43-N43)*(Q41-O43)-(Q43-O43)*(P41-N43)</f>
        <v>0</v>
      </c>
      <c r="S1353" s="7">
        <f>IF(N1353,IF(AND(O1353*P1353&lt;=0,Q1353*R1353&lt;=0,MAX(MIN(N41,P41),MIN(N43,P43))&lt;=MIN(MAX(N41,P41),MAX(N43,P43)),MAX(MIN(O41,Q41),MIN(O43,Q43))&lt;=MIN(MAX(O41,Q41),MAX(O43,Q43))),1,0),0)</f>
        <v>0</v>
      </c>
      <c r="T1353" s="7"/>
      <c r="U1353" s="7"/>
      <c r="V1353" s="7"/>
      <c r="W1353" s="7"/>
      <c r="X1353" s="7"/>
      <c r="Y1353" s="7"/>
      <c r="Z1353" s="7"/>
      <c r="AA1353" s="7"/>
      <c r="AB1353" s="7"/>
      <c r="AC1353" s="7"/>
      <c r="AD1353" s="7"/>
      <c r="AE1353" s="7"/>
      <c r="AF1353" s="7"/>
      <c r="AG1353" s="7"/>
      <c r="AH1353" s="7"/>
      <c r="AI1353" s="7"/>
    </row>
    <row r="1354" spans="12:35">
      <c r="L1354" s="7">
        <v>41</v>
      </c>
      <c r="M1354" s="7">
        <v>44</v>
      </c>
      <c r="N1354" s="7" t="b">
        <f>AND($N$6,$N$6,10&lt;=$M$6,13&lt;=$M$6)</f>
        <v>0</v>
      </c>
      <c r="O1354" s="7">
        <f>(P41-N41)*(O44-O41)-(Q41-O41)*(N44-N41)</f>
        <v>0</v>
      </c>
      <c r="P1354" s="7">
        <f>(P41-N41)*(Q44-O41)-(Q41-O41)*(P44-N41)</f>
        <v>0</v>
      </c>
      <c r="Q1354" s="7">
        <f>(P44-N44)*(O41-O44)-(Q44-O44)*(N41-N44)</f>
        <v>0</v>
      </c>
      <c r="R1354" s="7">
        <f>(P44-N44)*(Q41-O44)-(Q44-O44)*(P41-N44)</f>
        <v>0</v>
      </c>
      <c r="S1354" s="7">
        <f>IF(N1354,IF(AND(O1354*P1354&lt;=0,Q1354*R1354&lt;=0,MAX(MIN(N41,P41),MIN(N44,P44))&lt;=MIN(MAX(N41,P41),MAX(N44,P44)),MAX(MIN(O41,Q41),MIN(O44,Q44))&lt;=MIN(MAX(O41,Q41),MAX(O44,Q44))),1,0),0)</f>
        <v>0</v>
      </c>
      <c r="T1354" s="7"/>
      <c r="U1354" s="7"/>
      <c r="V1354" s="7"/>
      <c r="W1354" s="7"/>
      <c r="X1354" s="7"/>
      <c r="Y1354" s="7"/>
      <c r="Z1354" s="7"/>
      <c r="AA1354" s="7"/>
      <c r="AB1354" s="7"/>
      <c r="AC1354" s="7"/>
      <c r="AD1354" s="7"/>
      <c r="AE1354" s="7"/>
      <c r="AF1354" s="7"/>
      <c r="AG1354" s="7"/>
      <c r="AH1354" s="7"/>
      <c r="AI1354" s="7"/>
    </row>
    <row r="1355" spans="12:35">
      <c r="L1355" s="7">
        <v>41</v>
      </c>
      <c r="M1355" s="7">
        <v>45</v>
      </c>
      <c r="N1355" s="7" t="b">
        <f>AND($N$6,$N$6,10&lt;=$M$6,14&lt;=$M$6)</f>
        <v>0</v>
      </c>
      <c r="O1355" s="7">
        <f>(P41-N41)*(O45-O41)-(Q41-O41)*(N45-N41)</f>
        <v>0</v>
      </c>
      <c r="P1355" s="7">
        <f>(P41-N41)*(Q45-O41)-(Q41-O41)*(P45-N41)</f>
        <v>0</v>
      </c>
      <c r="Q1355" s="7">
        <f>(P45-N45)*(O41-O45)-(Q45-O45)*(N41-N45)</f>
        <v>0</v>
      </c>
      <c r="R1355" s="7">
        <f>(P45-N45)*(Q41-O45)-(Q45-O45)*(P41-N45)</f>
        <v>0</v>
      </c>
      <c r="S1355" s="7">
        <f>IF(N1355,IF(AND(O1355*P1355&lt;=0,Q1355*R1355&lt;=0,MAX(MIN(N41,P41),MIN(N45,P45))&lt;=MIN(MAX(N41,P41),MAX(N45,P45)),MAX(MIN(O41,Q41),MIN(O45,Q45))&lt;=MIN(MAX(O41,Q41),MAX(O45,Q45))),1,0),0)</f>
        <v>0</v>
      </c>
      <c r="T1355" s="7"/>
      <c r="U1355" s="7"/>
      <c r="V1355" s="7"/>
      <c r="W1355" s="7"/>
      <c r="X1355" s="7"/>
      <c r="Y1355" s="7"/>
      <c r="Z1355" s="7"/>
      <c r="AA1355" s="7"/>
      <c r="AB1355" s="7"/>
      <c r="AC1355" s="7"/>
      <c r="AD1355" s="7"/>
      <c r="AE1355" s="7"/>
      <c r="AF1355" s="7"/>
      <c r="AG1355" s="7"/>
      <c r="AH1355" s="7"/>
      <c r="AI1355" s="7"/>
    </row>
    <row r="1356" spans="12:35">
      <c r="L1356" s="7">
        <v>41</v>
      </c>
      <c r="M1356" s="7">
        <v>46</v>
      </c>
      <c r="N1356" s="7" t="b">
        <f>AND($N$6,$N$6,10&lt;=$M$6,15&lt;=$M$6)</f>
        <v>0</v>
      </c>
      <c r="O1356" s="7">
        <f>(P41-N41)*(O46-O41)-(Q41-O41)*(N46-N41)</f>
        <v>0</v>
      </c>
      <c r="P1356" s="7">
        <f>(P41-N41)*(Q46-O41)-(Q41-O41)*(P46-N41)</f>
        <v>0</v>
      </c>
      <c r="Q1356" s="7">
        <f>(P46-N46)*(O41-O46)-(Q46-O46)*(N41-N46)</f>
        <v>0</v>
      </c>
      <c r="R1356" s="7">
        <f>(P46-N46)*(Q41-O46)-(Q46-O46)*(P41-N46)</f>
        <v>0</v>
      </c>
      <c r="S1356" s="7">
        <f>IF(N1356,IF(AND(O1356*P1356&lt;=0,Q1356*R1356&lt;=0,MAX(MIN(N41,P41),MIN(N46,P46))&lt;=MIN(MAX(N41,P41),MAX(N46,P46)),MAX(MIN(O41,Q41),MIN(O46,Q46))&lt;=MIN(MAX(O41,Q41),MAX(O46,Q46))),1,0),0)</f>
        <v>0</v>
      </c>
      <c r="T1356" s="7"/>
      <c r="U1356" s="7"/>
      <c r="V1356" s="7"/>
      <c r="W1356" s="7"/>
      <c r="X1356" s="7"/>
      <c r="Y1356" s="7"/>
      <c r="Z1356" s="7"/>
      <c r="AA1356" s="7"/>
      <c r="AB1356" s="7"/>
      <c r="AC1356" s="7"/>
      <c r="AD1356" s="7"/>
      <c r="AE1356" s="7"/>
      <c r="AF1356" s="7"/>
      <c r="AG1356" s="7"/>
      <c r="AH1356" s="7"/>
      <c r="AI1356" s="7"/>
    </row>
    <row r="1357" spans="12:35">
      <c r="L1357" s="7">
        <v>41</v>
      </c>
      <c r="M1357" s="7">
        <v>47</v>
      </c>
      <c r="N1357" s="7" t="b">
        <f>AND($N$6,$N$6,10&lt;=$M$6,16&lt;=$M$6)</f>
        <v>0</v>
      </c>
      <c r="O1357" s="7">
        <f>(P41-N41)*(O47-O41)-(Q41-O41)*(N47-N41)</f>
        <v>0</v>
      </c>
      <c r="P1357" s="7">
        <f>(P41-N41)*(Q47-O41)-(Q41-O41)*(P47-N41)</f>
        <v>0</v>
      </c>
      <c r="Q1357" s="7">
        <f>(P47-N47)*(O41-O47)-(Q47-O47)*(N41-N47)</f>
        <v>0</v>
      </c>
      <c r="R1357" s="7">
        <f>(P47-N47)*(Q41-O47)-(Q47-O47)*(P41-N47)</f>
        <v>0</v>
      </c>
      <c r="S1357" s="7">
        <f>IF(N1357,IF(AND(O1357*P1357&lt;=0,Q1357*R1357&lt;=0,MAX(MIN(N41,P41),MIN(N47,P47))&lt;=MIN(MAX(N41,P41),MAX(N47,P47)),MAX(MIN(O41,Q41),MIN(O47,Q47))&lt;=MIN(MAX(O41,Q41),MAX(O47,Q47))),1,0),0)</f>
        <v>0</v>
      </c>
      <c r="T1357" s="7"/>
      <c r="U1357" s="7"/>
      <c r="V1357" s="7"/>
      <c r="W1357" s="7"/>
      <c r="X1357" s="7"/>
      <c r="Y1357" s="7"/>
      <c r="Z1357" s="7"/>
      <c r="AA1357" s="7"/>
      <c r="AB1357" s="7"/>
      <c r="AC1357" s="7"/>
      <c r="AD1357" s="7"/>
      <c r="AE1357" s="7"/>
      <c r="AF1357" s="7"/>
      <c r="AG1357" s="7"/>
      <c r="AH1357" s="7"/>
      <c r="AI1357" s="7"/>
    </row>
    <row r="1358" spans="12:35">
      <c r="L1358" s="7">
        <v>41</v>
      </c>
      <c r="M1358" s="7">
        <v>48</v>
      </c>
      <c r="N1358" s="7" t="b">
        <f>AND($N$6,$N$6,10&lt;=$M$6,17&lt;=$M$6)</f>
        <v>0</v>
      </c>
      <c r="O1358" s="7">
        <f>(P41-N41)*(O48-O41)-(Q41-O41)*(N48-N41)</f>
        <v>0</v>
      </c>
      <c r="P1358" s="7">
        <f>(P41-N41)*(Q48-O41)-(Q41-O41)*(P48-N41)</f>
        <v>0</v>
      </c>
      <c r="Q1358" s="7">
        <f>(P48-N48)*(O41-O48)-(Q48-O48)*(N41-N48)</f>
        <v>0</v>
      </c>
      <c r="R1358" s="7">
        <f>(P48-N48)*(Q41-O48)-(Q48-O48)*(P41-N48)</f>
        <v>0</v>
      </c>
      <c r="S1358" s="7">
        <f>IF(N1358,IF(AND(O1358*P1358&lt;=0,Q1358*R1358&lt;=0,MAX(MIN(N41,P41),MIN(N48,P48))&lt;=MIN(MAX(N41,P41),MAX(N48,P48)),MAX(MIN(O41,Q41),MIN(O48,Q48))&lt;=MIN(MAX(O41,Q41),MAX(O48,Q48))),1,0),0)</f>
        <v>0</v>
      </c>
      <c r="T1358" s="7"/>
      <c r="U1358" s="7"/>
      <c r="V1358" s="7"/>
      <c r="W1358" s="7"/>
      <c r="X1358" s="7"/>
      <c r="Y1358" s="7"/>
      <c r="Z1358" s="7"/>
      <c r="AA1358" s="7"/>
      <c r="AB1358" s="7"/>
      <c r="AC1358" s="7"/>
      <c r="AD1358" s="7"/>
      <c r="AE1358" s="7"/>
      <c r="AF1358" s="7"/>
      <c r="AG1358" s="7"/>
      <c r="AH1358" s="7"/>
      <c r="AI1358" s="7"/>
    </row>
    <row r="1359" spans="12:35">
      <c r="L1359" s="7">
        <v>41</v>
      </c>
      <c r="M1359" s="7">
        <v>49</v>
      </c>
      <c r="N1359" s="7" t="b">
        <f>AND($N$6,$N$6,10&lt;=$M$6,18&lt;=$M$6)</f>
        <v>0</v>
      </c>
      <c r="O1359" s="7">
        <f>(P41-N41)*(O49-O41)-(Q41-O41)*(N49-N41)</f>
        <v>0</v>
      </c>
      <c r="P1359" s="7">
        <f>(P41-N41)*(Q49-O41)-(Q41-O41)*(P49-N41)</f>
        <v>0</v>
      </c>
      <c r="Q1359" s="7">
        <f>(P49-N49)*(O41-O49)-(Q49-O49)*(N41-N49)</f>
        <v>0</v>
      </c>
      <c r="R1359" s="7">
        <f>(P49-N49)*(Q41-O49)-(Q49-O49)*(P41-N49)</f>
        <v>0</v>
      </c>
      <c r="S1359" s="7">
        <f>IF(N1359,IF(AND(O1359*P1359&lt;=0,Q1359*R1359&lt;=0,MAX(MIN(N41,P41),MIN(N49,P49))&lt;=MIN(MAX(N41,P41),MAX(N49,P49)),MAX(MIN(O41,Q41),MIN(O49,Q49))&lt;=MIN(MAX(O41,Q41),MAX(O49,Q49))),1,0),0)</f>
        <v>0</v>
      </c>
      <c r="T1359" s="7"/>
      <c r="U1359" s="7"/>
      <c r="V1359" s="7"/>
      <c r="W1359" s="7"/>
      <c r="X1359" s="7"/>
      <c r="Y1359" s="7"/>
      <c r="Z1359" s="7"/>
      <c r="AA1359" s="7"/>
      <c r="AB1359" s="7"/>
      <c r="AC1359" s="7"/>
      <c r="AD1359" s="7"/>
      <c r="AE1359" s="7"/>
      <c r="AF1359" s="7"/>
      <c r="AG1359" s="7"/>
      <c r="AH1359" s="7"/>
      <c r="AI1359" s="7"/>
    </row>
    <row r="1360" spans="12:35">
      <c r="L1360" s="7">
        <v>41</v>
      </c>
      <c r="M1360" s="7">
        <v>50</v>
      </c>
      <c r="N1360" s="7" t="b">
        <f>AND($N$6,$N$6,10&lt;=$M$6,19&lt;=$M$6)</f>
        <v>0</v>
      </c>
      <c r="O1360" s="7">
        <f>(P41-N41)*(O50-O41)-(Q41-O41)*(N50-N41)</f>
        <v>0</v>
      </c>
      <c r="P1360" s="7">
        <f>(P41-N41)*(Q50-O41)-(Q41-O41)*(P50-N41)</f>
        <v>0</v>
      </c>
      <c r="Q1360" s="7">
        <f>(P50-N50)*(O41-O50)-(Q50-O50)*(N41-N50)</f>
        <v>0</v>
      </c>
      <c r="R1360" s="7">
        <f>(P50-N50)*(Q41-O50)-(Q50-O50)*(P41-N50)</f>
        <v>0</v>
      </c>
      <c r="S1360" s="7">
        <f>IF(N1360,IF(AND(O1360*P1360&lt;=0,Q1360*R1360&lt;=0,MAX(MIN(N41,P41),MIN(N50,P50))&lt;=MIN(MAX(N41,P41),MAX(N50,P50)),MAX(MIN(O41,Q41),MIN(O50,Q50))&lt;=MIN(MAX(O41,Q41),MAX(O50,Q50))),1,0),0)</f>
        <v>0</v>
      </c>
      <c r="T1360" s="7"/>
      <c r="U1360" s="7"/>
      <c r="V1360" s="7"/>
      <c r="W1360" s="7"/>
      <c r="X1360" s="7"/>
      <c r="Y1360" s="7"/>
      <c r="Z1360" s="7"/>
      <c r="AA1360" s="7"/>
      <c r="AB1360" s="7"/>
      <c r="AC1360" s="7"/>
      <c r="AD1360" s="7"/>
      <c r="AE1360" s="7"/>
      <c r="AF1360" s="7"/>
      <c r="AG1360" s="7"/>
      <c r="AH1360" s="7"/>
      <c r="AI1360" s="7"/>
    </row>
    <row r="1361" spans="12:35">
      <c r="L1361" s="7">
        <v>41</v>
      </c>
      <c r="M1361" s="7">
        <v>51</v>
      </c>
      <c r="N1361" s="7" t="b">
        <f>AND($N$6,$N$6,10&lt;=$M$6,20&lt;=$M$6)</f>
        <v>0</v>
      </c>
      <c r="O1361" s="7">
        <f>(P41-N41)*(O51-O41)-(Q41-O41)*(N51-N41)</f>
        <v>0</v>
      </c>
      <c r="P1361" s="7">
        <f>(P41-N41)*(Q51-O41)-(Q41-O41)*(P51-N41)</f>
        <v>0</v>
      </c>
      <c r="Q1361" s="7">
        <f>(P51-N51)*(O41-O51)-(Q51-O51)*(N41-N51)</f>
        <v>0</v>
      </c>
      <c r="R1361" s="7">
        <f>(P51-N51)*(Q41-O51)-(Q51-O51)*(P41-N51)</f>
        <v>0</v>
      </c>
      <c r="S1361" s="7">
        <f>IF(N1361,IF(AND(O1361*P1361&lt;=0,Q1361*R1361&lt;=0,MAX(MIN(N41,P41),MIN(N51,P51))&lt;=MIN(MAX(N41,P41),MAX(N51,P51)),MAX(MIN(O41,Q41),MIN(O51,Q51))&lt;=MIN(MAX(O41,Q41),MAX(O51,Q51))),1,0),0)</f>
        <v>0</v>
      </c>
      <c r="T1361" s="7"/>
      <c r="U1361" s="7"/>
      <c r="V1361" s="7"/>
      <c r="W1361" s="7"/>
      <c r="X1361" s="7"/>
      <c r="Y1361" s="7"/>
      <c r="Z1361" s="7"/>
      <c r="AA1361" s="7"/>
      <c r="AB1361" s="7"/>
      <c r="AC1361" s="7"/>
      <c r="AD1361" s="7"/>
      <c r="AE1361" s="7"/>
      <c r="AF1361" s="7"/>
      <c r="AG1361" s="7"/>
      <c r="AH1361" s="7"/>
      <c r="AI1361" s="7"/>
    </row>
    <row r="1362" spans="12:35">
      <c r="L1362" s="7">
        <v>41</v>
      </c>
      <c r="M1362" s="7">
        <v>52</v>
      </c>
      <c r="N1362" s="7" t="b">
        <f>AND($N$6,$N$7,10&lt;=$M$6,1&lt;=$M$7)</f>
        <v>0</v>
      </c>
      <c r="O1362" s="7">
        <f>(P41-N41)*(O52-O41)-(Q41-O41)*(N52-N41)</f>
        <v>0</v>
      </c>
      <c r="P1362" s="7">
        <f>(P41-N41)*(Q52-O41)-(Q41-O41)*(P52-N41)</f>
        <v>0</v>
      </c>
      <c r="Q1362" s="7">
        <f>(P52-N52)*(O41-O52)-(Q52-O52)*(N41-N52)</f>
        <v>0</v>
      </c>
      <c r="R1362" s="7">
        <f>(P52-N52)*(Q41-O52)-(Q52-O52)*(P41-N52)</f>
        <v>0</v>
      </c>
      <c r="S1362" s="7">
        <f>IF(N1362,IF(AND(O1362*P1362&lt;=0,Q1362*R1362&lt;=0,MAX(MIN(N41,P41),MIN(N52,P52))&lt;=MIN(MAX(N41,P41),MAX(N52,P52)),MAX(MIN(O41,Q41),MIN(O52,Q52))&lt;=MIN(MAX(O41,Q41),MAX(O52,Q52))),1,0),0)</f>
        <v>0</v>
      </c>
      <c r="T1362" s="7"/>
      <c r="U1362" s="7"/>
      <c r="V1362" s="7"/>
      <c r="W1362" s="7"/>
      <c r="X1362" s="7"/>
      <c r="Y1362" s="7"/>
      <c r="Z1362" s="7"/>
      <c r="AA1362" s="7"/>
      <c r="AB1362" s="7"/>
      <c r="AC1362" s="7"/>
      <c r="AD1362" s="7"/>
      <c r="AE1362" s="7"/>
      <c r="AF1362" s="7"/>
      <c r="AG1362" s="7"/>
      <c r="AH1362" s="7"/>
      <c r="AI1362" s="7"/>
    </row>
    <row r="1363" spans="12:35">
      <c r="L1363" s="7">
        <v>41</v>
      </c>
      <c r="M1363" s="7">
        <v>53</v>
      </c>
      <c r="N1363" s="7" t="b">
        <f>AND($N$6,$N$7,10&lt;=$M$6,2&lt;=$M$7)</f>
        <v>0</v>
      </c>
      <c r="O1363" s="7">
        <f>(P41-N41)*(O53-O41)-(Q41-O41)*(N53-N41)</f>
        <v>0</v>
      </c>
      <c r="P1363" s="7">
        <f>(P41-N41)*(Q53-O41)-(Q41-O41)*(P53-N41)</f>
        <v>0</v>
      </c>
      <c r="Q1363" s="7">
        <f>(P53-N53)*(O41-O53)-(Q53-O53)*(N41-N53)</f>
        <v>0</v>
      </c>
      <c r="R1363" s="7">
        <f>(P53-N53)*(Q41-O53)-(Q53-O53)*(P41-N53)</f>
        <v>0</v>
      </c>
      <c r="S1363" s="7">
        <f>IF(N1363,IF(AND(O1363*P1363&lt;=0,Q1363*R1363&lt;=0,MAX(MIN(N41,P41),MIN(N53,P53))&lt;=MIN(MAX(N41,P41),MAX(N53,P53)),MAX(MIN(O41,Q41),MIN(O53,Q53))&lt;=MIN(MAX(O41,Q41),MAX(O53,Q53))),1,0),0)</f>
        <v>0</v>
      </c>
      <c r="T1363" s="7"/>
      <c r="U1363" s="7"/>
      <c r="V1363" s="7"/>
      <c r="W1363" s="7"/>
      <c r="X1363" s="7"/>
      <c r="Y1363" s="7"/>
      <c r="Z1363" s="7"/>
      <c r="AA1363" s="7"/>
      <c r="AB1363" s="7"/>
      <c r="AC1363" s="7"/>
      <c r="AD1363" s="7"/>
      <c r="AE1363" s="7"/>
      <c r="AF1363" s="7"/>
      <c r="AG1363" s="7"/>
      <c r="AH1363" s="7"/>
      <c r="AI1363" s="7"/>
    </row>
    <row r="1364" spans="12:35">
      <c r="L1364" s="7">
        <v>41</v>
      </c>
      <c r="M1364" s="7">
        <v>54</v>
      </c>
      <c r="N1364" s="7" t="b">
        <f>AND($N$6,$N$7,10&lt;=$M$6,3&lt;=$M$7)</f>
        <v>0</v>
      </c>
      <c r="O1364" s="7">
        <f>(P41-N41)*(O54-O41)-(Q41-O41)*(N54-N41)</f>
        <v>0</v>
      </c>
      <c r="P1364" s="7">
        <f>(P41-N41)*(Q54-O41)-(Q41-O41)*(P54-N41)</f>
        <v>0</v>
      </c>
      <c r="Q1364" s="7">
        <f>(P54-N54)*(O41-O54)-(Q54-O54)*(N41-N54)</f>
        <v>0</v>
      </c>
      <c r="R1364" s="7">
        <f>(P54-N54)*(Q41-O54)-(Q54-O54)*(P41-N54)</f>
        <v>0</v>
      </c>
      <c r="S1364" s="7">
        <f>IF(N1364,IF(AND(O1364*P1364&lt;=0,Q1364*R1364&lt;=0,MAX(MIN(N41,P41),MIN(N54,P54))&lt;=MIN(MAX(N41,P41),MAX(N54,P54)),MAX(MIN(O41,Q41),MIN(O54,Q54))&lt;=MIN(MAX(O41,Q41),MAX(O54,Q54))),1,0),0)</f>
        <v>0</v>
      </c>
      <c r="T1364" s="7"/>
      <c r="U1364" s="7"/>
      <c r="V1364" s="7"/>
      <c r="W1364" s="7"/>
      <c r="X1364" s="7"/>
      <c r="Y1364" s="7"/>
      <c r="Z1364" s="7"/>
      <c r="AA1364" s="7"/>
      <c r="AB1364" s="7"/>
      <c r="AC1364" s="7"/>
      <c r="AD1364" s="7"/>
      <c r="AE1364" s="7"/>
      <c r="AF1364" s="7"/>
      <c r="AG1364" s="7"/>
      <c r="AH1364" s="7"/>
      <c r="AI1364" s="7"/>
    </row>
    <row r="1365" spans="12:35">
      <c r="L1365" s="7">
        <v>41</v>
      </c>
      <c r="M1365" s="7">
        <v>55</v>
      </c>
      <c r="N1365" s="7" t="b">
        <f>AND($N$6,$N$7,10&lt;=$M$6,4&lt;=$M$7)</f>
        <v>0</v>
      </c>
      <c r="O1365" s="7">
        <f>(P41-N41)*(O55-O41)-(Q41-O41)*(N55-N41)</f>
        <v>0</v>
      </c>
      <c r="P1365" s="7">
        <f>(P41-N41)*(Q55-O41)-(Q41-O41)*(P55-N41)</f>
        <v>0</v>
      </c>
      <c r="Q1365" s="7">
        <f>(P55-N55)*(O41-O55)-(Q55-O55)*(N41-N55)</f>
        <v>0</v>
      </c>
      <c r="R1365" s="7">
        <f>(P55-N55)*(Q41-O55)-(Q55-O55)*(P41-N55)</f>
        <v>0</v>
      </c>
      <c r="S1365" s="7">
        <f>IF(N1365,IF(AND(O1365*P1365&lt;=0,Q1365*R1365&lt;=0,MAX(MIN(N41,P41),MIN(N55,P55))&lt;=MIN(MAX(N41,P41),MAX(N55,P55)),MAX(MIN(O41,Q41),MIN(O55,Q55))&lt;=MIN(MAX(O41,Q41),MAX(O55,Q55))),1,0),0)</f>
        <v>0</v>
      </c>
      <c r="T1365" s="7"/>
      <c r="U1365" s="7"/>
      <c r="V1365" s="7"/>
      <c r="W1365" s="7"/>
      <c r="X1365" s="7"/>
      <c r="Y1365" s="7"/>
      <c r="Z1365" s="7"/>
      <c r="AA1365" s="7"/>
      <c r="AB1365" s="7"/>
      <c r="AC1365" s="7"/>
      <c r="AD1365" s="7"/>
      <c r="AE1365" s="7"/>
      <c r="AF1365" s="7"/>
      <c r="AG1365" s="7"/>
      <c r="AH1365" s="7"/>
      <c r="AI1365" s="7"/>
    </row>
    <row r="1366" spans="12:35">
      <c r="L1366" s="7">
        <v>41</v>
      </c>
      <c r="M1366" s="7">
        <v>56</v>
      </c>
      <c r="N1366" s="7" t="b">
        <f>AND($N$6,$N$7,10&lt;=$M$6,5&lt;=$M$7)</f>
        <v>0</v>
      </c>
      <c r="O1366" s="7">
        <f>(P41-N41)*(O56-O41)-(Q41-O41)*(N56-N41)</f>
        <v>0</v>
      </c>
      <c r="P1366" s="7">
        <f>(P41-N41)*(Q56-O41)-(Q41-O41)*(P56-N41)</f>
        <v>0</v>
      </c>
      <c r="Q1366" s="7">
        <f>(P56-N56)*(O41-O56)-(Q56-O56)*(N41-N56)</f>
        <v>0</v>
      </c>
      <c r="R1366" s="7">
        <f>(P56-N56)*(Q41-O56)-(Q56-O56)*(P41-N56)</f>
        <v>0</v>
      </c>
      <c r="S1366" s="7">
        <f>IF(N1366,IF(AND(O1366*P1366&lt;=0,Q1366*R1366&lt;=0,MAX(MIN(N41,P41),MIN(N56,P56))&lt;=MIN(MAX(N41,P41),MAX(N56,P56)),MAX(MIN(O41,Q41),MIN(O56,Q56))&lt;=MIN(MAX(O41,Q41),MAX(O56,Q56))),1,0),0)</f>
        <v>0</v>
      </c>
      <c r="T1366" s="7"/>
      <c r="U1366" s="7"/>
      <c r="V1366" s="7"/>
      <c r="W1366" s="7"/>
      <c r="X1366" s="7"/>
      <c r="Y1366" s="7"/>
      <c r="Z1366" s="7"/>
      <c r="AA1366" s="7"/>
      <c r="AB1366" s="7"/>
      <c r="AC1366" s="7"/>
      <c r="AD1366" s="7"/>
      <c r="AE1366" s="7"/>
      <c r="AF1366" s="7"/>
      <c r="AG1366" s="7"/>
      <c r="AH1366" s="7"/>
      <c r="AI1366" s="7"/>
    </row>
    <row r="1367" spans="12:35">
      <c r="L1367" s="7">
        <v>41</v>
      </c>
      <c r="M1367" s="7">
        <v>57</v>
      </c>
      <c r="N1367" s="7" t="b">
        <f>AND($N$6,$N$7,10&lt;=$M$6,6&lt;=$M$7)</f>
        <v>0</v>
      </c>
      <c r="O1367" s="7">
        <f>(P41-N41)*(O57-O41)-(Q41-O41)*(N57-N41)</f>
        <v>0</v>
      </c>
      <c r="P1367" s="7">
        <f>(P41-N41)*(Q57-O41)-(Q41-O41)*(P57-N41)</f>
        <v>0</v>
      </c>
      <c r="Q1367" s="7">
        <f>(P57-N57)*(O41-O57)-(Q57-O57)*(N41-N57)</f>
        <v>0</v>
      </c>
      <c r="R1367" s="7">
        <f>(P57-N57)*(Q41-O57)-(Q57-O57)*(P41-N57)</f>
        <v>0</v>
      </c>
      <c r="S1367" s="7">
        <f>IF(N1367,IF(AND(O1367*P1367&lt;=0,Q1367*R1367&lt;=0,MAX(MIN(N41,P41),MIN(N57,P57))&lt;=MIN(MAX(N41,P41),MAX(N57,P57)),MAX(MIN(O41,Q41),MIN(O57,Q57))&lt;=MIN(MAX(O41,Q41),MAX(O57,Q57))),1,0),0)</f>
        <v>0</v>
      </c>
      <c r="T1367" s="7"/>
      <c r="U1367" s="7"/>
      <c r="V1367" s="7"/>
      <c r="W1367" s="7"/>
      <c r="X1367" s="7"/>
      <c r="Y1367" s="7"/>
      <c r="Z1367" s="7"/>
      <c r="AA1367" s="7"/>
      <c r="AB1367" s="7"/>
      <c r="AC1367" s="7"/>
      <c r="AD1367" s="7"/>
      <c r="AE1367" s="7"/>
      <c r="AF1367" s="7"/>
      <c r="AG1367" s="7"/>
      <c r="AH1367" s="7"/>
      <c r="AI1367" s="7"/>
    </row>
    <row r="1368" spans="12:35">
      <c r="L1368" s="7">
        <v>41</v>
      </c>
      <c r="M1368" s="7">
        <v>58</v>
      </c>
      <c r="N1368" s="7" t="b">
        <f>AND($N$6,$N$7,10&lt;=$M$6,7&lt;=$M$7)</f>
        <v>0</v>
      </c>
      <c r="O1368" s="7">
        <f>(P41-N41)*(O58-O41)-(Q41-O41)*(N58-N41)</f>
        <v>0</v>
      </c>
      <c r="P1368" s="7">
        <f>(P41-N41)*(Q58-O41)-(Q41-O41)*(P58-N41)</f>
        <v>0</v>
      </c>
      <c r="Q1368" s="7">
        <f>(P58-N58)*(O41-O58)-(Q58-O58)*(N41-N58)</f>
        <v>0</v>
      </c>
      <c r="R1368" s="7">
        <f>(P58-N58)*(Q41-O58)-(Q58-O58)*(P41-N58)</f>
        <v>0</v>
      </c>
      <c r="S1368" s="7">
        <f>IF(N1368,IF(AND(O1368*P1368&lt;=0,Q1368*R1368&lt;=0,MAX(MIN(N41,P41),MIN(N58,P58))&lt;=MIN(MAX(N41,P41),MAX(N58,P58)),MAX(MIN(O41,Q41),MIN(O58,Q58))&lt;=MIN(MAX(O41,Q41),MAX(O58,Q58))),1,0),0)</f>
        <v>0</v>
      </c>
      <c r="T1368" s="7"/>
      <c r="U1368" s="7"/>
      <c r="V1368" s="7"/>
      <c r="W1368" s="7"/>
      <c r="X1368" s="7"/>
      <c r="Y1368" s="7"/>
      <c r="Z1368" s="7"/>
      <c r="AA1368" s="7"/>
      <c r="AB1368" s="7"/>
      <c r="AC1368" s="7"/>
      <c r="AD1368" s="7"/>
      <c r="AE1368" s="7"/>
      <c r="AF1368" s="7"/>
      <c r="AG1368" s="7"/>
      <c r="AH1368" s="7"/>
      <c r="AI1368" s="7"/>
    </row>
    <row r="1369" spans="12:35">
      <c r="L1369" s="7">
        <v>41</v>
      </c>
      <c r="M1369" s="7">
        <v>59</v>
      </c>
      <c r="N1369" s="7" t="b">
        <f>AND($N$6,$N$7,10&lt;=$M$6,8&lt;=$M$7)</f>
        <v>0</v>
      </c>
      <c r="O1369" s="7">
        <f>(P41-N41)*(O59-O41)-(Q41-O41)*(N59-N41)</f>
        <v>0</v>
      </c>
      <c r="P1369" s="7">
        <f>(P41-N41)*(Q59-O41)-(Q41-O41)*(P59-N41)</f>
        <v>0</v>
      </c>
      <c r="Q1369" s="7">
        <f>(P59-N59)*(O41-O59)-(Q59-O59)*(N41-N59)</f>
        <v>0</v>
      </c>
      <c r="R1369" s="7">
        <f>(P59-N59)*(Q41-O59)-(Q59-O59)*(P41-N59)</f>
        <v>0</v>
      </c>
      <c r="S1369" s="7">
        <f>IF(N1369,IF(AND(O1369*P1369&lt;=0,Q1369*R1369&lt;=0,MAX(MIN(N41,P41),MIN(N59,P59))&lt;=MIN(MAX(N41,P41),MAX(N59,P59)),MAX(MIN(O41,Q41),MIN(O59,Q59))&lt;=MIN(MAX(O41,Q41),MAX(O59,Q59))),1,0),0)</f>
        <v>0</v>
      </c>
      <c r="T1369" s="7"/>
      <c r="U1369" s="7"/>
      <c r="V1369" s="7"/>
      <c r="W1369" s="7"/>
      <c r="X1369" s="7"/>
      <c r="Y1369" s="7"/>
      <c r="Z1369" s="7"/>
      <c r="AA1369" s="7"/>
      <c r="AB1369" s="7"/>
      <c r="AC1369" s="7"/>
      <c r="AD1369" s="7"/>
      <c r="AE1369" s="7"/>
      <c r="AF1369" s="7"/>
      <c r="AG1369" s="7"/>
      <c r="AH1369" s="7"/>
      <c r="AI1369" s="7"/>
    </row>
    <row r="1370" spans="12:35">
      <c r="L1370" s="7">
        <v>41</v>
      </c>
      <c r="M1370" s="7">
        <v>60</v>
      </c>
      <c r="N1370" s="7" t="b">
        <f>AND($N$6,$N$7,10&lt;=$M$6,9&lt;=$M$7)</f>
        <v>0</v>
      </c>
      <c r="O1370" s="7">
        <f>(P41-N41)*(O60-O41)-(Q41-O41)*(N60-N41)</f>
        <v>0</v>
      </c>
      <c r="P1370" s="7">
        <f>(P41-N41)*(Q60-O41)-(Q41-O41)*(P60-N41)</f>
        <v>0</v>
      </c>
      <c r="Q1370" s="7">
        <f>(P60-N60)*(O41-O60)-(Q60-O60)*(N41-N60)</f>
        <v>0</v>
      </c>
      <c r="R1370" s="7">
        <f>(P60-N60)*(Q41-O60)-(Q60-O60)*(P41-N60)</f>
        <v>0</v>
      </c>
      <c r="S1370" s="7">
        <f>IF(N1370,IF(AND(O1370*P1370&lt;=0,Q1370*R1370&lt;=0,MAX(MIN(N41,P41),MIN(N60,P60))&lt;=MIN(MAX(N41,P41),MAX(N60,P60)),MAX(MIN(O41,Q41),MIN(O60,Q60))&lt;=MIN(MAX(O41,Q41),MAX(O60,Q60))),1,0),0)</f>
        <v>0</v>
      </c>
      <c r="T1370" s="7"/>
      <c r="U1370" s="7"/>
      <c r="V1370" s="7"/>
      <c r="W1370" s="7"/>
      <c r="X1370" s="7"/>
      <c r="Y1370" s="7"/>
      <c r="Z1370" s="7"/>
      <c r="AA1370" s="7"/>
      <c r="AB1370" s="7"/>
      <c r="AC1370" s="7"/>
      <c r="AD1370" s="7"/>
      <c r="AE1370" s="7"/>
      <c r="AF1370" s="7"/>
      <c r="AG1370" s="7"/>
      <c r="AH1370" s="7"/>
      <c r="AI1370" s="7"/>
    </row>
    <row r="1371" spans="12:35">
      <c r="L1371" s="7">
        <v>41</v>
      </c>
      <c r="M1371" s="7">
        <v>61</v>
      </c>
      <c r="N1371" s="7" t="b">
        <f>AND($N$6,$N$7,10&lt;=$M$6,10&lt;=$M$7)</f>
        <v>0</v>
      </c>
      <c r="O1371" s="7">
        <f>(P41-N41)*(O61-O41)-(Q41-O41)*(N61-N41)</f>
        <v>0</v>
      </c>
      <c r="P1371" s="7">
        <f>(P41-N41)*(Q61-O41)-(Q41-O41)*(P61-N41)</f>
        <v>0</v>
      </c>
      <c r="Q1371" s="7">
        <f>(P61-N61)*(O41-O61)-(Q61-O61)*(N41-N61)</f>
        <v>0</v>
      </c>
      <c r="R1371" s="7">
        <f>(P61-N61)*(Q41-O61)-(Q61-O61)*(P41-N61)</f>
        <v>0</v>
      </c>
      <c r="S1371" s="7">
        <f>IF(N1371,IF(AND(O1371*P1371&lt;=0,Q1371*R1371&lt;=0,MAX(MIN(N41,P41),MIN(N61,P61))&lt;=MIN(MAX(N41,P41),MAX(N61,P61)),MAX(MIN(O41,Q41),MIN(O61,Q61))&lt;=MIN(MAX(O41,Q41),MAX(O61,Q61))),1,0),0)</f>
        <v>0</v>
      </c>
      <c r="T1371" s="7"/>
      <c r="U1371" s="7"/>
      <c r="V1371" s="7"/>
      <c r="W1371" s="7"/>
      <c r="X1371" s="7"/>
      <c r="Y1371" s="7"/>
      <c r="Z1371" s="7"/>
      <c r="AA1371" s="7"/>
      <c r="AB1371" s="7"/>
      <c r="AC1371" s="7"/>
      <c r="AD1371" s="7"/>
      <c r="AE1371" s="7"/>
      <c r="AF1371" s="7"/>
      <c r="AG1371" s="7"/>
      <c r="AH1371" s="7"/>
      <c r="AI1371" s="7"/>
    </row>
    <row r="1372" spans="12:35">
      <c r="L1372" s="7">
        <v>41</v>
      </c>
      <c r="M1372" s="7">
        <v>62</v>
      </c>
      <c r="N1372" s="7" t="b">
        <f>AND($N$6,$N$7,10&lt;=$M$6,11&lt;=$M$7)</f>
        <v>0</v>
      </c>
      <c r="O1372" s="7">
        <f>(P41-N41)*(O62-O41)-(Q41-O41)*(N62-N41)</f>
        <v>0</v>
      </c>
      <c r="P1372" s="7">
        <f>(P41-N41)*(Q62-O41)-(Q41-O41)*(P62-N41)</f>
        <v>0</v>
      </c>
      <c r="Q1372" s="7">
        <f>(P62-N62)*(O41-O62)-(Q62-O62)*(N41-N62)</f>
        <v>0</v>
      </c>
      <c r="R1372" s="7">
        <f>(P62-N62)*(Q41-O62)-(Q62-O62)*(P41-N62)</f>
        <v>0</v>
      </c>
      <c r="S1372" s="7">
        <f>IF(N1372,IF(AND(O1372*P1372&lt;=0,Q1372*R1372&lt;=0,MAX(MIN(N41,P41),MIN(N62,P62))&lt;=MIN(MAX(N41,P41),MAX(N62,P62)),MAX(MIN(O41,Q41),MIN(O62,Q62))&lt;=MIN(MAX(O41,Q41),MAX(O62,Q62))),1,0),0)</f>
        <v>0</v>
      </c>
      <c r="T1372" s="7"/>
      <c r="U1372" s="7"/>
      <c r="V1372" s="7"/>
      <c r="W1372" s="7"/>
      <c r="X1372" s="7"/>
      <c r="Y1372" s="7"/>
      <c r="Z1372" s="7"/>
      <c r="AA1372" s="7"/>
      <c r="AB1372" s="7"/>
      <c r="AC1372" s="7"/>
      <c r="AD1372" s="7"/>
      <c r="AE1372" s="7"/>
      <c r="AF1372" s="7"/>
      <c r="AG1372" s="7"/>
      <c r="AH1372" s="7"/>
      <c r="AI1372" s="7"/>
    </row>
    <row r="1373" spans="12:35">
      <c r="L1373" s="7">
        <v>41</v>
      </c>
      <c r="M1373" s="7">
        <v>63</v>
      </c>
      <c r="N1373" s="7" t="b">
        <f>AND($N$6,$N$7,10&lt;=$M$6,12&lt;=$M$7)</f>
        <v>0</v>
      </c>
      <c r="O1373" s="7">
        <f>(P41-N41)*(O63-O41)-(Q41-O41)*(N63-N41)</f>
        <v>0</v>
      </c>
      <c r="P1373" s="7">
        <f>(P41-N41)*(Q63-O41)-(Q41-O41)*(P63-N41)</f>
        <v>0</v>
      </c>
      <c r="Q1373" s="7">
        <f>(P63-N63)*(O41-O63)-(Q63-O63)*(N41-N63)</f>
        <v>0</v>
      </c>
      <c r="R1373" s="7">
        <f>(P63-N63)*(Q41-O63)-(Q63-O63)*(P41-N63)</f>
        <v>0</v>
      </c>
      <c r="S1373" s="7">
        <f>IF(N1373,IF(AND(O1373*P1373&lt;=0,Q1373*R1373&lt;=0,MAX(MIN(N41,P41),MIN(N63,P63))&lt;=MIN(MAX(N41,P41),MAX(N63,P63)),MAX(MIN(O41,Q41),MIN(O63,Q63))&lt;=MIN(MAX(O41,Q41),MAX(O63,Q63))),1,0),0)</f>
        <v>0</v>
      </c>
      <c r="T1373" s="7"/>
      <c r="U1373" s="7"/>
      <c r="V1373" s="7"/>
      <c r="W1373" s="7"/>
      <c r="X1373" s="7"/>
      <c r="Y1373" s="7"/>
      <c r="Z1373" s="7"/>
      <c r="AA1373" s="7"/>
      <c r="AB1373" s="7"/>
      <c r="AC1373" s="7"/>
      <c r="AD1373" s="7"/>
      <c r="AE1373" s="7"/>
      <c r="AF1373" s="7"/>
      <c r="AG1373" s="7"/>
      <c r="AH1373" s="7"/>
      <c r="AI1373" s="7"/>
    </row>
    <row r="1374" spans="12:35">
      <c r="L1374" s="7">
        <v>41</v>
      </c>
      <c r="M1374" s="7">
        <v>64</v>
      </c>
      <c r="N1374" s="7" t="b">
        <f>AND($N$6,$N$7,10&lt;=$M$6,13&lt;=$M$7)</f>
        <v>0</v>
      </c>
      <c r="O1374" s="7">
        <f>(P41-N41)*(O64-O41)-(Q41-O41)*(N64-N41)</f>
        <v>0</v>
      </c>
      <c r="P1374" s="7">
        <f>(P41-N41)*(Q64-O41)-(Q41-O41)*(P64-N41)</f>
        <v>0</v>
      </c>
      <c r="Q1374" s="7">
        <f>(P64-N64)*(O41-O64)-(Q64-O64)*(N41-N64)</f>
        <v>0</v>
      </c>
      <c r="R1374" s="7">
        <f>(P64-N64)*(Q41-O64)-(Q64-O64)*(P41-N64)</f>
        <v>0</v>
      </c>
      <c r="S1374" s="7">
        <f>IF(N1374,IF(AND(O1374*P1374&lt;=0,Q1374*R1374&lt;=0,MAX(MIN(N41,P41),MIN(N64,P64))&lt;=MIN(MAX(N41,P41),MAX(N64,P64)),MAX(MIN(O41,Q41),MIN(O64,Q64))&lt;=MIN(MAX(O41,Q41),MAX(O64,Q64))),1,0),0)</f>
        <v>0</v>
      </c>
      <c r="T1374" s="7"/>
      <c r="U1374" s="7"/>
      <c r="V1374" s="7"/>
      <c r="W1374" s="7"/>
      <c r="X1374" s="7"/>
      <c r="Y1374" s="7"/>
      <c r="Z1374" s="7"/>
      <c r="AA1374" s="7"/>
      <c r="AB1374" s="7"/>
      <c r="AC1374" s="7"/>
      <c r="AD1374" s="7"/>
      <c r="AE1374" s="7"/>
      <c r="AF1374" s="7"/>
      <c r="AG1374" s="7"/>
      <c r="AH1374" s="7"/>
      <c r="AI1374" s="7"/>
    </row>
    <row r="1375" spans="12:35">
      <c r="L1375" s="7">
        <v>41</v>
      </c>
      <c r="M1375" s="7">
        <v>65</v>
      </c>
      <c r="N1375" s="7" t="b">
        <f>AND($N$6,$N$7,10&lt;=$M$6,14&lt;=$M$7)</f>
        <v>0</v>
      </c>
      <c r="O1375" s="7">
        <f>(P41-N41)*(O65-O41)-(Q41-O41)*(N65-N41)</f>
        <v>0</v>
      </c>
      <c r="P1375" s="7">
        <f>(P41-N41)*(Q65-O41)-(Q41-O41)*(P65-N41)</f>
        <v>0</v>
      </c>
      <c r="Q1375" s="7">
        <f>(P65-N65)*(O41-O65)-(Q65-O65)*(N41-N65)</f>
        <v>0</v>
      </c>
      <c r="R1375" s="7">
        <f>(P65-N65)*(Q41-O65)-(Q65-O65)*(P41-N65)</f>
        <v>0</v>
      </c>
      <c r="S1375" s="7">
        <f>IF(N1375,IF(AND(O1375*P1375&lt;=0,Q1375*R1375&lt;=0,MAX(MIN(N41,P41),MIN(N65,P65))&lt;=MIN(MAX(N41,P41),MAX(N65,P65)),MAX(MIN(O41,Q41),MIN(O65,Q65))&lt;=MIN(MAX(O41,Q41),MAX(O65,Q65))),1,0),0)</f>
        <v>0</v>
      </c>
      <c r="T1375" s="7"/>
      <c r="U1375" s="7"/>
      <c r="V1375" s="7"/>
      <c r="W1375" s="7"/>
      <c r="X1375" s="7"/>
      <c r="Y1375" s="7"/>
      <c r="Z1375" s="7"/>
      <c r="AA1375" s="7"/>
      <c r="AB1375" s="7"/>
      <c r="AC1375" s="7"/>
      <c r="AD1375" s="7"/>
      <c r="AE1375" s="7"/>
      <c r="AF1375" s="7"/>
      <c r="AG1375" s="7"/>
      <c r="AH1375" s="7"/>
      <c r="AI1375" s="7"/>
    </row>
    <row r="1376" spans="12:35">
      <c r="L1376" s="7">
        <v>41</v>
      </c>
      <c r="M1376" s="7">
        <v>66</v>
      </c>
      <c r="N1376" s="7" t="b">
        <f>AND($N$6,$N$7,10&lt;=$M$6,15&lt;=$M$7)</f>
        <v>0</v>
      </c>
      <c r="O1376" s="7">
        <f>(P41-N41)*(O66-O41)-(Q41-O41)*(N66-N41)</f>
        <v>0</v>
      </c>
      <c r="P1376" s="7">
        <f>(P41-N41)*(Q66-O41)-(Q41-O41)*(P66-N41)</f>
        <v>0</v>
      </c>
      <c r="Q1376" s="7">
        <f>(P66-N66)*(O41-O66)-(Q66-O66)*(N41-N66)</f>
        <v>0</v>
      </c>
      <c r="R1376" s="7">
        <f>(P66-N66)*(Q41-O66)-(Q66-O66)*(P41-N66)</f>
        <v>0</v>
      </c>
      <c r="S1376" s="7">
        <f>IF(N1376,IF(AND(O1376*P1376&lt;=0,Q1376*R1376&lt;=0,MAX(MIN(N41,P41),MIN(N66,P66))&lt;=MIN(MAX(N41,P41),MAX(N66,P66)),MAX(MIN(O41,Q41),MIN(O66,Q66))&lt;=MIN(MAX(O41,Q41),MAX(O66,Q66))),1,0),0)</f>
        <v>0</v>
      </c>
      <c r="T1376" s="7"/>
      <c r="U1376" s="7"/>
      <c r="V1376" s="7"/>
      <c r="W1376" s="7"/>
      <c r="X1376" s="7"/>
      <c r="Y1376" s="7"/>
      <c r="Z1376" s="7"/>
      <c r="AA1376" s="7"/>
      <c r="AB1376" s="7"/>
      <c r="AC1376" s="7"/>
      <c r="AD1376" s="7"/>
      <c r="AE1376" s="7"/>
      <c r="AF1376" s="7"/>
      <c r="AG1376" s="7"/>
      <c r="AH1376" s="7"/>
      <c r="AI1376" s="7"/>
    </row>
    <row r="1377" spans="12:35">
      <c r="L1377" s="7">
        <v>41</v>
      </c>
      <c r="M1377" s="7">
        <v>67</v>
      </c>
      <c r="N1377" s="7" t="b">
        <f>AND($N$6,$N$7,10&lt;=$M$6,16&lt;=$M$7)</f>
        <v>0</v>
      </c>
      <c r="O1377" s="7">
        <f>(P41-N41)*(O67-O41)-(Q41-O41)*(N67-N41)</f>
        <v>0</v>
      </c>
      <c r="P1377" s="7">
        <f>(P41-N41)*(Q67-O41)-(Q41-O41)*(P67-N41)</f>
        <v>0</v>
      </c>
      <c r="Q1377" s="7">
        <f>(P67-N67)*(O41-O67)-(Q67-O67)*(N41-N67)</f>
        <v>0</v>
      </c>
      <c r="R1377" s="7">
        <f>(P67-N67)*(Q41-O67)-(Q67-O67)*(P41-N67)</f>
        <v>0</v>
      </c>
      <c r="S1377" s="7">
        <f>IF(N1377,IF(AND(O1377*P1377&lt;=0,Q1377*R1377&lt;=0,MAX(MIN(N41,P41),MIN(N67,P67))&lt;=MIN(MAX(N41,P41),MAX(N67,P67)),MAX(MIN(O41,Q41),MIN(O67,Q67))&lt;=MIN(MAX(O41,Q41),MAX(O67,Q67))),1,0),0)</f>
        <v>0</v>
      </c>
      <c r="T1377" s="7"/>
      <c r="U1377" s="7"/>
      <c r="V1377" s="7"/>
      <c r="W1377" s="7"/>
      <c r="X1377" s="7"/>
      <c r="Y1377" s="7"/>
      <c r="Z1377" s="7"/>
      <c r="AA1377" s="7"/>
      <c r="AB1377" s="7"/>
      <c r="AC1377" s="7"/>
      <c r="AD1377" s="7"/>
      <c r="AE1377" s="7"/>
      <c r="AF1377" s="7"/>
      <c r="AG1377" s="7"/>
      <c r="AH1377" s="7"/>
      <c r="AI1377" s="7"/>
    </row>
    <row r="1378" spans="12:35">
      <c r="L1378" s="7">
        <v>41</v>
      </c>
      <c r="M1378" s="7">
        <v>68</v>
      </c>
      <c r="N1378" s="7" t="b">
        <f>AND($N$6,$N$7,10&lt;=$M$6,17&lt;=$M$7)</f>
        <v>0</v>
      </c>
      <c r="O1378" s="7">
        <f>(P41-N41)*(O68-O41)-(Q41-O41)*(N68-N41)</f>
        <v>0</v>
      </c>
      <c r="P1378" s="7">
        <f>(P41-N41)*(Q68-O41)-(Q41-O41)*(P68-N41)</f>
        <v>0</v>
      </c>
      <c r="Q1378" s="7">
        <f>(P68-N68)*(O41-O68)-(Q68-O68)*(N41-N68)</f>
        <v>0</v>
      </c>
      <c r="R1378" s="7">
        <f>(P68-N68)*(Q41-O68)-(Q68-O68)*(P41-N68)</f>
        <v>0</v>
      </c>
      <c r="S1378" s="7">
        <f>IF(N1378,IF(AND(O1378*P1378&lt;=0,Q1378*R1378&lt;=0,MAX(MIN(N41,P41),MIN(N68,P68))&lt;=MIN(MAX(N41,P41),MAX(N68,P68)),MAX(MIN(O41,Q41),MIN(O68,Q68))&lt;=MIN(MAX(O41,Q41),MAX(O68,Q68))),1,0),0)</f>
        <v>0</v>
      </c>
      <c r="T1378" s="7"/>
      <c r="U1378" s="7"/>
      <c r="V1378" s="7"/>
      <c r="W1378" s="7"/>
      <c r="X1378" s="7"/>
      <c r="Y1378" s="7"/>
      <c r="Z1378" s="7"/>
      <c r="AA1378" s="7"/>
      <c r="AB1378" s="7"/>
      <c r="AC1378" s="7"/>
      <c r="AD1378" s="7"/>
      <c r="AE1378" s="7"/>
      <c r="AF1378" s="7"/>
      <c r="AG1378" s="7"/>
      <c r="AH1378" s="7"/>
      <c r="AI1378" s="7"/>
    </row>
    <row r="1379" spans="12:35">
      <c r="L1379" s="7">
        <v>41</v>
      </c>
      <c r="M1379" s="7">
        <v>69</v>
      </c>
      <c r="N1379" s="7" t="b">
        <f>AND($N$6,$N$7,10&lt;=$M$6,18&lt;=$M$7)</f>
        <v>0</v>
      </c>
      <c r="O1379" s="7">
        <f>(P41-N41)*(O69-O41)-(Q41-O41)*(N69-N41)</f>
        <v>0</v>
      </c>
      <c r="P1379" s="7">
        <f>(P41-N41)*(Q69-O41)-(Q41-O41)*(P69-N41)</f>
        <v>0</v>
      </c>
      <c r="Q1379" s="7">
        <f>(P69-N69)*(O41-O69)-(Q69-O69)*(N41-N69)</f>
        <v>0</v>
      </c>
      <c r="R1379" s="7">
        <f>(P69-N69)*(Q41-O69)-(Q69-O69)*(P41-N69)</f>
        <v>0</v>
      </c>
      <c r="S1379" s="7">
        <f>IF(N1379,IF(AND(O1379*P1379&lt;=0,Q1379*R1379&lt;=0,MAX(MIN(N41,P41),MIN(N69,P69))&lt;=MIN(MAX(N41,P41),MAX(N69,P69)),MAX(MIN(O41,Q41),MIN(O69,Q69))&lt;=MIN(MAX(O41,Q41),MAX(O69,Q69))),1,0),0)</f>
        <v>0</v>
      </c>
      <c r="T1379" s="7"/>
      <c r="U1379" s="7"/>
      <c r="V1379" s="7"/>
      <c r="W1379" s="7"/>
      <c r="X1379" s="7"/>
      <c r="Y1379" s="7"/>
      <c r="Z1379" s="7"/>
      <c r="AA1379" s="7"/>
      <c r="AB1379" s="7"/>
      <c r="AC1379" s="7"/>
      <c r="AD1379" s="7"/>
      <c r="AE1379" s="7"/>
      <c r="AF1379" s="7"/>
      <c r="AG1379" s="7"/>
      <c r="AH1379" s="7"/>
      <c r="AI1379" s="7"/>
    </row>
    <row r="1380" spans="12:35">
      <c r="L1380" s="7">
        <v>41</v>
      </c>
      <c r="M1380" s="7">
        <v>70</v>
      </c>
      <c r="N1380" s="7" t="b">
        <f>AND($N$6,$N$7,10&lt;=$M$6,19&lt;=$M$7)</f>
        <v>0</v>
      </c>
      <c r="O1380" s="7">
        <f>(P41-N41)*(O70-O41)-(Q41-O41)*(N70-N41)</f>
        <v>0</v>
      </c>
      <c r="P1380" s="7">
        <f>(P41-N41)*(Q70-O41)-(Q41-O41)*(P70-N41)</f>
        <v>0</v>
      </c>
      <c r="Q1380" s="7">
        <f>(P70-N70)*(O41-O70)-(Q70-O70)*(N41-N70)</f>
        <v>0</v>
      </c>
      <c r="R1380" s="7">
        <f>(P70-N70)*(Q41-O70)-(Q70-O70)*(P41-N70)</f>
        <v>0</v>
      </c>
      <c r="S1380" s="7">
        <f>IF(N1380,IF(AND(O1380*P1380&lt;=0,Q1380*R1380&lt;=0,MAX(MIN(N41,P41),MIN(N70,P70))&lt;=MIN(MAX(N41,P41),MAX(N70,P70)),MAX(MIN(O41,Q41),MIN(O70,Q70))&lt;=MIN(MAX(O41,Q41),MAX(O70,Q70))),1,0),0)</f>
        <v>0</v>
      </c>
      <c r="T1380" s="7"/>
      <c r="U1380" s="7"/>
      <c r="V1380" s="7"/>
      <c r="W1380" s="7"/>
      <c r="X1380" s="7"/>
      <c r="Y1380" s="7"/>
      <c r="Z1380" s="7"/>
      <c r="AA1380" s="7"/>
      <c r="AB1380" s="7"/>
      <c r="AC1380" s="7"/>
      <c r="AD1380" s="7"/>
      <c r="AE1380" s="7"/>
      <c r="AF1380" s="7"/>
      <c r="AG1380" s="7"/>
      <c r="AH1380" s="7"/>
      <c r="AI1380" s="7"/>
    </row>
    <row r="1381" spans="12:35">
      <c r="L1381" s="7">
        <v>41</v>
      </c>
      <c r="M1381" s="7">
        <v>71</v>
      </c>
      <c r="N1381" s="7" t="b">
        <f>AND($N$6,$N$7,10&lt;=$M$6,20&lt;=$M$7)</f>
        <v>0</v>
      </c>
      <c r="O1381" s="7">
        <f>(P41-N41)*(O71-O41)-(Q41-O41)*(N71-N41)</f>
        <v>0</v>
      </c>
      <c r="P1381" s="7">
        <f>(P41-N41)*(Q71-O41)-(Q41-O41)*(P71-N41)</f>
        <v>0</v>
      </c>
      <c r="Q1381" s="7">
        <f>(P71-N71)*(O41-O71)-(Q71-O71)*(N41-N71)</f>
        <v>0</v>
      </c>
      <c r="R1381" s="7">
        <f>(P71-N71)*(Q41-O71)-(Q71-O71)*(P41-N71)</f>
        <v>0</v>
      </c>
      <c r="S1381" s="7">
        <f>IF(N1381,IF(AND(O1381*P1381&lt;=0,Q1381*R1381&lt;=0,MAX(MIN(N41,P41),MIN(N71,P71))&lt;=MIN(MAX(N41,P41),MAX(N71,P71)),MAX(MIN(O41,Q41),MIN(O71,Q71))&lt;=MIN(MAX(O41,Q41),MAX(O71,Q71))),1,0),0)</f>
        <v>0</v>
      </c>
      <c r="T1381" s="7"/>
      <c r="U1381" s="7"/>
      <c r="V1381" s="7"/>
      <c r="W1381" s="7"/>
      <c r="X1381" s="7"/>
      <c r="Y1381" s="7"/>
      <c r="Z1381" s="7"/>
      <c r="AA1381" s="7"/>
      <c r="AB1381" s="7"/>
      <c r="AC1381" s="7"/>
      <c r="AD1381" s="7"/>
      <c r="AE1381" s="7"/>
      <c r="AF1381" s="7"/>
      <c r="AG1381" s="7"/>
      <c r="AH1381" s="7"/>
      <c r="AI1381" s="7"/>
    </row>
    <row r="1382" spans="12:35">
      <c r="L1382" s="7">
        <v>42</v>
      </c>
      <c r="M1382" s="7">
        <v>44</v>
      </c>
      <c r="N1382" s="7" t="b">
        <f>AND($N$6,$N$6,11&lt;=$M$6,13&lt;=$M$6)</f>
        <v>0</v>
      </c>
      <c r="O1382" s="7">
        <f>(P42-N42)*(O44-O42)-(Q42-O42)*(N44-N42)</f>
        <v>0</v>
      </c>
      <c r="P1382" s="7">
        <f>(P42-N42)*(Q44-O42)-(Q42-O42)*(P44-N42)</f>
        <v>0</v>
      </c>
      <c r="Q1382" s="7">
        <f>(P44-N44)*(O42-O44)-(Q44-O44)*(N42-N44)</f>
        <v>0</v>
      </c>
      <c r="R1382" s="7">
        <f>(P44-N44)*(Q42-O44)-(Q44-O44)*(P42-N44)</f>
        <v>0</v>
      </c>
      <c r="S1382" s="7">
        <f>IF(N1382,IF(AND(O1382*P1382&lt;=0,Q1382*R1382&lt;=0,MAX(MIN(N42,P42),MIN(N44,P44))&lt;=MIN(MAX(N42,P42),MAX(N44,P44)),MAX(MIN(O42,Q42),MIN(O44,Q44))&lt;=MIN(MAX(O42,Q42),MAX(O44,Q44))),1,0),0)</f>
        <v>0</v>
      </c>
      <c r="T1382" s="7"/>
      <c r="U1382" s="7"/>
      <c r="V1382" s="7"/>
      <c r="W1382" s="7"/>
      <c r="X1382" s="7"/>
      <c r="Y1382" s="7"/>
      <c r="Z1382" s="7"/>
      <c r="AA1382" s="7"/>
      <c r="AB1382" s="7"/>
      <c r="AC1382" s="7"/>
      <c r="AD1382" s="7"/>
      <c r="AE1382" s="7"/>
      <c r="AF1382" s="7"/>
      <c r="AG1382" s="7"/>
      <c r="AH1382" s="7"/>
      <c r="AI1382" s="7"/>
    </row>
    <row r="1383" spans="12:35">
      <c r="L1383" s="7">
        <v>42</v>
      </c>
      <c r="M1383" s="7">
        <v>45</v>
      </c>
      <c r="N1383" s="7" t="b">
        <f>AND($N$6,$N$6,11&lt;=$M$6,14&lt;=$M$6)</f>
        <v>0</v>
      </c>
      <c r="O1383" s="7">
        <f>(P42-N42)*(O45-O42)-(Q42-O42)*(N45-N42)</f>
        <v>0</v>
      </c>
      <c r="P1383" s="7">
        <f>(P42-N42)*(Q45-O42)-(Q42-O42)*(P45-N42)</f>
        <v>0</v>
      </c>
      <c r="Q1383" s="7">
        <f>(P45-N45)*(O42-O45)-(Q45-O45)*(N42-N45)</f>
        <v>0</v>
      </c>
      <c r="R1383" s="7">
        <f>(P45-N45)*(Q42-O45)-(Q45-O45)*(P42-N45)</f>
        <v>0</v>
      </c>
      <c r="S1383" s="7">
        <f>IF(N1383,IF(AND(O1383*P1383&lt;=0,Q1383*R1383&lt;=0,MAX(MIN(N42,P42),MIN(N45,P45))&lt;=MIN(MAX(N42,P42),MAX(N45,P45)),MAX(MIN(O42,Q42),MIN(O45,Q45))&lt;=MIN(MAX(O42,Q42),MAX(O45,Q45))),1,0),0)</f>
        <v>0</v>
      </c>
      <c r="T1383" s="7"/>
      <c r="U1383" s="7"/>
      <c r="V1383" s="7"/>
      <c r="W1383" s="7"/>
      <c r="X1383" s="7"/>
      <c r="Y1383" s="7"/>
      <c r="Z1383" s="7"/>
      <c r="AA1383" s="7"/>
      <c r="AB1383" s="7"/>
      <c r="AC1383" s="7"/>
      <c r="AD1383" s="7"/>
      <c r="AE1383" s="7"/>
      <c r="AF1383" s="7"/>
      <c r="AG1383" s="7"/>
      <c r="AH1383" s="7"/>
      <c r="AI1383" s="7"/>
    </row>
    <row r="1384" spans="12:35">
      <c r="L1384" s="7">
        <v>42</v>
      </c>
      <c r="M1384" s="7">
        <v>46</v>
      </c>
      <c r="N1384" s="7" t="b">
        <f>AND($N$6,$N$6,11&lt;=$M$6,15&lt;=$M$6)</f>
        <v>0</v>
      </c>
      <c r="O1384" s="7">
        <f>(P42-N42)*(O46-O42)-(Q42-O42)*(N46-N42)</f>
        <v>0</v>
      </c>
      <c r="P1384" s="7">
        <f>(P42-N42)*(Q46-O42)-(Q42-O42)*(P46-N42)</f>
        <v>0</v>
      </c>
      <c r="Q1384" s="7">
        <f>(P46-N46)*(O42-O46)-(Q46-O46)*(N42-N46)</f>
        <v>0</v>
      </c>
      <c r="R1384" s="7">
        <f>(P46-N46)*(Q42-O46)-(Q46-O46)*(P42-N46)</f>
        <v>0</v>
      </c>
      <c r="S1384" s="7">
        <f>IF(N1384,IF(AND(O1384*P1384&lt;=0,Q1384*R1384&lt;=0,MAX(MIN(N42,P42),MIN(N46,P46))&lt;=MIN(MAX(N42,P42),MAX(N46,P46)),MAX(MIN(O42,Q42),MIN(O46,Q46))&lt;=MIN(MAX(O42,Q42),MAX(O46,Q46))),1,0),0)</f>
        <v>0</v>
      </c>
      <c r="T1384" s="7"/>
      <c r="U1384" s="7"/>
      <c r="V1384" s="7"/>
      <c r="W1384" s="7"/>
      <c r="X1384" s="7"/>
      <c r="Y1384" s="7"/>
      <c r="Z1384" s="7"/>
      <c r="AA1384" s="7"/>
      <c r="AB1384" s="7"/>
      <c r="AC1384" s="7"/>
      <c r="AD1384" s="7"/>
      <c r="AE1384" s="7"/>
      <c r="AF1384" s="7"/>
      <c r="AG1384" s="7"/>
      <c r="AH1384" s="7"/>
      <c r="AI1384" s="7"/>
    </row>
    <row r="1385" spans="12:35">
      <c r="L1385" s="7">
        <v>42</v>
      </c>
      <c r="M1385" s="7">
        <v>47</v>
      </c>
      <c r="N1385" s="7" t="b">
        <f>AND($N$6,$N$6,11&lt;=$M$6,16&lt;=$M$6)</f>
        <v>0</v>
      </c>
      <c r="O1385" s="7">
        <f>(P42-N42)*(O47-O42)-(Q42-O42)*(N47-N42)</f>
        <v>0</v>
      </c>
      <c r="P1385" s="7">
        <f>(P42-N42)*(Q47-O42)-(Q42-O42)*(P47-N42)</f>
        <v>0</v>
      </c>
      <c r="Q1385" s="7">
        <f>(P47-N47)*(O42-O47)-(Q47-O47)*(N42-N47)</f>
        <v>0</v>
      </c>
      <c r="R1385" s="7">
        <f>(P47-N47)*(Q42-O47)-(Q47-O47)*(P42-N47)</f>
        <v>0</v>
      </c>
      <c r="S1385" s="7">
        <f>IF(N1385,IF(AND(O1385*P1385&lt;=0,Q1385*R1385&lt;=0,MAX(MIN(N42,P42),MIN(N47,P47))&lt;=MIN(MAX(N42,P42),MAX(N47,P47)),MAX(MIN(O42,Q42),MIN(O47,Q47))&lt;=MIN(MAX(O42,Q42),MAX(O47,Q47))),1,0),0)</f>
        <v>0</v>
      </c>
      <c r="T1385" s="7"/>
      <c r="U1385" s="7"/>
      <c r="V1385" s="7"/>
      <c r="W1385" s="7"/>
      <c r="X1385" s="7"/>
      <c r="Y1385" s="7"/>
      <c r="Z1385" s="7"/>
      <c r="AA1385" s="7"/>
      <c r="AB1385" s="7"/>
      <c r="AC1385" s="7"/>
      <c r="AD1385" s="7"/>
      <c r="AE1385" s="7"/>
      <c r="AF1385" s="7"/>
      <c r="AG1385" s="7"/>
      <c r="AH1385" s="7"/>
      <c r="AI1385" s="7"/>
    </row>
    <row r="1386" spans="12:35">
      <c r="L1386" s="7">
        <v>42</v>
      </c>
      <c r="M1386" s="7">
        <v>48</v>
      </c>
      <c r="N1386" s="7" t="b">
        <f>AND($N$6,$N$6,11&lt;=$M$6,17&lt;=$M$6)</f>
        <v>0</v>
      </c>
      <c r="O1386" s="7">
        <f>(P42-N42)*(O48-O42)-(Q42-O42)*(N48-N42)</f>
        <v>0</v>
      </c>
      <c r="P1386" s="7">
        <f>(P42-N42)*(Q48-O42)-(Q42-O42)*(P48-N42)</f>
        <v>0</v>
      </c>
      <c r="Q1386" s="7">
        <f>(P48-N48)*(O42-O48)-(Q48-O48)*(N42-N48)</f>
        <v>0</v>
      </c>
      <c r="R1386" s="7">
        <f>(P48-N48)*(Q42-O48)-(Q48-O48)*(P42-N48)</f>
        <v>0</v>
      </c>
      <c r="S1386" s="7">
        <f>IF(N1386,IF(AND(O1386*P1386&lt;=0,Q1386*R1386&lt;=0,MAX(MIN(N42,P42),MIN(N48,P48))&lt;=MIN(MAX(N42,P42),MAX(N48,P48)),MAX(MIN(O42,Q42),MIN(O48,Q48))&lt;=MIN(MAX(O42,Q42),MAX(O48,Q48))),1,0),0)</f>
        <v>0</v>
      </c>
      <c r="T1386" s="7"/>
      <c r="U1386" s="7"/>
      <c r="V1386" s="7"/>
      <c r="W1386" s="7"/>
      <c r="X1386" s="7"/>
      <c r="Y1386" s="7"/>
      <c r="Z1386" s="7"/>
      <c r="AA1386" s="7"/>
      <c r="AB1386" s="7"/>
      <c r="AC1386" s="7"/>
      <c r="AD1386" s="7"/>
      <c r="AE1386" s="7"/>
      <c r="AF1386" s="7"/>
      <c r="AG1386" s="7"/>
      <c r="AH1386" s="7"/>
      <c r="AI1386" s="7"/>
    </row>
    <row r="1387" spans="12:35">
      <c r="L1387" s="7">
        <v>42</v>
      </c>
      <c r="M1387" s="7">
        <v>49</v>
      </c>
      <c r="N1387" s="7" t="b">
        <f>AND($N$6,$N$6,11&lt;=$M$6,18&lt;=$M$6)</f>
        <v>0</v>
      </c>
      <c r="O1387" s="7">
        <f>(P42-N42)*(O49-O42)-(Q42-O42)*(N49-N42)</f>
        <v>0</v>
      </c>
      <c r="P1387" s="7">
        <f>(P42-N42)*(Q49-O42)-(Q42-O42)*(P49-N42)</f>
        <v>0</v>
      </c>
      <c r="Q1387" s="7">
        <f>(P49-N49)*(O42-O49)-(Q49-O49)*(N42-N49)</f>
        <v>0</v>
      </c>
      <c r="R1387" s="7">
        <f>(P49-N49)*(Q42-O49)-(Q49-O49)*(P42-N49)</f>
        <v>0</v>
      </c>
      <c r="S1387" s="7">
        <f>IF(N1387,IF(AND(O1387*P1387&lt;=0,Q1387*R1387&lt;=0,MAX(MIN(N42,P42),MIN(N49,P49))&lt;=MIN(MAX(N42,P42),MAX(N49,P49)),MAX(MIN(O42,Q42),MIN(O49,Q49))&lt;=MIN(MAX(O42,Q42),MAX(O49,Q49))),1,0),0)</f>
        <v>0</v>
      </c>
      <c r="T1387" s="7"/>
      <c r="U1387" s="7"/>
      <c r="V1387" s="7"/>
      <c r="W1387" s="7"/>
      <c r="X1387" s="7"/>
      <c r="Y1387" s="7"/>
      <c r="Z1387" s="7"/>
      <c r="AA1387" s="7"/>
      <c r="AB1387" s="7"/>
      <c r="AC1387" s="7"/>
      <c r="AD1387" s="7"/>
      <c r="AE1387" s="7"/>
      <c r="AF1387" s="7"/>
      <c r="AG1387" s="7"/>
      <c r="AH1387" s="7"/>
      <c r="AI1387" s="7"/>
    </row>
    <row r="1388" spans="12:35">
      <c r="L1388" s="7">
        <v>42</v>
      </c>
      <c r="M1388" s="7">
        <v>50</v>
      </c>
      <c r="N1388" s="7" t="b">
        <f>AND($N$6,$N$6,11&lt;=$M$6,19&lt;=$M$6)</f>
        <v>0</v>
      </c>
      <c r="O1388" s="7">
        <f>(P42-N42)*(O50-O42)-(Q42-O42)*(N50-N42)</f>
        <v>0</v>
      </c>
      <c r="P1388" s="7">
        <f>(P42-N42)*(Q50-O42)-(Q42-O42)*(P50-N42)</f>
        <v>0</v>
      </c>
      <c r="Q1388" s="7">
        <f>(P50-N50)*(O42-O50)-(Q50-O50)*(N42-N50)</f>
        <v>0</v>
      </c>
      <c r="R1388" s="7">
        <f>(P50-N50)*(Q42-O50)-(Q50-O50)*(P42-N50)</f>
        <v>0</v>
      </c>
      <c r="S1388" s="7">
        <f>IF(N1388,IF(AND(O1388*P1388&lt;=0,Q1388*R1388&lt;=0,MAX(MIN(N42,P42),MIN(N50,P50))&lt;=MIN(MAX(N42,P42),MAX(N50,P50)),MAX(MIN(O42,Q42),MIN(O50,Q50))&lt;=MIN(MAX(O42,Q42),MAX(O50,Q50))),1,0),0)</f>
        <v>0</v>
      </c>
      <c r="T1388" s="7"/>
      <c r="U1388" s="7"/>
      <c r="V1388" s="7"/>
      <c r="W1388" s="7"/>
      <c r="X1388" s="7"/>
      <c r="Y1388" s="7"/>
      <c r="Z1388" s="7"/>
      <c r="AA1388" s="7"/>
      <c r="AB1388" s="7"/>
      <c r="AC1388" s="7"/>
      <c r="AD1388" s="7"/>
      <c r="AE1388" s="7"/>
      <c r="AF1388" s="7"/>
      <c r="AG1388" s="7"/>
      <c r="AH1388" s="7"/>
      <c r="AI1388" s="7"/>
    </row>
    <row r="1389" spans="12:35">
      <c r="L1389" s="7">
        <v>42</v>
      </c>
      <c r="M1389" s="7">
        <v>51</v>
      </c>
      <c r="N1389" s="7" t="b">
        <f>AND($N$6,$N$6,11&lt;=$M$6,20&lt;=$M$6)</f>
        <v>0</v>
      </c>
      <c r="O1389" s="7">
        <f>(P42-N42)*(O51-O42)-(Q42-O42)*(N51-N42)</f>
        <v>0</v>
      </c>
      <c r="P1389" s="7">
        <f>(P42-N42)*(Q51-O42)-(Q42-O42)*(P51-N42)</f>
        <v>0</v>
      </c>
      <c r="Q1389" s="7">
        <f>(P51-N51)*(O42-O51)-(Q51-O51)*(N42-N51)</f>
        <v>0</v>
      </c>
      <c r="R1389" s="7">
        <f>(P51-N51)*(Q42-O51)-(Q51-O51)*(P42-N51)</f>
        <v>0</v>
      </c>
      <c r="S1389" s="7">
        <f>IF(N1389,IF(AND(O1389*P1389&lt;=0,Q1389*R1389&lt;=0,MAX(MIN(N42,P42),MIN(N51,P51))&lt;=MIN(MAX(N42,P42),MAX(N51,P51)),MAX(MIN(O42,Q42),MIN(O51,Q51))&lt;=MIN(MAX(O42,Q42),MAX(O51,Q51))),1,0),0)</f>
        <v>0</v>
      </c>
      <c r="T1389" s="7"/>
      <c r="U1389" s="7"/>
      <c r="V1389" s="7"/>
      <c r="W1389" s="7"/>
      <c r="X1389" s="7"/>
      <c r="Y1389" s="7"/>
      <c r="Z1389" s="7"/>
      <c r="AA1389" s="7"/>
      <c r="AB1389" s="7"/>
      <c r="AC1389" s="7"/>
      <c r="AD1389" s="7"/>
      <c r="AE1389" s="7"/>
      <c r="AF1389" s="7"/>
      <c r="AG1389" s="7"/>
      <c r="AH1389" s="7"/>
      <c r="AI1389" s="7"/>
    </row>
    <row r="1390" spans="12:35">
      <c r="L1390" s="7">
        <v>42</v>
      </c>
      <c r="M1390" s="7">
        <v>52</v>
      </c>
      <c r="N1390" s="7" t="b">
        <f>AND($N$6,$N$7,11&lt;=$M$6,1&lt;=$M$7)</f>
        <v>0</v>
      </c>
      <c r="O1390" s="7">
        <f>(P42-N42)*(O52-O42)-(Q42-O42)*(N52-N42)</f>
        <v>0</v>
      </c>
      <c r="P1390" s="7">
        <f>(P42-N42)*(Q52-O42)-(Q42-O42)*(P52-N42)</f>
        <v>0</v>
      </c>
      <c r="Q1390" s="7">
        <f>(P52-N52)*(O42-O52)-(Q52-O52)*(N42-N52)</f>
        <v>0</v>
      </c>
      <c r="R1390" s="7">
        <f>(P52-N52)*(Q42-O52)-(Q52-O52)*(P42-N52)</f>
        <v>0</v>
      </c>
      <c r="S1390" s="7">
        <f>IF(N1390,IF(AND(O1390*P1390&lt;=0,Q1390*R1390&lt;=0,MAX(MIN(N42,P42),MIN(N52,P52))&lt;=MIN(MAX(N42,P42),MAX(N52,P52)),MAX(MIN(O42,Q42),MIN(O52,Q52))&lt;=MIN(MAX(O42,Q42),MAX(O52,Q52))),1,0),0)</f>
        <v>0</v>
      </c>
      <c r="T1390" s="7"/>
      <c r="U1390" s="7"/>
      <c r="V1390" s="7"/>
      <c r="W1390" s="7"/>
      <c r="X1390" s="7"/>
      <c r="Y1390" s="7"/>
      <c r="Z1390" s="7"/>
      <c r="AA1390" s="7"/>
      <c r="AB1390" s="7"/>
      <c r="AC1390" s="7"/>
      <c r="AD1390" s="7"/>
      <c r="AE1390" s="7"/>
      <c r="AF1390" s="7"/>
      <c r="AG1390" s="7"/>
      <c r="AH1390" s="7"/>
      <c r="AI1390" s="7"/>
    </row>
    <row r="1391" spans="12:35">
      <c r="L1391" s="7">
        <v>42</v>
      </c>
      <c r="M1391" s="7">
        <v>53</v>
      </c>
      <c r="N1391" s="7" t="b">
        <f>AND($N$6,$N$7,11&lt;=$M$6,2&lt;=$M$7)</f>
        <v>0</v>
      </c>
      <c r="O1391" s="7">
        <f>(P42-N42)*(O53-O42)-(Q42-O42)*(N53-N42)</f>
        <v>0</v>
      </c>
      <c r="P1391" s="7">
        <f>(P42-N42)*(Q53-O42)-(Q42-O42)*(P53-N42)</f>
        <v>0</v>
      </c>
      <c r="Q1391" s="7">
        <f>(P53-N53)*(O42-O53)-(Q53-O53)*(N42-N53)</f>
        <v>0</v>
      </c>
      <c r="R1391" s="7">
        <f>(P53-N53)*(Q42-O53)-(Q53-O53)*(P42-N53)</f>
        <v>0</v>
      </c>
      <c r="S1391" s="7">
        <f>IF(N1391,IF(AND(O1391*P1391&lt;=0,Q1391*R1391&lt;=0,MAX(MIN(N42,P42),MIN(N53,P53))&lt;=MIN(MAX(N42,P42),MAX(N53,P53)),MAX(MIN(O42,Q42),MIN(O53,Q53))&lt;=MIN(MAX(O42,Q42),MAX(O53,Q53))),1,0),0)</f>
        <v>0</v>
      </c>
      <c r="T1391" s="7"/>
      <c r="U1391" s="7"/>
      <c r="V1391" s="7"/>
      <c r="W1391" s="7"/>
      <c r="X1391" s="7"/>
      <c r="Y1391" s="7"/>
      <c r="Z1391" s="7"/>
      <c r="AA1391" s="7"/>
      <c r="AB1391" s="7"/>
      <c r="AC1391" s="7"/>
      <c r="AD1391" s="7"/>
      <c r="AE1391" s="7"/>
      <c r="AF1391" s="7"/>
      <c r="AG1391" s="7"/>
      <c r="AH1391" s="7"/>
      <c r="AI1391" s="7"/>
    </row>
    <row r="1392" spans="12:35">
      <c r="L1392" s="7">
        <v>42</v>
      </c>
      <c r="M1392" s="7">
        <v>54</v>
      </c>
      <c r="N1392" s="7" t="b">
        <f>AND($N$6,$N$7,11&lt;=$M$6,3&lt;=$M$7)</f>
        <v>0</v>
      </c>
      <c r="O1392" s="7">
        <f>(P42-N42)*(O54-O42)-(Q42-O42)*(N54-N42)</f>
        <v>0</v>
      </c>
      <c r="P1392" s="7">
        <f>(P42-N42)*(Q54-O42)-(Q42-O42)*(P54-N42)</f>
        <v>0</v>
      </c>
      <c r="Q1392" s="7">
        <f>(P54-N54)*(O42-O54)-(Q54-O54)*(N42-N54)</f>
        <v>0</v>
      </c>
      <c r="R1392" s="7">
        <f>(P54-N54)*(Q42-O54)-(Q54-O54)*(P42-N54)</f>
        <v>0</v>
      </c>
      <c r="S1392" s="7">
        <f>IF(N1392,IF(AND(O1392*P1392&lt;=0,Q1392*R1392&lt;=0,MAX(MIN(N42,P42),MIN(N54,P54))&lt;=MIN(MAX(N42,P42),MAX(N54,P54)),MAX(MIN(O42,Q42),MIN(O54,Q54))&lt;=MIN(MAX(O42,Q42),MAX(O54,Q54))),1,0),0)</f>
        <v>0</v>
      </c>
      <c r="T1392" s="7"/>
      <c r="U1392" s="7"/>
      <c r="V1392" s="7"/>
      <c r="W1392" s="7"/>
      <c r="X1392" s="7"/>
      <c r="Y1392" s="7"/>
      <c r="Z1392" s="7"/>
      <c r="AA1392" s="7"/>
      <c r="AB1392" s="7"/>
      <c r="AC1392" s="7"/>
      <c r="AD1392" s="7"/>
      <c r="AE1392" s="7"/>
      <c r="AF1392" s="7"/>
      <c r="AG1392" s="7"/>
      <c r="AH1392" s="7"/>
      <c r="AI1392" s="7"/>
    </row>
    <row r="1393" spans="12:35">
      <c r="L1393" s="7">
        <v>42</v>
      </c>
      <c r="M1393" s="7">
        <v>55</v>
      </c>
      <c r="N1393" s="7" t="b">
        <f>AND($N$6,$N$7,11&lt;=$M$6,4&lt;=$M$7)</f>
        <v>0</v>
      </c>
      <c r="O1393" s="7">
        <f>(P42-N42)*(O55-O42)-(Q42-O42)*(N55-N42)</f>
        <v>0</v>
      </c>
      <c r="P1393" s="7">
        <f>(P42-N42)*(Q55-O42)-(Q42-O42)*(P55-N42)</f>
        <v>0</v>
      </c>
      <c r="Q1393" s="7">
        <f>(P55-N55)*(O42-O55)-(Q55-O55)*(N42-N55)</f>
        <v>0</v>
      </c>
      <c r="R1393" s="7">
        <f>(P55-N55)*(Q42-O55)-(Q55-O55)*(P42-N55)</f>
        <v>0</v>
      </c>
      <c r="S1393" s="7">
        <f>IF(N1393,IF(AND(O1393*P1393&lt;=0,Q1393*R1393&lt;=0,MAX(MIN(N42,P42),MIN(N55,P55))&lt;=MIN(MAX(N42,P42),MAX(N55,P55)),MAX(MIN(O42,Q42),MIN(O55,Q55))&lt;=MIN(MAX(O42,Q42),MAX(O55,Q55))),1,0),0)</f>
        <v>0</v>
      </c>
      <c r="T1393" s="7"/>
      <c r="U1393" s="7"/>
      <c r="V1393" s="7"/>
      <c r="W1393" s="7"/>
      <c r="X1393" s="7"/>
      <c r="Y1393" s="7"/>
      <c r="Z1393" s="7"/>
      <c r="AA1393" s="7"/>
      <c r="AB1393" s="7"/>
      <c r="AC1393" s="7"/>
      <c r="AD1393" s="7"/>
      <c r="AE1393" s="7"/>
      <c r="AF1393" s="7"/>
      <c r="AG1393" s="7"/>
      <c r="AH1393" s="7"/>
      <c r="AI1393" s="7"/>
    </row>
    <row r="1394" spans="12:35">
      <c r="L1394" s="7">
        <v>42</v>
      </c>
      <c r="M1394" s="7">
        <v>56</v>
      </c>
      <c r="N1394" s="7" t="b">
        <f>AND($N$6,$N$7,11&lt;=$M$6,5&lt;=$M$7)</f>
        <v>0</v>
      </c>
      <c r="O1394" s="7">
        <f>(P42-N42)*(O56-O42)-(Q42-O42)*(N56-N42)</f>
        <v>0</v>
      </c>
      <c r="P1394" s="7">
        <f>(P42-N42)*(Q56-O42)-(Q42-O42)*(P56-N42)</f>
        <v>0</v>
      </c>
      <c r="Q1394" s="7">
        <f>(P56-N56)*(O42-O56)-(Q56-O56)*(N42-N56)</f>
        <v>0</v>
      </c>
      <c r="R1394" s="7">
        <f>(P56-N56)*(Q42-O56)-(Q56-O56)*(P42-N56)</f>
        <v>0</v>
      </c>
      <c r="S1394" s="7">
        <f>IF(N1394,IF(AND(O1394*P1394&lt;=0,Q1394*R1394&lt;=0,MAX(MIN(N42,P42),MIN(N56,P56))&lt;=MIN(MAX(N42,P42),MAX(N56,P56)),MAX(MIN(O42,Q42),MIN(O56,Q56))&lt;=MIN(MAX(O42,Q42),MAX(O56,Q56))),1,0),0)</f>
        <v>0</v>
      </c>
      <c r="T1394" s="7"/>
      <c r="U1394" s="7"/>
      <c r="V1394" s="7"/>
      <c r="W1394" s="7"/>
      <c r="X1394" s="7"/>
      <c r="Y1394" s="7"/>
      <c r="Z1394" s="7"/>
      <c r="AA1394" s="7"/>
      <c r="AB1394" s="7"/>
      <c r="AC1394" s="7"/>
      <c r="AD1394" s="7"/>
      <c r="AE1394" s="7"/>
      <c r="AF1394" s="7"/>
      <c r="AG1394" s="7"/>
      <c r="AH1394" s="7"/>
      <c r="AI1394" s="7"/>
    </row>
    <row r="1395" spans="12:35">
      <c r="L1395" s="7">
        <v>42</v>
      </c>
      <c r="M1395" s="7">
        <v>57</v>
      </c>
      <c r="N1395" s="7" t="b">
        <f>AND($N$6,$N$7,11&lt;=$M$6,6&lt;=$M$7)</f>
        <v>0</v>
      </c>
      <c r="O1395" s="7">
        <f>(P42-N42)*(O57-O42)-(Q42-O42)*(N57-N42)</f>
        <v>0</v>
      </c>
      <c r="P1395" s="7">
        <f>(P42-N42)*(Q57-O42)-(Q42-O42)*(P57-N42)</f>
        <v>0</v>
      </c>
      <c r="Q1395" s="7">
        <f>(P57-N57)*(O42-O57)-(Q57-O57)*(N42-N57)</f>
        <v>0</v>
      </c>
      <c r="R1395" s="7">
        <f>(P57-N57)*(Q42-O57)-(Q57-O57)*(P42-N57)</f>
        <v>0</v>
      </c>
      <c r="S1395" s="7">
        <f>IF(N1395,IF(AND(O1395*P1395&lt;=0,Q1395*R1395&lt;=0,MAX(MIN(N42,P42),MIN(N57,P57))&lt;=MIN(MAX(N42,P42),MAX(N57,P57)),MAX(MIN(O42,Q42),MIN(O57,Q57))&lt;=MIN(MAX(O42,Q42),MAX(O57,Q57))),1,0),0)</f>
        <v>0</v>
      </c>
      <c r="T1395" s="7"/>
      <c r="U1395" s="7"/>
      <c r="V1395" s="7"/>
      <c r="W1395" s="7"/>
      <c r="X1395" s="7"/>
      <c r="Y1395" s="7"/>
      <c r="Z1395" s="7"/>
      <c r="AA1395" s="7"/>
      <c r="AB1395" s="7"/>
      <c r="AC1395" s="7"/>
      <c r="AD1395" s="7"/>
      <c r="AE1395" s="7"/>
      <c r="AF1395" s="7"/>
      <c r="AG1395" s="7"/>
      <c r="AH1395" s="7"/>
      <c r="AI1395" s="7"/>
    </row>
    <row r="1396" spans="12:35">
      <c r="L1396" s="7">
        <v>42</v>
      </c>
      <c r="M1396" s="7">
        <v>58</v>
      </c>
      <c r="N1396" s="7" t="b">
        <f>AND($N$6,$N$7,11&lt;=$M$6,7&lt;=$M$7)</f>
        <v>0</v>
      </c>
      <c r="O1396" s="7">
        <f>(P42-N42)*(O58-O42)-(Q42-O42)*(N58-N42)</f>
        <v>0</v>
      </c>
      <c r="P1396" s="7">
        <f>(P42-N42)*(Q58-O42)-(Q42-O42)*(P58-N42)</f>
        <v>0</v>
      </c>
      <c r="Q1396" s="7">
        <f>(P58-N58)*(O42-O58)-(Q58-O58)*(N42-N58)</f>
        <v>0</v>
      </c>
      <c r="R1396" s="7">
        <f>(P58-N58)*(Q42-O58)-(Q58-O58)*(P42-N58)</f>
        <v>0</v>
      </c>
      <c r="S1396" s="7">
        <f>IF(N1396,IF(AND(O1396*P1396&lt;=0,Q1396*R1396&lt;=0,MAX(MIN(N42,P42),MIN(N58,P58))&lt;=MIN(MAX(N42,P42),MAX(N58,P58)),MAX(MIN(O42,Q42),MIN(O58,Q58))&lt;=MIN(MAX(O42,Q42),MAX(O58,Q58))),1,0),0)</f>
        <v>0</v>
      </c>
      <c r="T1396" s="7"/>
      <c r="U1396" s="7"/>
      <c r="V1396" s="7"/>
      <c r="W1396" s="7"/>
      <c r="X1396" s="7"/>
      <c r="Y1396" s="7"/>
      <c r="Z1396" s="7"/>
      <c r="AA1396" s="7"/>
      <c r="AB1396" s="7"/>
      <c r="AC1396" s="7"/>
      <c r="AD1396" s="7"/>
      <c r="AE1396" s="7"/>
      <c r="AF1396" s="7"/>
      <c r="AG1396" s="7"/>
      <c r="AH1396" s="7"/>
      <c r="AI1396" s="7"/>
    </row>
    <row r="1397" spans="12:35">
      <c r="L1397" s="7">
        <v>42</v>
      </c>
      <c r="M1397" s="7">
        <v>59</v>
      </c>
      <c r="N1397" s="7" t="b">
        <f>AND($N$6,$N$7,11&lt;=$M$6,8&lt;=$M$7)</f>
        <v>0</v>
      </c>
      <c r="O1397" s="7">
        <f>(P42-N42)*(O59-O42)-(Q42-O42)*(N59-N42)</f>
        <v>0</v>
      </c>
      <c r="P1397" s="7">
        <f>(P42-N42)*(Q59-O42)-(Q42-O42)*(P59-N42)</f>
        <v>0</v>
      </c>
      <c r="Q1397" s="7">
        <f>(P59-N59)*(O42-O59)-(Q59-O59)*(N42-N59)</f>
        <v>0</v>
      </c>
      <c r="R1397" s="7">
        <f>(P59-N59)*(Q42-O59)-(Q59-O59)*(P42-N59)</f>
        <v>0</v>
      </c>
      <c r="S1397" s="7">
        <f>IF(N1397,IF(AND(O1397*P1397&lt;=0,Q1397*R1397&lt;=0,MAX(MIN(N42,P42),MIN(N59,P59))&lt;=MIN(MAX(N42,P42),MAX(N59,P59)),MAX(MIN(O42,Q42),MIN(O59,Q59))&lt;=MIN(MAX(O42,Q42),MAX(O59,Q59))),1,0),0)</f>
        <v>0</v>
      </c>
      <c r="T1397" s="7"/>
      <c r="U1397" s="7"/>
      <c r="V1397" s="7"/>
      <c r="W1397" s="7"/>
      <c r="X1397" s="7"/>
      <c r="Y1397" s="7"/>
      <c r="Z1397" s="7"/>
      <c r="AA1397" s="7"/>
      <c r="AB1397" s="7"/>
      <c r="AC1397" s="7"/>
      <c r="AD1397" s="7"/>
      <c r="AE1397" s="7"/>
      <c r="AF1397" s="7"/>
      <c r="AG1397" s="7"/>
      <c r="AH1397" s="7"/>
      <c r="AI1397" s="7"/>
    </row>
    <row r="1398" spans="12:35">
      <c r="L1398" s="7">
        <v>42</v>
      </c>
      <c r="M1398" s="7">
        <v>60</v>
      </c>
      <c r="N1398" s="7" t="b">
        <f>AND($N$6,$N$7,11&lt;=$M$6,9&lt;=$M$7)</f>
        <v>0</v>
      </c>
      <c r="O1398" s="7">
        <f>(P42-N42)*(O60-O42)-(Q42-O42)*(N60-N42)</f>
        <v>0</v>
      </c>
      <c r="P1398" s="7">
        <f>(P42-N42)*(Q60-O42)-(Q42-O42)*(P60-N42)</f>
        <v>0</v>
      </c>
      <c r="Q1398" s="7">
        <f>(P60-N60)*(O42-O60)-(Q60-O60)*(N42-N60)</f>
        <v>0</v>
      </c>
      <c r="R1398" s="7">
        <f>(P60-N60)*(Q42-O60)-(Q60-O60)*(P42-N60)</f>
        <v>0</v>
      </c>
      <c r="S1398" s="7">
        <f>IF(N1398,IF(AND(O1398*P1398&lt;=0,Q1398*R1398&lt;=0,MAX(MIN(N42,P42),MIN(N60,P60))&lt;=MIN(MAX(N42,P42),MAX(N60,P60)),MAX(MIN(O42,Q42),MIN(O60,Q60))&lt;=MIN(MAX(O42,Q42),MAX(O60,Q60))),1,0),0)</f>
        <v>0</v>
      </c>
      <c r="T1398" s="7"/>
      <c r="U1398" s="7"/>
      <c r="V1398" s="7"/>
      <c r="W1398" s="7"/>
      <c r="X1398" s="7"/>
      <c r="Y1398" s="7"/>
      <c r="Z1398" s="7"/>
      <c r="AA1398" s="7"/>
      <c r="AB1398" s="7"/>
      <c r="AC1398" s="7"/>
      <c r="AD1398" s="7"/>
      <c r="AE1398" s="7"/>
      <c r="AF1398" s="7"/>
      <c r="AG1398" s="7"/>
      <c r="AH1398" s="7"/>
      <c r="AI1398" s="7"/>
    </row>
    <row r="1399" spans="12:35">
      <c r="L1399" s="7">
        <v>42</v>
      </c>
      <c r="M1399" s="7">
        <v>61</v>
      </c>
      <c r="N1399" s="7" t="b">
        <f>AND($N$6,$N$7,11&lt;=$M$6,10&lt;=$M$7)</f>
        <v>0</v>
      </c>
      <c r="O1399" s="7">
        <f>(P42-N42)*(O61-O42)-(Q42-O42)*(N61-N42)</f>
        <v>0</v>
      </c>
      <c r="P1399" s="7">
        <f>(P42-N42)*(Q61-O42)-(Q42-O42)*(P61-N42)</f>
        <v>0</v>
      </c>
      <c r="Q1399" s="7">
        <f>(P61-N61)*(O42-O61)-(Q61-O61)*(N42-N61)</f>
        <v>0</v>
      </c>
      <c r="R1399" s="7">
        <f>(P61-N61)*(Q42-O61)-(Q61-O61)*(P42-N61)</f>
        <v>0</v>
      </c>
      <c r="S1399" s="7">
        <f>IF(N1399,IF(AND(O1399*P1399&lt;=0,Q1399*R1399&lt;=0,MAX(MIN(N42,P42),MIN(N61,P61))&lt;=MIN(MAX(N42,P42),MAX(N61,P61)),MAX(MIN(O42,Q42),MIN(O61,Q61))&lt;=MIN(MAX(O42,Q42),MAX(O61,Q61))),1,0),0)</f>
        <v>0</v>
      </c>
      <c r="T1399" s="7"/>
      <c r="U1399" s="7"/>
      <c r="V1399" s="7"/>
      <c r="W1399" s="7"/>
      <c r="X1399" s="7"/>
      <c r="Y1399" s="7"/>
      <c r="Z1399" s="7"/>
      <c r="AA1399" s="7"/>
      <c r="AB1399" s="7"/>
      <c r="AC1399" s="7"/>
      <c r="AD1399" s="7"/>
      <c r="AE1399" s="7"/>
      <c r="AF1399" s="7"/>
      <c r="AG1399" s="7"/>
      <c r="AH1399" s="7"/>
      <c r="AI1399" s="7"/>
    </row>
    <row r="1400" spans="12:35">
      <c r="L1400" s="7">
        <v>42</v>
      </c>
      <c r="M1400" s="7">
        <v>62</v>
      </c>
      <c r="N1400" s="7" t="b">
        <f>AND($N$6,$N$7,11&lt;=$M$6,11&lt;=$M$7)</f>
        <v>0</v>
      </c>
      <c r="O1400" s="7">
        <f>(P42-N42)*(O62-O42)-(Q42-O42)*(N62-N42)</f>
        <v>0</v>
      </c>
      <c r="P1400" s="7">
        <f>(P42-N42)*(Q62-O42)-(Q42-O42)*(P62-N42)</f>
        <v>0</v>
      </c>
      <c r="Q1400" s="7">
        <f>(P62-N62)*(O42-O62)-(Q62-O62)*(N42-N62)</f>
        <v>0</v>
      </c>
      <c r="R1400" s="7">
        <f>(P62-N62)*(Q42-O62)-(Q62-O62)*(P42-N62)</f>
        <v>0</v>
      </c>
      <c r="S1400" s="7">
        <f>IF(N1400,IF(AND(O1400*P1400&lt;=0,Q1400*R1400&lt;=0,MAX(MIN(N42,P42),MIN(N62,P62))&lt;=MIN(MAX(N42,P42),MAX(N62,P62)),MAX(MIN(O42,Q42),MIN(O62,Q62))&lt;=MIN(MAX(O42,Q42),MAX(O62,Q62))),1,0),0)</f>
        <v>0</v>
      </c>
      <c r="T1400" s="7"/>
      <c r="U1400" s="7"/>
      <c r="V1400" s="7"/>
      <c r="W1400" s="7"/>
      <c r="X1400" s="7"/>
      <c r="Y1400" s="7"/>
      <c r="Z1400" s="7"/>
      <c r="AA1400" s="7"/>
      <c r="AB1400" s="7"/>
      <c r="AC1400" s="7"/>
      <c r="AD1400" s="7"/>
      <c r="AE1400" s="7"/>
      <c r="AF1400" s="7"/>
      <c r="AG1400" s="7"/>
      <c r="AH1400" s="7"/>
      <c r="AI1400" s="7"/>
    </row>
    <row r="1401" spans="12:35">
      <c r="L1401" s="7">
        <v>42</v>
      </c>
      <c r="M1401" s="7">
        <v>63</v>
      </c>
      <c r="N1401" s="7" t="b">
        <f>AND($N$6,$N$7,11&lt;=$M$6,12&lt;=$M$7)</f>
        <v>0</v>
      </c>
      <c r="O1401" s="7">
        <f>(P42-N42)*(O63-O42)-(Q42-O42)*(N63-N42)</f>
        <v>0</v>
      </c>
      <c r="P1401" s="7">
        <f>(P42-N42)*(Q63-O42)-(Q42-O42)*(P63-N42)</f>
        <v>0</v>
      </c>
      <c r="Q1401" s="7">
        <f>(P63-N63)*(O42-O63)-(Q63-O63)*(N42-N63)</f>
        <v>0</v>
      </c>
      <c r="R1401" s="7">
        <f>(P63-N63)*(Q42-O63)-(Q63-O63)*(P42-N63)</f>
        <v>0</v>
      </c>
      <c r="S1401" s="7">
        <f>IF(N1401,IF(AND(O1401*P1401&lt;=0,Q1401*R1401&lt;=0,MAX(MIN(N42,P42),MIN(N63,P63))&lt;=MIN(MAX(N42,P42),MAX(N63,P63)),MAX(MIN(O42,Q42),MIN(O63,Q63))&lt;=MIN(MAX(O42,Q42),MAX(O63,Q63))),1,0),0)</f>
        <v>0</v>
      </c>
      <c r="T1401" s="7"/>
      <c r="U1401" s="7"/>
      <c r="V1401" s="7"/>
      <c r="W1401" s="7"/>
      <c r="X1401" s="7"/>
      <c r="Y1401" s="7"/>
      <c r="Z1401" s="7"/>
      <c r="AA1401" s="7"/>
      <c r="AB1401" s="7"/>
      <c r="AC1401" s="7"/>
      <c r="AD1401" s="7"/>
      <c r="AE1401" s="7"/>
      <c r="AF1401" s="7"/>
      <c r="AG1401" s="7"/>
      <c r="AH1401" s="7"/>
      <c r="AI1401" s="7"/>
    </row>
    <row r="1402" spans="12:35">
      <c r="L1402" s="7">
        <v>42</v>
      </c>
      <c r="M1402" s="7">
        <v>64</v>
      </c>
      <c r="N1402" s="7" t="b">
        <f>AND($N$6,$N$7,11&lt;=$M$6,13&lt;=$M$7)</f>
        <v>0</v>
      </c>
      <c r="O1402" s="7">
        <f>(P42-N42)*(O64-O42)-(Q42-O42)*(N64-N42)</f>
        <v>0</v>
      </c>
      <c r="P1402" s="7">
        <f>(P42-N42)*(Q64-O42)-(Q42-O42)*(P64-N42)</f>
        <v>0</v>
      </c>
      <c r="Q1402" s="7">
        <f>(P64-N64)*(O42-O64)-(Q64-O64)*(N42-N64)</f>
        <v>0</v>
      </c>
      <c r="R1402" s="7">
        <f>(P64-N64)*(Q42-O64)-(Q64-O64)*(P42-N64)</f>
        <v>0</v>
      </c>
      <c r="S1402" s="7">
        <f>IF(N1402,IF(AND(O1402*P1402&lt;=0,Q1402*R1402&lt;=0,MAX(MIN(N42,P42),MIN(N64,P64))&lt;=MIN(MAX(N42,P42),MAX(N64,P64)),MAX(MIN(O42,Q42),MIN(O64,Q64))&lt;=MIN(MAX(O42,Q42),MAX(O64,Q64))),1,0),0)</f>
        <v>0</v>
      </c>
      <c r="T1402" s="7"/>
      <c r="U1402" s="7"/>
      <c r="V1402" s="7"/>
      <c r="W1402" s="7"/>
      <c r="X1402" s="7"/>
      <c r="Y1402" s="7"/>
      <c r="Z1402" s="7"/>
      <c r="AA1402" s="7"/>
      <c r="AB1402" s="7"/>
      <c r="AC1402" s="7"/>
      <c r="AD1402" s="7"/>
      <c r="AE1402" s="7"/>
      <c r="AF1402" s="7"/>
      <c r="AG1402" s="7"/>
      <c r="AH1402" s="7"/>
      <c r="AI1402" s="7"/>
    </row>
    <row r="1403" spans="12:35">
      <c r="L1403" s="7">
        <v>42</v>
      </c>
      <c r="M1403" s="7">
        <v>65</v>
      </c>
      <c r="N1403" s="7" t="b">
        <f>AND($N$6,$N$7,11&lt;=$M$6,14&lt;=$M$7)</f>
        <v>0</v>
      </c>
      <c r="O1403" s="7">
        <f>(P42-N42)*(O65-O42)-(Q42-O42)*(N65-N42)</f>
        <v>0</v>
      </c>
      <c r="P1403" s="7">
        <f>(P42-N42)*(Q65-O42)-(Q42-O42)*(P65-N42)</f>
        <v>0</v>
      </c>
      <c r="Q1403" s="7">
        <f>(P65-N65)*(O42-O65)-(Q65-O65)*(N42-N65)</f>
        <v>0</v>
      </c>
      <c r="R1403" s="7">
        <f>(P65-N65)*(Q42-O65)-(Q65-O65)*(P42-N65)</f>
        <v>0</v>
      </c>
      <c r="S1403" s="7">
        <f>IF(N1403,IF(AND(O1403*P1403&lt;=0,Q1403*R1403&lt;=0,MAX(MIN(N42,P42),MIN(N65,P65))&lt;=MIN(MAX(N42,P42),MAX(N65,P65)),MAX(MIN(O42,Q42),MIN(O65,Q65))&lt;=MIN(MAX(O42,Q42),MAX(O65,Q65))),1,0),0)</f>
        <v>0</v>
      </c>
      <c r="T1403" s="7"/>
      <c r="U1403" s="7"/>
      <c r="V1403" s="7"/>
      <c r="W1403" s="7"/>
      <c r="X1403" s="7"/>
      <c r="Y1403" s="7"/>
      <c r="Z1403" s="7"/>
      <c r="AA1403" s="7"/>
      <c r="AB1403" s="7"/>
      <c r="AC1403" s="7"/>
      <c r="AD1403" s="7"/>
      <c r="AE1403" s="7"/>
      <c r="AF1403" s="7"/>
      <c r="AG1403" s="7"/>
      <c r="AH1403" s="7"/>
      <c r="AI1403" s="7"/>
    </row>
    <row r="1404" spans="12:35">
      <c r="L1404" s="7">
        <v>42</v>
      </c>
      <c r="M1404" s="7">
        <v>66</v>
      </c>
      <c r="N1404" s="7" t="b">
        <f>AND($N$6,$N$7,11&lt;=$M$6,15&lt;=$M$7)</f>
        <v>0</v>
      </c>
      <c r="O1404" s="7">
        <f>(P42-N42)*(O66-O42)-(Q42-O42)*(N66-N42)</f>
        <v>0</v>
      </c>
      <c r="P1404" s="7">
        <f>(P42-N42)*(Q66-O42)-(Q42-O42)*(P66-N42)</f>
        <v>0</v>
      </c>
      <c r="Q1404" s="7">
        <f>(P66-N66)*(O42-O66)-(Q66-O66)*(N42-N66)</f>
        <v>0</v>
      </c>
      <c r="R1404" s="7">
        <f>(P66-N66)*(Q42-O66)-(Q66-O66)*(P42-N66)</f>
        <v>0</v>
      </c>
      <c r="S1404" s="7">
        <f>IF(N1404,IF(AND(O1404*P1404&lt;=0,Q1404*R1404&lt;=0,MAX(MIN(N42,P42),MIN(N66,P66))&lt;=MIN(MAX(N42,P42),MAX(N66,P66)),MAX(MIN(O42,Q42),MIN(O66,Q66))&lt;=MIN(MAX(O42,Q42),MAX(O66,Q66))),1,0),0)</f>
        <v>0</v>
      </c>
      <c r="T1404" s="7"/>
      <c r="U1404" s="7"/>
      <c r="V1404" s="7"/>
      <c r="W1404" s="7"/>
      <c r="X1404" s="7"/>
      <c r="Y1404" s="7"/>
      <c r="Z1404" s="7"/>
      <c r="AA1404" s="7"/>
      <c r="AB1404" s="7"/>
      <c r="AC1404" s="7"/>
      <c r="AD1404" s="7"/>
      <c r="AE1404" s="7"/>
      <c r="AF1404" s="7"/>
      <c r="AG1404" s="7"/>
      <c r="AH1404" s="7"/>
      <c r="AI1404" s="7"/>
    </row>
    <row r="1405" spans="12:35">
      <c r="L1405" s="7">
        <v>42</v>
      </c>
      <c r="M1405" s="7">
        <v>67</v>
      </c>
      <c r="N1405" s="7" t="b">
        <f>AND($N$6,$N$7,11&lt;=$M$6,16&lt;=$M$7)</f>
        <v>0</v>
      </c>
      <c r="O1405" s="7">
        <f>(P42-N42)*(O67-O42)-(Q42-O42)*(N67-N42)</f>
        <v>0</v>
      </c>
      <c r="P1405" s="7">
        <f>(P42-N42)*(Q67-O42)-(Q42-O42)*(P67-N42)</f>
        <v>0</v>
      </c>
      <c r="Q1405" s="7">
        <f>(P67-N67)*(O42-O67)-(Q67-O67)*(N42-N67)</f>
        <v>0</v>
      </c>
      <c r="R1405" s="7">
        <f>(P67-N67)*(Q42-O67)-(Q67-O67)*(P42-N67)</f>
        <v>0</v>
      </c>
      <c r="S1405" s="7">
        <f>IF(N1405,IF(AND(O1405*P1405&lt;=0,Q1405*R1405&lt;=0,MAX(MIN(N42,P42),MIN(N67,P67))&lt;=MIN(MAX(N42,P42),MAX(N67,P67)),MAX(MIN(O42,Q42),MIN(O67,Q67))&lt;=MIN(MAX(O42,Q42),MAX(O67,Q67))),1,0),0)</f>
        <v>0</v>
      </c>
      <c r="T1405" s="7"/>
      <c r="U1405" s="7"/>
      <c r="V1405" s="7"/>
      <c r="W1405" s="7"/>
      <c r="X1405" s="7"/>
      <c r="Y1405" s="7"/>
      <c r="Z1405" s="7"/>
      <c r="AA1405" s="7"/>
      <c r="AB1405" s="7"/>
      <c r="AC1405" s="7"/>
      <c r="AD1405" s="7"/>
      <c r="AE1405" s="7"/>
      <c r="AF1405" s="7"/>
      <c r="AG1405" s="7"/>
      <c r="AH1405" s="7"/>
      <c r="AI1405" s="7"/>
    </row>
    <row r="1406" spans="12:35">
      <c r="L1406" s="7">
        <v>42</v>
      </c>
      <c r="M1406" s="7">
        <v>68</v>
      </c>
      <c r="N1406" s="7" t="b">
        <f>AND($N$6,$N$7,11&lt;=$M$6,17&lt;=$M$7)</f>
        <v>0</v>
      </c>
      <c r="O1406" s="7">
        <f>(P42-N42)*(O68-O42)-(Q42-O42)*(N68-N42)</f>
        <v>0</v>
      </c>
      <c r="P1406" s="7">
        <f>(P42-N42)*(Q68-O42)-(Q42-O42)*(P68-N42)</f>
        <v>0</v>
      </c>
      <c r="Q1406" s="7">
        <f>(P68-N68)*(O42-O68)-(Q68-O68)*(N42-N68)</f>
        <v>0</v>
      </c>
      <c r="R1406" s="7">
        <f>(P68-N68)*(Q42-O68)-(Q68-O68)*(P42-N68)</f>
        <v>0</v>
      </c>
      <c r="S1406" s="7">
        <f>IF(N1406,IF(AND(O1406*P1406&lt;=0,Q1406*R1406&lt;=0,MAX(MIN(N42,P42),MIN(N68,P68))&lt;=MIN(MAX(N42,P42),MAX(N68,P68)),MAX(MIN(O42,Q42),MIN(O68,Q68))&lt;=MIN(MAX(O42,Q42),MAX(O68,Q68))),1,0),0)</f>
        <v>0</v>
      </c>
      <c r="T1406" s="7"/>
      <c r="U1406" s="7"/>
      <c r="V1406" s="7"/>
      <c r="W1406" s="7"/>
      <c r="X1406" s="7"/>
      <c r="Y1406" s="7"/>
      <c r="Z1406" s="7"/>
      <c r="AA1406" s="7"/>
      <c r="AB1406" s="7"/>
      <c r="AC1406" s="7"/>
      <c r="AD1406" s="7"/>
      <c r="AE1406" s="7"/>
      <c r="AF1406" s="7"/>
      <c r="AG1406" s="7"/>
      <c r="AH1406" s="7"/>
      <c r="AI1406" s="7"/>
    </row>
    <row r="1407" spans="12:35">
      <c r="L1407" s="7">
        <v>42</v>
      </c>
      <c r="M1407" s="7">
        <v>69</v>
      </c>
      <c r="N1407" s="7" t="b">
        <f>AND($N$6,$N$7,11&lt;=$M$6,18&lt;=$M$7)</f>
        <v>0</v>
      </c>
      <c r="O1407" s="7">
        <f>(P42-N42)*(O69-O42)-(Q42-O42)*(N69-N42)</f>
        <v>0</v>
      </c>
      <c r="P1407" s="7">
        <f>(P42-N42)*(Q69-O42)-(Q42-O42)*(P69-N42)</f>
        <v>0</v>
      </c>
      <c r="Q1407" s="7">
        <f>(P69-N69)*(O42-O69)-(Q69-O69)*(N42-N69)</f>
        <v>0</v>
      </c>
      <c r="R1407" s="7">
        <f>(P69-N69)*(Q42-O69)-(Q69-O69)*(P42-N69)</f>
        <v>0</v>
      </c>
      <c r="S1407" s="7">
        <f>IF(N1407,IF(AND(O1407*P1407&lt;=0,Q1407*R1407&lt;=0,MAX(MIN(N42,P42),MIN(N69,P69))&lt;=MIN(MAX(N42,P42),MAX(N69,P69)),MAX(MIN(O42,Q42),MIN(O69,Q69))&lt;=MIN(MAX(O42,Q42),MAX(O69,Q69))),1,0),0)</f>
        <v>0</v>
      </c>
      <c r="T1407" s="7"/>
      <c r="U1407" s="7"/>
      <c r="V1407" s="7"/>
      <c r="W1407" s="7"/>
      <c r="X1407" s="7"/>
      <c r="Y1407" s="7"/>
      <c r="Z1407" s="7"/>
      <c r="AA1407" s="7"/>
      <c r="AB1407" s="7"/>
      <c r="AC1407" s="7"/>
      <c r="AD1407" s="7"/>
      <c r="AE1407" s="7"/>
      <c r="AF1407" s="7"/>
      <c r="AG1407" s="7"/>
      <c r="AH1407" s="7"/>
      <c r="AI1407" s="7"/>
    </row>
    <row r="1408" spans="12:35">
      <c r="L1408" s="7">
        <v>42</v>
      </c>
      <c r="M1408" s="7">
        <v>70</v>
      </c>
      <c r="N1408" s="7" t="b">
        <f>AND($N$6,$N$7,11&lt;=$M$6,19&lt;=$M$7)</f>
        <v>0</v>
      </c>
      <c r="O1408" s="7">
        <f>(P42-N42)*(O70-O42)-(Q42-O42)*(N70-N42)</f>
        <v>0</v>
      </c>
      <c r="P1408" s="7">
        <f>(P42-N42)*(Q70-O42)-(Q42-O42)*(P70-N42)</f>
        <v>0</v>
      </c>
      <c r="Q1408" s="7">
        <f>(P70-N70)*(O42-O70)-(Q70-O70)*(N42-N70)</f>
        <v>0</v>
      </c>
      <c r="R1408" s="7">
        <f>(P70-N70)*(Q42-O70)-(Q70-O70)*(P42-N70)</f>
        <v>0</v>
      </c>
      <c r="S1408" s="7">
        <f>IF(N1408,IF(AND(O1408*P1408&lt;=0,Q1408*R1408&lt;=0,MAX(MIN(N42,P42),MIN(N70,P70))&lt;=MIN(MAX(N42,P42),MAX(N70,P70)),MAX(MIN(O42,Q42),MIN(O70,Q70))&lt;=MIN(MAX(O42,Q42),MAX(O70,Q70))),1,0),0)</f>
        <v>0</v>
      </c>
      <c r="T1408" s="7"/>
      <c r="U1408" s="7"/>
      <c r="V1408" s="7"/>
      <c r="W1408" s="7"/>
      <c r="X1408" s="7"/>
      <c r="Y1408" s="7"/>
      <c r="Z1408" s="7"/>
      <c r="AA1408" s="7"/>
      <c r="AB1408" s="7"/>
      <c r="AC1408" s="7"/>
      <c r="AD1408" s="7"/>
      <c r="AE1408" s="7"/>
      <c r="AF1408" s="7"/>
      <c r="AG1408" s="7"/>
      <c r="AH1408" s="7"/>
      <c r="AI1408" s="7"/>
    </row>
    <row r="1409" spans="12:35">
      <c r="L1409" s="7">
        <v>42</v>
      </c>
      <c r="M1409" s="7">
        <v>71</v>
      </c>
      <c r="N1409" s="7" t="b">
        <f>AND($N$6,$N$7,11&lt;=$M$6,20&lt;=$M$7)</f>
        <v>0</v>
      </c>
      <c r="O1409" s="7">
        <f>(P42-N42)*(O71-O42)-(Q42-O42)*(N71-N42)</f>
        <v>0</v>
      </c>
      <c r="P1409" s="7">
        <f>(P42-N42)*(Q71-O42)-(Q42-O42)*(P71-N42)</f>
        <v>0</v>
      </c>
      <c r="Q1409" s="7">
        <f>(P71-N71)*(O42-O71)-(Q71-O71)*(N42-N71)</f>
        <v>0</v>
      </c>
      <c r="R1409" s="7">
        <f>(P71-N71)*(Q42-O71)-(Q71-O71)*(P42-N71)</f>
        <v>0</v>
      </c>
      <c r="S1409" s="7">
        <f>IF(N1409,IF(AND(O1409*P1409&lt;=0,Q1409*R1409&lt;=0,MAX(MIN(N42,P42),MIN(N71,P71))&lt;=MIN(MAX(N42,P42),MAX(N71,P71)),MAX(MIN(O42,Q42),MIN(O71,Q71))&lt;=MIN(MAX(O42,Q42),MAX(O71,Q71))),1,0),0)</f>
        <v>0</v>
      </c>
      <c r="T1409" s="7"/>
      <c r="U1409" s="7"/>
      <c r="V1409" s="7"/>
      <c r="W1409" s="7"/>
      <c r="X1409" s="7"/>
      <c r="Y1409" s="7"/>
      <c r="Z1409" s="7"/>
      <c r="AA1409" s="7"/>
      <c r="AB1409" s="7"/>
      <c r="AC1409" s="7"/>
      <c r="AD1409" s="7"/>
      <c r="AE1409" s="7"/>
      <c r="AF1409" s="7"/>
      <c r="AG1409" s="7"/>
      <c r="AH1409" s="7"/>
      <c r="AI1409" s="7"/>
    </row>
    <row r="1410" spans="12:35">
      <c r="L1410" s="7">
        <v>43</v>
      </c>
      <c r="M1410" s="7">
        <v>45</v>
      </c>
      <c r="N1410" s="7" t="b">
        <f>AND($N$6,$N$6,12&lt;=$M$6,14&lt;=$M$6)</f>
        <v>0</v>
      </c>
      <c r="O1410" s="7">
        <f>(P43-N43)*(O45-O43)-(Q43-O43)*(N45-N43)</f>
        <v>0</v>
      </c>
      <c r="P1410" s="7">
        <f>(P43-N43)*(Q45-O43)-(Q43-O43)*(P45-N43)</f>
        <v>0</v>
      </c>
      <c r="Q1410" s="7">
        <f>(P45-N45)*(O43-O45)-(Q45-O45)*(N43-N45)</f>
        <v>0</v>
      </c>
      <c r="R1410" s="7">
        <f>(P45-N45)*(Q43-O45)-(Q45-O45)*(P43-N45)</f>
        <v>0</v>
      </c>
      <c r="S1410" s="7">
        <f>IF(N1410,IF(AND(O1410*P1410&lt;=0,Q1410*R1410&lt;=0,MAX(MIN(N43,P43),MIN(N45,P45))&lt;=MIN(MAX(N43,P43),MAX(N45,P45)),MAX(MIN(O43,Q43),MIN(O45,Q45))&lt;=MIN(MAX(O43,Q43),MAX(O45,Q45))),1,0),0)</f>
        <v>0</v>
      </c>
      <c r="T1410" s="7"/>
      <c r="U1410" s="7"/>
      <c r="V1410" s="7"/>
      <c r="W1410" s="7"/>
      <c r="X1410" s="7"/>
      <c r="Y1410" s="7"/>
      <c r="Z1410" s="7"/>
      <c r="AA1410" s="7"/>
      <c r="AB1410" s="7"/>
      <c r="AC1410" s="7"/>
      <c r="AD1410" s="7"/>
      <c r="AE1410" s="7"/>
      <c r="AF1410" s="7"/>
      <c r="AG1410" s="7"/>
      <c r="AH1410" s="7"/>
      <c r="AI1410" s="7"/>
    </row>
    <row r="1411" spans="12:35">
      <c r="L1411" s="7">
        <v>43</v>
      </c>
      <c r="M1411" s="7">
        <v>46</v>
      </c>
      <c r="N1411" s="7" t="b">
        <f>AND($N$6,$N$6,12&lt;=$M$6,15&lt;=$M$6)</f>
        <v>0</v>
      </c>
      <c r="O1411" s="7">
        <f>(P43-N43)*(O46-O43)-(Q43-O43)*(N46-N43)</f>
        <v>0</v>
      </c>
      <c r="P1411" s="7">
        <f>(P43-N43)*(Q46-O43)-(Q43-O43)*(P46-N43)</f>
        <v>0</v>
      </c>
      <c r="Q1411" s="7">
        <f>(P46-N46)*(O43-O46)-(Q46-O46)*(N43-N46)</f>
        <v>0</v>
      </c>
      <c r="R1411" s="7">
        <f>(P46-N46)*(Q43-O46)-(Q46-O46)*(P43-N46)</f>
        <v>0</v>
      </c>
      <c r="S1411" s="7">
        <f>IF(N1411,IF(AND(O1411*P1411&lt;=0,Q1411*R1411&lt;=0,MAX(MIN(N43,P43),MIN(N46,P46))&lt;=MIN(MAX(N43,P43),MAX(N46,P46)),MAX(MIN(O43,Q43),MIN(O46,Q46))&lt;=MIN(MAX(O43,Q43),MAX(O46,Q46))),1,0),0)</f>
        <v>0</v>
      </c>
      <c r="T1411" s="7"/>
      <c r="U1411" s="7"/>
      <c r="V1411" s="7"/>
      <c r="W1411" s="7"/>
      <c r="X1411" s="7"/>
      <c r="Y1411" s="7"/>
      <c r="Z1411" s="7"/>
      <c r="AA1411" s="7"/>
      <c r="AB1411" s="7"/>
      <c r="AC1411" s="7"/>
      <c r="AD1411" s="7"/>
      <c r="AE1411" s="7"/>
      <c r="AF1411" s="7"/>
      <c r="AG1411" s="7"/>
      <c r="AH1411" s="7"/>
      <c r="AI1411" s="7"/>
    </row>
    <row r="1412" spans="12:35">
      <c r="L1412" s="7">
        <v>43</v>
      </c>
      <c r="M1412" s="7">
        <v>47</v>
      </c>
      <c r="N1412" s="7" t="b">
        <f>AND($N$6,$N$6,12&lt;=$M$6,16&lt;=$M$6)</f>
        <v>0</v>
      </c>
      <c r="O1412" s="7">
        <f>(P43-N43)*(O47-O43)-(Q43-O43)*(N47-N43)</f>
        <v>0</v>
      </c>
      <c r="P1412" s="7">
        <f>(P43-N43)*(Q47-O43)-(Q43-O43)*(P47-N43)</f>
        <v>0</v>
      </c>
      <c r="Q1412" s="7">
        <f>(P47-N47)*(O43-O47)-(Q47-O47)*(N43-N47)</f>
        <v>0</v>
      </c>
      <c r="R1412" s="7">
        <f>(P47-N47)*(Q43-O47)-(Q47-O47)*(P43-N47)</f>
        <v>0</v>
      </c>
      <c r="S1412" s="7">
        <f>IF(N1412,IF(AND(O1412*P1412&lt;=0,Q1412*R1412&lt;=0,MAX(MIN(N43,P43),MIN(N47,P47))&lt;=MIN(MAX(N43,P43),MAX(N47,P47)),MAX(MIN(O43,Q43),MIN(O47,Q47))&lt;=MIN(MAX(O43,Q43),MAX(O47,Q47))),1,0),0)</f>
        <v>0</v>
      </c>
      <c r="T1412" s="7"/>
      <c r="U1412" s="7"/>
      <c r="V1412" s="7"/>
      <c r="W1412" s="7"/>
      <c r="X1412" s="7"/>
      <c r="Y1412" s="7"/>
      <c r="Z1412" s="7"/>
      <c r="AA1412" s="7"/>
      <c r="AB1412" s="7"/>
      <c r="AC1412" s="7"/>
      <c r="AD1412" s="7"/>
      <c r="AE1412" s="7"/>
      <c r="AF1412" s="7"/>
      <c r="AG1412" s="7"/>
      <c r="AH1412" s="7"/>
      <c r="AI1412" s="7"/>
    </row>
    <row r="1413" spans="12:35">
      <c r="L1413" s="7">
        <v>43</v>
      </c>
      <c r="M1413" s="7">
        <v>48</v>
      </c>
      <c r="N1413" s="7" t="b">
        <f>AND($N$6,$N$6,12&lt;=$M$6,17&lt;=$M$6)</f>
        <v>0</v>
      </c>
      <c r="O1413" s="7">
        <f>(P43-N43)*(O48-O43)-(Q43-O43)*(N48-N43)</f>
        <v>0</v>
      </c>
      <c r="P1413" s="7">
        <f>(P43-N43)*(Q48-O43)-(Q43-O43)*(P48-N43)</f>
        <v>0</v>
      </c>
      <c r="Q1413" s="7">
        <f>(P48-N48)*(O43-O48)-(Q48-O48)*(N43-N48)</f>
        <v>0</v>
      </c>
      <c r="R1413" s="7">
        <f>(P48-N48)*(Q43-O48)-(Q48-O48)*(P43-N48)</f>
        <v>0</v>
      </c>
      <c r="S1413" s="7">
        <f>IF(N1413,IF(AND(O1413*P1413&lt;=0,Q1413*R1413&lt;=0,MAX(MIN(N43,P43),MIN(N48,P48))&lt;=MIN(MAX(N43,P43),MAX(N48,P48)),MAX(MIN(O43,Q43),MIN(O48,Q48))&lt;=MIN(MAX(O43,Q43),MAX(O48,Q48))),1,0),0)</f>
        <v>0</v>
      </c>
      <c r="T1413" s="7"/>
      <c r="U1413" s="7"/>
      <c r="V1413" s="7"/>
      <c r="W1413" s="7"/>
      <c r="X1413" s="7"/>
      <c r="Y1413" s="7"/>
      <c r="Z1413" s="7"/>
      <c r="AA1413" s="7"/>
      <c r="AB1413" s="7"/>
      <c r="AC1413" s="7"/>
      <c r="AD1413" s="7"/>
      <c r="AE1413" s="7"/>
      <c r="AF1413" s="7"/>
      <c r="AG1413" s="7"/>
      <c r="AH1413" s="7"/>
      <c r="AI1413" s="7"/>
    </row>
    <row r="1414" spans="12:35">
      <c r="L1414" s="7">
        <v>43</v>
      </c>
      <c r="M1414" s="7">
        <v>49</v>
      </c>
      <c r="N1414" s="7" t="b">
        <f>AND($N$6,$N$6,12&lt;=$M$6,18&lt;=$M$6)</f>
        <v>0</v>
      </c>
      <c r="O1414" s="7">
        <f>(P43-N43)*(O49-O43)-(Q43-O43)*(N49-N43)</f>
        <v>0</v>
      </c>
      <c r="P1414" s="7">
        <f>(P43-N43)*(Q49-O43)-(Q43-O43)*(P49-N43)</f>
        <v>0</v>
      </c>
      <c r="Q1414" s="7">
        <f>(P49-N49)*(O43-O49)-(Q49-O49)*(N43-N49)</f>
        <v>0</v>
      </c>
      <c r="R1414" s="7">
        <f>(P49-N49)*(Q43-O49)-(Q49-O49)*(P43-N49)</f>
        <v>0</v>
      </c>
      <c r="S1414" s="7">
        <f>IF(N1414,IF(AND(O1414*P1414&lt;=0,Q1414*R1414&lt;=0,MAX(MIN(N43,P43),MIN(N49,P49))&lt;=MIN(MAX(N43,P43),MAX(N49,P49)),MAX(MIN(O43,Q43),MIN(O49,Q49))&lt;=MIN(MAX(O43,Q43),MAX(O49,Q49))),1,0),0)</f>
        <v>0</v>
      </c>
      <c r="T1414" s="7"/>
      <c r="U1414" s="7"/>
      <c r="V1414" s="7"/>
      <c r="W1414" s="7"/>
      <c r="X1414" s="7"/>
      <c r="Y1414" s="7"/>
      <c r="Z1414" s="7"/>
      <c r="AA1414" s="7"/>
      <c r="AB1414" s="7"/>
      <c r="AC1414" s="7"/>
      <c r="AD1414" s="7"/>
      <c r="AE1414" s="7"/>
      <c r="AF1414" s="7"/>
      <c r="AG1414" s="7"/>
      <c r="AH1414" s="7"/>
      <c r="AI1414" s="7"/>
    </row>
    <row r="1415" spans="12:35">
      <c r="L1415" s="7">
        <v>43</v>
      </c>
      <c r="M1415" s="7">
        <v>50</v>
      </c>
      <c r="N1415" s="7" t="b">
        <f>AND($N$6,$N$6,12&lt;=$M$6,19&lt;=$M$6)</f>
        <v>0</v>
      </c>
      <c r="O1415" s="7">
        <f>(P43-N43)*(O50-O43)-(Q43-O43)*(N50-N43)</f>
        <v>0</v>
      </c>
      <c r="P1415" s="7">
        <f>(P43-N43)*(Q50-O43)-(Q43-O43)*(P50-N43)</f>
        <v>0</v>
      </c>
      <c r="Q1415" s="7">
        <f>(P50-N50)*(O43-O50)-(Q50-O50)*(N43-N50)</f>
        <v>0</v>
      </c>
      <c r="R1415" s="7">
        <f>(P50-N50)*(Q43-O50)-(Q50-O50)*(P43-N50)</f>
        <v>0</v>
      </c>
      <c r="S1415" s="7">
        <f>IF(N1415,IF(AND(O1415*P1415&lt;=0,Q1415*R1415&lt;=0,MAX(MIN(N43,P43),MIN(N50,P50))&lt;=MIN(MAX(N43,P43),MAX(N50,P50)),MAX(MIN(O43,Q43),MIN(O50,Q50))&lt;=MIN(MAX(O43,Q43),MAX(O50,Q50))),1,0),0)</f>
        <v>0</v>
      </c>
      <c r="T1415" s="7"/>
      <c r="U1415" s="7"/>
      <c r="V1415" s="7"/>
      <c r="W1415" s="7"/>
      <c r="X1415" s="7"/>
      <c r="Y1415" s="7"/>
      <c r="Z1415" s="7"/>
      <c r="AA1415" s="7"/>
      <c r="AB1415" s="7"/>
      <c r="AC1415" s="7"/>
      <c r="AD1415" s="7"/>
      <c r="AE1415" s="7"/>
      <c r="AF1415" s="7"/>
      <c r="AG1415" s="7"/>
      <c r="AH1415" s="7"/>
      <c r="AI1415" s="7"/>
    </row>
    <row r="1416" spans="12:35">
      <c r="L1416" s="7">
        <v>43</v>
      </c>
      <c r="M1416" s="7">
        <v>51</v>
      </c>
      <c r="N1416" s="7" t="b">
        <f>AND($N$6,$N$6,12&lt;=$M$6,20&lt;=$M$6)</f>
        <v>0</v>
      </c>
      <c r="O1416" s="7">
        <f>(P43-N43)*(O51-O43)-(Q43-O43)*(N51-N43)</f>
        <v>0</v>
      </c>
      <c r="P1416" s="7">
        <f>(P43-N43)*(Q51-O43)-(Q43-O43)*(P51-N43)</f>
        <v>0</v>
      </c>
      <c r="Q1416" s="7">
        <f>(P51-N51)*(O43-O51)-(Q51-O51)*(N43-N51)</f>
        <v>0</v>
      </c>
      <c r="R1416" s="7">
        <f>(P51-N51)*(Q43-O51)-(Q51-O51)*(P43-N51)</f>
        <v>0</v>
      </c>
      <c r="S1416" s="7">
        <f>IF(N1416,IF(AND(O1416*P1416&lt;=0,Q1416*R1416&lt;=0,MAX(MIN(N43,P43),MIN(N51,P51))&lt;=MIN(MAX(N43,P43),MAX(N51,P51)),MAX(MIN(O43,Q43),MIN(O51,Q51))&lt;=MIN(MAX(O43,Q43),MAX(O51,Q51))),1,0),0)</f>
        <v>0</v>
      </c>
      <c r="T1416" s="7"/>
      <c r="U1416" s="7"/>
      <c r="V1416" s="7"/>
      <c r="W1416" s="7"/>
      <c r="X1416" s="7"/>
      <c r="Y1416" s="7"/>
      <c r="Z1416" s="7"/>
      <c r="AA1416" s="7"/>
      <c r="AB1416" s="7"/>
      <c r="AC1416" s="7"/>
      <c r="AD1416" s="7"/>
      <c r="AE1416" s="7"/>
      <c r="AF1416" s="7"/>
      <c r="AG1416" s="7"/>
      <c r="AH1416" s="7"/>
      <c r="AI1416" s="7"/>
    </row>
    <row r="1417" spans="12:35">
      <c r="L1417" s="7">
        <v>43</v>
      </c>
      <c r="M1417" s="7">
        <v>52</v>
      </c>
      <c r="N1417" s="7" t="b">
        <f>AND($N$6,$N$7,12&lt;=$M$6,1&lt;=$M$7)</f>
        <v>0</v>
      </c>
      <c r="O1417" s="7">
        <f>(P43-N43)*(O52-O43)-(Q43-O43)*(N52-N43)</f>
        <v>0</v>
      </c>
      <c r="P1417" s="7">
        <f>(P43-N43)*(Q52-O43)-(Q43-O43)*(P52-N43)</f>
        <v>0</v>
      </c>
      <c r="Q1417" s="7">
        <f>(P52-N52)*(O43-O52)-(Q52-O52)*(N43-N52)</f>
        <v>0</v>
      </c>
      <c r="R1417" s="7">
        <f>(P52-N52)*(Q43-O52)-(Q52-O52)*(P43-N52)</f>
        <v>0</v>
      </c>
      <c r="S1417" s="7">
        <f>IF(N1417,IF(AND(O1417*P1417&lt;=0,Q1417*R1417&lt;=0,MAX(MIN(N43,P43),MIN(N52,P52))&lt;=MIN(MAX(N43,P43),MAX(N52,P52)),MAX(MIN(O43,Q43),MIN(O52,Q52))&lt;=MIN(MAX(O43,Q43),MAX(O52,Q52))),1,0),0)</f>
        <v>0</v>
      </c>
      <c r="T1417" s="7"/>
      <c r="U1417" s="7"/>
      <c r="V1417" s="7"/>
      <c r="W1417" s="7"/>
      <c r="X1417" s="7"/>
      <c r="Y1417" s="7"/>
      <c r="Z1417" s="7"/>
      <c r="AA1417" s="7"/>
      <c r="AB1417" s="7"/>
      <c r="AC1417" s="7"/>
      <c r="AD1417" s="7"/>
      <c r="AE1417" s="7"/>
      <c r="AF1417" s="7"/>
      <c r="AG1417" s="7"/>
      <c r="AH1417" s="7"/>
      <c r="AI1417" s="7"/>
    </row>
    <row r="1418" spans="12:35">
      <c r="L1418" s="7">
        <v>43</v>
      </c>
      <c r="M1418" s="7">
        <v>53</v>
      </c>
      <c r="N1418" s="7" t="b">
        <f>AND($N$6,$N$7,12&lt;=$M$6,2&lt;=$M$7)</f>
        <v>0</v>
      </c>
      <c r="O1418" s="7">
        <f>(P43-N43)*(O53-O43)-(Q43-O43)*(N53-N43)</f>
        <v>0</v>
      </c>
      <c r="P1418" s="7">
        <f>(P43-N43)*(Q53-O43)-(Q43-O43)*(P53-N43)</f>
        <v>0</v>
      </c>
      <c r="Q1418" s="7">
        <f>(P53-N53)*(O43-O53)-(Q53-O53)*(N43-N53)</f>
        <v>0</v>
      </c>
      <c r="R1418" s="7">
        <f>(P53-N53)*(Q43-O53)-(Q53-O53)*(P43-N53)</f>
        <v>0</v>
      </c>
      <c r="S1418" s="7">
        <f>IF(N1418,IF(AND(O1418*P1418&lt;=0,Q1418*R1418&lt;=0,MAX(MIN(N43,P43),MIN(N53,P53))&lt;=MIN(MAX(N43,P43),MAX(N53,P53)),MAX(MIN(O43,Q43),MIN(O53,Q53))&lt;=MIN(MAX(O43,Q43),MAX(O53,Q53))),1,0),0)</f>
        <v>0</v>
      </c>
      <c r="T1418" s="7"/>
      <c r="U1418" s="7"/>
      <c r="V1418" s="7"/>
      <c r="W1418" s="7"/>
      <c r="X1418" s="7"/>
      <c r="Y1418" s="7"/>
      <c r="Z1418" s="7"/>
      <c r="AA1418" s="7"/>
      <c r="AB1418" s="7"/>
      <c r="AC1418" s="7"/>
      <c r="AD1418" s="7"/>
      <c r="AE1418" s="7"/>
      <c r="AF1418" s="7"/>
      <c r="AG1418" s="7"/>
      <c r="AH1418" s="7"/>
      <c r="AI1418" s="7"/>
    </row>
    <row r="1419" spans="12:35">
      <c r="L1419" s="7">
        <v>43</v>
      </c>
      <c r="M1419" s="7">
        <v>54</v>
      </c>
      <c r="N1419" s="7" t="b">
        <f>AND($N$6,$N$7,12&lt;=$M$6,3&lt;=$M$7)</f>
        <v>0</v>
      </c>
      <c r="O1419" s="7">
        <f>(P43-N43)*(O54-O43)-(Q43-O43)*(N54-N43)</f>
        <v>0</v>
      </c>
      <c r="P1419" s="7">
        <f>(P43-N43)*(Q54-O43)-(Q43-O43)*(P54-N43)</f>
        <v>0</v>
      </c>
      <c r="Q1419" s="7">
        <f>(P54-N54)*(O43-O54)-(Q54-O54)*(N43-N54)</f>
        <v>0</v>
      </c>
      <c r="R1419" s="7">
        <f>(P54-N54)*(Q43-O54)-(Q54-O54)*(P43-N54)</f>
        <v>0</v>
      </c>
      <c r="S1419" s="7">
        <f>IF(N1419,IF(AND(O1419*P1419&lt;=0,Q1419*R1419&lt;=0,MAX(MIN(N43,P43),MIN(N54,P54))&lt;=MIN(MAX(N43,P43),MAX(N54,P54)),MAX(MIN(O43,Q43),MIN(O54,Q54))&lt;=MIN(MAX(O43,Q43),MAX(O54,Q54))),1,0),0)</f>
        <v>0</v>
      </c>
      <c r="T1419" s="7"/>
      <c r="U1419" s="7"/>
      <c r="V1419" s="7"/>
      <c r="W1419" s="7"/>
      <c r="X1419" s="7"/>
      <c r="Y1419" s="7"/>
      <c r="Z1419" s="7"/>
      <c r="AA1419" s="7"/>
      <c r="AB1419" s="7"/>
      <c r="AC1419" s="7"/>
      <c r="AD1419" s="7"/>
      <c r="AE1419" s="7"/>
      <c r="AF1419" s="7"/>
      <c r="AG1419" s="7"/>
      <c r="AH1419" s="7"/>
      <c r="AI1419" s="7"/>
    </row>
    <row r="1420" spans="12:35">
      <c r="L1420" s="7">
        <v>43</v>
      </c>
      <c r="M1420" s="7">
        <v>55</v>
      </c>
      <c r="N1420" s="7" t="b">
        <f>AND($N$6,$N$7,12&lt;=$M$6,4&lt;=$M$7)</f>
        <v>0</v>
      </c>
      <c r="O1420" s="7">
        <f>(P43-N43)*(O55-O43)-(Q43-O43)*(N55-N43)</f>
        <v>0</v>
      </c>
      <c r="P1420" s="7">
        <f>(P43-N43)*(Q55-O43)-(Q43-O43)*(P55-N43)</f>
        <v>0</v>
      </c>
      <c r="Q1420" s="7">
        <f>(P55-N55)*(O43-O55)-(Q55-O55)*(N43-N55)</f>
        <v>0</v>
      </c>
      <c r="R1420" s="7">
        <f>(P55-N55)*(Q43-O55)-(Q55-O55)*(P43-N55)</f>
        <v>0</v>
      </c>
      <c r="S1420" s="7">
        <f>IF(N1420,IF(AND(O1420*P1420&lt;=0,Q1420*R1420&lt;=0,MAX(MIN(N43,P43),MIN(N55,P55))&lt;=MIN(MAX(N43,P43),MAX(N55,P55)),MAX(MIN(O43,Q43),MIN(O55,Q55))&lt;=MIN(MAX(O43,Q43),MAX(O55,Q55))),1,0),0)</f>
        <v>0</v>
      </c>
      <c r="T1420" s="7"/>
      <c r="U1420" s="7"/>
      <c r="V1420" s="7"/>
      <c r="W1420" s="7"/>
      <c r="X1420" s="7"/>
      <c r="Y1420" s="7"/>
      <c r="Z1420" s="7"/>
      <c r="AA1420" s="7"/>
      <c r="AB1420" s="7"/>
      <c r="AC1420" s="7"/>
      <c r="AD1420" s="7"/>
      <c r="AE1420" s="7"/>
      <c r="AF1420" s="7"/>
      <c r="AG1420" s="7"/>
      <c r="AH1420" s="7"/>
      <c r="AI1420" s="7"/>
    </row>
    <row r="1421" spans="12:35">
      <c r="L1421" s="7">
        <v>43</v>
      </c>
      <c r="M1421" s="7">
        <v>56</v>
      </c>
      <c r="N1421" s="7" t="b">
        <f>AND($N$6,$N$7,12&lt;=$M$6,5&lt;=$M$7)</f>
        <v>0</v>
      </c>
      <c r="O1421" s="7">
        <f>(P43-N43)*(O56-O43)-(Q43-O43)*(N56-N43)</f>
        <v>0</v>
      </c>
      <c r="P1421" s="7">
        <f>(P43-N43)*(Q56-O43)-(Q43-O43)*(P56-N43)</f>
        <v>0</v>
      </c>
      <c r="Q1421" s="7">
        <f>(P56-N56)*(O43-O56)-(Q56-O56)*(N43-N56)</f>
        <v>0</v>
      </c>
      <c r="R1421" s="7">
        <f>(P56-N56)*(Q43-O56)-(Q56-O56)*(P43-N56)</f>
        <v>0</v>
      </c>
      <c r="S1421" s="7">
        <f>IF(N1421,IF(AND(O1421*P1421&lt;=0,Q1421*R1421&lt;=0,MAX(MIN(N43,P43),MIN(N56,P56))&lt;=MIN(MAX(N43,P43),MAX(N56,P56)),MAX(MIN(O43,Q43),MIN(O56,Q56))&lt;=MIN(MAX(O43,Q43),MAX(O56,Q56))),1,0),0)</f>
        <v>0</v>
      </c>
      <c r="T1421" s="7"/>
      <c r="U1421" s="7"/>
      <c r="V1421" s="7"/>
      <c r="W1421" s="7"/>
      <c r="X1421" s="7"/>
      <c r="Y1421" s="7"/>
      <c r="Z1421" s="7"/>
      <c r="AA1421" s="7"/>
      <c r="AB1421" s="7"/>
      <c r="AC1421" s="7"/>
      <c r="AD1421" s="7"/>
      <c r="AE1421" s="7"/>
      <c r="AF1421" s="7"/>
      <c r="AG1421" s="7"/>
      <c r="AH1421" s="7"/>
      <c r="AI1421" s="7"/>
    </row>
    <row r="1422" spans="12:35">
      <c r="L1422" s="7">
        <v>43</v>
      </c>
      <c r="M1422" s="7">
        <v>57</v>
      </c>
      <c r="N1422" s="7" t="b">
        <f>AND($N$6,$N$7,12&lt;=$M$6,6&lt;=$M$7)</f>
        <v>0</v>
      </c>
      <c r="O1422" s="7">
        <f>(P43-N43)*(O57-O43)-(Q43-O43)*(N57-N43)</f>
        <v>0</v>
      </c>
      <c r="P1422" s="7">
        <f>(P43-N43)*(Q57-O43)-(Q43-O43)*(P57-N43)</f>
        <v>0</v>
      </c>
      <c r="Q1422" s="7">
        <f>(P57-N57)*(O43-O57)-(Q57-O57)*(N43-N57)</f>
        <v>0</v>
      </c>
      <c r="R1422" s="7">
        <f>(P57-N57)*(Q43-O57)-(Q57-O57)*(P43-N57)</f>
        <v>0</v>
      </c>
      <c r="S1422" s="7">
        <f>IF(N1422,IF(AND(O1422*P1422&lt;=0,Q1422*R1422&lt;=0,MAX(MIN(N43,P43),MIN(N57,P57))&lt;=MIN(MAX(N43,P43),MAX(N57,P57)),MAX(MIN(O43,Q43),MIN(O57,Q57))&lt;=MIN(MAX(O43,Q43),MAX(O57,Q57))),1,0),0)</f>
        <v>0</v>
      </c>
      <c r="T1422" s="7"/>
      <c r="U1422" s="7"/>
      <c r="V1422" s="7"/>
      <c r="W1422" s="7"/>
      <c r="X1422" s="7"/>
      <c r="Y1422" s="7"/>
      <c r="Z1422" s="7"/>
      <c r="AA1422" s="7"/>
      <c r="AB1422" s="7"/>
      <c r="AC1422" s="7"/>
      <c r="AD1422" s="7"/>
      <c r="AE1422" s="7"/>
      <c r="AF1422" s="7"/>
      <c r="AG1422" s="7"/>
      <c r="AH1422" s="7"/>
      <c r="AI1422" s="7"/>
    </row>
    <row r="1423" spans="12:35">
      <c r="L1423" s="7">
        <v>43</v>
      </c>
      <c r="M1423" s="7">
        <v>58</v>
      </c>
      <c r="N1423" s="7" t="b">
        <f>AND($N$6,$N$7,12&lt;=$M$6,7&lt;=$M$7)</f>
        <v>0</v>
      </c>
      <c r="O1423" s="7">
        <f>(P43-N43)*(O58-O43)-(Q43-O43)*(N58-N43)</f>
        <v>0</v>
      </c>
      <c r="P1423" s="7">
        <f>(P43-N43)*(Q58-O43)-(Q43-O43)*(P58-N43)</f>
        <v>0</v>
      </c>
      <c r="Q1423" s="7">
        <f>(P58-N58)*(O43-O58)-(Q58-O58)*(N43-N58)</f>
        <v>0</v>
      </c>
      <c r="R1423" s="7">
        <f>(P58-N58)*(Q43-O58)-(Q58-O58)*(P43-N58)</f>
        <v>0</v>
      </c>
      <c r="S1423" s="7">
        <f>IF(N1423,IF(AND(O1423*P1423&lt;=0,Q1423*R1423&lt;=0,MAX(MIN(N43,P43),MIN(N58,P58))&lt;=MIN(MAX(N43,P43),MAX(N58,P58)),MAX(MIN(O43,Q43),MIN(O58,Q58))&lt;=MIN(MAX(O43,Q43),MAX(O58,Q58))),1,0),0)</f>
        <v>0</v>
      </c>
      <c r="T1423" s="7"/>
      <c r="U1423" s="7"/>
      <c r="V1423" s="7"/>
      <c r="W1423" s="7"/>
      <c r="X1423" s="7"/>
      <c r="Y1423" s="7"/>
      <c r="Z1423" s="7"/>
      <c r="AA1423" s="7"/>
      <c r="AB1423" s="7"/>
      <c r="AC1423" s="7"/>
      <c r="AD1423" s="7"/>
      <c r="AE1423" s="7"/>
      <c r="AF1423" s="7"/>
      <c r="AG1423" s="7"/>
      <c r="AH1423" s="7"/>
      <c r="AI1423" s="7"/>
    </row>
    <row r="1424" spans="12:35">
      <c r="L1424" s="7">
        <v>43</v>
      </c>
      <c r="M1424" s="7">
        <v>59</v>
      </c>
      <c r="N1424" s="7" t="b">
        <f>AND($N$6,$N$7,12&lt;=$M$6,8&lt;=$M$7)</f>
        <v>0</v>
      </c>
      <c r="O1424" s="7">
        <f>(P43-N43)*(O59-O43)-(Q43-O43)*(N59-N43)</f>
        <v>0</v>
      </c>
      <c r="P1424" s="7">
        <f>(P43-N43)*(Q59-O43)-(Q43-O43)*(P59-N43)</f>
        <v>0</v>
      </c>
      <c r="Q1424" s="7">
        <f>(P59-N59)*(O43-O59)-(Q59-O59)*(N43-N59)</f>
        <v>0</v>
      </c>
      <c r="R1424" s="7">
        <f>(P59-N59)*(Q43-O59)-(Q59-O59)*(P43-N59)</f>
        <v>0</v>
      </c>
      <c r="S1424" s="7">
        <f>IF(N1424,IF(AND(O1424*P1424&lt;=0,Q1424*R1424&lt;=0,MAX(MIN(N43,P43),MIN(N59,P59))&lt;=MIN(MAX(N43,P43),MAX(N59,P59)),MAX(MIN(O43,Q43),MIN(O59,Q59))&lt;=MIN(MAX(O43,Q43),MAX(O59,Q59))),1,0),0)</f>
        <v>0</v>
      </c>
      <c r="T1424" s="7"/>
      <c r="U1424" s="7"/>
      <c r="V1424" s="7"/>
      <c r="W1424" s="7"/>
      <c r="X1424" s="7"/>
      <c r="Y1424" s="7"/>
      <c r="Z1424" s="7"/>
      <c r="AA1424" s="7"/>
      <c r="AB1424" s="7"/>
      <c r="AC1424" s="7"/>
      <c r="AD1424" s="7"/>
      <c r="AE1424" s="7"/>
      <c r="AF1424" s="7"/>
      <c r="AG1424" s="7"/>
      <c r="AH1424" s="7"/>
      <c r="AI1424" s="7"/>
    </row>
    <row r="1425" spans="12:35">
      <c r="L1425" s="7">
        <v>43</v>
      </c>
      <c r="M1425" s="7">
        <v>60</v>
      </c>
      <c r="N1425" s="7" t="b">
        <f>AND($N$6,$N$7,12&lt;=$M$6,9&lt;=$M$7)</f>
        <v>0</v>
      </c>
      <c r="O1425" s="7">
        <f>(P43-N43)*(O60-O43)-(Q43-O43)*(N60-N43)</f>
        <v>0</v>
      </c>
      <c r="P1425" s="7">
        <f>(P43-N43)*(Q60-O43)-(Q43-O43)*(P60-N43)</f>
        <v>0</v>
      </c>
      <c r="Q1425" s="7">
        <f>(P60-N60)*(O43-O60)-(Q60-O60)*(N43-N60)</f>
        <v>0</v>
      </c>
      <c r="R1425" s="7">
        <f>(P60-N60)*(Q43-O60)-(Q60-O60)*(P43-N60)</f>
        <v>0</v>
      </c>
      <c r="S1425" s="7">
        <f>IF(N1425,IF(AND(O1425*P1425&lt;=0,Q1425*R1425&lt;=0,MAX(MIN(N43,P43),MIN(N60,P60))&lt;=MIN(MAX(N43,P43),MAX(N60,P60)),MAX(MIN(O43,Q43),MIN(O60,Q60))&lt;=MIN(MAX(O43,Q43),MAX(O60,Q60))),1,0),0)</f>
        <v>0</v>
      </c>
      <c r="T1425" s="7"/>
      <c r="U1425" s="7"/>
      <c r="V1425" s="7"/>
      <c r="W1425" s="7"/>
      <c r="X1425" s="7"/>
      <c r="Y1425" s="7"/>
      <c r="Z1425" s="7"/>
      <c r="AA1425" s="7"/>
      <c r="AB1425" s="7"/>
      <c r="AC1425" s="7"/>
      <c r="AD1425" s="7"/>
      <c r="AE1425" s="7"/>
      <c r="AF1425" s="7"/>
      <c r="AG1425" s="7"/>
      <c r="AH1425" s="7"/>
      <c r="AI1425" s="7"/>
    </row>
    <row r="1426" spans="12:35">
      <c r="L1426" s="7">
        <v>43</v>
      </c>
      <c r="M1426" s="7">
        <v>61</v>
      </c>
      <c r="N1426" s="7" t="b">
        <f>AND($N$6,$N$7,12&lt;=$M$6,10&lt;=$M$7)</f>
        <v>0</v>
      </c>
      <c r="O1426" s="7">
        <f>(P43-N43)*(O61-O43)-(Q43-O43)*(N61-N43)</f>
        <v>0</v>
      </c>
      <c r="P1426" s="7">
        <f>(P43-N43)*(Q61-O43)-(Q43-O43)*(P61-N43)</f>
        <v>0</v>
      </c>
      <c r="Q1426" s="7">
        <f>(P61-N61)*(O43-O61)-(Q61-O61)*(N43-N61)</f>
        <v>0</v>
      </c>
      <c r="R1426" s="7">
        <f>(P61-N61)*(Q43-O61)-(Q61-O61)*(P43-N61)</f>
        <v>0</v>
      </c>
      <c r="S1426" s="7">
        <f>IF(N1426,IF(AND(O1426*P1426&lt;=0,Q1426*R1426&lt;=0,MAX(MIN(N43,P43),MIN(N61,P61))&lt;=MIN(MAX(N43,P43),MAX(N61,P61)),MAX(MIN(O43,Q43),MIN(O61,Q61))&lt;=MIN(MAX(O43,Q43),MAX(O61,Q61))),1,0),0)</f>
        <v>0</v>
      </c>
      <c r="T1426" s="7"/>
      <c r="U1426" s="7"/>
      <c r="V1426" s="7"/>
      <c r="W1426" s="7"/>
      <c r="X1426" s="7"/>
      <c r="Y1426" s="7"/>
      <c r="Z1426" s="7"/>
      <c r="AA1426" s="7"/>
      <c r="AB1426" s="7"/>
      <c r="AC1426" s="7"/>
      <c r="AD1426" s="7"/>
      <c r="AE1426" s="7"/>
      <c r="AF1426" s="7"/>
      <c r="AG1426" s="7"/>
      <c r="AH1426" s="7"/>
      <c r="AI1426" s="7"/>
    </row>
    <row r="1427" spans="12:35">
      <c r="L1427" s="7">
        <v>43</v>
      </c>
      <c r="M1427" s="7">
        <v>62</v>
      </c>
      <c r="N1427" s="7" t="b">
        <f>AND($N$6,$N$7,12&lt;=$M$6,11&lt;=$M$7)</f>
        <v>0</v>
      </c>
      <c r="O1427" s="7">
        <f>(P43-N43)*(O62-O43)-(Q43-O43)*(N62-N43)</f>
        <v>0</v>
      </c>
      <c r="P1427" s="7">
        <f>(P43-N43)*(Q62-O43)-(Q43-O43)*(P62-N43)</f>
        <v>0</v>
      </c>
      <c r="Q1427" s="7">
        <f>(P62-N62)*(O43-O62)-(Q62-O62)*(N43-N62)</f>
        <v>0</v>
      </c>
      <c r="R1427" s="7">
        <f>(P62-N62)*(Q43-O62)-(Q62-O62)*(P43-N62)</f>
        <v>0</v>
      </c>
      <c r="S1427" s="7">
        <f>IF(N1427,IF(AND(O1427*P1427&lt;=0,Q1427*R1427&lt;=0,MAX(MIN(N43,P43),MIN(N62,P62))&lt;=MIN(MAX(N43,P43),MAX(N62,P62)),MAX(MIN(O43,Q43),MIN(O62,Q62))&lt;=MIN(MAX(O43,Q43),MAX(O62,Q62))),1,0),0)</f>
        <v>0</v>
      </c>
      <c r="T1427" s="7"/>
      <c r="U1427" s="7"/>
      <c r="V1427" s="7"/>
      <c r="W1427" s="7"/>
      <c r="X1427" s="7"/>
      <c r="Y1427" s="7"/>
      <c r="Z1427" s="7"/>
      <c r="AA1427" s="7"/>
      <c r="AB1427" s="7"/>
      <c r="AC1427" s="7"/>
      <c r="AD1427" s="7"/>
      <c r="AE1427" s="7"/>
      <c r="AF1427" s="7"/>
      <c r="AG1427" s="7"/>
      <c r="AH1427" s="7"/>
      <c r="AI1427" s="7"/>
    </row>
    <row r="1428" spans="12:35">
      <c r="L1428" s="7">
        <v>43</v>
      </c>
      <c r="M1428" s="7">
        <v>63</v>
      </c>
      <c r="N1428" s="7" t="b">
        <f>AND($N$6,$N$7,12&lt;=$M$6,12&lt;=$M$7)</f>
        <v>0</v>
      </c>
      <c r="O1428" s="7">
        <f>(P43-N43)*(O63-O43)-(Q43-O43)*(N63-N43)</f>
        <v>0</v>
      </c>
      <c r="P1428" s="7">
        <f>(P43-N43)*(Q63-O43)-(Q43-O43)*(P63-N43)</f>
        <v>0</v>
      </c>
      <c r="Q1428" s="7">
        <f>(P63-N63)*(O43-O63)-(Q63-O63)*(N43-N63)</f>
        <v>0</v>
      </c>
      <c r="R1428" s="7">
        <f>(P63-N63)*(Q43-O63)-(Q63-O63)*(P43-N63)</f>
        <v>0</v>
      </c>
      <c r="S1428" s="7">
        <f>IF(N1428,IF(AND(O1428*P1428&lt;=0,Q1428*R1428&lt;=0,MAX(MIN(N43,P43),MIN(N63,P63))&lt;=MIN(MAX(N43,P43),MAX(N63,P63)),MAX(MIN(O43,Q43),MIN(O63,Q63))&lt;=MIN(MAX(O43,Q43),MAX(O63,Q63))),1,0),0)</f>
        <v>0</v>
      </c>
      <c r="T1428" s="7"/>
      <c r="U1428" s="7"/>
      <c r="V1428" s="7"/>
      <c r="W1428" s="7"/>
      <c r="X1428" s="7"/>
      <c r="Y1428" s="7"/>
      <c r="Z1428" s="7"/>
      <c r="AA1428" s="7"/>
      <c r="AB1428" s="7"/>
      <c r="AC1428" s="7"/>
      <c r="AD1428" s="7"/>
      <c r="AE1428" s="7"/>
      <c r="AF1428" s="7"/>
      <c r="AG1428" s="7"/>
      <c r="AH1428" s="7"/>
      <c r="AI1428" s="7"/>
    </row>
    <row r="1429" spans="12:35">
      <c r="L1429" s="7">
        <v>43</v>
      </c>
      <c r="M1429" s="7">
        <v>64</v>
      </c>
      <c r="N1429" s="7" t="b">
        <f>AND($N$6,$N$7,12&lt;=$M$6,13&lt;=$M$7)</f>
        <v>0</v>
      </c>
      <c r="O1429" s="7">
        <f>(P43-N43)*(O64-O43)-(Q43-O43)*(N64-N43)</f>
        <v>0</v>
      </c>
      <c r="P1429" s="7">
        <f>(P43-N43)*(Q64-O43)-(Q43-O43)*(P64-N43)</f>
        <v>0</v>
      </c>
      <c r="Q1429" s="7">
        <f>(P64-N64)*(O43-O64)-(Q64-O64)*(N43-N64)</f>
        <v>0</v>
      </c>
      <c r="R1429" s="7">
        <f>(P64-N64)*(Q43-O64)-(Q64-O64)*(P43-N64)</f>
        <v>0</v>
      </c>
      <c r="S1429" s="7">
        <f>IF(N1429,IF(AND(O1429*P1429&lt;=0,Q1429*R1429&lt;=0,MAX(MIN(N43,P43),MIN(N64,P64))&lt;=MIN(MAX(N43,P43),MAX(N64,P64)),MAX(MIN(O43,Q43),MIN(O64,Q64))&lt;=MIN(MAX(O43,Q43),MAX(O64,Q64))),1,0),0)</f>
        <v>0</v>
      </c>
      <c r="T1429" s="7"/>
      <c r="U1429" s="7"/>
      <c r="V1429" s="7"/>
      <c r="W1429" s="7"/>
      <c r="X1429" s="7"/>
      <c r="Y1429" s="7"/>
      <c r="Z1429" s="7"/>
      <c r="AA1429" s="7"/>
      <c r="AB1429" s="7"/>
      <c r="AC1429" s="7"/>
      <c r="AD1429" s="7"/>
      <c r="AE1429" s="7"/>
      <c r="AF1429" s="7"/>
      <c r="AG1429" s="7"/>
      <c r="AH1429" s="7"/>
      <c r="AI1429" s="7"/>
    </row>
    <row r="1430" spans="12:35">
      <c r="L1430" s="7">
        <v>43</v>
      </c>
      <c r="M1430" s="7">
        <v>65</v>
      </c>
      <c r="N1430" s="7" t="b">
        <f>AND($N$6,$N$7,12&lt;=$M$6,14&lt;=$M$7)</f>
        <v>0</v>
      </c>
      <c r="O1430" s="7">
        <f>(P43-N43)*(O65-O43)-(Q43-O43)*(N65-N43)</f>
        <v>0</v>
      </c>
      <c r="P1430" s="7">
        <f>(P43-N43)*(Q65-O43)-(Q43-O43)*(P65-N43)</f>
        <v>0</v>
      </c>
      <c r="Q1430" s="7">
        <f>(P65-N65)*(O43-O65)-(Q65-O65)*(N43-N65)</f>
        <v>0</v>
      </c>
      <c r="R1430" s="7">
        <f>(P65-N65)*(Q43-O65)-(Q65-O65)*(P43-N65)</f>
        <v>0</v>
      </c>
      <c r="S1430" s="7">
        <f>IF(N1430,IF(AND(O1430*P1430&lt;=0,Q1430*R1430&lt;=0,MAX(MIN(N43,P43),MIN(N65,P65))&lt;=MIN(MAX(N43,P43),MAX(N65,P65)),MAX(MIN(O43,Q43),MIN(O65,Q65))&lt;=MIN(MAX(O43,Q43),MAX(O65,Q65))),1,0),0)</f>
        <v>0</v>
      </c>
      <c r="T1430" s="7"/>
      <c r="U1430" s="7"/>
      <c r="V1430" s="7"/>
      <c r="W1430" s="7"/>
      <c r="X1430" s="7"/>
      <c r="Y1430" s="7"/>
      <c r="Z1430" s="7"/>
      <c r="AA1430" s="7"/>
      <c r="AB1430" s="7"/>
      <c r="AC1430" s="7"/>
      <c r="AD1430" s="7"/>
      <c r="AE1430" s="7"/>
      <c r="AF1430" s="7"/>
      <c r="AG1430" s="7"/>
      <c r="AH1430" s="7"/>
      <c r="AI1430" s="7"/>
    </row>
    <row r="1431" spans="12:35">
      <c r="L1431" s="7">
        <v>43</v>
      </c>
      <c r="M1431" s="7">
        <v>66</v>
      </c>
      <c r="N1431" s="7" t="b">
        <f>AND($N$6,$N$7,12&lt;=$M$6,15&lt;=$M$7)</f>
        <v>0</v>
      </c>
      <c r="O1431" s="7">
        <f>(P43-N43)*(O66-O43)-(Q43-O43)*(N66-N43)</f>
        <v>0</v>
      </c>
      <c r="P1431" s="7">
        <f>(P43-N43)*(Q66-O43)-(Q43-O43)*(P66-N43)</f>
        <v>0</v>
      </c>
      <c r="Q1431" s="7">
        <f>(P66-N66)*(O43-O66)-(Q66-O66)*(N43-N66)</f>
        <v>0</v>
      </c>
      <c r="R1431" s="7">
        <f>(P66-N66)*(Q43-O66)-(Q66-O66)*(P43-N66)</f>
        <v>0</v>
      </c>
      <c r="S1431" s="7">
        <f>IF(N1431,IF(AND(O1431*P1431&lt;=0,Q1431*R1431&lt;=0,MAX(MIN(N43,P43),MIN(N66,P66))&lt;=MIN(MAX(N43,P43),MAX(N66,P66)),MAX(MIN(O43,Q43),MIN(O66,Q66))&lt;=MIN(MAX(O43,Q43),MAX(O66,Q66))),1,0),0)</f>
        <v>0</v>
      </c>
      <c r="T1431" s="7"/>
      <c r="U1431" s="7"/>
      <c r="V1431" s="7"/>
      <c r="W1431" s="7"/>
      <c r="X1431" s="7"/>
      <c r="Y1431" s="7"/>
      <c r="Z1431" s="7"/>
      <c r="AA1431" s="7"/>
      <c r="AB1431" s="7"/>
      <c r="AC1431" s="7"/>
      <c r="AD1431" s="7"/>
      <c r="AE1431" s="7"/>
      <c r="AF1431" s="7"/>
      <c r="AG1431" s="7"/>
      <c r="AH1431" s="7"/>
      <c r="AI1431" s="7"/>
    </row>
    <row r="1432" spans="12:35">
      <c r="L1432" s="7">
        <v>43</v>
      </c>
      <c r="M1432" s="7">
        <v>67</v>
      </c>
      <c r="N1432" s="7" t="b">
        <f>AND($N$6,$N$7,12&lt;=$M$6,16&lt;=$M$7)</f>
        <v>0</v>
      </c>
      <c r="O1432" s="7">
        <f>(P43-N43)*(O67-O43)-(Q43-O43)*(N67-N43)</f>
        <v>0</v>
      </c>
      <c r="P1432" s="7">
        <f>(P43-N43)*(Q67-O43)-(Q43-O43)*(P67-N43)</f>
        <v>0</v>
      </c>
      <c r="Q1432" s="7">
        <f>(P67-N67)*(O43-O67)-(Q67-O67)*(N43-N67)</f>
        <v>0</v>
      </c>
      <c r="R1432" s="7">
        <f>(P67-N67)*(Q43-O67)-(Q67-O67)*(P43-N67)</f>
        <v>0</v>
      </c>
      <c r="S1432" s="7">
        <f>IF(N1432,IF(AND(O1432*P1432&lt;=0,Q1432*R1432&lt;=0,MAX(MIN(N43,P43),MIN(N67,P67))&lt;=MIN(MAX(N43,P43),MAX(N67,P67)),MAX(MIN(O43,Q43),MIN(O67,Q67))&lt;=MIN(MAX(O43,Q43),MAX(O67,Q67))),1,0),0)</f>
        <v>0</v>
      </c>
      <c r="T1432" s="7"/>
      <c r="U1432" s="7"/>
      <c r="V1432" s="7"/>
      <c r="W1432" s="7"/>
      <c r="X1432" s="7"/>
      <c r="Y1432" s="7"/>
      <c r="Z1432" s="7"/>
      <c r="AA1432" s="7"/>
      <c r="AB1432" s="7"/>
      <c r="AC1432" s="7"/>
      <c r="AD1432" s="7"/>
      <c r="AE1432" s="7"/>
      <c r="AF1432" s="7"/>
      <c r="AG1432" s="7"/>
      <c r="AH1432" s="7"/>
      <c r="AI1432" s="7"/>
    </row>
    <row r="1433" spans="12:35">
      <c r="L1433" s="7">
        <v>43</v>
      </c>
      <c r="M1433" s="7">
        <v>68</v>
      </c>
      <c r="N1433" s="7" t="b">
        <f>AND($N$6,$N$7,12&lt;=$M$6,17&lt;=$M$7)</f>
        <v>0</v>
      </c>
      <c r="O1433" s="7">
        <f>(P43-N43)*(O68-O43)-(Q43-O43)*(N68-N43)</f>
        <v>0</v>
      </c>
      <c r="P1433" s="7">
        <f>(P43-N43)*(Q68-O43)-(Q43-O43)*(P68-N43)</f>
        <v>0</v>
      </c>
      <c r="Q1433" s="7">
        <f>(P68-N68)*(O43-O68)-(Q68-O68)*(N43-N68)</f>
        <v>0</v>
      </c>
      <c r="R1433" s="7">
        <f>(P68-N68)*(Q43-O68)-(Q68-O68)*(P43-N68)</f>
        <v>0</v>
      </c>
      <c r="S1433" s="7">
        <f>IF(N1433,IF(AND(O1433*P1433&lt;=0,Q1433*R1433&lt;=0,MAX(MIN(N43,P43),MIN(N68,P68))&lt;=MIN(MAX(N43,P43),MAX(N68,P68)),MAX(MIN(O43,Q43),MIN(O68,Q68))&lt;=MIN(MAX(O43,Q43),MAX(O68,Q68))),1,0),0)</f>
        <v>0</v>
      </c>
      <c r="T1433" s="7"/>
      <c r="U1433" s="7"/>
      <c r="V1433" s="7"/>
      <c r="W1433" s="7"/>
      <c r="X1433" s="7"/>
      <c r="Y1433" s="7"/>
      <c r="Z1433" s="7"/>
      <c r="AA1433" s="7"/>
      <c r="AB1433" s="7"/>
      <c r="AC1433" s="7"/>
      <c r="AD1433" s="7"/>
      <c r="AE1433" s="7"/>
      <c r="AF1433" s="7"/>
      <c r="AG1433" s="7"/>
      <c r="AH1433" s="7"/>
      <c r="AI1433" s="7"/>
    </row>
    <row r="1434" spans="12:35">
      <c r="L1434" s="7">
        <v>43</v>
      </c>
      <c r="M1434" s="7">
        <v>69</v>
      </c>
      <c r="N1434" s="7" t="b">
        <f>AND($N$6,$N$7,12&lt;=$M$6,18&lt;=$M$7)</f>
        <v>0</v>
      </c>
      <c r="O1434" s="7">
        <f>(P43-N43)*(O69-O43)-(Q43-O43)*(N69-N43)</f>
        <v>0</v>
      </c>
      <c r="P1434" s="7">
        <f>(P43-N43)*(Q69-O43)-(Q43-O43)*(P69-N43)</f>
        <v>0</v>
      </c>
      <c r="Q1434" s="7">
        <f>(P69-N69)*(O43-O69)-(Q69-O69)*(N43-N69)</f>
        <v>0</v>
      </c>
      <c r="R1434" s="7">
        <f>(P69-N69)*(Q43-O69)-(Q69-O69)*(P43-N69)</f>
        <v>0</v>
      </c>
      <c r="S1434" s="7">
        <f>IF(N1434,IF(AND(O1434*P1434&lt;=0,Q1434*R1434&lt;=0,MAX(MIN(N43,P43),MIN(N69,P69))&lt;=MIN(MAX(N43,P43),MAX(N69,P69)),MAX(MIN(O43,Q43),MIN(O69,Q69))&lt;=MIN(MAX(O43,Q43),MAX(O69,Q69))),1,0),0)</f>
        <v>0</v>
      </c>
      <c r="T1434" s="7"/>
      <c r="U1434" s="7"/>
      <c r="V1434" s="7"/>
      <c r="W1434" s="7"/>
      <c r="X1434" s="7"/>
      <c r="Y1434" s="7"/>
      <c r="Z1434" s="7"/>
      <c r="AA1434" s="7"/>
      <c r="AB1434" s="7"/>
      <c r="AC1434" s="7"/>
      <c r="AD1434" s="7"/>
      <c r="AE1434" s="7"/>
      <c r="AF1434" s="7"/>
      <c r="AG1434" s="7"/>
      <c r="AH1434" s="7"/>
      <c r="AI1434" s="7"/>
    </row>
    <row r="1435" spans="12:35">
      <c r="L1435" s="7">
        <v>43</v>
      </c>
      <c r="M1435" s="7">
        <v>70</v>
      </c>
      <c r="N1435" s="7" t="b">
        <f>AND($N$6,$N$7,12&lt;=$M$6,19&lt;=$M$7)</f>
        <v>0</v>
      </c>
      <c r="O1435" s="7">
        <f>(P43-N43)*(O70-O43)-(Q43-O43)*(N70-N43)</f>
        <v>0</v>
      </c>
      <c r="P1435" s="7">
        <f>(P43-N43)*(Q70-O43)-(Q43-O43)*(P70-N43)</f>
        <v>0</v>
      </c>
      <c r="Q1435" s="7">
        <f>(P70-N70)*(O43-O70)-(Q70-O70)*(N43-N70)</f>
        <v>0</v>
      </c>
      <c r="R1435" s="7">
        <f>(P70-N70)*(Q43-O70)-(Q70-O70)*(P43-N70)</f>
        <v>0</v>
      </c>
      <c r="S1435" s="7">
        <f>IF(N1435,IF(AND(O1435*P1435&lt;=0,Q1435*R1435&lt;=0,MAX(MIN(N43,P43),MIN(N70,P70))&lt;=MIN(MAX(N43,P43),MAX(N70,P70)),MAX(MIN(O43,Q43),MIN(O70,Q70))&lt;=MIN(MAX(O43,Q43),MAX(O70,Q70))),1,0),0)</f>
        <v>0</v>
      </c>
      <c r="T1435" s="7"/>
      <c r="U1435" s="7"/>
      <c r="V1435" s="7"/>
      <c r="W1435" s="7"/>
      <c r="X1435" s="7"/>
      <c r="Y1435" s="7"/>
      <c r="Z1435" s="7"/>
      <c r="AA1435" s="7"/>
      <c r="AB1435" s="7"/>
      <c r="AC1435" s="7"/>
      <c r="AD1435" s="7"/>
      <c r="AE1435" s="7"/>
      <c r="AF1435" s="7"/>
      <c r="AG1435" s="7"/>
      <c r="AH1435" s="7"/>
      <c r="AI1435" s="7"/>
    </row>
    <row r="1436" spans="12:35">
      <c r="L1436" s="7">
        <v>43</v>
      </c>
      <c r="M1436" s="7">
        <v>71</v>
      </c>
      <c r="N1436" s="7" t="b">
        <f>AND($N$6,$N$7,12&lt;=$M$6,20&lt;=$M$7)</f>
        <v>0</v>
      </c>
      <c r="O1436" s="7">
        <f>(P43-N43)*(O71-O43)-(Q43-O43)*(N71-N43)</f>
        <v>0</v>
      </c>
      <c r="P1436" s="7">
        <f>(P43-N43)*(Q71-O43)-(Q43-O43)*(P71-N43)</f>
        <v>0</v>
      </c>
      <c r="Q1436" s="7">
        <f>(P71-N71)*(O43-O71)-(Q71-O71)*(N43-N71)</f>
        <v>0</v>
      </c>
      <c r="R1436" s="7">
        <f>(P71-N71)*(Q43-O71)-(Q71-O71)*(P43-N71)</f>
        <v>0</v>
      </c>
      <c r="S1436" s="7">
        <f>IF(N1436,IF(AND(O1436*P1436&lt;=0,Q1436*R1436&lt;=0,MAX(MIN(N43,P43),MIN(N71,P71))&lt;=MIN(MAX(N43,P43),MAX(N71,P71)),MAX(MIN(O43,Q43),MIN(O71,Q71))&lt;=MIN(MAX(O43,Q43),MAX(O71,Q71))),1,0),0)</f>
        <v>0</v>
      </c>
      <c r="T1436" s="7"/>
      <c r="U1436" s="7"/>
      <c r="V1436" s="7"/>
      <c r="W1436" s="7"/>
      <c r="X1436" s="7"/>
      <c r="Y1436" s="7"/>
      <c r="Z1436" s="7"/>
      <c r="AA1436" s="7"/>
      <c r="AB1436" s="7"/>
      <c r="AC1436" s="7"/>
      <c r="AD1436" s="7"/>
      <c r="AE1436" s="7"/>
      <c r="AF1436" s="7"/>
      <c r="AG1436" s="7"/>
      <c r="AH1436" s="7"/>
      <c r="AI1436" s="7"/>
    </row>
    <row r="1437" spans="12:35">
      <c r="L1437" s="7">
        <v>44</v>
      </c>
      <c r="M1437" s="7">
        <v>46</v>
      </c>
      <c r="N1437" s="7" t="b">
        <f>AND($N$6,$N$6,13&lt;=$M$6,15&lt;=$M$6)</f>
        <v>0</v>
      </c>
      <c r="O1437" s="7">
        <f>(P44-N44)*(O46-O44)-(Q44-O44)*(N46-N44)</f>
        <v>0</v>
      </c>
      <c r="P1437" s="7">
        <f>(P44-N44)*(Q46-O44)-(Q44-O44)*(P46-N44)</f>
        <v>0</v>
      </c>
      <c r="Q1437" s="7">
        <f>(P46-N46)*(O44-O46)-(Q46-O46)*(N44-N46)</f>
        <v>0</v>
      </c>
      <c r="R1437" s="7">
        <f>(P46-N46)*(Q44-O46)-(Q46-O46)*(P44-N46)</f>
        <v>0</v>
      </c>
      <c r="S1437" s="7">
        <f>IF(N1437,IF(AND(O1437*P1437&lt;=0,Q1437*R1437&lt;=0,MAX(MIN(N44,P44),MIN(N46,P46))&lt;=MIN(MAX(N44,P44),MAX(N46,P46)),MAX(MIN(O44,Q44),MIN(O46,Q46))&lt;=MIN(MAX(O44,Q44),MAX(O46,Q46))),1,0),0)</f>
        <v>0</v>
      </c>
      <c r="T1437" s="7"/>
      <c r="U1437" s="7"/>
      <c r="V1437" s="7"/>
      <c r="W1437" s="7"/>
      <c r="X1437" s="7"/>
      <c r="Y1437" s="7"/>
      <c r="Z1437" s="7"/>
      <c r="AA1437" s="7"/>
      <c r="AB1437" s="7"/>
      <c r="AC1437" s="7"/>
      <c r="AD1437" s="7"/>
      <c r="AE1437" s="7"/>
      <c r="AF1437" s="7"/>
      <c r="AG1437" s="7"/>
      <c r="AH1437" s="7"/>
      <c r="AI1437" s="7"/>
    </row>
    <row r="1438" spans="12:35">
      <c r="L1438" s="7">
        <v>44</v>
      </c>
      <c r="M1438" s="7">
        <v>47</v>
      </c>
      <c r="N1438" s="7" t="b">
        <f>AND($N$6,$N$6,13&lt;=$M$6,16&lt;=$M$6)</f>
        <v>0</v>
      </c>
      <c r="O1438" s="7">
        <f>(P44-N44)*(O47-O44)-(Q44-O44)*(N47-N44)</f>
        <v>0</v>
      </c>
      <c r="P1438" s="7">
        <f>(P44-N44)*(Q47-O44)-(Q44-O44)*(P47-N44)</f>
        <v>0</v>
      </c>
      <c r="Q1438" s="7">
        <f>(P47-N47)*(O44-O47)-(Q47-O47)*(N44-N47)</f>
        <v>0</v>
      </c>
      <c r="R1438" s="7">
        <f>(P47-N47)*(Q44-O47)-(Q47-O47)*(P44-N47)</f>
        <v>0</v>
      </c>
      <c r="S1438" s="7">
        <f>IF(N1438,IF(AND(O1438*P1438&lt;=0,Q1438*R1438&lt;=0,MAX(MIN(N44,P44),MIN(N47,P47))&lt;=MIN(MAX(N44,P44),MAX(N47,P47)),MAX(MIN(O44,Q44),MIN(O47,Q47))&lt;=MIN(MAX(O44,Q44),MAX(O47,Q47))),1,0),0)</f>
        <v>0</v>
      </c>
      <c r="T1438" s="7"/>
      <c r="U1438" s="7"/>
      <c r="V1438" s="7"/>
      <c r="W1438" s="7"/>
      <c r="X1438" s="7"/>
      <c r="Y1438" s="7"/>
      <c r="Z1438" s="7"/>
      <c r="AA1438" s="7"/>
      <c r="AB1438" s="7"/>
      <c r="AC1438" s="7"/>
      <c r="AD1438" s="7"/>
      <c r="AE1438" s="7"/>
      <c r="AF1438" s="7"/>
      <c r="AG1438" s="7"/>
      <c r="AH1438" s="7"/>
      <c r="AI1438" s="7"/>
    </row>
    <row r="1439" spans="12:35">
      <c r="L1439" s="7">
        <v>44</v>
      </c>
      <c r="M1439" s="7">
        <v>48</v>
      </c>
      <c r="N1439" s="7" t="b">
        <f>AND($N$6,$N$6,13&lt;=$M$6,17&lt;=$M$6)</f>
        <v>0</v>
      </c>
      <c r="O1439" s="7">
        <f>(P44-N44)*(O48-O44)-(Q44-O44)*(N48-N44)</f>
        <v>0</v>
      </c>
      <c r="P1439" s="7">
        <f>(P44-N44)*(Q48-O44)-(Q44-O44)*(P48-N44)</f>
        <v>0</v>
      </c>
      <c r="Q1439" s="7">
        <f>(P48-N48)*(O44-O48)-(Q48-O48)*(N44-N48)</f>
        <v>0</v>
      </c>
      <c r="R1439" s="7">
        <f>(P48-N48)*(Q44-O48)-(Q48-O48)*(P44-N48)</f>
        <v>0</v>
      </c>
      <c r="S1439" s="7">
        <f>IF(N1439,IF(AND(O1439*P1439&lt;=0,Q1439*R1439&lt;=0,MAX(MIN(N44,P44),MIN(N48,P48))&lt;=MIN(MAX(N44,P44),MAX(N48,P48)),MAX(MIN(O44,Q44),MIN(O48,Q48))&lt;=MIN(MAX(O44,Q44),MAX(O48,Q48))),1,0),0)</f>
        <v>0</v>
      </c>
      <c r="T1439" s="7"/>
      <c r="U1439" s="7"/>
      <c r="V1439" s="7"/>
      <c r="W1439" s="7"/>
      <c r="X1439" s="7"/>
      <c r="Y1439" s="7"/>
      <c r="Z1439" s="7"/>
      <c r="AA1439" s="7"/>
      <c r="AB1439" s="7"/>
      <c r="AC1439" s="7"/>
      <c r="AD1439" s="7"/>
      <c r="AE1439" s="7"/>
      <c r="AF1439" s="7"/>
      <c r="AG1439" s="7"/>
      <c r="AH1439" s="7"/>
      <c r="AI1439" s="7"/>
    </row>
    <row r="1440" spans="12:35">
      <c r="L1440" s="7">
        <v>44</v>
      </c>
      <c r="M1440" s="7">
        <v>49</v>
      </c>
      <c r="N1440" s="7" t="b">
        <f>AND($N$6,$N$6,13&lt;=$M$6,18&lt;=$M$6)</f>
        <v>0</v>
      </c>
      <c r="O1440" s="7">
        <f>(P44-N44)*(O49-O44)-(Q44-O44)*(N49-N44)</f>
        <v>0</v>
      </c>
      <c r="P1440" s="7">
        <f>(P44-N44)*(Q49-O44)-(Q44-O44)*(P49-N44)</f>
        <v>0</v>
      </c>
      <c r="Q1440" s="7">
        <f>(P49-N49)*(O44-O49)-(Q49-O49)*(N44-N49)</f>
        <v>0</v>
      </c>
      <c r="R1440" s="7">
        <f>(P49-N49)*(Q44-O49)-(Q49-O49)*(P44-N49)</f>
        <v>0</v>
      </c>
      <c r="S1440" s="7">
        <f>IF(N1440,IF(AND(O1440*P1440&lt;=0,Q1440*R1440&lt;=0,MAX(MIN(N44,P44),MIN(N49,P49))&lt;=MIN(MAX(N44,P44),MAX(N49,P49)),MAX(MIN(O44,Q44),MIN(O49,Q49))&lt;=MIN(MAX(O44,Q44),MAX(O49,Q49))),1,0),0)</f>
        <v>0</v>
      </c>
      <c r="T1440" s="7"/>
      <c r="U1440" s="7"/>
      <c r="V1440" s="7"/>
      <c r="W1440" s="7"/>
      <c r="X1440" s="7"/>
      <c r="Y1440" s="7"/>
      <c r="Z1440" s="7"/>
      <c r="AA1440" s="7"/>
      <c r="AB1440" s="7"/>
      <c r="AC1440" s="7"/>
      <c r="AD1440" s="7"/>
      <c r="AE1440" s="7"/>
      <c r="AF1440" s="7"/>
      <c r="AG1440" s="7"/>
      <c r="AH1440" s="7"/>
      <c r="AI1440" s="7"/>
    </row>
    <row r="1441" spans="12:35">
      <c r="L1441" s="7">
        <v>44</v>
      </c>
      <c r="M1441" s="7">
        <v>50</v>
      </c>
      <c r="N1441" s="7" t="b">
        <f>AND($N$6,$N$6,13&lt;=$M$6,19&lt;=$M$6)</f>
        <v>0</v>
      </c>
      <c r="O1441" s="7">
        <f>(P44-N44)*(O50-O44)-(Q44-O44)*(N50-N44)</f>
        <v>0</v>
      </c>
      <c r="P1441" s="7">
        <f>(P44-N44)*(Q50-O44)-(Q44-O44)*(P50-N44)</f>
        <v>0</v>
      </c>
      <c r="Q1441" s="7">
        <f>(P50-N50)*(O44-O50)-(Q50-O50)*(N44-N50)</f>
        <v>0</v>
      </c>
      <c r="R1441" s="7">
        <f>(P50-N50)*(Q44-O50)-(Q50-O50)*(P44-N50)</f>
        <v>0</v>
      </c>
      <c r="S1441" s="7">
        <f>IF(N1441,IF(AND(O1441*P1441&lt;=0,Q1441*R1441&lt;=0,MAX(MIN(N44,P44),MIN(N50,P50))&lt;=MIN(MAX(N44,P44),MAX(N50,P50)),MAX(MIN(O44,Q44),MIN(O50,Q50))&lt;=MIN(MAX(O44,Q44),MAX(O50,Q50))),1,0),0)</f>
        <v>0</v>
      </c>
      <c r="T1441" s="7"/>
      <c r="U1441" s="7"/>
      <c r="V1441" s="7"/>
      <c r="W1441" s="7"/>
      <c r="X1441" s="7"/>
      <c r="Y1441" s="7"/>
      <c r="Z1441" s="7"/>
      <c r="AA1441" s="7"/>
      <c r="AB1441" s="7"/>
      <c r="AC1441" s="7"/>
      <c r="AD1441" s="7"/>
      <c r="AE1441" s="7"/>
      <c r="AF1441" s="7"/>
      <c r="AG1441" s="7"/>
      <c r="AH1441" s="7"/>
      <c r="AI1441" s="7"/>
    </row>
    <row r="1442" spans="12:35">
      <c r="L1442" s="7">
        <v>44</v>
      </c>
      <c r="M1442" s="7">
        <v>51</v>
      </c>
      <c r="N1442" s="7" t="b">
        <f>AND($N$6,$N$6,13&lt;=$M$6,20&lt;=$M$6)</f>
        <v>0</v>
      </c>
      <c r="O1442" s="7">
        <f>(P44-N44)*(O51-O44)-(Q44-O44)*(N51-N44)</f>
        <v>0</v>
      </c>
      <c r="P1442" s="7">
        <f>(P44-N44)*(Q51-O44)-(Q44-O44)*(P51-N44)</f>
        <v>0</v>
      </c>
      <c r="Q1442" s="7">
        <f>(P51-N51)*(O44-O51)-(Q51-O51)*(N44-N51)</f>
        <v>0</v>
      </c>
      <c r="R1442" s="7">
        <f>(P51-N51)*(Q44-O51)-(Q51-O51)*(P44-N51)</f>
        <v>0</v>
      </c>
      <c r="S1442" s="7">
        <f>IF(N1442,IF(AND(O1442*P1442&lt;=0,Q1442*R1442&lt;=0,MAX(MIN(N44,P44),MIN(N51,P51))&lt;=MIN(MAX(N44,P44),MAX(N51,P51)),MAX(MIN(O44,Q44),MIN(O51,Q51))&lt;=MIN(MAX(O44,Q44),MAX(O51,Q51))),1,0),0)</f>
        <v>0</v>
      </c>
      <c r="T1442" s="7"/>
      <c r="U1442" s="7"/>
      <c r="V1442" s="7"/>
      <c r="W1442" s="7"/>
      <c r="X1442" s="7"/>
      <c r="Y1442" s="7"/>
      <c r="Z1442" s="7"/>
      <c r="AA1442" s="7"/>
      <c r="AB1442" s="7"/>
      <c r="AC1442" s="7"/>
      <c r="AD1442" s="7"/>
      <c r="AE1442" s="7"/>
      <c r="AF1442" s="7"/>
      <c r="AG1442" s="7"/>
      <c r="AH1442" s="7"/>
      <c r="AI1442" s="7"/>
    </row>
    <row r="1443" spans="12:35">
      <c r="L1443" s="7">
        <v>44</v>
      </c>
      <c r="M1443" s="7">
        <v>52</v>
      </c>
      <c r="N1443" s="7" t="b">
        <f>AND($N$6,$N$7,13&lt;=$M$6,1&lt;=$M$7)</f>
        <v>0</v>
      </c>
      <c r="O1443" s="7">
        <f>(P44-N44)*(O52-O44)-(Q44-O44)*(N52-N44)</f>
        <v>0</v>
      </c>
      <c r="P1443" s="7">
        <f>(P44-N44)*(Q52-O44)-(Q44-O44)*(P52-N44)</f>
        <v>0</v>
      </c>
      <c r="Q1443" s="7">
        <f>(P52-N52)*(O44-O52)-(Q52-O52)*(N44-N52)</f>
        <v>0</v>
      </c>
      <c r="R1443" s="7">
        <f>(P52-N52)*(Q44-O52)-(Q52-O52)*(P44-N52)</f>
        <v>0</v>
      </c>
      <c r="S1443" s="7">
        <f>IF(N1443,IF(AND(O1443*P1443&lt;=0,Q1443*R1443&lt;=0,MAX(MIN(N44,P44),MIN(N52,P52))&lt;=MIN(MAX(N44,P44),MAX(N52,P52)),MAX(MIN(O44,Q44),MIN(O52,Q52))&lt;=MIN(MAX(O44,Q44),MAX(O52,Q52))),1,0),0)</f>
        <v>0</v>
      </c>
      <c r="T1443" s="7"/>
      <c r="U1443" s="7"/>
      <c r="V1443" s="7"/>
      <c r="W1443" s="7"/>
      <c r="X1443" s="7"/>
      <c r="Y1443" s="7"/>
      <c r="Z1443" s="7"/>
      <c r="AA1443" s="7"/>
      <c r="AB1443" s="7"/>
      <c r="AC1443" s="7"/>
      <c r="AD1443" s="7"/>
      <c r="AE1443" s="7"/>
      <c r="AF1443" s="7"/>
      <c r="AG1443" s="7"/>
      <c r="AH1443" s="7"/>
      <c r="AI1443" s="7"/>
    </row>
    <row r="1444" spans="12:35">
      <c r="L1444" s="7">
        <v>44</v>
      </c>
      <c r="M1444" s="7">
        <v>53</v>
      </c>
      <c r="N1444" s="7" t="b">
        <f>AND($N$6,$N$7,13&lt;=$M$6,2&lt;=$M$7)</f>
        <v>0</v>
      </c>
      <c r="O1444" s="7">
        <f>(P44-N44)*(O53-O44)-(Q44-O44)*(N53-N44)</f>
        <v>0</v>
      </c>
      <c r="P1444" s="7">
        <f>(P44-N44)*(Q53-O44)-(Q44-O44)*(P53-N44)</f>
        <v>0</v>
      </c>
      <c r="Q1444" s="7">
        <f>(P53-N53)*(O44-O53)-(Q53-O53)*(N44-N53)</f>
        <v>0</v>
      </c>
      <c r="R1444" s="7">
        <f>(P53-N53)*(Q44-O53)-(Q53-O53)*(P44-N53)</f>
        <v>0</v>
      </c>
      <c r="S1444" s="7">
        <f>IF(N1444,IF(AND(O1444*P1444&lt;=0,Q1444*R1444&lt;=0,MAX(MIN(N44,P44),MIN(N53,P53))&lt;=MIN(MAX(N44,P44),MAX(N53,P53)),MAX(MIN(O44,Q44),MIN(O53,Q53))&lt;=MIN(MAX(O44,Q44),MAX(O53,Q53))),1,0),0)</f>
        <v>0</v>
      </c>
      <c r="T1444" s="7"/>
      <c r="U1444" s="7"/>
      <c r="V1444" s="7"/>
      <c r="W1444" s="7"/>
      <c r="X1444" s="7"/>
      <c r="Y1444" s="7"/>
      <c r="Z1444" s="7"/>
      <c r="AA1444" s="7"/>
      <c r="AB1444" s="7"/>
      <c r="AC1444" s="7"/>
      <c r="AD1444" s="7"/>
      <c r="AE1444" s="7"/>
      <c r="AF1444" s="7"/>
      <c r="AG1444" s="7"/>
      <c r="AH1444" s="7"/>
      <c r="AI1444" s="7"/>
    </row>
    <row r="1445" spans="12:35">
      <c r="L1445" s="7">
        <v>44</v>
      </c>
      <c r="M1445" s="7">
        <v>54</v>
      </c>
      <c r="N1445" s="7" t="b">
        <f>AND($N$6,$N$7,13&lt;=$M$6,3&lt;=$M$7)</f>
        <v>0</v>
      </c>
      <c r="O1445" s="7">
        <f>(P44-N44)*(O54-O44)-(Q44-O44)*(N54-N44)</f>
        <v>0</v>
      </c>
      <c r="P1445" s="7">
        <f>(P44-N44)*(Q54-O44)-(Q44-O44)*(P54-N44)</f>
        <v>0</v>
      </c>
      <c r="Q1445" s="7">
        <f>(P54-N54)*(O44-O54)-(Q54-O54)*(N44-N54)</f>
        <v>0</v>
      </c>
      <c r="R1445" s="7">
        <f>(P54-N54)*(Q44-O54)-(Q54-O54)*(P44-N54)</f>
        <v>0</v>
      </c>
      <c r="S1445" s="7">
        <f>IF(N1445,IF(AND(O1445*P1445&lt;=0,Q1445*R1445&lt;=0,MAX(MIN(N44,P44),MIN(N54,P54))&lt;=MIN(MAX(N44,P44),MAX(N54,P54)),MAX(MIN(O44,Q44),MIN(O54,Q54))&lt;=MIN(MAX(O44,Q44),MAX(O54,Q54))),1,0),0)</f>
        <v>0</v>
      </c>
      <c r="T1445" s="7"/>
      <c r="U1445" s="7"/>
      <c r="V1445" s="7"/>
      <c r="W1445" s="7"/>
      <c r="X1445" s="7"/>
      <c r="Y1445" s="7"/>
      <c r="Z1445" s="7"/>
      <c r="AA1445" s="7"/>
      <c r="AB1445" s="7"/>
      <c r="AC1445" s="7"/>
      <c r="AD1445" s="7"/>
      <c r="AE1445" s="7"/>
      <c r="AF1445" s="7"/>
      <c r="AG1445" s="7"/>
      <c r="AH1445" s="7"/>
      <c r="AI1445" s="7"/>
    </row>
    <row r="1446" spans="12:35">
      <c r="L1446" s="7">
        <v>44</v>
      </c>
      <c r="M1446" s="7">
        <v>55</v>
      </c>
      <c r="N1446" s="7" t="b">
        <f>AND($N$6,$N$7,13&lt;=$M$6,4&lt;=$M$7)</f>
        <v>0</v>
      </c>
      <c r="O1446" s="7">
        <f>(P44-N44)*(O55-O44)-(Q44-O44)*(N55-N44)</f>
        <v>0</v>
      </c>
      <c r="P1446" s="7">
        <f>(P44-N44)*(Q55-O44)-(Q44-O44)*(P55-N44)</f>
        <v>0</v>
      </c>
      <c r="Q1446" s="7">
        <f>(P55-N55)*(O44-O55)-(Q55-O55)*(N44-N55)</f>
        <v>0</v>
      </c>
      <c r="R1446" s="7">
        <f>(P55-N55)*(Q44-O55)-(Q55-O55)*(P44-N55)</f>
        <v>0</v>
      </c>
      <c r="S1446" s="7">
        <f>IF(N1446,IF(AND(O1446*P1446&lt;=0,Q1446*R1446&lt;=0,MAX(MIN(N44,P44),MIN(N55,P55))&lt;=MIN(MAX(N44,P44),MAX(N55,P55)),MAX(MIN(O44,Q44),MIN(O55,Q55))&lt;=MIN(MAX(O44,Q44),MAX(O55,Q55))),1,0),0)</f>
        <v>0</v>
      </c>
      <c r="T1446" s="7"/>
      <c r="U1446" s="7"/>
      <c r="V1446" s="7"/>
      <c r="W1446" s="7"/>
      <c r="X1446" s="7"/>
      <c r="Y1446" s="7"/>
      <c r="Z1446" s="7"/>
      <c r="AA1446" s="7"/>
      <c r="AB1446" s="7"/>
      <c r="AC1446" s="7"/>
      <c r="AD1446" s="7"/>
      <c r="AE1446" s="7"/>
      <c r="AF1446" s="7"/>
      <c r="AG1446" s="7"/>
      <c r="AH1446" s="7"/>
      <c r="AI1446" s="7"/>
    </row>
    <row r="1447" spans="12:35">
      <c r="L1447" s="7">
        <v>44</v>
      </c>
      <c r="M1447" s="7">
        <v>56</v>
      </c>
      <c r="N1447" s="7" t="b">
        <f>AND($N$6,$N$7,13&lt;=$M$6,5&lt;=$M$7)</f>
        <v>0</v>
      </c>
      <c r="O1447" s="7">
        <f>(P44-N44)*(O56-O44)-(Q44-O44)*(N56-N44)</f>
        <v>0</v>
      </c>
      <c r="P1447" s="7">
        <f>(P44-N44)*(Q56-O44)-(Q44-O44)*(P56-N44)</f>
        <v>0</v>
      </c>
      <c r="Q1447" s="7">
        <f>(P56-N56)*(O44-O56)-(Q56-O56)*(N44-N56)</f>
        <v>0</v>
      </c>
      <c r="R1447" s="7">
        <f>(P56-N56)*(Q44-O56)-(Q56-O56)*(P44-N56)</f>
        <v>0</v>
      </c>
      <c r="S1447" s="7">
        <f>IF(N1447,IF(AND(O1447*P1447&lt;=0,Q1447*R1447&lt;=0,MAX(MIN(N44,P44),MIN(N56,P56))&lt;=MIN(MAX(N44,P44),MAX(N56,P56)),MAX(MIN(O44,Q44),MIN(O56,Q56))&lt;=MIN(MAX(O44,Q44),MAX(O56,Q56))),1,0),0)</f>
        <v>0</v>
      </c>
      <c r="T1447" s="7"/>
      <c r="U1447" s="7"/>
      <c r="V1447" s="7"/>
      <c r="W1447" s="7"/>
      <c r="X1447" s="7"/>
      <c r="Y1447" s="7"/>
      <c r="Z1447" s="7"/>
      <c r="AA1447" s="7"/>
      <c r="AB1447" s="7"/>
      <c r="AC1447" s="7"/>
      <c r="AD1447" s="7"/>
      <c r="AE1447" s="7"/>
      <c r="AF1447" s="7"/>
      <c r="AG1447" s="7"/>
      <c r="AH1447" s="7"/>
      <c r="AI1447" s="7"/>
    </row>
    <row r="1448" spans="12:35">
      <c r="L1448" s="7">
        <v>44</v>
      </c>
      <c r="M1448" s="7">
        <v>57</v>
      </c>
      <c r="N1448" s="7" t="b">
        <f>AND($N$6,$N$7,13&lt;=$M$6,6&lt;=$M$7)</f>
        <v>0</v>
      </c>
      <c r="O1448" s="7">
        <f>(P44-N44)*(O57-O44)-(Q44-O44)*(N57-N44)</f>
        <v>0</v>
      </c>
      <c r="P1448" s="7">
        <f>(P44-N44)*(Q57-O44)-(Q44-O44)*(P57-N44)</f>
        <v>0</v>
      </c>
      <c r="Q1448" s="7">
        <f>(P57-N57)*(O44-O57)-(Q57-O57)*(N44-N57)</f>
        <v>0</v>
      </c>
      <c r="R1448" s="7">
        <f>(P57-N57)*(Q44-O57)-(Q57-O57)*(P44-N57)</f>
        <v>0</v>
      </c>
      <c r="S1448" s="7">
        <f>IF(N1448,IF(AND(O1448*P1448&lt;=0,Q1448*R1448&lt;=0,MAX(MIN(N44,P44),MIN(N57,P57))&lt;=MIN(MAX(N44,P44),MAX(N57,P57)),MAX(MIN(O44,Q44),MIN(O57,Q57))&lt;=MIN(MAX(O44,Q44),MAX(O57,Q57))),1,0),0)</f>
        <v>0</v>
      </c>
      <c r="T1448" s="7"/>
      <c r="U1448" s="7"/>
      <c r="V1448" s="7"/>
      <c r="W1448" s="7"/>
      <c r="X1448" s="7"/>
      <c r="Y1448" s="7"/>
      <c r="Z1448" s="7"/>
      <c r="AA1448" s="7"/>
      <c r="AB1448" s="7"/>
      <c r="AC1448" s="7"/>
      <c r="AD1448" s="7"/>
      <c r="AE1448" s="7"/>
      <c r="AF1448" s="7"/>
      <c r="AG1448" s="7"/>
      <c r="AH1448" s="7"/>
      <c r="AI1448" s="7"/>
    </row>
    <row r="1449" spans="12:35">
      <c r="L1449" s="7">
        <v>44</v>
      </c>
      <c r="M1449" s="7">
        <v>58</v>
      </c>
      <c r="N1449" s="7" t="b">
        <f>AND($N$6,$N$7,13&lt;=$M$6,7&lt;=$M$7)</f>
        <v>0</v>
      </c>
      <c r="O1449" s="7">
        <f>(P44-N44)*(O58-O44)-(Q44-O44)*(N58-N44)</f>
        <v>0</v>
      </c>
      <c r="P1449" s="7">
        <f>(P44-N44)*(Q58-O44)-(Q44-O44)*(P58-N44)</f>
        <v>0</v>
      </c>
      <c r="Q1449" s="7">
        <f>(P58-N58)*(O44-O58)-(Q58-O58)*(N44-N58)</f>
        <v>0</v>
      </c>
      <c r="R1449" s="7">
        <f>(P58-N58)*(Q44-O58)-(Q58-O58)*(P44-N58)</f>
        <v>0</v>
      </c>
      <c r="S1449" s="7">
        <f>IF(N1449,IF(AND(O1449*P1449&lt;=0,Q1449*R1449&lt;=0,MAX(MIN(N44,P44),MIN(N58,P58))&lt;=MIN(MAX(N44,P44),MAX(N58,P58)),MAX(MIN(O44,Q44),MIN(O58,Q58))&lt;=MIN(MAX(O44,Q44),MAX(O58,Q58))),1,0),0)</f>
        <v>0</v>
      </c>
      <c r="T1449" s="7"/>
      <c r="U1449" s="7"/>
      <c r="V1449" s="7"/>
      <c r="W1449" s="7"/>
      <c r="X1449" s="7"/>
      <c r="Y1449" s="7"/>
      <c r="Z1449" s="7"/>
      <c r="AA1449" s="7"/>
      <c r="AB1449" s="7"/>
      <c r="AC1449" s="7"/>
      <c r="AD1449" s="7"/>
      <c r="AE1449" s="7"/>
      <c r="AF1449" s="7"/>
      <c r="AG1449" s="7"/>
      <c r="AH1449" s="7"/>
      <c r="AI1449" s="7"/>
    </row>
    <row r="1450" spans="12:35">
      <c r="L1450" s="7">
        <v>44</v>
      </c>
      <c r="M1450" s="7">
        <v>59</v>
      </c>
      <c r="N1450" s="7" t="b">
        <f>AND($N$6,$N$7,13&lt;=$M$6,8&lt;=$M$7)</f>
        <v>0</v>
      </c>
      <c r="O1450" s="7">
        <f>(P44-N44)*(O59-O44)-(Q44-O44)*(N59-N44)</f>
        <v>0</v>
      </c>
      <c r="P1450" s="7">
        <f>(P44-N44)*(Q59-O44)-(Q44-O44)*(P59-N44)</f>
        <v>0</v>
      </c>
      <c r="Q1450" s="7">
        <f>(P59-N59)*(O44-O59)-(Q59-O59)*(N44-N59)</f>
        <v>0</v>
      </c>
      <c r="R1450" s="7">
        <f>(P59-N59)*(Q44-O59)-(Q59-O59)*(P44-N59)</f>
        <v>0</v>
      </c>
      <c r="S1450" s="7">
        <f>IF(N1450,IF(AND(O1450*P1450&lt;=0,Q1450*R1450&lt;=0,MAX(MIN(N44,P44),MIN(N59,P59))&lt;=MIN(MAX(N44,P44),MAX(N59,P59)),MAX(MIN(O44,Q44),MIN(O59,Q59))&lt;=MIN(MAX(O44,Q44),MAX(O59,Q59))),1,0),0)</f>
        <v>0</v>
      </c>
      <c r="T1450" s="7"/>
      <c r="U1450" s="7"/>
      <c r="V1450" s="7"/>
      <c r="W1450" s="7"/>
      <c r="X1450" s="7"/>
      <c r="Y1450" s="7"/>
      <c r="Z1450" s="7"/>
      <c r="AA1450" s="7"/>
      <c r="AB1450" s="7"/>
      <c r="AC1450" s="7"/>
      <c r="AD1450" s="7"/>
      <c r="AE1450" s="7"/>
      <c r="AF1450" s="7"/>
      <c r="AG1450" s="7"/>
      <c r="AH1450" s="7"/>
      <c r="AI1450" s="7"/>
    </row>
    <row r="1451" spans="12:35">
      <c r="L1451" s="7">
        <v>44</v>
      </c>
      <c r="M1451" s="7">
        <v>60</v>
      </c>
      <c r="N1451" s="7" t="b">
        <f>AND($N$6,$N$7,13&lt;=$M$6,9&lt;=$M$7)</f>
        <v>0</v>
      </c>
      <c r="O1451" s="7">
        <f>(P44-N44)*(O60-O44)-(Q44-O44)*(N60-N44)</f>
        <v>0</v>
      </c>
      <c r="P1451" s="7">
        <f>(P44-N44)*(Q60-O44)-(Q44-O44)*(P60-N44)</f>
        <v>0</v>
      </c>
      <c r="Q1451" s="7">
        <f>(P60-N60)*(O44-O60)-(Q60-O60)*(N44-N60)</f>
        <v>0</v>
      </c>
      <c r="R1451" s="7">
        <f>(P60-N60)*(Q44-O60)-(Q60-O60)*(P44-N60)</f>
        <v>0</v>
      </c>
      <c r="S1451" s="7">
        <f>IF(N1451,IF(AND(O1451*P1451&lt;=0,Q1451*R1451&lt;=0,MAX(MIN(N44,P44),MIN(N60,P60))&lt;=MIN(MAX(N44,P44),MAX(N60,P60)),MAX(MIN(O44,Q44),MIN(O60,Q60))&lt;=MIN(MAX(O44,Q44),MAX(O60,Q60))),1,0),0)</f>
        <v>0</v>
      </c>
      <c r="T1451" s="7"/>
      <c r="U1451" s="7"/>
      <c r="V1451" s="7"/>
      <c r="W1451" s="7"/>
      <c r="X1451" s="7"/>
      <c r="Y1451" s="7"/>
      <c r="Z1451" s="7"/>
      <c r="AA1451" s="7"/>
      <c r="AB1451" s="7"/>
      <c r="AC1451" s="7"/>
      <c r="AD1451" s="7"/>
      <c r="AE1451" s="7"/>
      <c r="AF1451" s="7"/>
      <c r="AG1451" s="7"/>
      <c r="AH1451" s="7"/>
      <c r="AI1451" s="7"/>
    </row>
    <row r="1452" spans="12:35">
      <c r="L1452" s="7">
        <v>44</v>
      </c>
      <c r="M1452" s="7">
        <v>61</v>
      </c>
      <c r="N1452" s="7" t="b">
        <f>AND($N$6,$N$7,13&lt;=$M$6,10&lt;=$M$7)</f>
        <v>0</v>
      </c>
      <c r="O1452" s="7">
        <f>(P44-N44)*(O61-O44)-(Q44-O44)*(N61-N44)</f>
        <v>0</v>
      </c>
      <c r="P1452" s="7">
        <f>(P44-N44)*(Q61-O44)-(Q44-O44)*(P61-N44)</f>
        <v>0</v>
      </c>
      <c r="Q1452" s="7">
        <f>(P61-N61)*(O44-O61)-(Q61-O61)*(N44-N61)</f>
        <v>0</v>
      </c>
      <c r="R1452" s="7">
        <f>(P61-N61)*(Q44-O61)-(Q61-O61)*(P44-N61)</f>
        <v>0</v>
      </c>
      <c r="S1452" s="7">
        <f>IF(N1452,IF(AND(O1452*P1452&lt;=0,Q1452*R1452&lt;=0,MAX(MIN(N44,P44),MIN(N61,P61))&lt;=MIN(MAX(N44,P44),MAX(N61,P61)),MAX(MIN(O44,Q44),MIN(O61,Q61))&lt;=MIN(MAX(O44,Q44),MAX(O61,Q61))),1,0),0)</f>
        <v>0</v>
      </c>
      <c r="T1452" s="7"/>
      <c r="U1452" s="7"/>
      <c r="V1452" s="7"/>
      <c r="W1452" s="7"/>
      <c r="X1452" s="7"/>
      <c r="Y1452" s="7"/>
      <c r="Z1452" s="7"/>
      <c r="AA1452" s="7"/>
      <c r="AB1452" s="7"/>
      <c r="AC1452" s="7"/>
      <c r="AD1452" s="7"/>
      <c r="AE1452" s="7"/>
      <c r="AF1452" s="7"/>
      <c r="AG1452" s="7"/>
      <c r="AH1452" s="7"/>
      <c r="AI1452" s="7"/>
    </row>
    <row r="1453" spans="12:35">
      <c r="L1453" s="7">
        <v>44</v>
      </c>
      <c r="M1453" s="7">
        <v>62</v>
      </c>
      <c r="N1453" s="7" t="b">
        <f>AND($N$6,$N$7,13&lt;=$M$6,11&lt;=$M$7)</f>
        <v>0</v>
      </c>
      <c r="O1453" s="7">
        <f>(P44-N44)*(O62-O44)-(Q44-O44)*(N62-N44)</f>
        <v>0</v>
      </c>
      <c r="P1453" s="7">
        <f>(P44-N44)*(Q62-O44)-(Q44-O44)*(P62-N44)</f>
        <v>0</v>
      </c>
      <c r="Q1453" s="7">
        <f>(P62-N62)*(O44-O62)-(Q62-O62)*(N44-N62)</f>
        <v>0</v>
      </c>
      <c r="R1453" s="7">
        <f>(P62-N62)*(Q44-O62)-(Q62-O62)*(P44-N62)</f>
        <v>0</v>
      </c>
      <c r="S1453" s="7">
        <f>IF(N1453,IF(AND(O1453*P1453&lt;=0,Q1453*R1453&lt;=0,MAX(MIN(N44,P44),MIN(N62,P62))&lt;=MIN(MAX(N44,P44),MAX(N62,P62)),MAX(MIN(O44,Q44),MIN(O62,Q62))&lt;=MIN(MAX(O44,Q44),MAX(O62,Q62))),1,0),0)</f>
        <v>0</v>
      </c>
      <c r="T1453" s="7"/>
      <c r="U1453" s="7"/>
      <c r="V1453" s="7"/>
      <c r="W1453" s="7"/>
      <c r="X1453" s="7"/>
      <c r="Y1453" s="7"/>
      <c r="Z1453" s="7"/>
      <c r="AA1453" s="7"/>
      <c r="AB1453" s="7"/>
      <c r="AC1453" s="7"/>
      <c r="AD1453" s="7"/>
      <c r="AE1453" s="7"/>
      <c r="AF1453" s="7"/>
      <c r="AG1453" s="7"/>
      <c r="AH1453" s="7"/>
      <c r="AI1453" s="7"/>
    </row>
    <row r="1454" spans="12:35">
      <c r="L1454" s="7">
        <v>44</v>
      </c>
      <c r="M1454" s="7">
        <v>63</v>
      </c>
      <c r="N1454" s="7" t="b">
        <f>AND($N$6,$N$7,13&lt;=$M$6,12&lt;=$M$7)</f>
        <v>0</v>
      </c>
      <c r="O1454" s="7">
        <f>(P44-N44)*(O63-O44)-(Q44-O44)*(N63-N44)</f>
        <v>0</v>
      </c>
      <c r="P1454" s="7">
        <f>(P44-N44)*(Q63-O44)-(Q44-O44)*(P63-N44)</f>
        <v>0</v>
      </c>
      <c r="Q1454" s="7">
        <f>(P63-N63)*(O44-O63)-(Q63-O63)*(N44-N63)</f>
        <v>0</v>
      </c>
      <c r="R1454" s="7">
        <f>(P63-N63)*(Q44-O63)-(Q63-O63)*(P44-N63)</f>
        <v>0</v>
      </c>
      <c r="S1454" s="7">
        <f>IF(N1454,IF(AND(O1454*P1454&lt;=0,Q1454*R1454&lt;=0,MAX(MIN(N44,P44),MIN(N63,P63))&lt;=MIN(MAX(N44,P44),MAX(N63,P63)),MAX(MIN(O44,Q44),MIN(O63,Q63))&lt;=MIN(MAX(O44,Q44),MAX(O63,Q63))),1,0),0)</f>
        <v>0</v>
      </c>
      <c r="T1454" s="7"/>
      <c r="U1454" s="7"/>
      <c r="V1454" s="7"/>
      <c r="W1454" s="7"/>
      <c r="X1454" s="7"/>
      <c r="Y1454" s="7"/>
      <c r="Z1454" s="7"/>
      <c r="AA1454" s="7"/>
      <c r="AB1454" s="7"/>
      <c r="AC1454" s="7"/>
      <c r="AD1454" s="7"/>
      <c r="AE1454" s="7"/>
      <c r="AF1454" s="7"/>
      <c r="AG1454" s="7"/>
      <c r="AH1454" s="7"/>
      <c r="AI1454" s="7"/>
    </row>
    <row r="1455" spans="12:35">
      <c r="L1455" s="7">
        <v>44</v>
      </c>
      <c r="M1455" s="7">
        <v>64</v>
      </c>
      <c r="N1455" s="7" t="b">
        <f>AND($N$6,$N$7,13&lt;=$M$6,13&lt;=$M$7)</f>
        <v>0</v>
      </c>
      <c r="O1455" s="7">
        <f>(P44-N44)*(O64-O44)-(Q44-O44)*(N64-N44)</f>
        <v>0</v>
      </c>
      <c r="P1455" s="7">
        <f>(P44-N44)*(Q64-O44)-(Q44-O44)*(P64-N44)</f>
        <v>0</v>
      </c>
      <c r="Q1455" s="7">
        <f>(P64-N64)*(O44-O64)-(Q64-O64)*(N44-N64)</f>
        <v>0</v>
      </c>
      <c r="R1455" s="7">
        <f>(P64-N64)*(Q44-O64)-(Q64-O64)*(P44-N64)</f>
        <v>0</v>
      </c>
      <c r="S1455" s="7">
        <f>IF(N1455,IF(AND(O1455*P1455&lt;=0,Q1455*R1455&lt;=0,MAX(MIN(N44,P44),MIN(N64,P64))&lt;=MIN(MAX(N44,P44),MAX(N64,P64)),MAX(MIN(O44,Q44),MIN(O64,Q64))&lt;=MIN(MAX(O44,Q44),MAX(O64,Q64))),1,0),0)</f>
        <v>0</v>
      </c>
      <c r="T1455" s="7"/>
      <c r="U1455" s="7"/>
      <c r="V1455" s="7"/>
      <c r="W1455" s="7"/>
      <c r="X1455" s="7"/>
      <c r="Y1455" s="7"/>
      <c r="Z1455" s="7"/>
      <c r="AA1455" s="7"/>
      <c r="AB1455" s="7"/>
      <c r="AC1455" s="7"/>
      <c r="AD1455" s="7"/>
      <c r="AE1455" s="7"/>
      <c r="AF1455" s="7"/>
      <c r="AG1455" s="7"/>
      <c r="AH1455" s="7"/>
      <c r="AI1455" s="7"/>
    </row>
    <row r="1456" spans="12:35">
      <c r="L1456" s="7">
        <v>44</v>
      </c>
      <c r="M1456" s="7">
        <v>65</v>
      </c>
      <c r="N1456" s="7" t="b">
        <f>AND($N$6,$N$7,13&lt;=$M$6,14&lt;=$M$7)</f>
        <v>0</v>
      </c>
      <c r="O1456" s="7">
        <f>(P44-N44)*(O65-O44)-(Q44-O44)*(N65-N44)</f>
        <v>0</v>
      </c>
      <c r="P1456" s="7">
        <f>(P44-N44)*(Q65-O44)-(Q44-O44)*(P65-N44)</f>
        <v>0</v>
      </c>
      <c r="Q1456" s="7">
        <f>(P65-N65)*(O44-O65)-(Q65-O65)*(N44-N65)</f>
        <v>0</v>
      </c>
      <c r="R1456" s="7">
        <f>(P65-N65)*(Q44-O65)-(Q65-O65)*(P44-N65)</f>
        <v>0</v>
      </c>
      <c r="S1456" s="7">
        <f>IF(N1456,IF(AND(O1456*P1456&lt;=0,Q1456*R1456&lt;=0,MAX(MIN(N44,P44),MIN(N65,P65))&lt;=MIN(MAX(N44,P44),MAX(N65,P65)),MAX(MIN(O44,Q44),MIN(O65,Q65))&lt;=MIN(MAX(O44,Q44),MAX(O65,Q65))),1,0),0)</f>
        <v>0</v>
      </c>
      <c r="T1456" s="7"/>
      <c r="U1456" s="7"/>
      <c r="V1456" s="7"/>
      <c r="W1456" s="7"/>
      <c r="X1456" s="7"/>
      <c r="Y1456" s="7"/>
      <c r="Z1456" s="7"/>
      <c r="AA1456" s="7"/>
      <c r="AB1456" s="7"/>
      <c r="AC1456" s="7"/>
      <c r="AD1456" s="7"/>
      <c r="AE1456" s="7"/>
      <c r="AF1456" s="7"/>
      <c r="AG1456" s="7"/>
      <c r="AH1456" s="7"/>
      <c r="AI1456" s="7"/>
    </row>
    <row r="1457" spans="12:35">
      <c r="L1457" s="7">
        <v>44</v>
      </c>
      <c r="M1457" s="7">
        <v>66</v>
      </c>
      <c r="N1457" s="7" t="b">
        <f>AND($N$6,$N$7,13&lt;=$M$6,15&lt;=$M$7)</f>
        <v>0</v>
      </c>
      <c r="O1457" s="7">
        <f>(P44-N44)*(O66-O44)-(Q44-O44)*(N66-N44)</f>
        <v>0</v>
      </c>
      <c r="P1457" s="7">
        <f>(P44-N44)*(Q66-O44)-(Q44-O44)*(P66-N44)</f>
        <v>0</v>
      </c>
      <c r="Q1457" s="7">
        <f>(P66-N66)*(O44-O66)-(Q66-O66)*(N44-N66)</f>
        <v>0</v>
      </c>
      <c r="R1457" s="7">
        <f>(P66-N66)*(Q44-O66)-(Q66-O66)*(P44-N66)</f>
        <v>0</v>
      </c>
      <c r="S1457" s="7">
        <f>IF(N1457,IF(AND(O1457*P1457&lt;=0,Q1457*R1457&lt;=0,MAX(MIN(N44,P44),MIN(N66,P66))&lt;=MIN(MAX(N44,P44),MAX(N66,P66)),MAX(MIN(O44,Q44),MIN(O66,Q66))&lt;=MIN(MAX(O44,Q44),MAX(O66,Q66))),1,0),0)</f>
        <v>0</v>
      </c>
      <c r="T1457" s="7"/>
      <c r="U1457" s="7"/>
      <c r="V1457" s="7"/>
      <c r="W1457" s="7"/>
      <c r="X1457" s="7"/>
      <c r="Y1457" s="7"/>
      <c r="Z1457" s="7"/>
      <c r="AA1457" s="7"/>
      <c r="AB1457" s="7"/>
      <c r="AC1457" s="7"/>
      <c r="AD1457" s="7"/>
      <c r="AE1457" s="7"/>
      <c r="AF1457" s="7"/>
      <c r="AG1457" s="7"/>
      <c r="AH1457" s="7"/>
      <c r="AI1457" s="7"/>
    </row>
    <row r="1458" spans="12:35">
      <c r="L1458" s="7">
        <v>44</v>
      </c>
      <c r="M1458" s="7">
        <v>67</v>
      </c>
      <c r="N1458" s="7" t="b">
        <f>AND($N$6,$N$7,13&lt;=$M$6,16&lt;=$M$7)</f>
        <v>0</v>
      </c>
      <c r="O1458" s="7">
        <f>(P44-N44)*(O67-O44)-(Q44-O44)*(N67-N44)</f>
        <v>0</v>
      </c>
      <c r="P1458" s="7">
        <f>(P44-N44)*(Q67-O44)-(Q44-O44)*(P67-N44)</f>
        <v>0</v>
      </c>
      <c r="Q1458" s="7">
        <f>(P67-N67)*(O44-O67)-(Q67-O67)*(N44-N67)</f>
        <v>0</v>
      </c>
      <c r="R1458" s="7">
        <f>(P67-N67)*(Q44-O67)-(Q67-O67)*(P44-N67)</f>
        <v>0</v>
      </c>
      <c r="S1458" s="7">
        <f>IF(N1458,IF(AND(O1458*P1458&lt;=0,Q1458*R1458&lt;=0,MAX(MIN(N44,P44),MIN(N67,P67))&lt;=MIN(MAX(N44,P44),MAX(N67,P67)),MAX(MIN(O44,Q44),MIN(O67,Q67))&lt;=MIN(MAX(O44,Q44),MAX(O67,Q67))),1,0),0)</f>
        <v>0</v>
      </c>
      <c r="T1458" s="7"/>
      <c r="U1458" s="7"/>
      <c r="V1458" s="7"/>
      <c r="W1458" s="7"/>
      <c r="X1458" s="7"/>
      <c r="Y1458" s="7"/>
      <c r="Z1458" s="7"/>
      <c r="AA1458" s="7"/>
      <c r="AB1458" s="7"/>
      <c r="AC1458" s="7"/>
      <c r="AD1458" s="7"/>
      <c r="AE1458" s="7"/>
      <c r="AF1458" s="7"/>
      <c r="AG1458" s="7"/>
      <c r="AH1458" s="7"/>
      <c r="AI1458" s="7"/>
    </row>
    <row r="1459" spans="12:35">
      <c r="L1459" s="7">
        <v>44</v>
      </c>
      <c r="M1459" s="7">
        <v>68</v>
      </c>
      <c r="N1459" s="7" t="b">
        <f>AND($N$6,$N$7,13&lt;=$M$6,17&lt;=$M$7)</f>
        <v>0</v>
      </c>
      <c r="O1459" s="7">
        <f>(P44-N44)*(O68-O44)-(Q44-O44)*(N68-N44)</f>
        <v>0</v>
      </c>
      <c r="P1459" s="7">
        <f>(P44-N44)*(Q68-O44)-(Q44-O44)*(P68-N44)</f>
        <v>0</v>
      </c>
      <c r="Q1459" s="7">
        <f>(P68-N68)*(O44-O68)-(Q68-O68)*(N44-N68)</f>
        <v>0</v>
      </c>
      <c r="R1459" s="7">
        <f>(P68-N68)*(Q44-O68)-(Q68-O68)*(P44-N68)</f>
        <v>0</v>
      </c>
      <c r="S1459" s="7">
        <f>IF(N1459,IF(AND(O1459*P1459&lt;=0,Q1459*R1459&lt;=0,MAX(MIN(N44,P44),MIN(N68,P68))&lt;=MIN(MAX(N44,P44),MAX(N68,P68)),MAX(MIN(O44,Q44),MIN(O68,Q68))&lt;=MIN(MAX(O44,Q44),MAX(O68,Q68))),1,0),0)</f>
        <v>0</v>
      </c>
      <c r="T1459" s="7"/>
      <c r="U1459" s="7"/>
      <c r="V1459" s="7"/>
      <c r="W1459" s="7"/>
      <c r="X1459" s="7"/>
      <c r="Y1459" s="7"/>
      <c r="Z1459" s="7"/>
      <c r="AA1459" s="7"/>
      <c r="AB1459" s="7"/>
      <c r="AC1459" s="7"/>
      <c r="AD1459" s="7"/>
      <c r="AE1459" s="7"/>
      <c r="AF1459" s="7"/>
      <c r="AG1459" s="7"/>
      <c r="AH1459" s="7"/>
      <c r="AI1459" s="7"/>
    </row>
    <row r="1460" spans="12:35">
      <c r="L1460" s="7">
        <v>44</v>
      </c>
      <c r="M1460" s="7">
        <v>69</v>
      </c>
      <c r="N1460" s="7" t="b">
        <f>AND($N$6,$N$7,13&lt;=$M$6,18&lt;=$M$7)</f>
        <v>0</v>
      </c>
      <c r="O1460" s="7">
        <f>(P44-N44)*(O69-O44)-(Q44-O44)*(N69-N44)</f>
        <v>0</v>
      </c>
      <c r="P1460" s="7">
        <f>(P44-N44)*(Q69-O44)-(Q44-O44)*(P69-N44)</f>
        <v>0</v>
      </c>
      <c r="Q1460" s="7">
        <f>(P69-N69)*(O44-O69)-(Q69-O69)*(N44-N69)</f>
        <v>0</v>
      </c>
      <c r="R1460" s="7">
        <f>(P69-N69)*(Q44-O69)-(Q69-O69)*(P44-N69)</f>
        <v>0</v>
      </c>
      <c r="S1460" s="7">
        <f>IF(N1460,IF(AND(O1460*P1460&lt;=0,Q1460*R1460&lt;=0,MAX(MIN(N44,P44),MIN(N69,P69))&lt;=MIN(MAX(N44,P44),MAX(N69,P69)),MAX(MIN(O44,Q44),MIN(O69,Q69))&lt;=MIN(MAX(O44,Q44),MAX(O69,Q69))),1,0),0)</f>
        <v>0</v>
      </c>
      <c r="T1460" s="7"/>
      <c r="U1460" s="7"/>
      <c r="V1460" s="7"/>
      <c r="W1460" s="7"/>
      <c r="X1460" s="7"/>
      <c r="Y1460" s="7"/>
      <c r="Z1460" s="7"/>
      <c r="AA1460" s="7"/>
      <c r="AB1460" s="7"/>
      <c r="AC1460" s="7"/>
      <c r="AD1460" s="7"/>
      <c r="AE1460" s="7"/>
      <c r="AF1460" s="7"/>
      <c r="AG1460" s="7"/>
      <c r="AH1460" s="7"/>
      <c r="AI1460" s="7"/>
    </row>
    <row r="1461" spans="12:35">
      <c r="L1461" s="7">
        <v>44</v>
      </c>
      <c r="M1461" s="7">
        <v>70</v>
      </c>
      <c r="N1461" s="7" t="b">
        <f>AND($N$6,$N$7,13&lt;=$M$6,19&lt;=$M$7)</f>
        <v>0</v>
      </c>
      <c r="O1461" s="7">
        <f>(P44-N44)*(O70-O44)-(Q44-O44)*(N70-N44)</f>
        <v>0</v>
      </c>
      <c r="P1461" s="7">
        <f>(P44-N44)*(Q70-O44)-(Q44-O44)*(P70-N44)</f>
        <v>0</v>
      </c>
      <c r="Q1461" s="7">
        <f>(P70-N70)*(O44-O70)-(Q70-O70)*(N44-N70)</f>
        <v>0</v>
      </c>
      <c r="R1461" s="7">
        <f>(P70-N70)*(Q44-O70)-(Q70-O70)*(P44-N70)</f>
        <v>0</v>
      </c>
      <c r="S1461" s="7">
        <f>IF(N1461,IF(AND(O1461*P1461&lt;=0,Q1461*R1461&lt;=0,MAX(MIN(N44,P44),MIN(N70,P70))&lt;=MIN(MAX(N44,P44),MAX(N70,P70)),MAX(MIN(O44,Q44),MIN(O70,Q70))&lt;=MIN(MAX(O44,Q44),MAX(O70,Q70))),1,0),0)</f>
        <v>0</v>
      </c>
      <c r="T1461" s="7"/>
      <c r="U1461" s="7"/>
      <c r="V1461" s="7"/>
      <c r="W1461" s="7"/>
      <c r="X1461" s="7"/>
      <c r="Y1461" s="7"/>
      <c r="Z1461" s="7"/>
      <c r="AA1461" s="7"/>
      <c r="AB1461" s="7"/>
      <c r="AC1461" s="7"/>
      <c r="AD1461" s="7"/>
      <c r="AE1461" s="7"/>
      <c r="AF1461" s="7"/>
      <c r="AG1461" s="7"/>
      <c r="AH1461" s="7"/>
      <c r="AI1461" s="7"/>
    </row>
    <row r="1462" spans="12:35">
      <c r="L1462" s="7">
        <v>44</v>
      </c>
      <c r="M1462" s="7">
        <v>71</v>
      </c>
      <c r="N1462" s="7" t="b">
        <f>AND($N$6,$N$7,13&lt;=$M$6,20&lt;=$M$7)</f>
        <v>0</v>
      </c>
      <c r="O1462" s="7">
        <f>(P44-N44)*(O71-O44)-(Q44-O44)*(N71-N44)</f>
        <v>0</v>
      </c>
      <c r="P1462" s="7">
        <f>(P44-N44)*(Q71-O44)-(Q44-O44)*(P71-N44)</f>
        <v>0</v>
      </c>
      <c r="Q1462" s="7">
        <f>(P71-N71)*(O44-O71)-(Q71-O71)*(N44-N71)</f>
        <v>0</v>
      </c>
      <c r="R1462" s="7">
        <f>(P71-N71)*(Q44-O71)-(Q71-O71)*(P44-N71)</f>
        <v>0</v>
      </c>
      <c r="S1462" s="7">
        <f>IF(N1462,IF(AND(O1462*P1462&lt;=0,Q1462*R1462&lt;=0,MAX(MIN(N44,P44),MIN(N71,P71))&lt;=MIN(MAX(N44,P44),MAX(N71,P71)),MAX(MIN(O44,Q44),MIN(O71,Q71))&lt;=MIN(MAX(O44,Q44),MAX(O71,Q71))),1,0),0)</f>
        <v>0</v>
      </c>
      <c r="T1462" s="7"/>
      <c r="U1462" s="7"/>
      <c r="V1462" s="7"/>
      <c r="W1462" s="7"/>
      <c r="X1462" s="7"/>
      <c r="Y1462" s="7"/>
      <c r="Z1462" s="7"/>
      <c r="AA1462" s="7"/>
      <c r="AB1462" s="7"/>
      <c r="AC1462" s="7"/>
      <c r="AD1462" s="7"/>
      <c r="AE1462" s="7"/>
      <c r="AF1462" s="7"/>
      <c r="AG1462" s="7"/>
      <c r="AH1462" s="7"/>
      <c r="AI1462" s="7"/>
    </row>
    <row r="1463" spans="12:35">
      <c r="L1463" s="7">
        <v>45</v>
      </c>
      <c r="M1463" s="7">
        <v>47</v>
      </c>
      <c r="N1463" s="7" t="b">
        <f>AND($N$6,$N$6,14&lt;=$M$6,16&lt;=$M$6)</f>
        <v>0</v>
      </c>
      <c r="O1463" s="7">
        <f>(P45-N45)*(O47-O45)-(Q45-O45)*(N47-N45)</f>
        <v>0</v>
      </c>
      <c r="P1463" s="7">
        <f>(P45-N45)*(Q47-O45)-(Q45-O45)*(P47-N45)</f>
        <v>0</v>
      </c>
      <c r="Q1463" s="7">
        <f>(P47-N47)*(O45-O47)-(Q47-O47)*(N45-N47)</f>
        <v>0</v>
      </c>
      <c r="R1463" s="7">
        <f>(P47-N47)*(Q45-O47)-(Q47-O47)*(P45-N47)</f>
        <v>0</v>
      </c>
      <c r="S1463" s="7">
        <f>IF(N1463,IF(AND(O1463*P1463&lt;=0,Q1463*R1463&lt;=0,MAX(MIN(N45,P45),MIN(N47,P47))&lt;=MIN(MAX(N45,P45),MAX(N47,P47)),MAX(MIN(O45,Q45),MIN(O47,Q47))&lt;=MIN(MAX(O45,Q45),MAX(O47,Q47))),1,0),0)</f>
        <v>0</v>
      </c>
      <c r="T1463" s="7"/>
      <c r="U1463" s="7"/>
      <c r="V1463" s="7"/>
      <c r="W1463" s="7"/>
      <c r="X1463" s="7"/>
      <c r="Y1463" s="7"/>
      <c r="Z1463" s="7"/>
      <c r="AA1463" s="7"/>
      <c r="AB1463" s="7"/>
      <c r="AC1463" s="7"/>
      <c r="AD1463" s="7"/>
      <c r="AE1463" s="7"/>
      <c r="AF1463" s="7"/>
      <c r="AG1463" s="7"/>
      <c r="AH1463" s="7"/>
      <c r="AI1463" s="7"/>
    </row>
    <row r="1464" spans="12:35">
      <c r="L1464" s="7">
        <v>45</v>
      </c>
      <c r="M1464" s="7">
        <v>48</v>
      </c>
      <c r="N1464" s="7" t="b">
        <f>AND($N$6,$N$6,14&lt;=$M$6,17&lt;=$M$6)</f>
        <v>0</v>
      </c>
      <c r="O1464" s="7">
        <f>(P45-N45)*(O48-O45)-(Q45-O45)*(N48-N45)</f>
        <v>0</v>
      </c>
      <c r="P1464" s="7">
        <f>(P45-N45)*(Q48-O45)-(Q45-O45)*(P48-N45)</f>
        <v>0</v>
      </c>
      <c r="Q1464" s="7">
        <f>(P48-N48)*(O45-O48)-(Q48-O48)*(N45-N48)</f>
        <v>0</v>
      </c>
      <c r="R1464" s="7">
        <f>(P48-N48)*(Q45-O48)-(Q48-O48)*(P45-N48)</f>
        <v>0</v>
      </c>
      <c r="S1464" s="7">
        <f>IF(N1464,IF(AND(O1464*P1464&lt;=0,Q1464*R1464&lt;=0,MAX(MIN(N45,P45),MIN(N48,P48))&lt;=MIN(MAX(N45,P45),MAX(N48,P48)),MAX(MIN(O45,Q45),MIN(O48,Q48))&lt;=MIN(MAX(O45,Q45),MAX(O48,Q48))),1,0),0)</f>
        <v>0</v>
      </c>
      <c r="T1464" s="7"/>
      <c r="U1464" s="7"/>
      <c r="V1464" s="7"/>
      <c r="W1464" s="7"/>
      <c r="X1464" s="7"/>
      <c r="Y1464" s="7"/>
      <c r="Z1464" s="7"/>
      <c r="AA1464" s="7"/>
      <c r="AB1464" s="7"/>
      <c r="AC1464" s="7"/>
      <c r="AD1464" s="7"/>
      <c r="AE1464" s="7"/>
      <c r="AF1464" s="7"/>
      <c r="AG1464" s="7"/>
      <c r="AH1464" s="7"/>
      <c r="AI1464" s="7"/>
    </row>
    <row r="1465" spans="12:35">
      <c r="L1465" s="7">
        <v>45</v>
      </c>
      <c r="M1465" s="7">
        <v>49</v>
      </c>
      <c r="N1465" s="7" t="b">
        <f>AND($N$6,$N$6,14&lt;=$M$6,18&lt;=$M$6)</f>
        <v>0</v>
      </c>
      <c r="O1465" s="7">
        <f>(P45-N45)*(O49-O45)-(Q45-O45)*(N49-N45)</f>
        <v>0</v>
      </c>
      <c r="P1465" s="7">
        <f>(P45-N45)*(Q49-O45)-(Q45-O45)*(P49-N45)</f>
        <v>0</v>
      </c>
      <c r="Q1465" s="7">
        <f>(P49-N49)*(O45-O49)-(Q49-O49)*(N45-N49)</f>
        <v>0</v>
      </c>
      <c r="R1465" s="7">
        <f>(P49-N49)*(Q45-O49)-(Q49-O49)*(P45-N49)</f>
        <v>0</v>
      </c>
      <c r="S1465" s="7">
        <f>IF(N1465,IF(AND(O1465*P1465&lt;=0,Q1465*R1465&lt;=0,MAX(MIN(N45,P45),MIN(N49,P49))&lt;=MIN(MAX(N45,P45),MAX(N49,P49)),MAX(MIN(O45,Q45),MIN(O49,Q49))&lt;=MIN(MAX(O45,Q45),MAX(O49,Q49))),1,0),0)</f>
        <v>0</v>
      </c>
      <c r="T1465" s="7"/>
      <c r="U1465" s="7"/>
      <c r="V1465" s="7"/>
      <c r="W1465" s="7"/>
      <c r="X1465" s="7"/>
      <c r="Y1465" s="7"/>
      <c r="Z1465" s="7"/>
      <c r="AA1465" s="7"/>
      <c r="AB1465" s="7"/>
      <c r="AC1465" s="7"/>
      <c r="AD1465" s="7"/>
      <c r="AE1465" s="7"/>
      <c r="AF1465" s="7"/>
      <c r="AG1465" s="7"/>
      <c r="AH1465" s="7"/>
      <c r="AI1465" s="7"/>
    </row>
    <row r="1466" spans="12:35">
      <c r="L1466" s="7">
        <v>45</v>
      </c>
      <c r="M1466" s="7">
        <v>50</v>
      </c>
      <c r="N1466" s="7" t="b">
        <f>AND($N$6,$N$6,14&lt;=$M$6,19&lt;=$M$6)</f>
        <v>0</v>
      </c>
      <c r="O1466" s="7">
        <f>(P45-N45)*(O50-O45)-(Q45-O45)*(N50-N45)</f>
        <v>0</v>
      </c>
      <c r="P1466" s="7">
        <f>(P45-N45)*(Q50-O45)-(Q45-O45)*(P50-N45)</f>
        <v>0</v>
      </c>
      <c r="Q1466" s="7">
        <f>(P50-N50)*(O45-O50)-(Q50-O50)*(N45-N50)</f>
        <v>0</v>
      </c>
      <c r="R1466" s="7">
        <f>(P50-N50)*(Q45-O50)-(Q50-O50)*(P45-N50)</f>
        <v>0</v>
      </c>
      <c r="S1466" s="7">
        <f>IF(N1466,IF(AND(O1466*P1466&lt;=0,Q1466*R1466&lt;=0,MAX(MIN(N45,P45),MIN(N50,P50))&lt;=MIN(MAX(N45,P45),MAX(N50,P50)),MAX(MIN(O45,Q45),MIN(O50,Q50))&lt;=MIN(MAX(O45,Q45),MAX(O50,Q50))),1,0),0)</f>
        <v>0</v>
      </c>
      <c r="T1466" s="7"/>
      <c r="U1466" s="7"/>
      <c r="V1466" s="7"/>
      <c r="W1466" s="7"/>
      <c r="X1466" s="7"/>
      <c r="Y1466" s="7"/>
      <c r="Z1466" s="7"/>
      <c r="AA1466" s="7"/>
      <c r="AB1466" s="7"/>
      <c r="AC1466" s="7"/>
      <c r="AD1466" s="7"/>
      <c r="AE1466" s="7"/>
      <c r="AF1466" s="7"/>
      <c r="AG1466" s="7"/>
      <c r="AH1466" s="7"/>
      <c r="AI1466" s="7"/>
    </row>
    <row r="1467" spans="12:35">
      <c r="L1467" s="7">
        <v>45</v>
      </c>
      <c r="M1467" s="7">
        <v>51</v>
      </c>
      <c r="N1467" s="7" t="b">
        <f>AND($N$6,$N$6,14&lt;=$M$6,20&lt;=$M$6)</f>
        <v>0</v>
      </c>
      <c r="O1467" s="7">
        <f>(P45-N45)*(O51-O45)-(Q45-O45)*(N51-N45)</f>
        <v>0</v>
      </c>
      <c r="P1467" s="7">
        <f>(P45-N45)*(Q51-O45)-(Q45-O45)*(P51-N45)</f>
        <v>0</v>
      </c>
      <c r="Q1467" s="7">
        <f>(P51-N51)*(O45-O51)-(Q51-O51)*(N45-N51)</f>
        <v>0</v>
      </c>
      <c r="R1467" s="7">
        <f>(P51-N51)*(Q45-O51)-(Q51-O51)*(P45-N51)</f>
        <v>0</v>
      </c>
      <c r="S1467" s="7">
        <f>IF(N1467,IF(AND(O1467*P1467&lt;=0,Q1467*R1467&lt;=0,MAX(MIN(N45,P45),MIN(N51,P51))&lt;=MIN(MAX(N45,P45),MAX(N51,P51)),MAX(MIN(O45,Q45),MIN(O51,Q51))&lt;=MIN(MAX(O45,Q45),MAX(O51,Q51))),1,0),0)</f>
        <v>0</v>
      </c>
      <c r="T1467" s="7"/>
      <c r="U1467" s="7"/>
      <c r="V1467" s="7"/>
      <c r="W1467" s="7"/>
      <c r="X1467" s="7"/>
      <c r="Y1467" s="7"/>
      <c r="Z1467" s="7"/>
      <c r="AA1467" s="7"/>
      <c r="AB1467" s="7"/>
      <c r="AC1467" s="7"/>
      <c r="AD1467" s="7"/>
      <c r="AE1467" s="7"/>
      <c r="AF1467" s="7"/>
      <c r="AG1467" s="7"/>
      <c r="AH1467" s="7"/>
      <c r="AI1467" s="7"/>
    </row>
    <row r="1468" spans="12:35">
      <c r="L1468" s="7">
        <v>45</v>
      </c>
      <c r="M1468" s="7">
        <v>52</v>
      </c>
      <c r="N1468" s="7" t="b">
        <f>AND($N$6,$N$7,14&lt;=$M$6,1&lt;=$M$7)</f>
        <v>0</v>
      </c>
      <c r="O1468" s="7">
        <f>(P45-N45)*(O52-O45)-(Q45-O45)*(N52-N45)</f>
        <v>0</v>
      </c>
      <c r="P1468" s="7">
        <f>(P45-N45)*(Q52-O45)-(Q45-O45)*(P52-N45)</f>
        <v>0</v>
      </c>
      <c r="Q1468" s="7">
        <f>(P52-N52)*(O45-O52)-(Q52-O52)*(N45-N52)</f>
        <v>0</v>
      </c>
      <c r="R1468" s="7">
        <f>(P52-N52)*(Q45-O52)-(Q52-O52)*(P45-N52)</f>
        <v>0</v>
      </c>
      <c r="S1468" s="7">
        <f>IF(N1468,IF(AND(O1468*P1468&lt;=0,Q1468*R1468&lt;=0,MAX(MIN(N45,P45),MIN(N52,P52))&lt;=MIN(MAX(N45,P45),MAX(N52,P52)),MAX(MIN(O45,Q45),MIN(O52,Q52))&lt;=MIN(MAX(O45,Q45),MAX(O52,Q52))),1,0),0)</f>
        <v>0</v>
      </c>
      <c r="T1468" s="7"/>
      <c r="U1468" s="7"/>
      <c r="V1468" s="7"/>
      <c r="W1468" s="7"/>
      <c r="X1468" s="7"/>
      <c r="Y1468" s="7"/>
      <c r="Z1468" s="7"/>
      <c r="AA1468" s="7"/>
      <c r="AB1468" s="7"/>
      <c r="AC1468" s="7"/>
      <c r="AD1468" s="7"/>
      <c r="AE1468" s="7"/>
      <c r="AF1468" s="7"/>
      <c r="AG1468" s="7"/>
      <c r="AH1468" s="7"/>
      <c r="AI1468" s="7"/>
    </row>
    <row r="1469" spans="12:35">
      <c r="L1469" s="7">
        <v>45</v>
      </c>
      <c r="M1469" s="7">
        <v>53</v>
      </c>
      <c r="N1469" s="7" t="b">
        <f>AND($N$6,$N$7,14&lt;=$M$6,2&lt;=$M$7)</f>
        <v>0</v>
      </c>
      <c r="O1469" s="7">
        <f>(P45-N45)*(O53-O45)-(Q45-O45)*(N53-N45)</f>
        <v>0</v>
      </c>
      <c r="P1469" s="7">
        <f>(P45-N45)*(Q53-O45)-(Q45-O45)*(P53-N45)</f>
        <v>0</v>
      </c>
      <c r="Q1469" s="7">
        <f>(P53-N53)*(O45-O53)-(Q53-O53)*(N45-N53)</f>
        <v>0</v>
      </c>
      <c r="R1469" s="7">
        <f>(P53-N53)*(Q45-O53)-(Q53-O53)*(P45-N53)</f>
        <v>0</v>
      </c>
      <c r="S1469" s="7">
        <f>IF(N1469,IF(AND(O1469*P1469&lt;=0,Q1469*R1469&lt;=0,MAX(MIN(N45,P45),MIN(N53,P53))&lt;=MIN(MAX(N45,P45),MAX(N53,P53)),MAX(MIN(O45,Q45),MIN(O53,Q53))&lt;=MIN(MAX(O45,Q45),MAX(O53,Q53))),1,0),0)</f>
        <v>0</v>
      </c>
      <c r="T1469" s="7"/>
      <c r="U1469" s="7"/>
      <c r="V1469" s="7"/>
      <c r="W1469" s="7"/>
      <c r="X1469" s="7"/>
      <c r="Y1469" s="7"/>
      <c r="Z1469" s="7"/>
      <c r="AA1469" s="7"/>
      <c r="AB1469" s="7"/>
      <c r="AC1469" s="7"/>
      <c r="AD1469" s="7"/>
      <c r="AE1469" s="7"/>
      <c r="AF1469" s="7"/>
      <c r="AG1469" s="7"/>
      <c r="AH1469" s="7"/>
      <c r="AI1469" s="7"/>
    </row>
    <row r="1470" spans="12:35">
      <c r="L1470" s="7">
        <v>45</v>
      </c>
      <c r="M1470" s="7">
        <v>54</v>
      </c>
      <c r="N1470" s="7" t="b">
        <f>AND($N$6,$N$7,14&lt;=$M$6,3&lt;=$M$7)</f>
        <v>0</v>
      </c>
      <c r="O1470" s="7">
        <f>(P45-N45)*(O54-O45)-(Q45-O45)*(N54-N45)</f>
        <v>0</v>
      </c>
      <c r="P1470" s="7">
        <f>(P45-N45)*(Q54-O45)-(Q45-O45)*(P54-N45)</f>
        <v>0</v>
      </c>
      <c r="Q1470" s="7">
        <f>(P54-N54)*(O45-O54)-(Q54-O54)*(N45-N54)</f>
        <v>0</v>
      </c>
      <c r="R1470" s="7">
        <f>(P54-N54)*(Q45-O54)-(Q54-O54)*(P45-N54)</f>
        <v>0</v>
      </c>
      <c r="S1470" s="7">
        <f>IF(N1470,IF(AND(O1470*P1470&lt;=0,Q1470*R1470&lt;=0,MAX(MIN(N45,P45),MIN(N54,P54))&lt;=MIN(MAX(N45,P45),MAX(N54,P54)),MAX(MIN(O45,Q45),MIN(O54,Q54))&lt;=MIN(MAX(O45,Q45),MAX(O54,Q54))),1,0),0)</f>
        <v>0</v>
      </c>
      <c r="T1470" s="7"/>
      <c r="U1470" s="7"/>
      <c r="V1470" s="7"/>
      <c r="W1470" s="7"/>
      <c r="X1470" s="7"/>
      <c r="Y1470" s="7"/>
      <c r="Z1470" s="7"/>
      <c r="AA1470" s="7"/>
      <c r="AB1470" s="7"/>
      <c r="AC1470" s="7"/>
      <c r="AD1470" s="7"/>
      <c r="AE1470" s="7"/>
      <c r="AF1470" s="7"/>
      <c r="AG1470" s="7"/>
      <c r="AH1470" s="7"/>
      <c r="AI1470" s="7"/>
    </row>
    <row r="1471" spans="12:35">
      <c r="L1471" s="7">
        <v>45</v>
      </c>
      <c r="M1471" s="7">
        <v>55</v>
      </c>
      <c r="N1471" s="7" t="b">
        <f>AND($N$6,$N$7,14&lt;=$M$6,4&lt;=$M$7)</f>
        <v>0</v>
      </c>
      <c r="O1471" s="7">
        <f>(P45-N45)*(O55-O45)-(Q45-O45)*(N55-N45)</f>
        <v>0</v>
      </c>
      <c r="P1471" s="7">
        <f>(P45-N45)*(Q55-O45)-(Q45-O45)*(P55-N45)</f>
        <v>0</v>
      </c>
      <c r="Q1471" s="7">
        <f>(P55-N55)*(O45-O55)-(Q55-O55)*(N45-N55)</f>
        <v>0</v>
      </c>
      <c r="R1471" s="7">
        <f>(P55-N55)*(Q45-O55)-(Q55-O55)*(P45-N55)</f>
        <v>0</v>
      </c>
      <c r="S1471" s="7">
        <f>IF(N1471,IF(AND(O1471*P1471&lt;=0,Q1471*R1471&lt;=0,MAX(MIN(N45,P45),MIN(N55,P55))&lt;=MIN(MAX(N45,P45),MAX(N55,P55)),MAX(MIN(O45,Q45),MIN(O55,Q55))&lt;=MIN(MAX(O45,Q45),MAX(O55,Q55))),1,0),0)</f>
        <v>0</v>
      </c>
      <c r="T1471" s="7"/>
      <c r="U1471" s="7"/>
      <c r="V1471" s="7"/>
      <c r="W1471" s="7"/>
      <c r="X1471" s="7"/>
      <c r="Y1471" s="7"/>
      <c r="Z1471" s="7"/>
      <c r="AA1471" s="7"/>
      <c r="AB1471" s="7"/>
      <c r="AC1471" s="7"/>
      <c r="AD1471" s="7"/>
      <c r="AE1471" s="7"/>
      <c r="AF1471" s="7"/>
      <c r="AG1471" s="7"/>
      <c r="AH1471" s="7"/>
      <c r="AI1471" s="7"/>
    </row>
    <row r="1472" spans="12:35">
      <c r="L1472" s="7">
        <v>45</v>
      </c>
      <c r="M1472" s="7">
        <v>56</v>
      </c>
      <c r="N1472" s="7" t="b">
        <f>AND($N$6,$N$7,14&lt;=$M$6,5&lt;=$M$7)</f>
        <v>0</v>
      </c>
      <c r="O1472" s="7">
        <f>(P45-N45)*(O56-O45)-(Q45-O45)*(N56-N45)</f>
        <v>0</v>
      </c>
      <c r="P1472" s="7">
        <f>(P45-N45)*(Q56-O45)-(Q45-O45)*(P56-N45)</f>
        <v>0</v>
      </c>
      <c r="Q1472" s="7">
        <f>(P56-N56)*(O45-O56)-(Q56-O56)*(N45-N56)</f>
        <v>0</v>
      </c>
      <c r="R1472" s="7">
        <f>(P56-N56)*(Q45-O56)-(Q56-O56)*(P45-N56)</f>
        <v>0</v>
      </c>
      <c r="S1472" s="7">
        <f>IF(N1472,IF(AND(O1472*P1472&lt;=0,Q1472*R1472&lt;=0,MAX(MIN(N45,P45),MIN(N56,P56))&lt;=MIN(MAX(N45,P45),MAX(N56,P56)),MAX(MIN(O45,Q45),MIN(O56,Q56))&lt;=MIN(MAX(O45,Q45),MAX(O56,Q56))),1,0),0)</f>
        <v>0</v>
      </c>
      <c r="T1472" s="7"/>
      <c r="U1472" s="7"/>
      <c r="V1472" s="7"/>
      <c r="W1472" s="7"/>
      <c r="X1472" s="7"/>
      <c r="Y1472" s="7"/>
      <c r="Z1472" s="7"/>
      <c r="AA1472" s="7"/>
      <c r="AB1472" s="7"/>
      <c r="AC1472" s="7"/>
      <c r="AD1472" s="7"/>
      <c r="AE1472" s="7"/>
      <c r="AF1472" s="7"/>
      <c r="AG1472" s="7"/>
      <c r="AH1472" s="7"/>
      <c r="AI1472" s="7"/>
    </row>
    <row r="1473" spans="12:35">
      <c r="L1473" s="7">
        <v>45</v>
      </c>
      <c r="M1473" s="7">
        <v>57</v>
      </c>
      <c r="N1473" s="7" t="b">
        <f>AND($N$6,$N$7,14&lt;=$M$6,6&lt;=$M$7)</f>
        <v>0</v>
      </c>
      <c r="O1473" s="7">
        <f>(P45-N45)*(O57-O45)-(Q45-O45)*(N57-N45)</f>
        <v>0</v>
      </c>
      <c r="P1473" s="7">
        <f>(P45-N45)*(Q57-O45)-(Q45-O45)*(P57-N45)</f>
        <v>0</v>
      </c>
      <c r="Q1473" s="7">
        <f>(P57-N57)*(O45-O57)-(Q57-O57)*(N45-N57)</f>
        <v>0</v>
      </c>
      <c r="R1473" s="7">
        <f>(P57-N57)*(Q45-O57)-(Q57-O57)*(P45-N57)</f>
        <v>0</v>
      </c>
      <c r="S1473" s="7">
        <f>IF(N1473,IF(AND(O1473*P1473&lt;=0,Q1473*R1473&lt;=0,MAX(MIN(N45,P45),MIN(N57,P57))&lt;=MIN(MAX(N45,P45),MAX(N57,P57)),MAX(MIN(O45,Q45),MIN(O57,Q57))&lt;=MIN(MAX(O45,Q45),MAX(O57,Q57))),1,0),0)</f>
        <v>0</v>
      </c>
      <c r="T1473" s="7"/>
      <c r="U1473" s="7"/>
      <c r="V1473" s="7"/>
      <c r="W1473" s="7"/>
      <c r="X1473" s="7"/>
      <c r="Y1473" s="7"/>
      <c r="Z1473" s="7"/>
      <c r="AA1473" s="7"/>
      <c r="AB1473" s="7"/>
      <c r="AC1473" s="7"/>
      <c r="AD1473" s="7"/>
      <c r="AE1473" s="7"/>
      <c r="AF1473" s="7"/>
      <c r="AG1473" s="7"/>
      <c r="AH1473" s="7"/>
      <c r="AI1473" s="7"/>
    </row>
    <row r="1474" spans="12:35">
      <c r="L1474" s="7">
        <v>45</v>
      </c>
      <c r="M1474" s="7">
        <v>58</v>
      </c>
      <c r="N1474" s="7" t="b">
        <f>AND($N$6,$N$7,14&lt;=$M$6,7&lt;=$M$7)</f>
        <v>0</v>
      </c>
      <c r="O1474" s="7">
        <f>(P45-N45)*(O58-O45)-(Q45-O45)*(N58-N45)</f>
        <v>0</v>
      </c>
      <c r="P1474" s="7">
        <f>(P45-N45)*(Q58-O45)-(Q45-O45)*(P58-N45)</f>
        <v>0</v>
      </c>
      <c r="Q1474" s="7">
        <f>(P58-N58)*(O45-O58)-(Q58-O58)*(N45-N58)</f>
        <v>0</v>
      </c>
      <c r="R1474" s="7">
        <f>(P58-N58)*(Q45-O58)-(Q58-O58)*(P45-N58)</f>
        <v>0</v>
      </c>
      <c r="S1474" s="7">
        <f>IF(N1474,IF(AND(O1474*P1474&lt;=0,Q1474*R1474&lt;=0,MAX(MIN(N45,P45),MIN(N58,P58))&lt;=MIN(MAX(N45,P45),MAX(N58,P58)),MAX(MIN(O45,Q45),MIN(O58,Q58))&lt;=MIN(MAX(O45,Q45),MAX(O58,Q58))),1,0),0)</f>
        <v>0</v>
      </c>
      <c r="T1474" s="7"/>
      <c r="U1474" s="7"/>
      <c r="V1474" s="7"/>
      <c r="W1474" s="7"/>
      <c r="X1474" s="7"/>
      <c r="Y1474" s="7"/>
      <c r="Z1474" s="7"/>
      <c r="AA1474" s="7"/>
      <c r="AB1474" s="7"/>
      <c r="AC1474" s="7"/>
      <c r="AD1474" s="7"/>
      <c r="AE1474" s="7"/>
      <c r="AF1474" s="7"/>
      <c r="AG1474" s="7"/>
      <c r="AH1474" s="7"/>
      <c r="AI1474" s="7"/>
    </row>
    <row r="1475" spans="12:35">
      <c r="L1475" s="7">
        <v>45</v>
      </c>
      <c r="M1475" s="7">
        <v>59</v>
      </c>
      <c r="N1475" s="7" t="b">
        <f>AND($N$6,$N$7,14&lt;=$M$6,8&lt;=$M$7)</f>
        <v>0</v>
      </c>
      <c r="O1475" s="7">
        <f>(P45-N45)*(O59-O45)-(Q45-O45)*(N59-N45)</f>
        <v>0</v>
      </c>
      <c r="P1475" s="7">
        <f>(P45-N45)*(Q59-O45)-(Q45-O45)*(P59-N45)</f>
        <v>0</v>
      </c>
      <c r="Q1475" s="7">
        <f>(P59-N59)*(O45-O59)-(Q59-O59)*(N45-N59)</f>
        <v>0</v>
      </c>
      <c r="R1475" s="7">
        <f>(P59-N59)*(Q45-O59)-(Q59-O59)*(P45-N59)</f>
        <v>0</v>
      </c>
      <c r="S1475" s="7">
        <f>IF(N1475,IF(AND(O1475*P1475&lt;=0,Q1475*R1475&lt;=0,MAX(MIN(N45,P45),MIN(N59,P59))&lt;=MIN(MAX(N45,P45),MAX(N59,P59)),MAX(MIN(O45,Q45),MIN(O59,Q59))&lt;=MIN(MAX(O45,Q45),MAX(O59,Q59))),1,0),0)</f>
        <v>0</v>
      </c>
      <c r="T1475" s="7"/>
      <c r="U1475" s="7"/>
      <c r="V1475" s="7"/>
      <c r="W1475" s="7"/>
      <c r="X1475" s="7"/>
      <c r="Y1475" s="7"/>
      <c r="Z1475" s="7"/>
      <c r="AA1475" s="7"/>
      <c r="AB1475" s="7"/>
      <c r="AC1475" s="7"/>
      <c r="AD1475" s="7"/>
      <c r="AE1475" s="7"/>
      <c r="AF1475" s="7"/>
      <c r="AG1475" s="7"/>
      <c r="AH1475" s="7"/>
      <c r="AI1475" s="7"/>
    </row>
    <row r="1476" spans="12:35">
      <c r="L1476" s="7">
        <v>45</v>
      </c>
      <c r="M1476" s="7">
        <v>60</v>
      </c>
      <c r="N1476" s="7" t="b">
        <f>AND($N$6,$N$7,14&lt;=$M$6,9&lt;=$M$7)</f>
        <v>0</v>
      </c>
      <c r="O1476" s="7">
        <f>(P45-N45)*(O60-O45)-(Q45-O45)*(N60-N45)</f>
        <v>0</v>
      </c>
      <c r="P1476" s="7">
        <f>(P45-N45)*(Q60-O45)-(Q45-O45)*(P60-N45)</f>
        <v>0</v>
      </c>
      <c r="Q1476" s="7">
        <f>(P60-N60)*(O45-O60)-(Q60-O60)*(N45-N60)</f>
        <v>0</v>
      </c>
      <c r="R1476" s="7">
        <f>(P60-N60)*(Q45-O60)-(Q60-O60)*(P45-N60)</f>
        <v>0</v>
      </c>
      <c r="S1476" s="7">
        <f>IF(N1476,IF(AND(O1476*P1476&lt;=0,Q1476*R1476&lt;=0,MAX(MIN(N45,P45),MIN(N60,P60))&lt;=MIN(MAX(N45,P45),MAX(N60,P60)),MAX(MIN(O45,Q45),MIN(O60,Q60))&lt;=MIN(MAX(O45,Q45),MAX(O60,Q60))),1,0),0)</f>
        <v>0</v>
      </c>
      <c r="T1476" s="7"/>
      <c r="U1476" s="7"/>
      <c r="V1476" s="7"/>
      <c r="W1476" s="7"/>
      <c r="X1476" s="7"/>
      <c r="Y1476" s="7"/>
      <c r="Z1476" s="7"/>
      <c r="AA1476" s="7"/>
      <c r="AB1476" s="7"/>
      <c r="AC1476" s="7"/>
      <c r="AD1476" s="7"/>
      <c r="AE1476" s="7"/>
      <c r="AF1476" s="7"/>
      <c r="AG1476" s="7"/>
      <c r="AH1476" s="7"/>
      <c r="AI1476" s="7"/>
    </row>
    <row r="1477" spans="12:35">
      <c r="L1477" s="7">
        <v>45</v>
      </c>
      <c r="M1477" s="7">
        <v>61</v>
      </c>
      <c r="N1477" s="7" t="b">
        <f>AND($N$6,$N$7,14&lt;=$M$6,10&lt;=$M$7)</f>
        <v>0</v>
      </c>
      <c r="O1477" s="7">
        <f>(P45-N45)*(O61-O45)-(Q45-O45)*(N61-N45)</f>
        <v>0</v>
      </c>
      <c r="P1477" s="7">
        <f>(P45-N45)*(Q61-O45)-(Q45-O45)*(P61-N45)</f>
        <v>0</v>
      </c>
      <c r="Q1477" s="7">
        <f>(P61-N61)*(O45-O61)-(Q61-O61)*(N45-N61)</f>
        <v>0</v>
      </c>
      <c r="R1477" s="7">
        <f>(P61-N61)*(Q45-O61)-(Q61-O61)*(P45-N61)</f>
        <v>0</v>
      </c>
      <c r="S1477" s="7">
        <f>IF(N1477,IF(AND(O1477*P1477&lt;=0,Q1477*R1477&lt;=0,MAX(MIN(N45,P45),MIN(N61,P61))&lt;=MIN(MAX(N45,P45),MAX(N61,P61)),MAX(MIN(O45,Q45),MIN(O61,Q61))&lt;=MIN(MAX(O45,Q45),MAX(O61,Q61))),1,0),0)</f>
        <v>0</v>
      </c>
      <c r="T1477" s="7"/>
      <c r="U1477" s="7"/>
      <c r="V1477" s="7"/>
      <c r="W1477" s="7"/>
      <c r="X1477" s="7"/>
      <c r="Y1477" s="7"/>
      <c r="Z1477" s="7"/>
      <c r="AA1477" s="7"/>
      <c r="AB1477" s="7"/>
      <c r="AC1477" s="7"/>
      <c r="AD1477" s="7"/>
      <c r="AE1477" s="7"/>
      <c r="AF1477" s="7"/>
      <c r="AG1477" s="7"/>
      <c r="AH1477" s="7"/>
      <c r="AI1477" s="7"/>
    </row>
    <row r="1478" spans="12:35">
      <c r="L1478" s="7">
        <v>45</v>
      </c>
      <c r="M1478" s="7">
        <v>62</v>
      </c>
      <c r="N1478" s="7" t="b">
        <f>AND($N$6,$N$7,14&lt;=$M$6,11&lt;=$M$7)</f>
        <v>0</v>
      </c>
      <c r="O1478" s="7">
        <f>(P45-N45)*(O62-O45)-(Q45-O45)*(N62-N45)</f>
        <v>0</v>
      </c>
      <c r="P1478" s="7">
        <f>(P45-N45)*(Q62-O45)-(Q45-O45)*(P62-N45)</f>
        <v>0</v>
      </c>
      <c r="Q1478" s="7">
        <f>(P62-N62)*(O45-O62)-(Q62-O62)*(N45-N62)</f>
        <v>0</v>
      </c>
      <c r="R1478" s="7">
        <f>(P62-N62)*(Q45-O62)-(Q62-O62)*(P45-N62)</f>
        <v>0</v>
      </c>
      <c r="S1478" s="7">
        <f>IF(N1478,IF(AND(O1478*P1478&lt;=0,Q1478*R1478&lt;=0,MAX(MIN(N45,P45),MIN(N62,P62))&lt;=MIN(MAX(N45,P45),MAX(N62,P62)),MAX(MIN(O45,Q45),MIN(O62,Q62))&lt;=MIN(MAX(O45,Q45),MAX(O62,Q62))),1,0),0)</f>
        <v>0</v>
      </c>
      <c r="T1478" s="7"/>
      <c r="U1478" s="7"/>
      <c r="V1478" s="7"/>
      <c r="W1478" s="7"/>
      <c r="X1478" s="7"/>
      <c r="Y1478" s="7"/>
      <c r="Z1478" s="7"/>
      <c r="AA1478" s="7"/>
      <c r="AB1478" s="7"/>
      <c r="AC1478" s="7"/>
      <c r="AD1478" s="7"/>
      <c r="AE1478" s="7"/>
      <c r="AF1478" s="7"/>
      <c r="AG1478" s="7"/>
      <c r="AH1478" s="7"/>
      <c r="AI1478" s="7"/>
    </row>
    <row r="1479" spans="12:35">
      <c r="L1479" s="7">
        <v>45</v>
      </c>
      <c r="M1479" s="7">
        <v>63</v>
      </c>
      <c r="N1479" s="7" t="b">
        <f>AND($N$6,$N$7,14&lt;=$M$6,12&lt;=$M$7)</f>
        <v>0</v>
      </c>
      <c r="O1479" s="7">
        <f>(P45-N45)*(O63-O45)-(Q45-O45)*(N63-N45)</f>
        <v>0</v>
      </c>
      <c r="P1479" s="7">
        <f>(P45-N45)*(Q63-O45)-(Q45-O45)*(P63-N45)</f>
        <v>0</v>
      </c>
      <c r="Q1479" s="7">
        <f>(P63-N63)*(O45-O63)-(Q63-O63)*(N45-N63)</f>
        <v>0</v>
      </c>
      <c r="R1479" s="7">
        <f>(P63-N63)*(Q45-O63)-(Q63-O63)*(P45-N63)</f>
        <v>0</v>
      </c>
      <c r="S1479" s="7">
        <f>IF(N1479,IF(AND(O1479*P1479&lt;=0,Q1479*R1479&lt;=0,MAX(MIN(N45,P45),MIN(N63,P63))&lt;=MIN(MAX(N45,P45),MAX(N63,P63)),MAX(MIN(O45,Q45),MIN(O63,Q63))&lt;=MIN(MAX(O45,Q45),MAX(O63,Q63))),1,0),0)</f>
        <v>0</v>
      </c>
      <c r="T1479" s="7"/>
      <c r="U1479" s="7"/>
      <c r="V1479" s="7"/>
      <c r="W1479" s="7"/>
      <c r="X1479" s="7"/>
      <c r="Y1479" s="7"/>
      <c r="Z1479" s="7"/>
      <c r="AA1479" s="7"/>
      <c r="AB1479" s="7"/>
      <c r="AC1479" s="7"/>
      <c r="AD1479" s="7"/>
      <c r="AE1479" s="7"/>
      <c r="AF1479" s="7"/>
      <c r="AG1479" s="7"/>
      <c r="AH1479" s="7"/>
      <c r="AI1479" s="7"/>
    </row>
    <row r="1480" spans="12:35">
      <c r="L1480" s="7">
        <v>45</v>
      </c>
      <c r="M1480" s="7">
        <v>64</v>
      </c>
      <c r="N1480" s="7" t="b">
        <f>AND($N$6,$N$7,14&lt;=$M$6,13&lt;=$M$7)</f>
        <v>0</v>
      </c>
      <c r="O1480" s="7">
        <f>(P45-N45)*(O64-O45)-(Q45-O45)*(N64-N45)</f>
        <v>0</v>
      </c>
      <c r="P1480" s="7">
        <f>(P45-N45)*(Q64-O45)-(Q45-O45)*(P64-N45)</f>
        <v>0</v>
      </c>
      <c r="Q1480" s="7">
        <f>(P64-N64)*(O45-O64)-(Q64-O64)*(N45-N64)</f>
        <v>0</v>
      </c>
      <c r="R1480" s="7">
        <f>(P64-N64)*(Q45-O64)-(Q64-O64)*(P45-N64)</f>
        <v>0</v>
      </c>
      <c r="S1480" s="7">
        <f>IF(N1480,IF(AND(O1480*P1480&lt;=0,Q1480*R1480&lt;=0,MAX(MIN(N45,P45),MIN(N64,P64))&lt;=MIN(MAX(N45,P45),MAX(N64,P64)),MAX(MIN(O45,Q45),MIN(O64,Q64))&lt;=MIN(MAX(O45,Q45),MAX(O64,Q64))),1,0),0)</f>
        <v>0</v>
      </c>
      <c r="T1480" s="7"/>
      <c r="U1480" s="7"/>
      <c r="V1480" s="7"/>
      <c r="W1480" s="7"/>
      <c r="X1480" s="7"/>
      <c r="Y1480" s="7"/>
      <c r="Z1480" s="7"/>
      <c r="AA1480" s="7"/>
      <c r="AB1480" s="7"/>
      <c r="AC1480" s="7"/>
      <c r="AD1480" s="7"/>
      <c r="AE1480" s="7"/>
      <c r="AF1480" s="7"/>
      <c r="AG1480" s="7"/>
      <c r="AH1480" s="7"/>
      <c r="AI1480" s="7"/>
    </row>
    <row r="1481" spans="12:35">
      <c r="L1481" s="7">
        <v>45</v>
      </c>
      <c r="M1481" s="7">
        <v>65</v>
      </c>
      <c r="N1481" s="7" t="b">
        <f>AND($N$6,$N$7,14&lt;=$M$6,14&lt;=$M$7)</f>
        <v>0</v>
      </c>
      <c r="O1481" s="7">
        <f>(P45-N45)*(O65-O45)-(Q45-O45)*(N65-N45)</f>
        <v>0</v>
      </c>
      <c r="P1481" s="7">
        <f>(P45-N45)*(Q65-O45)-(Q45-O45)*(P65-N45)</f>
        <v>0</v>
      </c>
      <c r="Q1481" s="7">
        <f>(P65-N65)*(O45-O65)-(Q65-O65)*(N45-N65)</f>
        <v>0</v>
      </c>
      <c r="R1481" s="7">
        <f>(P65-N65)*(Q45-O65)-(Q65-O65)*(P45-N65)</f>
        <v>0</v>
      </c>
      <c r="S1481" s="7">
        <f>IF(N1481,IF(AND(O1481*P1481&lt;=0,Q1481*R1481&lt;=0,MAX(MIN(N45,P45),MIN(N65,P65))&lt;=MIN(MAX(N45,P45),MAX(N65,P65)),MAX(MIN(O45,Q45),MIN(O65,Q65))&lt;=MIN(MAX(O45,Q45),MAX(O65,Q65))),1,0),0)</f>
        <v>0</v>
      </c>
      <c r="T1481" s="7"/>
      <c r="U1481" s="7"/>
      <c r="V1481" s="7"/>
      <c r="W1481" s="7"/>
      <c r="X1481" s="7"/>
      <c r="Y1481" s="7"/>
      <c r="Z1481" s="7"/>
      <c r="AA1481" s="7"/>
      <c r="AB1481" s="7"/>
      <c r="AC1481" s="7"/>
      <c r="AD1481" s="7"/>
      <c r="AE1481" s="7"/>
      <c r="AF1481" s="7"/>
      <c r="AG1481" s="7"/>
      <c r="AH1481" s="7"/>
      <c r="AI1481" s="7"/>
    </row>
    <row r="1482" spans="12:35">
      <c r="L1482" s="7">
        <v>45</v>
      </c>
      <c r="M1482" s="7">
        <v>66</v>
      </c>
      <c r="N1482" s="7" t="b">
        <f>AND($N$6,$N$7,14&lt;=$M$6,15&lt;=$M$7)</f>
        <v>0</v>
      </c>
      <c r="O1482" s="7">
        <f>(P45-N45)*(O66-O45)-(Q45-O45)*(N66-N45)</f>
        <v>0</v>
      </c>
      <c r="P1482" s="7">
        <f>(P45-N45)*(Q66-O45)-(Q45-O45)*(P66-N45)</f>
        <v>0</v>
      </c>
      <c r="Q1482" s="7">
        <f>(P66-N66)*(O45-O66)-(Q66-O66)*(N45-N66)</f>
        <v>0</v>
      </c>
      <c r="R1482" s="7">
        <f>(P66-N66)*(Q45-O66)-(Q66-O66)*(P45-N66)</f>
        <v>0</v>
      </c>
      <c r="S1482" s="7">
        <f>IF(N1482,IF(AND(O1482*P1482&lt;=0,Q1482*R1482&lt;=0,MAX(MIN(N45,P45),MIN(N66,P66))&lt;=MIN(MAX(N45,P45),MAX(N66,P66)),MAX(MIN(O45,Q45),MIN(O66,Q66))&lt;=MIN(MAX(O45,Q45),MAX(O66,Q66))),1,0),0)</f>
        <v>0</v>
      </c>
      <c r="T1482" s="7"/>
      <c r="U1482" s="7"/>
      <c r="V1482" s="7"/>
      <c r="W1482" s="7"/>
      <c r="X1482" s="7"/>
      <c r="Y1482" s="7"/>
      <c r="Z1482" s="7"/>
      <c r="AA1482" s="7"/>
      <c r="AB1482" s="7"/>
      <c r="AC1482" s="7"/>
      <c r="AD1482" s="7"/>
      <c r="AE1482" s="7"/>
      <c r="AF1482" s="7"/>
      <c r="AG1482" s="7"/>
      <c r="AH1482" s="7"/>
      <c r="AI1482" s="7"/>
    </row>
    <row r="1483" spans="12:35">
      <c r="L1483" s="7">
        <v>45</v>
      </c>
      <c r="M1483" s="7">
        <v>67</v>
      </c>
      <c r="N1483" s="7" t="b">
        <f>AND($N$6,$N$7,14&lt;=$M$6,16&lt;=$M$7)</f>
        <v>0</v>
      </c>
      <c r="O1483" s="7">
        <f>(P45-N45)*(O67-O45)-(Q45-O45)*(N67-N45)</f>
        <v>0</v>
      </c>
      <c r="P1483" s="7">
        <f>(P45-N45)*(Q67-O45)-(Q45-O45)*(P67-N45)</f>
        <v>0</v>
      </c>
      <c r="Q1483" s="7">
        <f>(P67-N67)*(O45-O67)-(Q67-O67)*(N45-N67)</f>
        <v>0</v>
      </c>
      <c r="R1483" s="7">
        <f>(P67-N67)*(Q45-O67)-(Q67-O67)*(P45-N67)</f>
        <v>0</v>
      </c>
      <c r="S1483" s="7">
        <f>IF(N1483,IF(AND(O1483*P1483&lt;=0,Q1483*R1483&lt;=0,MAX(MIN(N45,P45),MIN(N67,P67))&lt;=MIN(MAX(N45,P45),MAX(N67,P67)),MAX(MIN(O45,Q45),MIN(O67,Q67))&lt;=MIN(MAX(O45,Q45),MAX(O67,Q67))),1,0),0)</f>
        <v>0</v>
      </c>
      <c r="T1483" s="7"/>
      <c r="U1483" s="7"/>
      <c r="V1483" s="7"/>
      <c r="W1483" s="7"/>
      <c r="X1483" s="7"/>
      <c r="Y1483" s="7"/>
      <c r="Z1483" s="7"/>
      <c r="AA1483" s="7"/>
      <c r="AB1483" s="7"/>
      <c r="AC1483" s="7"/>
      <c r="AD1483" s="7"/>
      <c r="AE1483" s="7"/>
      <c r="AF1483" s="7"/>
      <c r="AG1483" s="7"/>
      <c r="AH1483" s="7"/>
      <c r="AI1483" s="7"/>
    </row>
    <row r="1484" spans="12:35">
      <c r="L1484" s="7">
        <v>45</v>
      </c>
      <c r="M1484" s="7">
        <v>68</v>
      </c>
      <c r="N1484" s="7" t="b">
        <f>AND($N$6,$N$7,14&lt;=$M$6,17&lt;=$M$7)</f>
        <v>0</v>
      </c>
      <c r="O1484" s="7">
        <f>(P45-N45)*(O68-O45)-(Q45-O45)*(N68-N45)</f>
        <v>0</v>
      </c>
      <c r="P1484" s="7">
        <f>(P45-N45)*(Q68-O45)-(Q45-O45)*(P68-N45)</f>
        <v>0</v>
      </c>
      <c r="Q1484" s="7">
        <f>(P68-N68)*(O45-O68)-(Q68-O68)*(N45-N68)</f>
        <v>0</v>
      </c>
      <c r="R1484" s="7">
        <f>(P68-N68)*(Q45-O68)-(Q68-O68)*(P45-N68)</f>
        <v>0</v>
      </c>
      <c r="S1484" s="7">
        <f>IF(N1484,IF(AND(O1484*P1484&lt;=0,Q1484*R1484&lt;=0,MAX(MIN(N45,P45),MIN(N68,P68))&lt;=MIN(MAX(N45,P45),MAX(N68,P68)),MAX(MIN(O45,Q45),MIN(O68,Q68))&lt;=MIN(MAX(O45,Q45),MAX(O68,Q68))),1,0),0)</f>
        <v>0</v>
      </c>
      <c r="T1484" s="7"/>
      <c r="U1484" s="7"/>
      <c r="V1484" s="7"/>
      <c r="W1484" s="7"/>
      <c r="X1484" s="7"/>
      <c r="Y1484" s="7"/>
      <c r="Z1484" s="7"/>
      <c r="AA1484" s="7"/>
      <c r="AB1484" s="7"/>
      <c r="AC1484" s="7"/>
      <c r="AD1484" s="7"/>
      <c r="AE1484" s="7"/>
      <c r="AF1484" s="7"/>
      <c r="AG1484" s="7"/>
      <c r="AH1484" s="7"/>
      <c r="AI1484" s="7"/>
    </row>
    <row r="1485" spans="12:35">
      <c r="L1485" s="7">
        <v>45</v>
      </c>
      <c r="M1485" s="7">
        <v>69</v>
      </c>
      <c r="N1485" s="7" t="b">
        <f>AND($N$6,$N$7,14&lt;=$M$6,18&lt;=$M$7)</f>
        <v>0</v>
      </c>
      <c r="O1485" s="7">
        <f>(P45-N45)*(O69-O45)-(Q45-O45)*(N69-N45)</f>
        <v>0</v>
      </c>
      <c r="P1485" s="7">
        <f>(P45-N45)*(Q69-O45)-(Q45-O45)*(P69-N45)</f>
        <v>0</v>
      </c>
      <c r="Q1485" s="7">
        <f>(P69-N69)*(O45-O69)-(Q69-O69)*(N45-N69)</f>
        <v>0</v>
      </c>
      <c r="R1485" s="7">
        <f>(P69-N69)*(Q45-O69)-(Q69-O69)*(P45-N69)</f>
        <v>0</v>
      </c>
      <c r="S1485" s="7">
        <f>IF(N1485,IF(AND(O1485*P1485&lt;=0,Q1485*R1485&lt;=0,MAX(MIN(N45,P45),MIN(N69,P69))&lt;=MIN(MAX(N45,P45),MAX(N69,P69)),MAX(MIN(O45,Q45),MIN(O69,Q69))&lt;=MIN(MAX(O45,Q45),MAX(O69,Q69))),1,0),0)</f>
        <v>0</v>
      </c>
      <c r="T1485" s="7"/>
      <c r="U1485" s="7"/>
      <c r="V1485" s="7"/>
      <c r="W1485" s="7"/>
      <c r="X1485" s="7"/>
      <c r="Y1485" s="7"/>
      <c r="Z1485" s="7"/>
      <c r="AA1485" s="7"/>
      <c r="AB1485" s="7"/>
      <c r="AC1485" s="7"/>
      <c r="AD1485" s="7"/>
      <c r="AE1485" s="7"/>
      <c r="AF1485" s="7"/>
      <c r="AG1485" s="7"/>
      <c r="AH1485" s="7"/>
      <c r="AI1485" s="7"/>
    </row>
    <row r="1486" spans="12:35">
      <c r="L1486" s="7">
        <v>45</v>
      </c>
      <c r="M1486" s="7">
        <v>70</v>
      </c>
      <c r="N1486" s="7" t="b">
        <f>AND($N$6,$N$7,14&lt;=$M$6,19&lt;=$M$7)</f>
        <v>0</v>
      </c>
      <c r="O1486" s="7">
        <f>(P45-N45)*(O70-O45)-(Q45-O45)*(N70-N45)</f>
        <v>0</v>
      </c>
      <c r="P1486" s="7">
        <f>(P45-N45)*(Q70-O45)-(Q45-O45)*(P70-N45)</f>
        <v>0</v>
      </c>
      <c r="Q1486" s="7">
        <f>(P70-N70)*(O45-O70)-(Q70-O70)*(N45-N70)</f>
        <v>0</v>
      </c>
      <c r="R1486" s="7">
        <f>(P70-N70)*(Q45-O70)-(Q70-O70)*(P45-N70)</f>
        <v>0</v>
      </c>
      <c r="S1486" s="7">
        <f>IF(N1486,IF(AND(O1486*P1486&lt;=0,Q1486*R1486&lt;=0,MAX(MIN(N45,P45),MIN(N70,P70))&lt;=MIN(MAX(N45,P45),MAX(N70,P70)),MAX(MIN(O45,Q45),MIN(O70,Q70))&lt;=MIN(MAX(O45,Q45),MAX(O70,Q70))),1,0),0)</f>
        <v>0</v>
      </c>
      <c r="T1486" s="7"/>
      <c r="U1486" s="7"/>
      <c r="V1486" s="7"/>
      <c r="W1486" s="7"/>
      <c r="X1486" s="7"/>
      <c r="Y1486" s="7"/>
      <c r="Z1486" s="7"/>
      <c r="AA1486" s="7"/>
      <c r="AB1486" s="7"/>
      <c r="AC1486" s="7"/>
      <c r="AD1486" s="7"/>
      <c r="AE1486" s="7"/>
      <c r="AF1486" s="7"/>
      <c r="AG1486" s="7"/>
      <c r="AH1486" s="7"/>
      <c r="AI1486" s="7"/>
    </row>
    <row r="1487" spans="12:35">
      <c r="L1487" s="7">
        <v>45</v>
      </c>
      <c r="M1487" s="7">
        <v>71</v>
      </c>
      <c r="N1487" s="7" t="b">
        <f>AND($N$6,$N$7,14&lt;=$M$6,20&lt;=$M$7)</f>
        <v>0</v>
      </c>
      <c r="O1487" s="7">
        <f>(P45-N45)*(O71-O45)-(Q45-O45)*(N71-N45)</f>
        <v>0</v>
      </c>
      <c r="P1487" s="7">
        <f>(P45-N45)*(Q71-O45)-(Q45-O45)*(P71-N45)</f>
        <v>0</v>
      </c>
      <c r="Q1487" s="7">
        <f>(P71-N71)*(O45-O71)-(Q71-O71)*(N45-N71)</f>
        <v>0</v>
      </c>
      <c r="R1487" s="7">
        <f>(P71-N71)*(Q45-O71)-(Q71-O71)*(P45-N71)</f>
        <v>0</v>
      </c>
      <c r="S1487" s="7">
        <f>IF(N1487,IF(AND(O1487*P1487&lt;=0,Q1487*R1487&lt;=0,MAX(MIN(N45,P45),MIN(N71,P71))&lt;=MIN(MAX(N45,P45),MAX(N71,P71)),MAX(MIN(O45,Q45),MIN(O71,Q71))&lt;=MIN(MAX(O45,Q45),MAX(O71,Q71))),1,0),0)</f>
        <v>0</v>
      </c>
      <c r="T1487" s="7"/>
      <c r="U1487" s="7"/>
      <c r="V1487" s="7"/>
      <c r="W1487" s="7"/>
      <c r="X1487" s="7"/>
      <c r="Y1487" s="7"/>
      <c r="Z1487" s="7"/>
      <c r="AA1487" s="7"/>
      <c r="AB1487" s="7"/>
      <c r="AC1487" s="7"/>
      <c r="AD1487" s="7"/>
      <c r="AE1487" s="7"/>
      <c r="AF1487" s="7"/>
      <c r="AG1487" s="7"/>
      <c r="AH1487" s="7"/>
      <c r="AI1487" s="7"/>
    </row>
    <row r="1488" spans="12:35">
      <c r="L1488" s="7">
        <v>46</v>
      </c>
      <c r="M1488" s="7">
        <v>48</v>
      </c>
      <c r="N1488" s="7" t="b">
        <f>AND($N$6,$N$6,15&lt;=$M$6,17&lt;=$M$6)</f>
        <v>0</v>
      </c>
      <c r="O1488" s="7">
        <f>(P46-N46)*(O48-O46)-(Q46-O46)*(N48-N46)</f>
        <v>0</v>
      </c>
      <c r="P1488" s="7">
        <f>(P46-N46)*(Q48-O46)-(Q46-O46)*(P48-N46)</f>
        <v>0</v>
      </c>
      <c r="Q1488" s="7">
        <f>(P48-N48)*(O46-O48)-(Q48-O48)*(N46-N48)</f>
        <v>0</v>
      </c>
      <c r="R1488" s="7">
        <f>(P48-N48)*(Q46-O48)-(Q48-O48)*(P46-N48)</f>
        <v>0</v>
      </c>
      <c r="S1488" s="7">
        <f>IF(N1488,IF(AND(O1488*P1488&lt;=0,Q1488*R1488&lt;=0,MAX(MIN(N46,P46),MIN(N48,P48))&lt;=MIN(MAX(N46,P46),MAX(N48,P48)),MAX(MIN(O46,Q46),MIN(O48,Q48))&lt;=MIN(MAX(O46,Q46),MAX(O48,Q48))),1,0),0)</f>
        <v>0</v>
      </c>
      <c r="T1488" s="7"/>
      <c r="U1488" s="7"/>
      <c r="V1488" s="7"/>
      <c r="W1488" s="7"/>
      <c r="X1488" s="7"/>
      <c r="Y1488" s="7"/>
      <c r="Z1488" s="7"/>
      <c r="AA1488" s="7"/>
      <c r="AB1488" s="7"/>
      <c r="AC1488" s="7"/>
      <c r="AD1488" s="7"/>
      <c r="AE1488" s="7"/>
      <c r="AF1488" s="7"/>
      <c r="AG1488" s="7"/>
      <c r="AH1488" s="7"/>
      <c r="AI1488" s="7"/>
    </row>
    <row r="1489" spans="12:35">
      <c r="L1489" s="7">
        <v>46</v>
      </c>
      <c r="M1489" s="7">
        <v>49</v>
      </c>
      <c r="N1489" s="7" t="b">
        <f>AND($N$6,$N$6,15&lt;=$M$6,18&lt;=$M$6)</f>
        <v>0</v>
      </c>
      <c r="O1489" s="7">
        <f>(P46-N46)*(O49-O46)-(Q46-O46)*(N49-N46)</f>
        <v>0</v>
      </c>
      <c r="P1489" s="7">
        <f>(P46-N46)*(Q49-O46)-(Q46-O46)*(P49-N46)</f>
        <v>0</v>
      </c>
      <c r="Q1489" s="7">
        <f>(P49-N49)*(O46-O49)-(Q49-O49)*(N46-N49)</f>
        <v>0</v>
      </c>
      <c r="R1489" s="7">
        <f>(P49-N49)*(Q46-O49)-(Q49-O49)*(P46-N49)</f>
        <v>0</v>
      </c>
      <c r="S1489" s="7">
        <f>IF(N1489,IF(AND(O1489*P1489&lt;=0,Q1489*R1489&lt;=0,MAX(MIN(N46,P46),MIN(N49,P49))&lt;=MIN(MAX(N46,P46),MAX(N49,P49)),MAX(MIN(O46,Q46),MIN(O49,Q49))&lt;=MIN(MAX(O46,Q46),MAX(O49,Q49))),1,0),0)</f>
        <v>0</v>
      </c>
      <c r="T1489" s="7"/>
      <c r="U1489" s="7"/>
      <c r="V1489" s="7"/>
      <c r="W1489" s="7"/>
      <c r="X1489" s="7"/>
      <c r="Y1489" s="7"/>
      <c r="Z1489" s="7"/>
      <c r="AA1489" s="7"/>
      <c r="AB1489" s="7"/>
      <c r="AC1489" s="7"/>
      <c r="AD1489" s="7"/>
      <c r="AE1489" s="7"/>
      <c r="AF1489" s="7"/>
      <c r="AG1489" s="7"/>
      <c r="AH1489" s="7"/>
      <c r="AI1489" s="7"/>
    </row>
    <row r="1490" spans="12:35">
      <c r="L1490" s="7">
        <v>46</v>
      </c>
      <c r="M1490" s="7">
        <v>50</v>
      </c>
      <c r="N1490" s="7" t="b">
        <f>AND($N$6,$N$6,15&lt;=$M$6,19&lt;=$M$6)</f>
        <v>0</v>
      </c>
      <c r="O1490" s="7">
        <f>(P46-N46)*(O50-O46)-(Q46-O46)*(N50-N46)</f>
        <v>0</v>
      </c>
      <c r="P1490" s="7">
        <f>(P46-N46)*(Q50-O46)-(Q46-O46)*(P50-N46)</f>
        <v>0</v>
      </c>
      <c r="Q1490" s="7">
        <f>(P50-N50)*(O46-O50)-(Q50-O50)*(N46-N50)</f>
        <v>0</v>
      </c>
      <c r="R1490" s="7">
        <f>(P50-N50)*(Q46-O50)-(Q50-O50)*(P46-N50)</f>
        <v>0</v>
      </c>
      <c r="S1490" s="7">
        <f>IF(N1490,IF(AND(O1490*P1490&lt;=0,Q1490*R1490&lt;=0,MAX(MIN(N46,P46),MIN(N50,P50))&lt;=MIN(MAX(N46,P46),MAX(N50,P50)),MAX(MIN(O46,Q46),MIN(O50,Q50))&lt;=MIN(MAX(O46,Q46),MAX(O50,Q50))),1,0),0)</f>
        <v>0</v>
      </c>
      <c r="T1490" s="7"/>
      <c r="U1490" s="7"/>
      <c r="V1490" s="7"/>
      <c r="W1490" s="7"/>
      <c r="X1490" s="7"/>
      <c r="Y1490" s="7"/>
      <c r="Z1490" s="7"/>
      <c r="AA1490" s="7"/>
      <c r="AB1490" s="7"/>
      <c r="AC1490" s="7"/>
      <c r="AD1490" s="7"/>
      <c r="AE1490" s="7"/>
      <c r="AF1490" s="7"/>
      <c r="AG1490" s="7"/>
      <c r="AH1490" s="7"/>
      <c r="AI1490" s="7"/>
    </row>
    <row r="1491" spans="12:35">
      <c r="L1491" s="7">
        <v>46</v>
      </c>
      <c r="M1491" s="7">
        <v>51</v>
      </c>
      <c r="N1491" s="7" t="b">
        <f>AND($N$6,$N$6,15&lt;=$M$6,20&lt;=$M$6)</f>
        <v>0</v>
      </c>
      <c r="O1491" s="7">
        <f>(P46-N46)*(O51-O46)-(Q46-O46)*(N51-N46)</f>
        <v>0</v>
      </c>
      <c r="P1491" s="7">
        <f>(P46-N46)*(Q51-O46)-(Q46-O46)*(P51-N46)</f>
        <v>0</v>
      </c>
      <c r="Q1491" s="7">
        <f>(P51-N51)*(O46-O51)-(Q51-O51)*(N46-N51)</f>
        <v>0</v>
      </c>
      <c r="R1491" s="7">
        <f>(P51-N51)*(Q46-O51)-(Q51-O51)*(P46-N51)</f>
        <v>0</v>
      </c>
      <c r="S1491" s="7">
        <f>IF(N1491,IF(AND(O1491*P1491&lt;=0,Q1491*R1491&lt;=0,MAX(MIN(N46,P46),MIN(N51,P51))&lt;=MIN(MAX(N46,P46),MAX(N51,P51)),MAX(MIN(O46,Q46),MIN(O51,Q51))&lt;=MIN(MAX(O46,Q46),MAX(O51,Q51))),1,0),0)</f>
        <v>0</v>
      </c>
      <c r="T1491" s="7"/>
      <c r="U1491" s="7"/>
      <c r="V1491" s="7"/>
      <c r="W1491" s="7"/>
      <c r="X1491" s="7"/>
      <c r="Y1491" s="7"/>
      <c r="Z1491" s="7"/>
      <c r="AA1491" s="7"/>
      <c r="AB1491" s="7"/>
      <c r="AC1491" s="7"/>
      <c r="AD1491" s="7"/>
      <c r="AE1491" s="7"/>
      <c r="AF1491" s="7"/>
      <c r="AG1491" s="7"/>
      <c r="AH1491" s="7"/>
      <c r="AI1491" s="7"/>
    </row>
    <row r="1492" spans="12:35">
      <c r="L1492" s="7">
        <v>46</v>
      </c>
      <c r="M1492" s="7">
        <v>52</v>
      </c>
      <c r="N1492" s="7" t="b">
        <f>AND($N$6,$N$7,15&lt;=$M$6,1&lt;=$M$7)</f>
        <v>0</v>
      </c>
      <c r="O1492" s="7">
        <f>(P46-N46)*(O52-O46)-(Q46-O46)*(N52-N46)</f>
        <v>0</v>
      </c>
      <c r="P1492" s="7">
        <f>(P46-N46)*(Q52-O46)-(Q46-O46)*(P52-N46)</f>
        <v>0</v>
      </c>
      <c r="Q1492" s="7">
        <f>(P52-N52)*(O46-O52)-(Q52-O52)*(N46-N52)</f>
        <v>0</v>
      </c>
      <c r="R1492" s="7">
        <f>(P52-N52)*(Q46-O52)-(Q52-O52)*(P46-N52)</f>
        <v>0</v>
      </c>
      <c r="S1492" s="7">
        <f>IF(N1492,IF(AND(O1492*P1492&lt;=0,Q1492*R1492&lt;=0,MAX(MIN(N46,P46),MIN(N52,P52))&lt;=MIN(MAX(N46,P46),MAX(N52,P52)),MAX(MIN(O46,Q46),MIN(O52,Q52))&lt;=MIN(MAX(O46,Q46),MAX(O52,Q52))),1,0),0)</f>
        <v>0</v>
      </c>
      <c r="T1492" s="7"/>
      <c r="U1492" s="7"/>
      <c r="V1492" s="7"/>
      <c r="W1492" s="7"/>
      <c r="X1492" s="7"/>
      <c r="Y1492" s="7"/>
      <c r="Z1492" s="7"/>
      <c r="AA1492" s="7"/>
      <c r="AB1492" s="7"/>
      <c r="AC1492" s="7"/>
      <c r="AD1492" s="7"/>
      <c r="AE1492" s="7"/>
      <c r="AF1492" s="7"/>
      <c r="AG1492" s="7"/>
      <c r="AH1492" s="7"/>
      <c r="AI1492" s="7"/>
    </row>
    <row r="1493" spans="12:35">
      <c r="L1493" s="7">
        <v>46</v>
      </c>
      <c r="M1493" s="7">
        <v>53</v>
      </c>
      <c r="N1493" s="7" t="b">
        <f>AND($N$6,$N$7,15&lt;=$M$6,2&lt;=$M$7)</f>
        <v>0</v>
      </c>
      <c r="O1493" s="7">
        <f>(P46-N46)*(O53-O46)-(Q46-O46)*(N53-N46)</f>
        <v>0</v>
      </c>
      <c r="P1493" s="7">
        <f>(P46-N46)*(Q53-O46)-(Q46-O46)*(P53-N46)</f>
        <v>0</v>
      </c>
      <c r="Q1493" s="7">
        <f>(P53-N53)*(O46-O53)-(Q53-O53)*(N46-N53)</f>
        <v>0</v>
      </c>
      <c r="R1493" s="7">
        <f>(P53-N53)*(Q46-O53)-(Q53-O53)*(P46-N53)</f>
        <v>0</v>
      </c>
      <c r="S1493" s="7">
        <f>IF(N1493,IF(AND(O1493*P1493&lt;=0,Q1493*R1493&lt;=0,MAX(MIN(N46,P46),MIN(N53,P53))&lt;=MIN(MAX(N46,P46),MAX(N53,P53)),MAX(MIN(O46,Q46),MIN(O53,Q53))&lt;=MIN(MAX(O46,Q46),MAX(O53,Q53))),1,0),0)</f>
        <v>0</v>
      </c>
      <c r="T1493" s="7"/>
      <c r="U1493" s="7"/>
      <c r="V1493" s="7"/>
      <c r="W1493" s="7"/>
      <c r="X1493" s="7"/>
      <c r="Y1493" s="7"/>
      <c r="Z1493" s="7"/>
      <c r="AA1493" s="7"/>
      <c r="AB1493" s="7"/>
      <c r="AC1493" s="7"/>
      <c r="AD1493" s="7"/>
      <c r="AE1493" s="7"/>
      <c r="AF1493" s="7"/>
      <c r="AG1493" s="7"/>
      <c r="AH1493" s="7"/>
      <c r="AI1493" s="7"/>
    </row>
    <row r="1494" spans="12:35">
      <c r="L1494" s="7">
        <v>46</v>
      </c>
      <c r="M1494" s="7">
        <v>54</v>
      </c>
      <c r="N1494" s="7" t="b">
        <f>AND($N$6,$N$7,15&lt;=$M$6,3&lt;=$M$7)</f>
        <v>0</v>
      </c>
      <c r="O1494" s="7">
        <f>(P46-N46)*(O54-O46)-(Q46-O46)*(N54-N46)</f>
        <v>0</v>
      </c>
      <c r="P1494" s="7">
        <f>(P46-N46)*(Q54-O46)-(Q46-O46)*(P54-N46)</f>
        <v>0</v>
      </c>
      <c r="Q1494" s="7">
        <f>(P54-N54)*(O46-O54)-(Q54-O54)*(N46-N54)</f>
        <v>0</v>
      </c>
      <c r="R1494" s="7">
        <f>(P54-N54)*(Q46-O54)-(Q54-O54)*(P46-N54)</f>
        <v>0</v>
      </c>
      <c r="S1494" s="7">
        <f>IF(N1494,IF(AND(O1494*P1494&lt;=0,Q1494*R1494&lt;=0,MAX(MIN(N46,P46),MIN(N54,P54))&lt;=MIN(MAX(N46,P46),MAX(N54,P54)),MAX(MIN(O46,Q46),MIN(O54,Q54))&lt;=MIN(MAX(O46,Q46),MAX(O54,Q54))),1,0),0)</f>
        <v>0</v>
      </c>
      <c r="T1494" s="7"/>
      <c r="U1494" s="7"/>
      <c r="V1494" s="7"/>
      <c r="W1494" s="7"/>
      <c r="X1494" s="7"/>
      <c r="Y1494" s="7"/>
      <c r="Z1494" s="7"/>
      <c r="AA1494" s="7"/>
      <c r="AB1494" s="7"/>
      <c r="AC1494" s="7"/>
      <c r="AD1494" s="7"/>
      <c r="AE1494" s="7"/>
      <c r="AF1494" s="7"/>
      <c r="AG1494" s="7"/>
      <c r="AH1494" s="7"/>
      <c r="AI1494" s="7"/>
    </row>
    <row r="1495" spans="12:35">
      <c r="L1495" s="7">
        <v>46</v>
      </c>
      <c r="M1495" s="7">
        <v>55</v>
      </c>
      <c r="N1495" s="7" t="b">
        <f>AND($N$6,$N$7,15&lt;=$M$6,4&lt;=$M$7)</f>
        <v>0</v>
      </c>
      <c r="O1495" s="7">
        <f>(P46-N46)*(O55-O46)-(Q46-O46)*(N55-N46)</f>
        <v>0</v>
      </c>
      <c r="P1495" s="7">
        <f>(P46-N46)*(Q55-O46)-(Q46-O46)*(P55-N46)</f>
        <v>0</v>
      </c>
      <c r="Q1495" s="7">
        <f>(P55-N55)*(O46-O55)-(Q55-O55)*(N46-N55)</f>
        <v>0</v>
      </c>
      <c r="R1495" s="7">
        <f>(P55-N55)*(Q46-O55)-(Q55-O55)*(P46-N55)</f>
        <v>0</v>
      </c>
      <c r="S1495" s="7">
        <f>IF(N1495,IF(AND(O1495*P1495&lt;=0,Q1495*R1495&lt;=0,MAX(MIN(N46,P46),MIN(N55,P55))&lt;=MIN(MAX(N46,P46),MAX(N55,P55)),MAX(MIN(O46,Q46),MIN(O55,Q55))&lt;=MIN(MAX(O46,Q46),MAX(O55,Q55))),1,0),0)</f>
        <v>0</v>
      </c>
      <c r="T1495" s="7"/>
      <c r="U1495" s="7"/>
      <c r="V1495" s="7"/>
      <c r="W1495" s="7"/>
      <c r="X1495" s="7"/>
      <c r="Y1495" s="7"/>
      <c r="Z1495" s="7"/>
      <c r="AA1495" s="7"/>
      <c r="AB1495" s="7"/>
      <c r="AC1495" s="7"/>
      <c r="AD1495" s="7"/>
      <c r="AE1495" s="7"/>
      <c r="AF1495" s="7"/>
      <c r="AG1495" s="7"/>
      <c r="AH1495" s="7"/>
      <c r="AI1495" s="7"/>
    </row>
    <row r="1496" spans="12:35">
      <c r="L1496" s="7">
        <v>46</v>
      </c>
      <c r="M1496" s="7">
        <v>56</v>
      </c>
      <c r="N1496" s="7" t="b">
        <f>AND($N$6,$N$7,15&lt;=$M$6,5&lt;=$M$7)</f>
        <v>0</v>
      </c>
      <c r="O1496" s="7">
        <f>(P46-N46)*(O56-O46)-(Q46-O46)*(N56-N46)</f>
        <v>0</v>
      </c>
      <c r="P1496" s="7">
        <f>(P46-N46)*(Q56-O46)-(Q46-O46)*(P56-N46)</f>
        <v>0</v>
      </c>
      <c r="Q1496" s="7">
        <f>(P56-N56)*(O46-O56)-(Q56-O56)*(N46-N56)</f>
        <v>0</v>
      </c>
      <c r="R1496" s="7">
        <f>(P56-N56)*(Q46-O56)-(Q56-O56)*(P46-N56)</f>
        <v>0</v>
      </c>
      <c r="S1496" s="7">
        <f>IF(N1496,IF(AND(O1496*P1496&lt;=0,Q1496*R1496&lt;=0,MAX(MIN(N46,P46),MIN(N56,P56))&lt;=MIN(MAX(N46,P46),MAX(N56,P56)),MAX(MIN(O46,Q46),MIN(O56,Q56))&lt;=MIN(MAX(O46,Q46),MAX(O56,Q56))),1,0),0)</f>
        <v>0</v>
      </c>
      <c r="T1496" s="7"/>
      <c r="U1496" s="7"/>
      <c r="V1496" s="7"/>
      <c r="W1496" s="7"/>
      <c r="X1496" s="7"/>
      <c r="Y1496" s="7"/>
      <c r="Z1496" s="7"/>
      <c r="AA1496" s="7"/>
      <c r="AB1496" s="7"/>
      <c r="AC1496" s="7"/>
      <c r="AD1496" s="7"/>
      <c r="AE1496" s="7"/>
      <c r="AF1496" s="7"/>
      <c r="AG1496" s="7"/>
      <c r="AH1496" s="7"/>
      <c r="AI1496" s="7"/>
    </row>
    <row r="1497" spans="12:35">
      <c r="L1497" s="7">
        <v>46</v>
      </c>
      <c r="M1497" s="7">
        <v>57</v>
      </c>
      <c r="N1497" s="7" t="b">
        <f>AND($N$6,$N$7,15&lt;=$M$6,6&lt;=$M$7)</f>
        <v>0</v>
      </c>
      <c r="O1497" s="7">
        <f>(P46-N46)*(O57-O46)-(Q46-O46)*(N57-N46)</f>
        <v>0</v>
      </c>
      <c r="P1497" s="7">
        <f>(P46-N46)*(Q57-O46)-(Q46-O46)*(P57-N46)</f>
        <v>0</v>
      </c>
      <c r="Q1497" s="7">
        <f>(P57-N57)*(O46-O57)-(Q57-O57)*(N46-N57)</f>
        <v>0</v>
      </c>
      <c r="R1497" s="7">
        <f>(P57-N57)*(Q46-O57)-(Q57-O57)*(P46-N57)</f>
        <v>0</v>
      </c>
      <c r="S1497" s="7">
        <f>IF(N1497,IF(AND(O1497*P1497&lt;=0,Q1497*R1497&lt;=0,MAX(MIN(N46,P46),MIN(N57,P57))&lt;=MIN(MAX(N46,P46),MAX(N57,P57)),MAX(MIN(O46,Q46),MIN(O57,Q57))&lt;=MIN(MAX(O46,Q46),MAX(O57,Q57))),1,0),0)</f>
        <v>0</v>
      </c>
      <c r="T1497" s="7"/>
      <c r="U1497" s="7"/>
      <c r="V1497" s="7"/>
      <c r="W1497" s="7"/>
      <c r="X1497" s="7"/>
      <c r="Y1497" s="7"/>
      <c r="Z1497" s="7"/>
      <c r="AA1497" s="7"/>
      <c r="AB1497" s="7"/>
      <c r="AC1497" s="7"/>
      <c r="AD1497" s="7"/>
      <c r="AE1497" s="7"/>
      <c r="AF1497" s="7"/>
      <c r="AG1497" s="7"/>
      <c r="AH1497" s="7"/>
      <c r="AI1497" s="7"/>
    </row>
    <row r="1498" spans="12:35">
      <c r="L1498" s="7">
        <v>46</v>
      </c>
      <c r="M1498" s="7">
        <v>58</v>
      </c>
      <c r="N1498" s="7" t="b">
        <f>AND($N$6,$N$7,15&lt;=$M$6,7&lt;=$M$7)</f>
        <v>0</v>
      </c>
      <c r="O1498" s="7">
        <f>(P46-N46)*(O58-O46)-(Q46-O46)*(N58-N46)</f>
        <v>0</v>
      </c>
      <c r="P1498" s="7">
        <f>(P46-N46)*(Q58-O46)-(Q46-O46)*(P58-N46)</f>
        <v>0</v>
      </c>
      <c r="Q1498" s="7">
        <f>(P58-N58)*(O46-O58)-(Q58-O58)*(N46-N58)</f>
        <v>0</v>
      </c>
      <c r="R1498" s="7">
        <f>(P58-N58)*(Q46-O58)-(Q58-O58)*(P46-N58)</f>
        <v>0</v>
      </c>
      <c r="S1498" s="7">
        <f>IF(N1498,IF(AND(O1498*P1498&lt;=0,Q1498*R1498&lt;=0,MAX(MIN(N46,P46),MIN(N58,P58))&lt;=MIN(MAX(N46,P46),MAX(N58,P58)),MAX(MIN(O46,Q46),MIN(O58,Q58))&lt;=MIN(MAX(O46,Q46),MAX(O58,Q58))),1,0),0)</f>
        <v>0</v>
      </c>
      <c r="T1498" s="7"/>
      <c r="U1498" s="7"/>
      <c r="V1498" s="7"/>
      <c r="W1498" s="7"/>
      <c r="X1498" s="7"/>
      <c r="Y1498" s="7"/>
      <c r="Z1498" s="7"/>
      <c r="AA1498" s="7"/>
      <c r="AB1498" s="7"/>
      <c r="AC1498" s="7"/>
      <c r="AD1498" s="7"/>
      <c r="AE1498" s="7"/>
      <c r="AF1498" s="7"/>
      <c r="AG1498" s="7"/>
      <c r="AH1498" s="7"/>
      <c r="AI1498" s="7"/>
    </row>
    <row r="1499" spans="12:35">
      <c r="L1499" s="7">
        <v>46</v>
      </c>
      <c r="M1499" s="7">
        <v>59</v>
      </c>
      <c r="N1499" s="7" t="b">
        <f>AND($N$6,$N$7,15&lt;=$M$6,8&lt;=$M$7)</f>
        <v>0</v>
      </c>
      <c r="O1499" s="7">
        <f>(P46-N46)*(O59-O46)-(Q46-O46)*(N59-N46)</f>
        <v>0</v>
      </c>
      <c r="P1499" s="7">
        <f>(P46-N46)*(Q59-O46)-(Q46-O46)*(P59-N46)</f>
        <v>0</v>
      </c>
      <c r="Q1499" s="7">
        <f>(P59-N59)*(O46-O59)-(Q59-O59)*(N46-N59)</f>
        <v>0</v>
      </c>
      <c r="R1499" s="7">
        <f>(P59-N59)*(Q46-O59)-(Q59-O59)*(P46-N59)</f>
        <v>0</v>
      </c>
      <c r="S1499" s="7">
        <f>IF(N1499,IF(AND(O1499*P1499&lt;=0,Q1499*R1499&lt;=0,MAX(MIN(N46,P46),MIN(N59,P59))&lt;=MIN(MAX(N46,P46),MAX(N59,P59)),MAX(MIN(O46,Q46),MIN(O59,Q59))&lt;=MIN(MAX(O46,Q46),MAX(O59,Q59))),1,0),0)</f>
        <v>0</v>
      </c>
      <c r="T1499" s="7"/>
      <c r="U1499" s="7"/>
      <c r="V1499" s="7"/>
      <c r="W1499" s="7"/>
      <c r="X1499" s="7"/>
      <c r="Y1499" s="7"/>
      <c r="Z1499" s="7"/>
      <c r="AA1499" s="7"/>
      <c r="AB1499" s="7"/>
      <c r="AC1499" s="7"/>
      <c r="AD1499" s="7"/>
      <c r="AE1499" s="7"/>
      <c r="AF1499" s="7"/>
      <c r="AG1499" s="7"/>
      <c r="AH1499" s="7"/>
      <c r="AI1499" s="7"/>
    </row>
    <row r="1500" spans="12:35">
      <c r="L1500" s="7">
        <v>46</v>
      </c>
      <c r="M1500" s="7">
        <v>60</v>
      </c>
      <c r="N1500" s="7" t="b">
        <f>AND($N$6,$N$7,15&lt;=$M$6,9&lt;=$M$7)</f>
        <v>0</v>
      </c>
      <c r="O1500" s="7">
        <f>(P46-N46)*(O60-O46)-(Q46-O46)*(N60-N46)</f>
        <v>0</v>
      </c>
      <c r="P1500" s="7">
        <f>(P46-N46)*(Q60-O46)-(Q46-O46)*(P60-N46)</f>
        <v>0</v>
      </c>
      <c r="Q1500" s="7">
        <f>(P60-N60)*(O46-O60)-(Q60-O60)*(N46-N60)</f>
        <v>0</v>
      </c>
      <c r="R1500" s="7">
        <f>(P60-N60)*(Q46-O60)-(Q60-O60)*(P46-N60)</f>
        <v>0</v>
      </c>
      <c r="S1500" s="7">
        <f>IF(N1500,IF(AND(O1500*P1500&lt;=0,Q1500*R1500&lt;=0,MAX(MIN(N46,P46),MIN(N60,P60))&lt;=MIN(MAX(N46,P46),MAX(N60,P60)),MAX(MIN(O46,Q46),MIN(O60,Q60))&lt;=MIN(MAX(O46,Q46),MAX(O60,Q60))),1,0),0)</f>
        <v>0</v>
      </c>
      <c r="T1500" s="7"/>
      <c r="U1500" s="7"/>
      <c r="V1500" s="7"/>
      <c r="W1500" s="7"/>
      <c r="X1500" s="7"/>
      <c r="Y1500" s="7"/>
      <c r="Z1500" s="7"/>
      <c r="AA1500" s="7"/>
      <c r="AB1500" s="7"/>
      <c r="AC1500" s="7"/>
      <c r="AD1500" s="7"/>
      <c r="AE1500" s="7"/>
      <c r="AF1500" s="7"/>
      <c r="AG1500" s="7"/>
      <c r="AH1500" s="7"/>
      <c r="AI1500" s="7"/>
    </row>
    <row r="1501" spans="12:35">
      <c r="L1501" s="7">
        <v>46</v>
      </c>
      <c r="M1501" s="7">
        <v>61</v>
      </c>
      <c r="N1501" s="7" t="b">
        <f>AND($N$6,$N$7,15&lt;=$M$6,10&lt;=$M$7)</f>
        <v>0</v>
      </c>
      <c r="O1501" s="7">
        <f>(P46-N46)*(O61-O46)-(Q46-O46)*(N61-N46)</f>
        <v>0</v>
      </c>
      <c r="P1501" s="7">
        <f>(P46-N46)*(Q61-O46)-(Q46-O46)*(P61-N46)</f>
        <v>0</v>
      </c>
      <c r="Q1501" s="7">
        <f>(P61-N61)*(O46-O61)-(Q61-O61)*(N46-N61)</f>
        <v>0</v>
      </c>
      <c r="R1501" s="7">
        <f>(P61-N61)*(Q46-O61)-(Q61-O61)*(P46-N61)</f>
        <v>0</v>
      </c>
      <c r="S1501" s="7">
        <f>IF(N1501,IF(AND(O1501*P1501&lt;=0,Q1501*R1501&lt;=0,MAX(MIN(N46,P46),MIN(N61,P61))&lt;=MIN(MAX(N46,P46),MAX(N61,P61)),MAX(MIN(O46,Q46),MIN(O61,Q61))&lt;=MIN(MAX(O46,Q46),MAX(O61,Q61))),1,0),0)</f>
        <v>0</v>
      </c>
      <c r="T1501" s="7"/>
      <c r="U1501" s="7"/>
      <c r="V1501" s="7"/>
      <c r="W1501" s="7"/>
      <c r="X1501" s="7"/>
      <c r="Y1501" s="7"/>
      <c r="Z1501" s="7"/>
      <c r="AA1501" s="7"/>
      <c r="AB1501" s="7"/>
      <c r="AC1501" s="7"/>
      <c r="AD1501" s="7"/>
      <c r="AE1501" s="7"/>
      <c r="AF1501" s="7"/>
      <c r="AG1501" s="7"/>
      <c r="AH1501" s="7"/>
      <c r="AI1501" s="7"/>
    </row>
    <row r="1502" spans="12:35">
      <c r="L1502" s="7">
        <v>46</v>
      </c>
      <c r="M1502" s="7">
        <v>62</v>
      </c>
      <c r="N1502" s="7" t="b">
        <f>AND($N$6,$N$7,15&lt;=$M$6,11&lt;=$M$7)</f>
        <v>0</v>
      </c>
      <c r="O1502" s="7">
        <f>(P46-N46)*(O62-O46)-(Q46-O46)*(N62-N46)</f>
        <v>0</v>
      </c>
      <c r="P1502" s="7">
        <f>(P46-N46)*(Q62-O46)-(Q46-O46)*(P62-N46)</f>
        <v>0</v>
      </c>
      <c r="Q1502" s="7">
        <f>(P62-N62)*(O46-O62)-(Q62-O62)*(N46-N62)</f>
        <v>0</v>
      </c>
      <c r="R1502" s="7">
        <f>(P62-N62)*(Q46-O62)-(Q62-O62)*(P46-N62)</f>
        <v>0</v>
      </c>
      <c r="S1502" s="7">
        <f>IF(N1502,IF(AND(O1502*P1502&lt;=0,Q1502*R1502&lt;=0,MAX(MIN(N46,P46),MIN(N62,P62))&lt;=MIN(MAX(N46,P46),MAX(N62,P62)),MAX(MIN(O46,Q46),MIN(O62,Q62))&lt;=MIN(MAX(O46,Q46),MAX(O62,Q62))),1,0),0)</f>
        <v>0</v>
      </c>
      <c r="T1502" s="7"/>
      <c r="U1502" s="7"/>
      <c r="V1502" s="7"/>
      <c r="W1502" s="7"/>
      <c r="X1502" s="7"/>
      <c r="Y1502" s="7"/>
      <c r="Z1502" s="7"/>
      <c r="AA1502" s="7"/>
      <c r="AB1502" s="7"/>
      <c r="AC1502" s="7"/>
      <c r="AD1502" s="7"/>
      <c r="AE1502" s="7"/>
      <c r="AF1502" s="7"/>
      <c r="AG1502" s="7"/>
      <c r="AH1502" s="7"/>
      <c r="AI1502" s="7"/>
    </row>
    <row r="1503" spans="12:35">
      <c r="L1503" s="7">
        <v>46</v>
      </c>
      <c r="M1503" s="7">
        <v>63</v>
      </c>
      <c r="N1503" s="7" t="b">
        <f>AND($N$6,$N$7,15&lt;=$M$6,12&lt;=$M$7)</f>
        <v>0</v>
      </c>
      <c r="O1503" s="7">
        <f>(P46-N46)*(O63-O46)-(Q46-O46)*(N63-N46)</f>
        <v>0</v>
      </c>
      <c r="P1503" s="7">
        <f>(P46-N46)*(Q63-O46)-(Q46-O46)*(P63-N46)</f>
        <v>0</v>
      </c>
      <c r="Q1503" s="7">
        <f>(P63-N63)*(O46-O63)-(Q63-O63)*(N46-N63)</f>
        <v>0</v>
      </c>
      <c r="R1503" s="7">
        <f>(P63-N63)*(Q46-O63)-(Q63-O63)*(P46-N63)</f>
        <v>0</v>
      </c>
      <c r="S1503" s="7">
        <f>IF(N1503,IF(AND(O1503*P1503&lt;=0,Q1503*R1503&lt;=0,MAX(MIN(N46,P46),MIN(N63,P63))&lt;=MIN(MAX(N46,P46),MAX(N63,P63)),MAX(MIN(O46,Q46),MIN(O63,Q63))&lt;=MIN(MAX(O46,Q46),MAX(O63,Q63))),1,0),0)</f>
        <v>0</v>
      </c>
      <c r="T1503" s="7"/>
      <c r="U1503" s="7"/>
      <c r="V1503" s="7"/>
      <c r="W1503" s="7"/>
      <c r="X1503" s="7"/>
      <c r="Y1503" s="7"/>
      <c r="Z1503" s="7"/>
      <c r="AA1503" s="7"/>
      <c r="AB1503" s="7"/>
      <c r="AC1503" s="7"/>
      <c r="AD1503" s="7"/>
      <c r="AE1503" s="7"/>
      <c r="AF1503" s="7"/>
      <c r="AG1503" s="7"/>
      <c r="AH1503" s="7"/>
      <c r="AI1503" s="7"/>
    </row>
    <row r="1504" spans="12:35">
      <c r="L1504" s="7">
        <v>46</v>
      </c>
      <c r="M1504" s="7">
        <v>64</v>
      </c>
      <c r="N1504" s="7" t="b">
        <f>AND($N$6,$N$7,15&lt;=$M$6,13&lt;=$M$7)</f>
        <v>0</v>
      </c>
      <c r="O1504" s="7">
        <f>(P46-N46)*(O64-O46)-(Q46-O46)*(N64-N46)</f>
        <v>0</v>
      </c>
      <c r="P1504" s="7">
        <f>(P46-N46)*(Q64-O46)-(Q46-O46)*(P64-N46)</f>
        <v>0</v>
      </c>
      <c r="Q1504" s="7">
        <f>(P64-N64)*(O46-O64)-(Q64-O64)*(N46-N64)</f>
        <v>0</v>
      </c>
      <c r="R1504" s="7">
        <f>(P64-N64)*(Q46-O64)-(Q64-O64)*(P46-N64)</f>
        <v>0</v>
      </c>
      <c r="S1504" s="7">
        <f>IF(N1504,IF(AND(O1504*P1504&lt;=0,Q1504*R1504&lt;=0,MAX(MIN(N46,P46),MIN(N64,P64))&lt;=MIN(MAX(N46,P46),MAX(N64,P64)),MAX(MIN(O46,Q46),MIN(O64,Q64))&lt;=MIN(MAX(O46,Q46),MAX(O64,Q64))),1,0),0)</f>
        <v>0</v>
      </c>
      <c r="T1504" s="7"/>
      <c r="U1504" s="7"/>
      <c r="V1504" s="7"/>
      <c r="W1504" s="7"/>
      <c r="X1504" s="7"/>
      <c r="Y1504" s="7"/>
      <c r="Z1504" s="7"/>
      <c r="AA1504" s="7"/>
      <c r="AB1504" s="7"/>
      <c r="AC1504" s="7"/>
      <c r="AD1504" s="7"/>
      <c r="AE1504" s="7"/>
      <c r="AF1504" s="7"/>
      <c r="AG1504" s="7"/>
      <c r="AH1504" s="7"/>
      <c r="AI1504" s="7"/>
    </row>
    <row r="1505" spans="12:35">
      <c r="L1505" s="7">
        <v>46</v>
      </c>
      <c r="M1505" s="7">
        <v>65</v>
      </c>
      <c r="N1505" s="7" t="b">
        <f>AND($N$6,$N$7,15&lt;=$M$6,14&lt;=$M$7)</f>
        <v>0</v>
      </c>
      <c r="O1505" s="7">
        <f>(P46-N46)*(O65-O46)-(Q46-O46)*(N65-N46)</f>
        <v>0</v>
      </c>
      <c r="P1505" s="7">
        <f>(P46-N46)*(Q65-O46)-(Q46-O46)*(P65-N46)</f>
        <v>0</v>
      </c>
      <c r="Q1505" s="7">
        <f>(P65-N65)*(O46-O65)-(Q65-O65)*(N46-N65)</f>
        <v>0</v>
      </c>
      <c r="R1505" s="7">
        <f>(P65-N65)*(Q46-O65)-(Q65-O65)*(P46-N65)</f>
        <v>0</v>
      </c>
      <c r="S1505" s="7">
        <f>IF(N1505,IF(AND(O1505*P1505&lt;=0,Q1505*R1505&lt;=0,MAX(MIN(N46,P46),MIN(N65,P65))&lt;=MIN(MAX(N46,P46),MAX(N65,P65)),MAX(MIN(O46,Q46),MIN(O65,Q65))&lt;=MIN(MAX(O46,Q46),MAX(O65,Q65))),1,0),0)</f>
        <v>0</v>
      </c>
      <c r="T1505" s="7"/>
      <c r="U1505" s="7"/>
      <c r="V1505" s="7"/>
      <c r="W1505" s="7"/>
      <c r="X1505" s="7"/>
      <c r="Y1505" s="7"/>
      <c r="Z1505" s="7"/>
      <c r="AA1505" s="7"/>
      <c r="AB1505" s="7"/>
      <c r="AC1505" s="7"/>
      <c r="AD1505" s="7"/>
      <c r="AE1505" s="7"/>
      <c r="AF1505" s="7"/>
      <c r="AG1505" s="7"/>
      <c r="AH1505" s="7"/>
      <c r="AI1505" s="7"/>
    </row>
    <row r="1506" spans="12:35">
      <c r="L1506" s="7">
        <v>46</v>
      </c>
      <c r="M1506" s="7">
        <v>66</v>
      </c>
      <c r="N1506" s="7" t="b">
        <f>AND($N$6,$N$7,15&lt;=$M$6,15&lt;=$M$7)</f>
        <v>0</v>
      </c>
      <c r="O1506" s="7">
        <f>(P46-N46)*(O66-O46)-(Q46-O46)*(N66-N46)</f>
        <v>0</v>
      </c>
      <c r="P1506" s="7">
        <f>(P46-N46)*(Q66-O46)-(Q46-O46)*(P66-N46)</f>
        <v>0</v>
      </c>
      <c r="Q1506" s="7">
        <f>(P66-N66)*(O46-O66)-(Q66-O66)*(N46-N66)</f>
        <v>0</v>
      </c>
      <c r="R1506" s="7">
        <f>(P66-N66)*(Q46-O66)-(Q66-O66)*(P46-N66)</f>
        <v>0</v>
      </c>
      <c r="S1506" s="7">
        <f>IF(N1506,IF(AND(O1506*P1506&lt;=0,Q1506*R1506&lt;=0,MAX(MIN(N46,P46),MIN(N66,P66))&lt;=MIN(MAX(N46,P46),MAX(N66,P66)),MAX(MIN(O46,Q46),MIN(O66,Q66))&lt;=MIN(MAX(O46,Q46),MAX(O66,Q66))),1,0),0)</f>
        <v>0</v>
      </c>
      <c r="T1506" s="7"/>
      <c r="U1506" s="7"/>
      <c r="V1506" s="7"/>
      <c r="W1506" s="7"/>
      <c r="X1506" s="7"/>
      <c r="Y1506" s="7"/>
      <c r="Z1506" s="7"/>
      <c r="AA1506" s="7"/>
      <c r="AB1506" s="7"/>
      <c r="AC1506" s="7"/>
      <c r="AD1506" s="7"/>
      <c r="AE1506" s="7"/>
      <c r="AF1506" s="7"/>
      <c r="AG1506" s="7"/>
      <c r="AH1506" s="7"/>
      <c r="AI1506" s="7"/>
    </row>
    <row r="1507" spans="12:35">
      <c r="L1507" s="7">
        <v>46</v>
      </c>
      <c r="M1507" s="7">
        <v>67</v>
      </c>
      <c r="N1507" s="7" t="b">
        <f>AND($N$6,$N$7,15&lt;=$M$6,16&lt;=$M$7)</f>
        <v>0</v>
      </c>
      <c r="O1507" s="7">
        <f>(P46-N46)*(O67-O46)-(Q46-O46)*(N67-N46)</f>
        <v>0</v>
      </c>
      <c r="P1507" s="7">
        <f>(P46-N46)*(Q67-O46)-(Q46-O46)*(P67-N46)</f>
        <v>0</v>
      </c>
      <c r="Q1507" s="7">
        <f>(P67-N67)*(O46-O67)-(Q67-O67)*(N46-N67)</f>
        <v>0</v>
      </c>
      <c r="R1507" s="7">
        <f>(P67-N67)*(Q46-O67)-(Q67-O67)*(P46-N67)</f>
        <v>0</v>
      </c>
      <c r="S1507" s="7">
        <f>IF(N1507,IF(AND(O1507*P1507&lt;=0,Q1507*R1507&lt;=0,MAX(MIN(N46,P46),MIN(N67,P67))&lt;=MIN(MAX(N46,P46),MAX(N67,P67)),MAX(MIN(O46,Q46),MIN(O67,Q67))&lt;=MIN(MAX(O46,Q46),MAX(O67,Q67))),1,0),0)</f>
        <v>0</v>
      </c>
      <c r="T1507" s="7"/>
      <c r="U1507" s="7"/>
      <c r="V1507" s="7"/>
      <c r="W1507" s="7"/>
      <c r="X1507" s="7"/>
      <c r="Y1507" s="7"/>
      <c r="Z1507" s="7"/>
      <c r="AA1507" s="7"/>
      <c r="AB1507" s="7"/>
      <c r="AC1507" s="7"/>
      <c r="AD1507" s="7"/>
      <c r="AE1507" s="7"/>
      <c r="AF1507" s="7"/>
      <c r="AG1507" s="7"/>
      <c r="AH1507" s="7"/>
      <c r="AI1507" s="7"/>
    </row>
    <row r="1508" spans="12:35">
      <c r="L1508" s="7">
        <v>46</v>
      </c>
      <c r="M1508" s="7">
        <v>68</v>
      </c>
      <c r="N1508" s="7" t="b">
        <f>AND($N$6,$N$7,15&lt;=$M$6,17&lt;=$M$7)</f>
        <v>0</v>
      </c>
      <c r="O1508" s="7">
        <f>(P46-N46)*(O68-O46)-(Q46-O46)*(N68-N46)</f>
        <v>0</v>
      </c>
      <c r="P1508" s="7">
        <f>(P46-N46)*(Q68-O46)-(Q46-O46)*(P68-N46)</f>
        <v>0</v>
      </c>
      <c r="Q1508" s="7">
        <f>(P68-N68)*(O46-O68)-(Q68-O68)*(N46-N68)</f>
        <v>0</v>
      </c>
      <c r="R1508" s="7">
        <f>(P68-N68)*(Q46-O68)-(Q68-O68)*(P46-N68)</f>
        <v>0</v>
      </c>
      <c r="S1508" s="7">
        <f>IF(N1508,IF(AND(O1508*P1508&lt;=0,Q1508*R1508&lt;=0,MAX(MIN(N46,P46),MIN(N68,P68))&lt;=MIN(MAX(N46,P46),MAX(N68,P68)),MAX(MIN(O46,Q46),MIN(O68,Q68))&lt;=MIN(MAX(O46,Q46),MAX(O68,Q68))),1,0),0)</f>
        <v>0</v>
      </c>
      <c r="T1508" s="7"/>
      <c r="U1508" s="7"/>
      <c r="V1508" s="7"/>
      <c r="W1508" s="7"/>
      <c r="X1508" s="7"/>
      <c r="Y1508" s="7"/>
      <c r="Z1508" s="7"/>
      <c r="AA1508" s="7"/>
      <c r="AB1508" s="7"/>
      <c r="AC1508" s="7"/>
      <c r="AD1508" s="7"/>
      <c r="AE1508" s="7"/>
      <c r="AF1508" s="7"/>
      <c r="AG1508" s="7"/>
      <c r="AH1508" s="7"/>
      <c r="AI1508" s="7"/>
    </row>
    <row r="1509" spans="12:35">
      <c r="L1509" s="7">
        <v>46</v>
      </c>
      <c r="M1509" s="7">
        <v>69</v>
      </c>
      <c r="N1509" s="7" t="b">
        <f>AND($N$6,$N$7,15&lt;=$M$6,18&lt;=$M$7)</f>
        <v>0</v>
      </c>
      <c r="O1509" s="7">
        <f>(P46-N46)*(O69-O46)-(Q46-O46)*(N69-N46)</f>
        <v>0</v>
      </c>
      <c r="P1509" s="7">
        <f>(P46-N46)*(Q69-O46)-(Q46-O46)*(P69-N46)</f>
        <v>0</v>
      </c>
      <c r="Q1509" s="7">
        <f>(P69-N69)*(O46-O69)-(Q69-O69)*(N46-N69)</f>
        <v>0</v>
      </c>
      <c r="R1509" s="7">
        <f>(P69-N69)*(Q46-O69)-(Q69-O69)*(P46-N69)</f>
        <v>0</v>
      </c>
      <c r="S1509" s="7">
        <f>IF(N1509,IF(AND(O1509*P1509&lt;=0,Q1509*R1509&lt;=0,MAX(MIN(N46,P46),MIN(N69,P69))&lt;=MIN(MAX(N46,P46),MAX(N69,P69)),MAX(MIN(O46,Q46),MIN(O69,Q69))&lt;=MIN(MAX(O46,Q46),MAX(O69,Q69))),1,0),0)</f>
        <v>0</v>
      </c>
      <c r="T1509" s="7"/>
      <c r="U1509" s="7"/>
      <c r="V1509" s="7"/>
      <c r="W1509" s="7"/>
      <c r="X1509" s="7"/>
      <c r="Y1509" s="7"/>
      <c r="Z1509" s="7"/>
      <c r="AA1509" s="7"/>
      <c r="AB1509" s="7"/>
      <c r="AC1509" s="7"/>
      <c r="AD1509" s="7"/>
      <c r="AE1509" s="7"/>
      <c r="AF1509" s="7"/>
      <c r="AG1509" s="7"/>
      <c r="AH1509" s="7"/>
      <c r="AI1509" s="7"/>
    </row>
    <row r="1510" spans="12:35">
      <c r="L1510" s="7">
        <v>46</v>
      </c>
      <c r="M1510" s="7">
        <v>70</v>
      </c>
      <c r="N1510" s="7" t="b">
        <f>AND($N$6,$N$7,15&lt;=$M$6,19&lt;=$M$7)</f>
        <v>0</v>
      </c>
      <c r="O1510" s="7">
        <f>(P46-N46)*(O70-O46)-(Q46-O46)*(N70-N46)</f>
        <v>0</v>
      </c>
      <c r="P1510" s="7">
        <f>(P46-N46)*(Q70-O46)-(Q46-O46)*(P70-N46)</f>
        <v>0</v>
      </c>
      <c r="Q1510" s="7">
        <f>(P70-N70)*(O46-O70)-(Q70-O70)*(N46-N70)</f>
        <v>0</v>
      </c>
      <c r="R1510" s="7">
        <f>(P70-N70)*(Q46-O70)-(Q70-O70)*(P46-N70)</f>
        <v>0</v>
      </c>
      <c r="S1510" s="7">
        <f>IF(N1510,IF(AND(O1510*P1510&lt;=0,Q1510*R1510&lt;=0,MAX(MIN(N46,P46),MIN(N70,P70))&lt;=MIN(MAX(N46,P46),MAX(N70,P70)),MAX(MIN(O46,Q46),MIN(O70,Q70))&lt;=MIN(MAX(O46,Q46),MAX(O70,Q70))),1,0),0)</f>
        <v>0</v>
      </c>
      <c r="T1510" s="7"/>
      <c r="U1510" s="7"/>
      <c r="V1510" s="7"/>
      <c r="W1510" s="7"/>
      <c r="X1510" s="7"/>
      <c r="Y1510" s="7"/>
      <c r="Z1510" s="7"/>
      <c r="AA1510" s="7"/>
      <c r="AB1510" s="7"/>
      <c r="AC1510" s="7"/>
      <c r="AD1510" s="7"/>
      <c r="AE1510" s="7"/>
      <c r="AF1510" s="7"/>
      <c r="AG1510" s="7"/>
      <c r="AH1510" s="7"/>
      <c r="AI1510" s="7"/>
    </row>
    <row r="1511" spans="12:35">
      <c r="L1511" s="7">
        <v>46</v>
      </c>
      <c r="M1511" s="7">
        <v>71</v>
      </c>
      <c r="N1511" s="7" t="b">
        <f>AND($N$6,$N$7,15&lt;=$M$6,20&lt;=$M$7)</f>
        <v>0</v>
      </c>
      <c r="O1511" s="7">
        <f>(P46-N46)*(O71-O46)-(Q46-O46)*(N71-N46)</f>
        <v>0</v>
      </c>
      <c r="P1511" s="7">
        <f>(P46-N46)*(Q71-O46)-(Q46-O46)*(P71-N46)</f>
        <v>0</v>
      </c>
      <c r="Q1511" s="7">
        <f>(P71-N71)*(O46-O71)-(Q71-O71)*(N46-N71)</f>
        <v>0</v>
      </c>
      <c r="R1511" s="7">
        <f>(P71-N71)*(Q46-O71)-(Q71-O71)*(P46-N71)</f>
        <v>0</v>
      </c>
      <c r="S1511" s="7">
        <f>IF(N1511,IF(AND(O1511*P1511&lt;=0,Q1511*R1511&lt;=0,MAX(MIN(N46,P46),MIN(N71,P71))&lt;=MIN(MAX(N46,P46),MAX(N71,P71)),MAX(MIN(O46,Q46),MIN(O71,Q71))&lt;=MIN(MAX(O46,Q46),MAX(O71,Q71))),1,0),0)</f>
        <v>0</v>
      </c>
      <c r="T1511" s="7"/>
      <c r="U1511" s="7"/>
      <c r="V1511" s="7"/>
      <c r="W1511" s="7"/>
      <c r="X1511" s="7"/>
      <c r="Y1511" s="7"/>
      <c r="Z1511" s="7"/>
      <c r="AA1511" s="7"/>
      <c r="AB1511" s="7"/>
      <c r="AC1511" s="7"/>
      <c r="AD1511" s="7"/>
      <c r="AE1511" s="7"/>
      <c r="AF1511" s="7"/>
      <c r="AG1511" s="7"/>
      <c r="AH1511" s="7"/>
      <c r="AI1511" s="7"/>
    </row>
    <row r="1512" spans="12:35">
      <c r="L1512" s="7">
        <v>47</v>
      </c>
      <c r="M1512" s="7">
        <v>49</v>
      </c>
      <c r="N1512" s="7" t="b">
        <f>AND($N$6,$N$6,16&lt;=$M$6,18&lt;=$M$6)</f>
        <v>0</v>
      </c>
      <c r="O1512" s="7">
        <f>(P47-N47)*(O49-O47)-(Q47-O47)*(N49-N47)</f>
        <v>0</v>
      </c>
      <c r="P1512" s="7">
        <f>(P47-N47)*(Q49-O47)-(Q47-O47)*(P49-N47)</f>
        <v>0</v>
      </c>
      <c r="Q1512" s="7">
        <f>(P49-N49)*(O47-O49)-(Q49-O49)*(N47-N49)</f>
        <v>0</v>
      </c>
      <c r="R1512" s="7">
        <f>(P49-N49)*(Q47-O49)-(Q49-O49)*(P47-N49)</f>
        <v>0</v>
      </c>
      <c r="S1512" s="7">
        <f>IF(N1512,IF(AND(O1512*P1512&lt;=0,Q1512*R1512&lt;=0,MAX(MIN(N47,P47),MIN(N49,P49))&lt;=MIN(MAX(N47,P47),MAX(N49,P49)),MAX(MIN(O47,Q47),MIN(O49,Q49))&lt;=MIN(MAX(O47,Q47),MAX(O49,Q49))),1,0),0)</f>
        <v>0</v>
      </c>
      <c r="T1512" s="7"/>
      <c r="U1512" s="7"/>
      <c r="V1512" s="7"/>
      <c r="W1512" s="7"/>
      <c r="X1512" s="7"/>
      <c r="Y1512" s="7"/>
      <c r="Z1512" s="7"/>
      <c r="AA1512" s="7"/>
      <c r="AB1512" s="7"/>
      <c r="AC1512" s="7"/>
      <c r="AD1512" s="7"/>
      <c r="AE1512" s="7"/>
      <c r="AF1512" s="7"/>
      <c r="AG1512" s="7"/>
      <c r="AH1512" s="7"/>
      <c r="AI1512" s="7"/>
    </row>
    <row r="1513" spans="12:35">
      <c r="L1513" s="7">
        <v>47</v>
      </c>
      <c r="M1513" s="7">
        <v>50</v>
      </c>
      <c r="N1513" s="7" t="b">
        <f>AND($N$6,$N$6,16&lt;=$M$6,19&lt;=$M$6)</f>
        <v>0</v>
      </c>
      <c r="O1513" s="7">
        <f>(P47-N47)*(O50-O47)-(Q47-O47)*(N50-N47)</f>
        <v>0</v>
      </c>
      <c r="P1513" s="7">
        <f>(P47-N47)*(Q50-O47)-(Q47-O47)*(P50-N47)</f>
        <v>0</v>
      </c>
      <c r="Q1513" s="7">
        <f>(P50-N50)*(O47-O50)-(Q50-O50)*(N47-N50)</f>
        <v>0</v>
      </c>
      <c r="R1513" s="7">
        <f>(P50-N50)*(Q47-O50)-(Q50-O50)*(P47-N50)</f>
        <v>0</v>
      </c>
      <c r="S1513" s="7">
        <f>IF(N1513,IF(AND(O1513*P1513&lt;=0,Q1513*R1513&lt;=0,MAX(MIN(N47,P47),MIN(N50,P50))&lt;=MIN(MAX(N47,P47),MAX(N50,P50)),MAX(MIN(O47,Q47),MIN(O50,Q50))&lt;=MIN(MAX(O47,Q47),MAX(O50,Q50))),1,0),0)</f>
        <v>0</v>
      </c>
      <c r="T1513" s="7"/>
      <c r="U1513" s="7"/>
      <c r="V1513" s="7"/>
      <c r="W1513" s="7"/>
      <c r="X1513" s="7"/>
      <c r="Y1513" s="7"/>
      <c r="Z1513" s="7"/>
      <c r="AA1513" s="7"/>
      <c r="AB1513" s="7"/>
      <c r="AC1513" s="7"/>
      <c r="AD1513" s="7"/>
      <c r="AE1513" s="7"/>
      <c r="AF1513" s="7"/>
      <c r="AG1513" s="7"/>
      <c r="AH1513" s="7"/>
      <c r="AI1513" s="7"/>
    </row>
    <row r="1514" spans="12:35">
      <c r="L1514" s="7">
        <v>47</v>
      </c>
      <c r="M1514" s="7">
        <v>51</v>
      </c>
      <c r="N1514" s="7" t="b">
        <f>AND($N$6,$N$6,16&lt;=$M$6,20&lt;=$M$6)</f>
        <v>0</v>
      </c>
      <c r="O1514" s="7">
        <f>(P47-N47)*(O51-O47)-(Q47-O47)*(N51-N47)</f>
        <v>0</v>
      </c>
      <c r="P1514" s="7">
        <f>(P47-N47)*(Q51-O47)-(Q47-O47)*(P51-N47)</f>
        <v>0</v>
      </c>
      <c r="Q1514" s="7">
        <f>(P51-N51)*(O47-O51)-(Q51-O51)*(N47-N51)</f>
        <v>0</v>
      </c>
      <c r="R1514" s="7">
        <f>(P51-N51)*(Q47-O51)-(Q51-O51)*(P47-N51)</f>
        <v>0</v>
      </c>
      <c r="S1514" s="7">
        <f>IF(N1514,IF(AND(O1514*P1514&lt;=0,Q1514*R1514&lt;=0,MAX(MIN(N47,P47),MIN(N51,P51))&lt;=MIN(MAX(N47,P47),MAX(N51,P51)),MAX(MIN(O47,Q47),MIN(O51,Q51))&lt;=MIN(MAX(O47,Q47),MAX(O51,Q51))),1,0),0)</f>
        <v>0</v>
      </c>
      <c r="T1514" s="7"/>
      <c r="U1514" s="7"/>
      <c r="V1514" s="7"/>
      <c r="W1514" s="7"/>
      <c r="X1514" s="7"/>
      <c r="Y1514" s="7"/>
      <c r="Z1514" s="7"/>
      <c r="AA1514" s="7"/>
      <c r="AB1514" s="7"/>
      <c r="AC1514" s="7"/>
      <c r="AD1514" s="7"/>
      <c r="AE1514" s="7"/>
      <c r="AF1514" s="7"/>
      <c r="AG1514" s="7"/>
      <c r="AH1514" s="7"/>
      <c r="AI1514" s="7"/>
    </row>
    <row r="1515" spans="12:35">
      <c r="L1515" s="7">
        <v>47</v>
      </c>
      <c r="M1515" s="7">
        <v>52</v>
      </c>
      <c r="N1515" s="7" t="b">
        <f>AND($N$6,$N$7,16&lt;=$M$6,1&lt;=$M$7)</f>
        <v>0</v>
      </c>
      <c r="O1515" s="7">
        <f>(P47-N47)*(O52-O47)-(Q47-O47)*(N52-N47)</f>
        <v>0</v>
      </c>
      <c r="P1515" s="7">
        <f>(P47-N47)*(Q52-O47)-(Q47-O47)*(P52-N47)</f>
        <v>0</v>
      </c>
      <c r="Q1515" s="7">
        <f>(P52-N52)*(O47-O52)-(Q52-O52)*(N47-N52)</f>
        <v>0</v>
      </c>
      <c r="R1515" s="7">
        <f>(P52-N52)*(Q47-O52)-(Q52-O52)*(P47-N52)</f>
        <v>0</v>
      </c>
      <c r="S1515" s="7">
        <f>IF(N1515,IF(AND(O1515*P1515&lt;=0,Q1515*R1515&lt;=0,MAX(MIN(N47,P47),MIN(N52,P52))&lt;=MIN(MAX(N47,P47),MAX(N52,P52)),MAX(MIN(O47,Q47),MIN(O52,Q52))&lt;=MIN(MAX(O47,Q47),MAX(O52,Q52))),1,0),0)</f>
        <v>0</v>
      </c>
      <c r="T1515" s="7"/>
      <c r="U1515" s="7"/>
      <c r="V1515" s="7"/>
      <c r="W1515" s="7"/>
      <c r="X1515" s="7"/>
      <c r="Y1515" s="7"/>
      <c r="Z1515" s="7"/>
      <c r="AA1515" s="7"/>
      <c r="AB1515" s="7"/>
      <c r="AC1515" s="7"/>
      <c r="AD1515" s="7"/>
      <c r="AE1515" s="7"/>
      <c r="AF1515" s="7"/>
      <c r="AG1515" s="7"/>
      <c r="AH1515" s="7"/>
      <c r="AI1515" s="7"/>
    </row>
    <row r="1516" spans="12:35">
      <c r="L1516" s="7">
        <v>47</v>
      </c>
      <c r="M1516" s="7">
        <v>53</v>
      </c>
      <c r="N1516" s="7" t="b">
        <f>AND($N$6,$N$7,16&lt;=$M$6,2&lt;=$M$7)</f>
        <v>0</v>
      </c>
      <c r="O1516" s="7">
        <f>(P47-N47)*(O53-O47)-(Q47-O47)*(N53-N47)</f>
        <v>0</v>
      </c>
      <c r="P1516" s="7">
        <f>(P47-N47)*(Q53-O47)-(Q47-O47)*(P53-N47)</f>
        <v>0</v>
      </c>
      <c r="Q1516" s="7">
        <f>(P53-N53)*(O47-O53)-(Q53-O53)*(N47-N53)</f>
        <v>0</v>
      </c>
      <c r="R1516" s="7">
        <f>(P53-N53)*(Q47-O53)-(Q53-O53)*(P47-N53)</f>
        <v>0</v>
      </c>
      <c r="S1516" s="7">
        <f>IF(N1516,IF(AND(O1516*P1516&lt;=0,Q1516*R1516&lt;=0,MAX(MIN(N47,P47),MIN(N53,P53))&lt;=MIN(MAX(N47,P47),MAX(N53,P53)),MAX(MIN(O47,Q47),MIN(O53,Q53))&lt;=MIN(MAX(O47,Q47),MAX(O53,Q53))),1,0),0)</f>
        <v>0</v>
      </c>
      <c r="T1516" s="7"/>
      <c r="U1516" s="7"/>
      <c r="V1516" s="7"/>
      <c r="W1516" s="7"/>
      <c r="X1516" s="7"/>
      <c r="Y1516" s="7"/>
      <c r="Z1516" s="7"/>
      <c r="AA1516" s="7"/>
      <c r="AB1516" s="7"/>
      <c r="AC1516" s="7"/>
      <c r="AD1516" s="7"/>
      <c r="AE1516" s="7"/>
      <c r="AF1516" s="7"/>
      <c r="AG1516" s="7"/>
      <c r="AH1516" s="7"/>
      <c r="AI1516" s="7"/>
    </row>
    <row r="1517" spans="12:35">
      <c r="L1517" s="7">
        <v>47</v>
      </c>
      <c r="M1517" s="7">
        <v>54</v>
      </c>
      <c r="N1517" s="7" t="b">
        <f>AND($N$6,$N$7,16&lt;=$M$6,3&lt;=$M$7)</f>
        <v>0</v>
      </c>
      <c r="O1517" s="7">
        <f>(P47-N47)*(O54-O47)-(Q47-O47)*(N54-N47)</f>
        <v>0</v>
      </c>
      <c r="P1517" s="7">
        <f>(P47-N47)*(Q54-O47)-(Q47-O47)*(P54-N47)</f>
        <v>0</v>
      </c>
      <c r="Q1517" s="7">
        <f>(P54-N54)*(O47-O54)-(Q54-O54)*(N47-N54)</f>
        <v>0</v>
      </c>
      <c r="R1517" s="7">
        <f>(P54-N54)*(Q47-O54)-(Q54-O54)*(P47-N54)</f>
        <v>0</v>
      </c>
      <c r="S1517" s="7">
        <f>IF(N1517,IF(AND(O1517*P1517&lt;=0,Q1517*R1517&lt;=0,MAX(MIN(N47,P47),MIN(N54,P54))&lt;=MIN(MAX(N47,P47),MAX(N54,P54)),MAX(MIN(O47,Q47),MIN(O54,Q54))&lt;=MIN(MAX(O47,Q47),MAX(O54,Q54))),1,0),0)</f>
        <v>0</v>
      </c>
      <c r="T1517" s="7"/>
      <c r="U1517" s="7"/>
      <c r="V1517" s="7"/>
      <c r="W1517" s="7"/>
      <c r="X1517" s="7"/>
      <c r="Y1517" s="7"/>
      <c r="Z1517" s="7"/>
      <c r="AA1517" s="7"/>
      <c r="AB1517" s="7"/>
      <c r="AC1517" s="7"/>
      <c r="AD1517" s="7"/>
      <c r="AE1517" s="7"/>
      <c r="AF1517" s="7"/>
      <c r="AG1517" s="7"/>
      <c r="AH1517" s="7"/>
      <c r="AI1517" s="7"/>
    </row>
    <row r="1518" spans="12:35">
      <c r="L1518" s="7">
        <v>47</v>
      </c>
      <c r="M1518" s="7">
        <v>55</v>
      </c>
      <c r="N1518" s="7" t="b">
        <f>AND($N$6,$N$7,16&lt;=$M$6,4&lt;=$M$7)</f>
        <v>0</v>
      </c>
      <c r="O1518" s="7">
        <f>(P47-N47)*(O55-O47)-(Q47-O47)*(N55-N47)</f>
        <v>0</v>
      </c>
      <c r="P1518" s="7">
        <f>(P47-N47)*(Q55-O47)-(Q47-O47)*(P55-N47)</f>
        <v>0</v>
      </c>
      <c r="Q1518" s="7">
        <f>(P55-N55)*(O47-O55)-(Q55-O55)*(N47-N55)</f>
        <v>0</v>
      </c>
      <c r="R1518" s="7">
        <f>(P55-N55)*(Q47-O55)-(Q55-O55)*(P47-N55)</f>
        <v>0</v>
      </c>
      <c r="S1518" s="7">
        <f>IF(N1518,IF(AND(O1518*P1518&lt;=0,Q1518*R1518&lt;=0,MAX(MIN(N47,P47),MIN(N55,P55))&lt;=MIN(MAX(N47,P47),MAX(N55,P55)),MAX(MIN(O47,Q47),MIN(O55,Q55))&lt;=MIN(MAX(O47,Q47),MAX(O55,Q55))),1,0),0)</f>
        <v>0</v>
      </c>
      <c r="T1518" s="7"/>
      <c r="U1518" s="7"/>
      <c r="V1518" s="7"/>
      <c r="W1518" s="7"/>
      <c r="X1518" s="7"/>
      <c r="Y1518" s="7"/>
      <c r="Z1518" s="7"/>
      <c r="AA1518" s="7"/>
      <c r="AB1518" s="7"/>
      <c r="AC1518" s="7"/>
      <c r="AD1518" s="7"/>
      <c r="AE1518" s="7"/>
      <c r="AF1518" s="7"/>
      <c r="AG1518" s="7"/>
      <c r="AH1518" s="7"/>
      <c r="AI1518" s="7"/>
    </row>
    <row r="1519" spans="12:35">
      <c r="L1519" s="7">
        <v>47</v>
      </c>
      <c r="M1519" s="7">
        <v>56</v>
      </c>
      <c r="N1519" s="7" t="b">
        <f>AND($N$6,$N$7,16&lt;=$M$6,5&lt;=$M$7)</f>
        <v>0</v>
      </c>
      <c r="O1519" s="7">
        <f>(P47-N47)*(O56-O47)-(Q47-O47)*(N56-N47)</f>
        <v>0</v>
      </c>
      <c r="P1519" s="7">
        <f>(P47-N47)*(Q56-O47)-(Q47-O47)*(P56-N47)</f>
        <v>0</v>
      </c>
      <c r="Q1519" s="7">
        <f>(P56-N56)*(O47-O56)-(Q56-O56)*(N47-N56)</f>
        <v>0</v>
      </c>
      <c r="R1519" s="7">
        <f>(P56-N56)*(Q47-O56)-(Q56-O56)*(P47-N56)</f>
        <v>0</v>
      </c>
      <c r="S1519" s="7">
        <f>IF(N1519,IF(AND(O1519*P1519&lt;=0,Q1519*R1519&lt;=0,MAX(MIN(N47,P47),MIN(N56,P56))&lt;=MIN(MAX(N47,P47),MAX(N56,P56)),MAX(MIN(O47,Q47),MIN(O56,Q56))&lt;=MIN(MAX(O47,Q47),MAX(O56,Q56))),1,0),0)</f>
        <v>0</v>
      </c>
      <c r="T1519" s="7"/>
      <c r="U1519" s="7"/>
      <c r="V1519" s="7"/>
      <c r="W1519" s="7"/>
      <c r="X1519" s="7"/>
      <c r="Y1519" s="7"/>
      <c r="Z1519" s="7"/>
      <c r="AA1519" s="7"/>
      <c r="AB1519" s="7"/>
      <c r="AC1519" s="7"/>
      <c r="AD1519" s="7"/>
      <c r="AE1519" s="7"/>
      <c r="AF1519" s="7"/>
      <c r="AG1519" s="7"/>
      <c r="AH1519" s="7"/>
      <c r="AI1519" s="7"/>
    </row>
    <row r="1520" spans="12:35">
      <c r="L1520" s="7">
        <v>47</v>
      </c>
      <c r="M1520" s="7">
        <v>57</v>
      </c>
      <c r="N1520" s="7" t="b">
        <f>AND($N$6,$N$7,16&lt;=$M$6,6&lt;=$M$7)</f>
        <v>0</v>
      </c>
      <c r="O1520" s="7">
        <f>(P47-N47)*(O57-O47)-(Q47-O47)*(N57-N47)</f>
        <v>0</v>
      </c>
      <c r="P1520" s="7">
        <f>(P47-N47)*(Q57-O47)-(Q47-O47)*(P57-N47)</f>
        <v>0</v>
      </c>
      <c r="Q1520" s="7">
        <f>(P57-N57)*(O47-O57)-(Q57-O57)*(N47-N57)</f>
        <v>0</v>
      </c>
      <c r="R1520" s="7">
        <f>(P57-N57)*(Q47-O57)-(Q57-O57)*(P47-N57)</f>
        <v>0</v>
      </c>
      <c r="S1520" s="7">
        <f>IF(N1520,IF(AND(O1520*P1520&lt;=0,Q1520*R1520&lt;=0,MAX(MIN(N47,P47),MIN(N57,P57))&lt;=MIN(MAX(N47,P47),MAX(N57,P57)),MAX(MIN(O47,Q47),MIN(O57,Q57))&lt;=MIN(MAX(O47,Q47),MAX(O57,Q57))),1,0),0)</f>
        <v>0</v>
      </c>
      <c r="T1520" s="7"/>
      <c r="U1520" s="7"/>
      <c r="V1520" s="7"/>
      <c r="W1520" s="7"/>
      <c r="X1520" s="7"/>
      <c r="Y1520" s="7"/>
      <c r="Z1520" s="7"/>
      <c r="AA1520" s="7"/>
      <c r="AB1520" s="7"/>
      <c r="AC1520" s="7"/>
      <c r="AD1520" s="7"/>
      <c r="AE1520" s="7"/>
      <c r="AF1520" s="7"/>
      <c r="AG1520" s="7"/>
      <c r="AH1520" s="7"/>
      <c r="AI1520" s="7"/>
    </row>
    <row r="1521" spans="12:35">
      <c r="L1521" s="7">
        <v>47</v>
      </c>
      <c r="M1521" s="7">
        <v>58</v>
      </c>
      <c r="N1521" s="7" t="b">
        <f>AND($N$6,$N$7,16&lt;=$M$6,7&lt;=$M$7)</f>
        <v>0</v>
      </c>
      <c r="O1521" s="7">
        <f>(P47-N47)*(O58-O47)-(Q47-O47)*(N58-N47)</f>
        <v>0</v>
      </c>
      <c r="P1521" s="7">
        <f>(P47-N47)*(Q58-O47)-(Q47-O47)*(P58-N47)</f>
        <v>0</v>
      </c>
      <c r="Q1521" s="7">
        <f>(P58-N58)*(O47-O58)-(Q58-O58)*(N47-N58)</f>
        <v>0</v>
      </c>
      <c r="R1521" s="7">
        <f>(P58-N58)*(Q47-O58)-(Q58-O58)*(P47-N58)</f>
        <v>0</v>
      </c>
      <c r="S1521" s="7">
        <f>IF(N1521,IF(AND(O1521*P1521&lt;=0,Q1521*R1521&lt;=0,MAX(MIN(N47,P47),MIN(N58,P58))&lt;=MIN(MAX(N47,P47),MAX(N58,P58)),MAX(MIN(O47,Q47),MIN(O58,Q58))&lt;=MIN(MAX(O47,Q47),MAX(O58,Q58))),1,0),0)</f>
        <v>0</v>
      </c>
      <c r="T1521" s="7"/>
      <c r="U1521" s="7"/>
      <c r="V1521" s="7"/>
      <c r="W1521" s="7"/>
      <c r="X1521" s="7"/>
      <c r="Y1521" s="7"/>
      <c r="Z1521" s="7"/>
      <c r="AA1521" s="7"/>
      <c r="AB1521" s="7"/>
      <c r="AC1521" s="7"/>
      <c r="AD1521" s="7"/>
      <c r="AE1521" s="7"/>
      <c r="AF1521" s="7"/>
      <c r="AG1521" s="7"/>
      <c r="AH1521" s="7"/>
      <c r="AI1521" s="7"/>
    </row>
    <row r="1522" spans="12:35">
      <c r="L1522" s="7">
        <v>47</v>
      </c>
      <c r="M1522" s="7">
        <v>59</v>
      </c>
      <c r="N1522" s="7" t="b">
        <f>AND($N$6,$N$7,16&lt;=$M$6,8&lt;=$M$7)</f>
        <v>0</v>
      </c>
      <c r="O1522" s="7">
        <f>(P47-N47)*(O59-O47)-(Q47-O47)*(N59-N47)</f>
        <v>0</v>
      </c>
      <c r="P1522" s="7">
        <f>(P47-N47)*(Q59-O47)-(Q47-O47)*(P59-N47)</f>
        <v>0</v>
      </c>
      <c r="Q1522" s="7">
        <f>(P59-N59)*(O47-O59)-(Q59-O59)*(N47-N59)</f>
        <v>0</v>
      </c>
      <c r="R1522" s="7">
        <f>(P59-N59)*(Q47-O59)-(Q59-O59)*(P47-N59)</f>
        <v>0</v>
      </c>
      <c r="S1522" s="7">
        <f>IF(N1522,IF(AND(O1522*P1522&lt;=0,Q1522*R1522&lt;=0,MAX(MIN(N47,P47),MIN(N59,P59))&lt;=MIN(MAX(N47,P47),MAX(N59,P59)),MAX(MIN(O47,Q47),MIN(O59,Q59))&lt;=MIN(MAX(O47,Q47),MAX(O59,Q59))),1,0),0)</f>
        <v>0</v>
      </c>
      <c r="T1522" s="7"/>
      <c r="U1522" s="7"/>
      <c r="V1522" s="7"/>
      <c r="W1522" s="7"/>
      <c r="X1522" s="7"/>
      <c r="Y1522" s="7"/>
      <c r="Z1522" s="7"/>
      <c r="AA1522" s="7"/>
      <c r="AB1522" s="7"/>
      <c r="AC1522" s="7"/>
      <c r="AD1522" s="7"/>
      <c r="AE1522" s="7"/>
      <c r="AF1522" s="7"/>
      <c r="AG1522" s="7"/>
      <c r="AH1522" s="7"/>
      <c r="AI1522" s="7"/>
    </row>
    <row r="1523" spans="12:35">
      <c r="L1523" s="7">
        <v>47</v>
      </c>
      <c r="M1523" s="7">
        <v>60</v>
      </c>
      <c r="N1523" s="7" t="b">
        <f>AND($N$6,$N$7,16&lt;=$M$6,9&lt;=$M$7)</f>
        <v>0</v>
      </c>
      <c r="O1523" s="7">
        <f>(P47-N47)*(O60-O47)-(Q47-O47)*(N60-N47)</f>
        <v>0</v>
      </c>
      <c r="P1523" s="7">
        <f>(P47-N47)*(Q60-O47)-(Q47-O47)*(P60-N47)</f>
        <v>0</v>
      </c>
      <c r="Q1523" s="7">
        <f>(P60-N60)*(O47-O60)-(Q60-O60)*(N47-N60)</f>
        <v>0</v>
      </c>
      <c r="R1523" s="7">
        <f>(P60-N60)*(Q47-O60)-(Q60-O60)*(P47-N60)</f>
        <v>0</v>
      </c>
      <c r="S1523" s="7">
        <f>IF(N1523,IF(AND(O1523*P1523&lt;=0,Q1523*R1523&lt;=0,MAX(MIN(N47,P47),MIN(N60,P60))&lt;=MIN(MAX(N47,P47),MAX(N60,P60)),MAX(MIN(O47,Q47),MIN(O60,Q60))&lt;=MIN(MAX(O47,Q47),MAX(O60,Q60))),1,0),0)</f>
        <v>0</v>
      </c>
      <c r="T1523" s="7"/>
      <c r="U1523" s="7"/>
      <c r="V1523" s="7"/>
      <c r="W1523" s="7"/>
      <c r="X1523" s="7"/>
      <c r="Y1523" s="7"/>
      <c r="Z1523" s="7"/>
      <c r="AA1523" s="7"/>
      <c r="AB1523" s="7"/>
      <c r="AC1523" s="7"/>
      <c r="AD1523" s="7"/>
      <c r="AE1523" s="7"/>
      <c r="AF1523" s="7"/>
      <c r="AG1523" s="7"/>
      <c r="AH1523" s="7"/>
      <c r="AI1523" s="7"/>
    </row>
    <row r="1524" spans="12:35">
      <c r="L1524" s="7">
        <v>47</v>
      </c>
      <c r="M1524" s="7">
        <v>61</v>
      </c>
      <c r="N1524" s="7" t="b">
        <f>AND($N$6,$N$7,16&lt;=$M$6,10&lt;=$M$7)</f>
        <v>0</v>
      </c>
      <c r="O1524" s="7">
        <f>(P47-N47)*(O61-O47)-(Q47-O47)*(N61-N47)</f>
        <v>0</v>
      </c>
      <c r="P1524" s="7">
        <f>(P47-N47)*(Q61-O47)-(Q47-O47)*(P61-N47)</f>
        <v>0</v>
      </c>
      <c r="Q1524" s="7">
        <f>(P61-N61)*(O47-O61)-(Q61-O61)*(N47-N61)</f>
        <v>0</v>
      </c>
      <c r="R1524" s="7">
        <f>(P61-N61)*(Q47-O61)-(Q61-O61)*(P47-N61)</f>
        <v>0</v>
      </c>
      <c r="S1524" s="7">
        <f>IF(N1524,IF(AND(O1524*P1524&lt;=0,Q1524*R1524&lt;=0,MAX(MIN(N47,P47),MIN(N61,P61))&lt;=MIN(MAX(N47,P47),MAX(N61,P61)),MAX(MIN(O47,Q47),MIN(O61,Q61))&lt;=MIN(MAX(O47,Q47),MAX(O61,Q61))),1,0),0)</f>
        <v>0</v>
      </c>
      <c r="T1524" s="7"/>
      <c r="U1524" s="7"/>
      <c r="V1524" s="7"/>
      <c r="W1524" s="7"/>
      <c r="X1524" s="7"/>
      <c r="Y1524" s="7"/>
      <c r="Z1524" s="7"/>
      <c r="AA1524" s="7"/>
      <c r="AB1524" s="7"/>
      <c r="AC1524" s="7"/>
      <c r="AD1524" s="7"/>
      <c r="AE1524" s="7"/>
      <c r="AF1524" s="7"/>
      <c r="AG1524" s="7"/>
      <c r="AH1524" s="7"/>
      <c r="AI1524" s="7"/>
    </row>
    <row r="1525" spans="12:35">
      <c r="L1525" s="7">
        <v>47</v>
      </c>
      <c r="M1525" s="7">
        <v>62</v>
      </c>
      <c r="N1525" s="7" t="b">
        <f>AND($N$6,$N$7,16&lt;=$M$6,11&lt;=$M$7)</f>
        <v>0</v>
      </c>
      <c r="O1525" s="7">
        <f>(P47-N47)*(O62-O47)-(Q47-O47)*(N62-N47)</f>
        <v>0</v>
      </c>
      <c r="P1525" s="7">
        <f>(P47-N47)*(Q62-O47)-(Q47-O47)*(P62-N47)</f>
        <v>0</v>
      </c>
      <c r="Q1525" s="7">
        <f>(P62-N62)*(O47-O62)-(Q62-O62)*(N47-N62)</f>
        <v>0</v>
      </c>
      <c r="R1525" s="7">
        <f>(P62-N62)*(Q47-O62)-(Q62-O62)*(P47-N62)</f>
        <v>0</v>
      </c>
      <c r="S1525" s="7">
        <f>IF(N1525,IF(AND(O1525*P1525&lt;=0,Q1525*R1525&lt;=0,MAX(MIN(N47,P47),MIN(N62,P62))&lt;=MIN(MAX(N47,P47),MAX(N62,P62)),MAX(MIN(O47,Q47),MIN(O62,Q62))&lt;=MIN(MAX(O47,Q47),MAX(O62,Q62))),1,0),0)</f>
        <v>0</v>
      </c>
      <c r="T1525" s="7"/>
      <c r="U1525" s="7"/>
      <c r="V1525" s="7"/>
      <c r="W1525" s="7"/>
      <c r="X1525" s="7"/>
      <c r="Y1525" s="7"/>
      <c r="Z1525" s="7"/>
      <c r="AA1525" s="7"/>
      <c r="AB1525" s="7"/>
      <c r="AC1525" s="7"/>
      <c r="AD1525" s="7"/>
      <c r="AE1525" s="7"/>
      <c r="AF1525" s="7"/>
      <c r="AG1525" s="7"/>
      <c r="AH1525" s="7"/>
      <c r="AI1525" s="7"/>
    </row>
    <row r="1526" spans="12:35">
      <c r="L1526" s="7">
        <v>47</v>
      </c>
      <c r="M1526" s="7">
        <v>63</v>
      </c>
      <c r="N1526" s="7" t="b">
        <f>AND($N$6,$N$7,16&lt;=$M$6,12&lt;=$M$7)</f>
        <v>0</v>
      </c>
      <c r="O1526" s="7">
        <f>(P47-N47)*(O63-O47)-(Q47-O47)*(N63-N47)</f>
        <v>0</v>
      </c>
      <c r="P1526" s="7">
        <f>(P47-N47)*(Q63-O47)-(Q47-O47)*(P63-N47)</f>
        <v>0</v>
      </c>
      <c r="Q1526" s="7">
        <f>(P63-N63)*(O47-O63)-(Q63-O63)*(N47-N63)</f>
        <v>0</v>
      </c>
      <c r="R1526" s="7">
        <f>(P63-N63)*(Q47-O63)-(Q63-O63)*(P47-N63)</f>
        <v>0</v>
      </c>
      <c r="S1526" s="7">
        <f>IF(N1526,IF(AND(O1526*P1526&lt;=0,Q1526*R1526&lt;=0,MAX(MIN(N47,P47),MIN(N63,P63))&lt;=MIN(MAX(N47,P47),MAX(N63,P63)),MAX(MIN(O47,Q47),MIN(O63,Q63))&lt;=MIN(MAX(O47,Q47),MAX(O63,Q63))),1,0),0)</f>
        <v>0</v>
      </c>
      <c r="T1526" s="7"/>
      <c r="U1526" s="7"/>
      <c r="V1526" s="7"/>
      <c r="W1526" s="7"/>
      <c r="X1526" s="7"/>
      <c r="Y1526" s="7"/>
      <c r="Z1526" s="7"/>
      <c r="AA1526" s="7"/>
      <c r="AB1526" s="7"/>
      <c r="AC1526" s="7"/>
      <c r="AD1526" s="7"/>
      <c r="AE1526" s="7"/>
      <c r="AF1526" s="7"/>
      <c r="AG1526" s="7"/>
      <c r="AH1526" s="7"/>
      <c r="AI1526" s="7"/>
    </row>
    <row r="1527" spans="12:35">
      <c r="L1527" s="7">
        <v>47</v>
      </c>
      <c r="M1527" s="7">
        <v>64</v>
      </c>
      <c r="N1527" s="7" t="b">
        <f>AND($N$6,$N$7,16&lt;=$M$6,13&lt;=$M$7)</f>
        <v>0</v>
      </c>
      <c r="O1527" s="7">
        <f>(P47-N47)*(O64-O47)-(Q47-O47)*(N64-N47)</f>
        <v>0</v>
      </c>
      <c r="P1527" s="7">
        <f>(P47-N47)*(Q64-O47)-(Q47-O47)*(P64-N47)</f>
        <v>0</v>
      </c>
      <c r="Q1527" s="7">
        <f>(P64-N64)*(O47-O64)-(Q64-O64)*(N47-N64)</f>
        <v>0</v>
      </c>
      <c r="R1527" s="7">
        <f>(P64-N64)*(Q47-O64)-(Q64-O64)*(P47-N64)</f>
        <v>0</v>
      </c>
      <c r="S1527" s="7">
        <f>IF(N1527,IF(AND(O1527*P1527&lt;=0,Q1527*R1527&lt;=0,MAX(MIN(N47,P47),MIN(N64,P64))&lt;=MIN(MAX(N47,P47),MAX(N64,P64)),MAX(MIN(O47,Q47),MIN(O64,Q64))&lt;=MIN(MAX(O47,Q47),MAX(O64,Q64))),1,0),0)</f>
        <v>0</v>
      </c>
      <c r="T1527" s="7"/>
      <c r="U1527" s="7"/>
      <c r="V1527" s="7"/>
      <c r="W1527" s="7"/>
      <c r="X1527" s="7"/>
      <c r="Y1527" s="7"/>
      <c r="Z1527" s="7"/>
      <c r="AA1527" s="7"/>
      <c r="AB1527" s="7"/>
      <c r="AC1527" s="7"/>
      <c r="AD1527" s="7"/>
      <c r="AE1527" s="7"/>
      <c r="AF1527" s="7"/>
      <c r="AG1527" s="7"/>
      <c r="AH1527" s="7"/>
      <c r="AI1527" s="7"/>
    </row>
    <row r="1528" spans="12:35">
      <c r="L1528" s="7">
        <v>47</v>
      </c>
      <c r="M1528" s="7">
        <v>65</v>
      </c>
      <c r="N1528" s="7" t="b">
        <f>AND($N$6,$N$7,16&lt;=$M$6,14&lt;=$M$7)</f>
        <v>0</v>
      </c>
      <c r="O1528" s="7">
        <f>(P47-N47)*(O65-O47)-(Q47-O47)*(N65-N47)</f>
        <v>0</v>
      </c>
      <c r="P1528" s="7">
        <f>(P47-N47)*(Q65-O47)-(Q47-O47)*(P65-N47)</f>
        <v>0</v>
      </c>
      <c r="Q1528" s="7">
        <f>(P65-N65)*(O47-O65)-(Q65-O65)*(N47-N65)</f>
        <v>0</v>
      </c>
      <c r="R1528" s="7">
        <f>(P65-N65)*(Q47-O65)-(Q65-O65)*(P47-N65)</f>
        <v>0</v>
      </c>
      <c r="S1528" s="7">
        <f>IF(N1528,IF(AND(O1528*P1528&lt;=0,Q1528*R1528&lt;=0,MAX(MIN(N47,P47),MIN(N65,P65))&lt;=MIN(MAX(N47,P47),MAX(N65,P65)),MAX(MIN(O47,Q47),MIN(O65,Q65))&lt;=MIN(MAX(O47,Q47),MAX(O65,Q65))),1,0),0)</f>
        <v>0</v>
      </c>
      <c r="T1528" s="7"/>
      <c r="U1528" s="7"/>
      <c r="V1528" s="7"/>
      <c r="W1528" s="7"/>
      <c r="X1528" s="7"/>
      <c r="Y1528" s="7"/>
      <c r="Z1528" s="7"/>
      <c r="AA1528" s="7"/>
      <c r="AB1528" s="7"/>
      <c r="AC1528" s="7"/>
      <c r="AD1528" s="7"/>
      <c r="AE1528" s="7"/>
      <c r="AF1528" s="7"/>
      <c r="AG1528" s="7"/>
      <c r="AH1528" s="7"/>
      <c r="AI1528" s="7"/>
    </row>
    <row r="1529" spans="12:35">
      <c r="L1529" s="7">
        <v>47</v>
      </c>
      <c r="M1529" s="7">
        <v>66</v>
      </c>
      <c r="N1529" s="7" t="b">
        <f>AND($N$6,$N$7,16&lt;=$M$6,15&lt;=$M$7)</f>
        <v>0</v>
      </c>
      <c r="O1529" s="7">
        <f>(P47-N47)*(O66-O47)-(Q47-O47)*(N66-N47)</f>
        <v>0</v>
      </c>
      <c r="P1529" s="7">
        <f>(P47-N47)*(Q66-O47)-(Q47-O47)*(P66-N47)</f>
        <v>0</v>
      </c>
      <c r="Q1529" s="7">
        <f>(P66-N66)*(O47-O66)-(Q66-O66)*(N47-N66)</f>
        <v>0</v>
      </c>
      <c r="R1529" s="7">
        <f>(P66-N66)*(Q47-O66)-(Q66-O66)*(P47-N66)</f>
        <v>0</v>
      </c>
      <c r="S1529" s="7">
        <f>IF(N1529,IF(AND(O1529*P1529&lt;=0,Q1529*R1529&lt;=0,MAX(MIN(N47,P47),MIN(N66,P66))&lt;=MIN(MAX(N47,P47),MAX(N66,P66)),MAX(MIN(O47,Q47),MIN(O66,Q66))&lt;=MIN(MAX(O47,Q47),MAX(O66,Q66))),1,0),0)</f>
        <v>0</v>
      </c>
      <c r="T1529" s="7"/>
      <c r="U1529" s="7"/>
      <c r="V1529" s="7"/>
      <c r="W1529" s="7"/>
      <c r="X1529" s="7"/>
      <c r="Y1529" s="7"/>
      <c r="Z1529" s="7"/>
      <c r="AA1529" s="7"/>
      <c r="AB1529" s="7"/>
      <c r="AC1529" s="7"/>
      <c r="AD1529" s="7"/>
      <c r="AE1529" s="7"/>
      <c r="AF1529" s="7"/>
      <c r="AG1529" s="7"/>
      <c r="AH1529" s="7"/>
      <c r="AI1529" s="7"/>
    </row>
    <row r="1530" spans="12:35">
      <c r="L1530" s="7">
        <v>47</v>
      </c>
      <c r="M1530" s="7">
        <v>67</v>
      </c>
      <c r="N1530" s="7" t="b">
        <f>AND($N$6,$N$7,16&lt;=$M$6,16&lt;=$M$7)</f>
        <v>0</v>
      </c>
      <c r="O1530" s="7">
        <f>(P47-N47)*(O67-O47)-(Q47-O47)*(N67-N47)</f>
        <v>0</v>
      </c>
      <c r="P1530" s="7">
        <f>(P47-N47)*(Q67-O47)-(Q47-O47)*(P67-N47)</f>
        <v>0</v>
      </c>
      <c r="Q1530" s="7">
        <f>(P67-N67)*(O47-O67)-(Q67-O67)*(N47-N67)</f>
        <v>0</v>
      </c>
      <c r="R1530" s="7">
        <f>(P67-N67)*(Q47-O67)-(Q67-O67)*(P47-N67)</f>
        <v>0</v>
      </c>
      <c r="S1530" s="7">
        <f>IF(N1530,IF(AND(O1530*P1530&lt;=0,Q1530*R1530&lt;=0,MAX(MIN(N47,P47),MIN(N67,P67))&lt;=MIN(MAX(N47,P47),MAX(N67,P67)),MAX(MIN(O47,Q47),MIN(O67,Q67))&lt;=MIN(MAX(O47,Q47),MAX(O67,Q67))),1,0),0)</f>
        <v>0</v>
      </c>
      <c r="T1530" s="7"/>
      <c r="U1530" s="7"/>
      <c r="V1530" s="7"/>
      <c r="W1530" s="7"/>
      <c r="X1530" s="7"/>
      <c r="Y1530" s="7"/>
      <c r="Z1530" s="7"/>
      <c r="AA1530" s="7"/>
      <c r="AB1530" s="7"/>
      <c r="AC1530" s="7"/>
      <c r="AD1530" s="7"/>
      <c r="AE1530" s="7"/>
      <c r="AF1530" s="7"/>
      <c r="AG1530" s="7"/>
      <c r="AH1530" s="7"/>
      <c r="AI1530" s="7"/>
    </row>
    <row r="1531" spans="12:35">
      <c r="L1531" s="7">
        <v>47</v>
      </c>
      <c r="M1531" s="7">
        <v>68</v>
      </c>
      <c r="N1531" s="7" t="b">
        <f>AND($N$6,$N$7,16&lt;=$M$6,17&lt;=$M$7)</f>
        <v>0</v>
      </c>
      <c r="O1531" s="7">
        <f>(P47-N47)*(O68-O47)-(Q47-O47)*(N68-N47)</f>
        <v>0</v>
      </c>
      <c r="P1531" s="7">
        <f>(P47-N47)*(Q68-O47)-(Q47-O47)*(P68-N47)</f>
        <v>0</v>
      </c>
      <c r="Q1531" s="7">
        <f>(P68-N68)*(O47-O68)-(Q68-O68)*(N47-N68)</f>
        <v>0</v>
      </c>
      <c r="R1531" s="7">
        <f>(P68-N68)*(Q47-O68)-(Q68-O68)*(P47-N68)</f>
        <v>0</v>
      </c>
      <c r="S1531" s="7">
        <f>IF(N1531,IF(AND(O1531*P1531&lt;=0,Q1531*R1531&lt;=0,MAX(MIN(N47,P47),MIN(N68,P68))&lt;=MIN(MAX(N47,P47),MAX(N68,P68)),MAX(MIN(O47,Q47),MIN(O68,Q68))&lt;=MIN(MAX(O47,Q47),MAX(O68,Q68))),1,0),0)</f>
        <v>0</v>
      </c>
      <c r="T1531" s="7"/>
      <c r="U1531" s="7"/>
      <c r="V1531" s="7"/>
      <c r="W1531" s="7"/>
      <c r="X1531" s="7"/>
      <c r="Y1531" s="7"/>
      <c r="Z1531" s="7"/>
      <c r="AA1531" s="7"/>
      <c r="AB1531" s="7"/>
      <c r="AC1531" s="7"/>
      <c r="AD1531" s="7"/>
      <c r="AE1531" s="7"/>
      <c r="AF1531" s="7"/>
      <c r="AG1531" s="7"/>
      <c r="AH1531" s="7"/>
      <c r="AI1531" s="7"/>
    </row>
    <row r="1532" spans="12:35">
      <c r="L1532" s="7">
        <v>47</v>
      </c>
      <c r="M1532" s="7">
        <v>69</v>
      </c>
      <c r="N1532" s="7" t="b">
        <f>AND($N$6,$N$7,16&lt;=$M$6,18&lt;=$M$7)</f>
        <v>0</v>
      </c>
      <c r="O1532" s="7">
        <f>(P47-N47)*(O69-O47)-(Q47-O47)*(N69-N47)</f>
        <v>0</v>
      </c>
      <c r="P1532" s="7">
        <f>(P47-N47)*(Q69-O47)-(Q47-O47)*(P69-N47)</f>
        <v>0</v>
      </c>
      <c r="Q1532" s="7">
        <f>(P69-N69)*(O47-O69)-(Q69-O69)*(N47-N69)</f>
        <v>0</v>
      </c>
      <c r="R1532" s="7">
        <f>(P69-N69)*(Q47-O69)-(Q69-O69)*(P47-N69)</f>
        <v>0</v>
      </c>
      <c r="S1532" s="7">
        <f>IF(N1532,IF(AND(O1532*P1532&lt;=0,Q1532*R1532&lt;=0,MAX(MIN(N47,P47),MIN(N69,P69))&lt;=MIN(MAX(N47,P47),MAX(N69,P69)),MAX(MIN(O47,Q47),MIN(O69,Q69))&lt;=MIN(MAX(O47,Q47),MAX(O69,Q69))),1,0),0)</f>
        <v>0</v>
      </c>
      <c r="T1532" s="7"/>
      <c r="U1532" s="7"/>
      <c r="V1532" s="7"/>
      <c r="W1532" s="7"/>
      <c r="X1532" s="7"/>
      <c r="Y1532" s="7"/>
      <c r="Z1532" s="7"/>
      <c r="AA1532" s="7"/>
      <c r="AB1532" s="7"/>
      <c r="AC1532" s="7"/>
      <c r="AD1532" s="7"/>
      <c r="AE1532" s="7"/>
      <c r="AF1532" s="7"/>
      <c r="AG1532" s="7"/>
      <c r="AH1532" s="7"/>
      <c r="AI1532" s="7"/>
    </row>
    <row r="1533" spans="12:35">
      <c r="L1533" s="7">
        <v>47</v>
      </c>
      <c r="M1533" s="7">
        <v>70</v>
      </c>
      <c r="N1533" s="7" t="b">
        <f>AND($N$6,$N$7,16&lt;=$M$6,19&lt;=$M$7)</f>
        <v>0</v>
      </c>
      <c r="O1533" s="7">
        <f>(P47-N47)*(O70-O47)-(Q47-O47)*(N70-N47)</f>
        <v>0</v>
      </c>
      <c r="P1533" s="7">
        <f>(P47-N47)*(Q70-O47)-(Q47-O47)*(P70-N47)</f>
        <v>0</v>
      </c>
      <c r="Q1533" s="7">
        <f>(P70-N70)*(O47-O70)-(Q70-O70)*(N47-N70)</f>
        <v>0</v>
      </c>
      <c r="R1533" s="7">
        <f>(P70-N70)*(Q47-O70)-(Q70-O70)*(P47-N70)</f>
        <v>0</v>
      </c>
      <c r="S1533" s="7">
        <f>IF(N1533,IF(AND(O1533*P1533&lt;=0,Q1533*R1533&lt;=0,MAX(MIN(N47,P47),MIN(N70,P70))&lt;=MIN(MAX(N47,P47),MAX(N70,P70)),MAX(MIN(O47,Q47),MIN(O70,Q70))&lt;=MIN(MAX(O47,Q47),MAX(O70,Q70))),1,0),0)</f>
        <v>0</v>
      </c>
      <c r="T1533" s="7"/>
      <c r="U1533" s="7"/>
      <c r="V1533" s="7"/>
      <c r="W1533" s="7"/>
      <c r="X1533" s="7"/>
      <c r="Y1533" s="7"/>
      <c r="Z1533" s="7"/>
      <c r="AA1533" s="7"/>
      <c r="AB1533" s="7"/>
      <c r="AC1533" s="7"/>
      <c r="AD1533" s="7"/>
      <c r="AE1533" s="7"/>
      <c r="AF1533" s="7"/>
      <c r="AG1533" s="7"/>
      <c r="AH1533" s="7"/>
      <c r="AI1533" s="7"/>
    </row>
    <row r="1534" spans="12:35">
      <c r="L1534" s="7">
        <v>47</v>
      </c>
      <c r="M1534" s="7">
        <v>71</v>
      </c>
      <c r="N1534" s="7" t="b">
        <f>AND($N$6,$N$7,16&lt;=$M$6,20&lt;=$M$7)</f>
        <v>0</v>
      </c>
      <c r="O1534" s="7">
        <f>(P47-N47)*(O71-O47)-(Q47-O47)*(N71-N47)</f>
        <v>0</v>
      </c>
      <c r="P1534" s="7">
        <f>(P47-N47)*(Q71-O47)-(Q47-O47)*(P71-N47)</f>
        <v>0</v>
      </c>
      <c r="Q1534" s="7">
        <f>(P71-N71)*(O47-O71)-(Q71-O71)*(N47-N71)</f>
        <v>0</v>
      </c>
      <c r="R1534" s="7">
        <f>(P71-N71)*(Q47-O71)-(Q71-O71)*(P47-N71)</f>
        <v>0</v>
      </c>
      <c r="S1534" s="7">
        <f>IF(N1534,IF(AND(O1534*P1534&lt;=0,Q1534*R1534&lt;=0,MAX(MIN(N47,P47),MIN(N71,P71))&lt;=MIN(MAX(N47,P47),MAX(N71,P71)),MAX(MIN(O47,Q47),MIN(O71,Q71))&lt;=MIN(MAX(O47,Q47),MAX(O71,Q71))),1,0),0)</f>
        <v>0</v>
      </c>
      <c r="T1534" s="7"/>
      <c r="U1534" s="7"/>
      <c r="V1534" s="7"/>
      <c r="W1534" s="7"/>
      <c r="X1534" s="7"/>
      <c r="Y1534" s="7"/>
      <c r="Z1534" s="7"/>
      <c r="AA1534" s="7"/>
      <c r="AB1534" s="7"/>
      <c r="AC1534" s="7"/>
      <c r="AD1534" s="7"/>
      <c r="AE1534" s="7"/>
      <c r="AF1534" s="7"/>
      <c r="AG1534" s="7"/>
      <c r="AH1534" s="7"/>
      <c r="AI1534" s="7"/>
    </row>
    <row r="1535" spans="12:35">
      <c r="L1535" s="7">
        <v>48</v>
      </c>
      <c r="M1535" s="7">
        <v>50</v>
      </c>
      <c r="N1535" s="7" t="b">
        <f>AND($N$6,$N$6,17&lt;=$M$6,19&lt;=$M$6)</f>
        <v>0</v>
      </c>
      <c r="O1535" s="7">
        <f>(P48-N48)*(O50-O48)-(Q48-O48)*(N50-N48)</f>
        <v>0</v>
      </c>
      <c r="P1535" s="7">
        <f>(P48-N48)*(Q50-O48)-(Q48-O48)*(P50-N48)</f>
        <v>0</v>
      </c>
      <c r="Q1535" s="7">
        <f>(P50-N50)*(O48-O50)-(Q50-O50)*(N48-N50)</f>
        <v>0</v>
      </c>
      <c r="R1535" s="7">
        <f>(P50-N50)*(Q48-O50)-(Q50-O50)*(P48-N50)</f>
        <v>0</v>
      </c>
      <c r="S1535" s="7">
        <f>IF(N1535,IF(AND(O1535*P1535&lt;=0,Q1535*R1535&lt;=0,MAX(MIN(N48,P48),MIN(N50,P50))&lt;=MIN(MAX(N48,P48),MAX(N50,P50)),MAX(MIN(O48,Q48),MIN(O50,Q50))&lt;=MIN(MAX(O48,Q48),MAX(O50,Q50))),1,0),0)</f>
        <v>0</v>
      </c>
      <c r="T1535" s="7"/>
      <c r="U1535" s="7"/>
      <c r="V1535" s="7"/>
      <c r="W1535" s="7"/>
      <c r="X1535" s="7"/>
      <c r="Y1535" s="7"/>
      <c r="Z1535" s="7"/>
      <c r="AA1535" s="7"/>
      <c r="AB1535" s="7"/>
      <c r="AC1535" s="7"/>
      <c r="AD1535" s="7"/>
      <c r="AE1535" s="7"/>
      <c r="AF1535" s="7"/>
      <c r="AG1535" s="7"/>
      <c r="AH1535" s="7"/>
      <c r="AI1535" s="7"/>
    </row>
    <row r="1536" spans="12:35">
      <c r="L1536" s="7">
        <v>48</v>
      </c>
      <c r="M1536" s="7">
        <v>51</v>
      </c>
      <c r="N1536" s="7" t="b">
        <f>AND($N$6,$N$6,17&lt;=$M$6,20&lt;=$M$6)</f>
        <v>0</v>
      </c>
      <c r="O1536" s="7">
        <f>(P48-N48)*(O51-O48)-(Q48-O48)*(N51-N48)</f>
        <v>0</v>
      </c>
      <c r="P1536" s="7">
        <f>(P48-N48)*(Q51-O48)-(Q48-O48)*(P51-N48)</f>
        <v>0</v>
      </c>
      <c r="Q1536" s="7">
        <f>(P51-N51)*(O48-O51)-(Q51-O51)*(N48-N51)</f>
        <v>0</v>
      </c>
      <c r="R1536" s="7">
        <f>(P51-N51)*(Q48-O51)-(Q51-O51)*(P48-N51)</f>
        <v>0</v>
      </c>
      <c r="S1536" s="7">
        <f>IF(N1536,IF(AND(O1536*P1536&lt;=0,Q1536*R1536&lt;=0,MAX(MIN(N48,P48),MIN(N51,P51))&lt;=MIN(MAX(N48,P48),MAX(N51,P51)),MAX(MIN(O48,Q48),MIN(O51,Q51))&lt;=MIN(MAX(O48,Q48),MAX(O51,Q51))),1,0),0)</f>
        <v>0</v>
      </c>
      <c r="T1536" s="7"/>
      <c r="U1536" s="7"/>
      <c r="V1536" s="7"/>
      <c r="W1536" s="7"/>
      <c r="X1536" s="7"/>
      <c r="Y1536" s="7"/>
      <c r="Z1536" s="7"/>
      <c r="AA1536" s="7"/>
      <c r="AB1536" s="7"/>
      <c r="AC1536" s="7"/>
      <c r="AD1536" s="7"/>
      <c r="AE1536" s="7"/>
      <c r="AF1536" s="7"/>
      <c r="AG1536" s="7"/>
      <c r="AH1536" s="7"/>
      <c r="AI1536" s="7"/>
    </row>
    <row r="1537" spans="12:35">
      <c r="L1537" s="7">
        <v>48</v>
      </c>
      <c r="M1537" s="7">
        <v>52</v>
      </c>
      <c r="N1537" s="7" t="b">
        <f>AND($N$6,$N$7,17&lt;=$M$6,1&lt;=$M$7)</f>
        <v>0</v>
      </c>
      <c r="O1537" s="7">
        <f>(P48-N48)*(O52-O48)-(Q48-O48)*(N52-N48)</f>
        <v>0</v>
      </c>
      <c r="P1537" s="7">
        <f>(P48-N48)*(Q52-O48)-(Q48-O48)*(P52-N48)</f>
        <v>0</v>
      </c>
      <c r="Q1537" s="7">
        <f>(P52-N52)*(O48-O52)-(Q52-O52)*(N48-N52)</f>
        <v>0</v>
      </c>
      <c r="R1537" s="7">
        <f>(P52-N52)*(Q48-O52)-(Q52-O52)*(P48-N52)</f>
        <v>0</v>
      </c>
      <c r="S1537" s="7">
        <f>IF(N1537,IF(AND(O1537*P1537&lt;=0,Q1537*R1537&lt;=0,MAX(MIN(N48,P48),MIN(N52,P52))&lt;=MIN(MAX(N48,P48),MAX(N52,P52)),MAX(MIN(O48,Q48),MIN(O52,Q52))&lt;=MIN(MAX(O48,Q48),MAX(O52,Q52))),1,0),0)</f>
        <v>0</v>
      </c>
      <c r="T1537" s="7"/>
      <c r="U1537" s="7"/>
      <c r="V1537" s="7"/>
      <c r="W1537" s="7"/>
      <c r="X1537" s="7"/>
      <c r="Y1537" s="7"/>
      <c r="Z1537" s="7"/>
      <c r="AA1537" s="7"/>
      <c r="AB1537" s="7"/>
      <c r="AC1537" s="7"/>
      <c r="AD1537" s="7"/>
      <c r="AE1537" s="7"/>
      <c r="AF1537" s="7"/>
      <c r="AG1537" s="7"/>
      <c r="AH1537" s="7"/>
      <c r="AI1537" s="7"/>
    </row>
    <row r="1538" spans="12:35">
      <c r="L1538" s="7">
        <v>48</v>
      </c>
      <c r="M1538" s="7">
        <v>53</v>
      </c>
      <c r="N1538" s="7" t="b">
        <f>AND($N$6,$N$7,17&lt;=$M$6,2&lt;=$M$7)</f>
        <v>0</v>
      </c>
      <c r="O1538" s="7">
        <f>(P48-N48)*(O53-O48)-(Q48-O48)*(N53-N48)</f>
        <v>0</v>
      </c>
      <c r="P1538" s="7">
        <f>(P48-N48)*(Q53-O48)-(Q48-O48)*(P53-N48)</f>
        <v>0</v>
      </c>
      <c r="Q1538" s="7">
        <f>(P53-N53)*(O48-O53)-(Q53-O53)*(N48-N53)</f>
        <v>0</v>
      </c>
      <c r="R1538" s="7">
        <f>(P53-N53)*(Q48-O53)-(Q53-O53)*(P48-N53)</f>
        <v>0</v>
      </c>
      <c r="S1538" s="7">
        <f>IF(N1538,IF(AND(O1538*P1538&lt;=0,Q1538*R1538&lt;=0,MAX(MIN(N48,P48),MIN(N53,P53))&lt;=MIN(MAX(N48,P48),MAX(N53,P53)),MAX(MIN(O48,Q48),MIN(O53,Q53))&lt;=MIN(MAX(O48,Q48),MAX(O53,Q53))),1,0),0)</f>
        <v>0</v>
      </c>
      <c r="T1538" s="7"/>
      <c r="U1538" s="7"/>
      <c r="V1538" s="7"/>
      <c r="W1538" s="7"/>
      <c r="X1538" s="7"/>
      <c r="Y1538" s="7"/>
      <c r="Z1538" s="7"/>
      <c r="AA1538" s="7"/>
      <c r="AB1538" s="7"/>
      <c r="AC1538" s="7"/>
      <c r="AD1538" s="7"/>
      <c r="AE1538" s="7"/>
      <c r="AF1538" s="7"/>
      <c r="AG1538" s="7"/>
      <c r="AH1538" s="7"/>
      <c r="AI1538" s="7"/>
    </row>
    <row r="1539" spans="12:35">
      <c r="L1539" s="7">
        <v>48</v>
      </c>
      <c r="M1539" s="7">
        <v>54</v>
      </c>
      <c r="N1539" s="7" t="b">
        <f>AND($N$6,$N$7,17&lt;=$M$6,3&lt;=$M$7)</f>
        <v>0</v>
      </c>
      <c r="O1539" s="7">
        <f>(P48-N48)*(O54-O48)-(Q48-O48)*(N54-N48)</f>
        <v>0</v>
      </c>
      <c r="P1539" s="7">
        <f>(P48-N48)*(Q54-O48)-(Q48-O48)*(P54-N48)</f>
        <v>0</v>
      </c>
      <c r="Q1539" s="7">
        <f>(P54-N54)*(O48-O54)-(Q54-O54)*(N48-N54)</f>
        <v>0</v>
      </c>
      <c r="R1539" s="7">
        <f>(P54-N54)*(Q48-O54)-(Q54-O54)*(P48-N54)</f>
        <v>0</v>
      </c>
      <c r="S1539" s="7">
        <f>IF(N1539,IF(AND(O1539*P1539&lt;=0,Q1539*R1539&lt;=0,MAX(MIN(N48,P48),MIN(N54,P54))&lt;=MIN(MAX(N48,P48),MAX(N54,P54)),MAX(MIN(O48,Q48),MIN(O54,Q54))&lt;=MIN(MAX(O48,Q48),MAX(O54,Q54))),1,0),0)</f>
        <v>0</v>
      </c>
      <c r="T1539" s="7"/>
      <c r="U1539" s="7"/>
      <c r="V1539" s="7"/>
      <c r="W1539" s="7"/>
      <c r="X1539" s="7"/>
      <c r="Y1539" s="7"/>
      <c r="Z1539" s="7"/>
      <c r="AA1539" s="7"/>
      <c r="AB1539" s="7"/>
      <c r="AC1539" s="7"/>
      <c r="AD1539" s="7"/>
      <c r="AE1539" s="7"/>
      <c r="AF1539" s="7"/>
      <c r="AG1539" s="7"/>
      <c r="AH1539" s="7"/>
      <c r="AI1539" s="7"/>
    </row>
    <row r="1540" spans="12:35">
      <c r="L1540" s="7">
        <v>48</v>
      </c>
      <c r="M1540" s="7">
        <v>55</v>
      </c>
      <c r="N1540" s="7" t="b">
        <f>AND($N$6,$N$7,17&lt;=$M$6,4&lt;=$M$7)</f>
        <v>0</v>
      </c>
      <c r="O1540" s="7">
        <f>(P48-N48)*(O55-O48)-(Q48-O48)*(N55-N48)</f>
        <v>0</v>
      </c>
      <c r="P1540" s="7">
        <f>(P48-N48)*(Q55-O48)-(Q48-O48)*(P55-N48)</f>
        <v>0</v>
      </c>
      <c r="Q1540" s="7">
        <f>(P55-N55)*(O48-O55)-(Q55-O55)*(N48-N55)</f>
        <v>0</v>
      </c>
      <c r="R1540" s="7">
        <f>(P55-N55)*(Q48-O55)-(Q55-O55)*(P48-N55)</f>
        <v>0</v>
      </c>
      <c r="S1540" s="7">
        <f>IF(N1540,IF(AND(O1540*P1540&lt;=0,Q1540*R1540&lt;=0,MAX(MIN(N48,P48),MIN(N55,P55))&lt;=MIN(MAX(N48,P48),MAX(N55,P55)),MAX(MIN(O48,Q48),MIN(O55,Q55))&lt;=MIN(MAX(O48,Q48),MAX(O55,Q55))),1,0),0)</f>
        <v>0</v>
      </c>
      <c r="T1540" s="7"/>
      <c r="U1540" s="7"/>
      <c r="V1540" s="7"/>
      <c r="W1540" s="7"/>
      <c r="X1540" s="7"/>
      <c r="Y1540" s="7"/>
      <c r="Z1540" s="7"/>
      <c r="AA1540" s="7"/>
      <c r="AB1540" s="7"/>
      <c r="AC1540" s="7"/>
      <c r="AD1540" s="7"/>
      <c r="AE1540" s="7"/>
      <c r="AF1540" s="7"/>
      <c r="AG1540" s="7"/>
      <c r="AH1540" s="7"/>
      <c r="AI1540" s="7"/>
    </row>
    <row r="1541" spans="12:35">
      <c r="L1541" s="7">
        <v>48</v>
      </c>
      <c r="M1541" s="7">
        <v>56</v>
      </c>
      <c r="N1541" s="7" t="b">
        <f>AND($N$6,$N$7,17&lt;=$M$6,5&lt;=$M$7)</f>
        <v>0</v>
      </c>
      <c r="O1541" s="7">
        <f>(P48-N48)*(O56-O48)-(Q48-O48)*(N56-N48)</f>
        <v>0</v>
      </c>
      <c r="P1541" s="7">
        <f>(P48-N48)*(Q56-O48)-(Q48-O48)*(P56-N48)</f>
        <v>0</v>
      </c>
      <c r="Q1541" s="7">
        <f>(P56-N56)*(O48-O56)-(Q56-O56)*(N48-N56)</f>
        <v>0</v>
      </c>
      <c r="R1541" s="7">
        <f>(P56-N56)*(Q48-O56)-(Q56-O56)*(P48-N56)</f>
        <v>0</v>
      </c>
      <c r="S1541" s="7">
        <f>IF(N1541,IF(AND(O1541*P1541&lt;=0,Q1541*R1541&lt;=0,MAX(MIN(N48,P48),MIN(N56,P56))&lt;=MIN(MAX(N48,P48),MAX(N56,P56)),MAX(MIN(O48,Q48),MIN(O56,Q56))&lt;=MIN(MAX(O48,Q48),MAX(O56,Q56))),1,0),0)</f>
        <v>0</v>
      </c>
      <c r="T1541" s="7"/>
      <c r="U1541" s="7"/>
      <c r="V1541" s="7"/>
      <c r="W1541" s="7"/>
      <c r="X1541" s="7"/>
      <c r="Y1541" s="7"/>
      <c r="Z1541" s="7"/>
      <c r="AA1541" s="7"/>
      <c r="AB1541" s="7"/>
      <c r="AC1541" s="7"/>
      <c r="AD1541" s="7"/>
      <c r="AE1541" s="7"/>
      <c r="AF1541" s="7"/>
      <c r="AG1541" s="7"/>
      <c r="AH1541" s="7"/>
      <c r="AI1541" s="7"/>
    </row>
    <row r="1542" spans="12:35">
      <c r="L1542" s="7">
        <v>48</v>
      </c>
      <c r="M1542" s="7">
        <v>57</v>
      </c>
      <c r="N1542" s="7" t="b">
        <f>AND($N$6,$N$7,17&lt;=$M$6,6&lt;=$M$7)</f>
        <v>0</v>
      </c>
      <c r="O1542" s="7">
        <f>(P48-N48)*(O57-O48)-(Q48-O48)*(N57-N48)</f>
        <v>0</v>
      </c>
      <c r="P1542" s="7">
        <f>(P48-N48)*(Q57-O48)-(Q48-O48)*(P57-N48)</f>
        <v>0</v>
      </c>
      <c r="Q1542" s="7">
        <f>(P57-N57)*(O48-O57)-(Q57-O57)*(N48-N57)</f>
        <v>0</v>
      </c>
      <c r="R1542" s="7">
        <f>(P57-N57)*(Q48-O57)-(Q57-O57)*(P48-N57)</f>
        <v>0</v>
      </c>
      <c r="S1542" s="7">
        <f>IF(N1542,IF(AND(O1542*P1542&lt;=0,Q1542*R1542&lt;=0,MAX(MIN(N48,P48),MIN(N57,P57))&lt;=MIN(MAX(N48,P48),MAX(N57,P57)),MAX(MIN(O48,Q48),MIN(O57,Q57))&lt;=MIN(MAX(O48,Q48),MAX(O57,Q57))),1,0),0)</f>
        <v>0</v>
      </c>
      <c r="T1542" s="7"/>
      <c r="U1542" s="7"/>
      <c r="V1542" s="7"/>
      <c r="W1542" s="7"/>
      <c r="X1542" s="7"/>
      <c r="Y1542" s="7"/>
      <c r="Z1542" s="7"/>
      <c r="AA1542" s="7"/>
      <c r="AB1542" s="7"/>
      <c r="AC1542" s="7"/>
      <c r="AD1542" s="7"/>
      <c r="AE1542" s="7"/>
      <c r="AF1542" s="7"/>
      <c r="AG1542" s="7"/>
      <c r="AH1542" s="7"/>
      <c r="AI1542" s="7"/>
    </row>
    <row r="1543" spans="12:35">
      <c r="L1543" s="7">
        <v>48</v>
      </c>
      <c r="M1543" s="7">
        <v>58</v>
      </c>
      <c r="N1543" s="7" t="b">
        <f>AND($N$6,$N$7,17&lt;=$M$6,7&lt;=$M$7)</f>
        <v>0</v>
      </c>
      <c r="O1543" s="7">
        <f>(P48-N48)*(O58-O48)-(Q48-O48)*(N58-N48)</f>
        <v>0</v>
      </c>
      <c r="P1543" s="7">
        <f>(P48-N48)*(Q58-O48)-(Q48-O48)*(P58-N48)</f>
        <v>0</v>
      </c>
      <c r="Q1543" s="7">
        <f>(P58-N58)*(O48-O58)-(Q58-O58)*(N48-N58)</f>
        <v>0</v>
      </c>
      <c r="R1543" s="7">
        <f>(P58-N58)*(Q48-O58)-(Q58-O58)*(P48-N58)</f>
        <v>0</v>
      </c>
      <c r="S1543" s="7">
        <f>IF(N1543,IF(AND(O1543*P1543&lt;=0,Q1543*R1543&lt;=0,MAX(MIN(N48,P48),MIN(N58,P58))&lt;=MIN(MAX(N48,P48),MAX(N58,P58)),MAX(MIN(O48,Q48),MIN(O58,Q58))&lt;=MIN(MAX(O48,Q48),MAX(O58,Q58))),1,0),0)</f>
        <v>0</v>
      </c>
      <c r="T1543" s="7"/>
      <c r="U1543" s="7"/>
      <c r="V1543" s="7"/>
      <c r="W1543" s="7"/>
      <c r="X1543" s="7"/>
      <c r="Y1543" s="7"/>
      <c r="Z1543" s="7"/>
      <c r="AA1543" s="7"/>
      <c r="AB1543" s="7"/>
      <c r="AC1543" s="7"/>
      <c r="AD1543" s="7"/>
      <c r="AE1543" s="7"/>
      <c r="AF1543" s="7"/>
      <c r="AG1543" s="7"/>
      <c r="AH1543" s="7"/>
      <c r="AI1543" s="7"/>
    </row>
    <row r="1544" spans="12:35">
      <c r="L1544" s="7">
        <v>48</v>
      </c>
      <c r="M1544" s="7">
        <v>59</v>
      </c>
      <c r="N1544" s="7" t="b">
        <f>AND($N$6,$N$7,17&lt;=$M$6,8&lt;=$M$7)</f>
        <v>0</v>
      </c>
      <c r="O1544" s="7">
        <f>(P48-N48)*(O59-O48)-(Q48-O48)*(N59-N48)</f>
        <v>0</v>
      </c>
      <c r="P1544" s="7">
        <f>(P48-N48)*(Q59-O48)-(Q48-O48)*(P59-N48)</f>
        <v>0</v>
      </c>
      <c r="Q1544" s="7">
        <f>(P59-N59)*(O48-O59)-(Q59-O59)*(N48-N59)</f>
        <v>0</v>
      </c>
      <c r="R1544" s="7">
        <f>(P59-N59)*(Q48-O59)-(Q59-O59)*(P48-N59)</f>
        <v>0</v>
      </c>
      <c r="S1544" s="7">
        <f>IF(N1544,IF(AND(O1544*P1544&lt;=0,Q1544*R1544&lt;=0,MAX(MIN(N48,P48),MIN(N59,P59))&lt;=MIN(MAX(N48,P48),MAX(N59,P59)),MAX(MIN(O48,Q48),MIN(O59,Q59))&lt;=MIN(MAX(O48,Q48),MAX(O59,Q59))),1,0),0)</f>
        <v>0</v>
      </c>
      <c r="T1544" s="7"/>
      <c r="U1544" s="7"/>
      <c r="V1544" s="7"/>
      <c r="W1544" s="7"/>
      <c r="X1544" s="7"/>
      <c r="Y1544" s="7"/>
      <c r="Z1544" s="7"/>
      <c r="AA1544" s="7"/>
      <c r="AB1544" s="7"/>
      <c r="AC1544" s="7"/>
      <c r="AD1544" s="7"/>
      <c r="AE1544" s="7"/>
      <c r="AF1544" s="7"/>
      <c r="AG1544" s="7"/>
      <c r="AH1544" s="7"/>
      <c r="AI1544" s="7"/>
    </row>
    <row r="1545" spans="12:35">
      <c r="L1545" s="7">
        <v>48</v>
      </c>
      <c r="M1545" s="7">
        <v>60</v>
      </c>
      <c r="N1545" s="7" t="b">
        <f>AND($N$6,$N$7,17&lt;=$M$6,9&lt;=$M$7)</f>
        <v>0</v>
      </c>
      <c r="O1545" s="7">
        <f>(P48-N48)*(O60-O48)-(Q48-O48)*(N60-N48)</f>
        <v>0</v>
      </c>
      <c r="P1545" s="7">
        <f>(P48-N48)*(Q60-O48)-(Q48-O48)*(P60-N48)</f>
        <v>0</v>
      </c>
      <c r="Q1545" s="7">
        <f>(P60-N60)*(O48-O60)-(Q60-O60)*(N48-N60)</f>
        <v>0</v>
      </c>
      <c r="R1545" s="7">
        <f>(P60-N60)*(Q48-O60)-(Q60-O60)*(P48-N60)</f>
        <v>0</v>
      </c>
      <c r="S1545" s="7">
        <f>IF(N1545,IF(AND(O1545*P1545&lt;=0,Q1545*R1545&lt;=0,MAX(MIN(N48,P48),MIN(N60,P60))&lt;=MIN(MAX(N48,P48),MAX(N60,P60)),MAX(MIN(O48,Q48),MIN(O60,Q60))&lt;=MIN(MAX(O48,Q48),MAX(O60,Q60))),1,0),0)</f>
        <v>0</v>
      </c>
      <c r="T1545" s="7"/>
      <c r="U1545" s="7"/>
      <c r="V1545" s="7"/>
      <c r="W1545" s="7"/>
      <c r="X1545" s="7"/>
      <c r="Y1545" s="7"/>
      <c r="Z1545" s="7"/>
      <c r="AA1545" s="7"/>
      <c r="AB1545" s="7"/>
      <c r="AC1545" s="7"/>
      <c r="AD1545" s="7"/>
      <c r="AE1545" s="7"/>
      <c r="AF1545" s="7"/>
      <c r="AG1545" s="7"/>
      <c r="AH1545" s="7"/>
      <c r="AI1545" s="7"/>
    </row>
    <row r="1546" spans="12:35">
      <c r="L1546" s="7">
        <v>48</v>
      </c>
      <c r="M1546" s="7">
        <v>61</v>
      </c>
      <c r="N1546" s="7" t="b">
        <f>AND($N$6,$N$7,17&lt;=$M$6,10&lt;=$M$7)</f>
        <v>0</v>
      </c>
      <c r="O1546" s="7">
        <f>(P48-N48)*(O61-O48)-(Q48-O48)*(N61-N48)</f>
        <v>0</v>
      </c>
      <c r="P1546" s="7">
        <f>(P48-N48)*(Q61-O48)-(Q48-O48)*(P61-N48)</f>
        <v>0</v>
      </c>
      <c r="Q1546" s="7">
        <f>(P61-N61)*(O48-O61)-(Q61-O61)*(N48-N61)</f>
        <v>0</v>
      </c>
      <c r="R1546" s="7">
        <f>(P61-N61)*(Q48-O61)-(Q61-O61)*(P48-N61)</f>
        <v>0</v>
      </c>
      <c r="S1546" s="7">
        <f>IF(N1546,IF(AND(O1546*P1546&lt;=0,Q1546*R1546&lt;=0,MAX(MIN(N48,P48),MIN(N61,P61))&lt;=MIN(MAX(N48,P48),MAX(N61,P61)),MAX(MIN(O48,Q48),MIN(O61,Q61))&lt;=MIN(MAX(O48,Q48),MAX(O61,Q61))),1,0),0)</f>
        <v>0</v>
      </c>
      <c r="T1546" s="7"/>
      <c r="U1546" s="7"/>
      <c r="V1546" s="7"/>
      <c r="W1546" s="7"/>
      <c r="X1546" s="7"/>
      <c r="Y1546" s="7"/>
      <c r="Z1546" s="7"/>
      <c r="AA1546" s="7"/>
      <c r="AB1546" s="7"/>
      <c r="AC1546" s="7"/>
      <c r="AD1546" s="7"/>
      <c r="AE1546" s="7"/>
      <c r="AF1546" s="7"/>
      <c r="AG1546" s="7"/>
      <c r="AH1546" s="7"/>
      <c r="AI1546" s="7"/>
    </row>
    <row r="1547" spans="12:35">
      <c r="L1547" s="7">
        <v>48</v>
      </c>
      <c r="M1547" s="7">
        <v>62</v>
      </c>
      <c r="N1547" s="7" t="b">
        <f>AND($N$6,$N$7,17&lt;=$M$6,11&lt;=$M$7)</f>
        <v>0</v>
      </c>
      <c r="O1547" s="7">
        <f>(P48-N48)*(O62-O48)-(Q48-O48)*(N62-N48)</f>
        <v>0</v>
      </c>
      <c r="P1547" s="7">
        <f>(P48-N48)*(Q62-O48)-(Q48-O48)*(P62-N48)</f>
        <v>0</v>
      </c>
      <c r="Q1547" s="7">
        <f>(P62-N62)*(O48-O62)-(Q62-O62)*(N48-N62)</f>
        <v>0</v>
      </c>
      <c r="R1547" s="7">
        <f>(P62-N62)*(Q48-O62)-(Q62-O62)*(P48-N62)</f>
        <v>0</v>
      </c>
      <c r="S1547" s="7">
        <f>IF(N1547,IF(AND(O1547*P1547&lt;=0,Q1547*R1547&lt;=0,MAX(MIN(N48,P48),MIN(N62,P62))&lt;=MIN(MAX(N48,P48),MAX(N62,P62)),MAX(MIN(O48,Q48),MIN(O62,Q62))&lt;=MIN(MAX(O48,Q48),MAX(O62,Q62))),1,0),0)</f>
        <v>0</v>
      </c>
      <c r="T1547" s="7"/>
      <c r="U1547" s="7"/>
      <c r="V1547" s="7"/>
      <c r="W1547" s="7"/>
      <c r="X1547" s="7"/>
      <c r="Y1547" s="7"/>
      <c r="Z1547" s="7"/>
      <c r="AA1547" s="7"/>
      <c r="AB1547" s="7"/>
      <c r="AC1547" s="7"/>
      <c r="AD1547" s="7"/>
      <c r="AE1547" s="7"/>
      <c r="AF1547" s="7"/>
      <c r="AG1547" s="7"/>
      <c r="AH1547" s="7"/>
      <c r="AI1547" s="7"/>
    </row>
    <row r="1548" spans="12:35">
      <c r="L1548" s="7">
        <v>48</v>
      </c>
      <c r="M1548" s="7">
        <v>63</v>
      </c>
      <c r="N1548" s="7" t="b">
        <f>AND($N$6,$N$7,17&lt;=$M$6,12&lt;=$M$7)</f>
        <v>0</v>
      </c>
      <c r="O1548" s="7">
        <f>(P48-N48)*(O63-O48)-(Q48-O48)*(N63-N48)</f>
        <v>0</v>
      </c>
      <c r="P1548" s="7">
        <f>(P48-N48)*(Q63-O48)-(Q48-O48)*(P63-N48)</f>
        <v>0</v>
      </c>
      <c r="Q1548" s="7">
        <f>(P63-N63)*(O48-O63)-(Q63-O63)*(N48-N63)</f>
        <v>0</v>
      </c>
      <c r="R1548" s="7">
        <f>(P63-N63)*(Q48-O63)-(Q63-O63)*(P48-N63)</f>
        <v>0</v>
      </c>
      <c r="S1548" s="7">
        <f>IF(N1548,IF(AND(O1548*P1548&lt;=0,Q1548*R1548&lt;=0,MAX(MIN(N48,P48),MIN(N63,P63))&lt;=MIN(MAX(N48,P48),MAX(N63,P63)),MAX(MIN(O48,Q48),MIN(O63,Q63))&lt;=MIN(MAX(O48,Q48),MAX(O63,Q63))),1,0),0)</f>
        <v>0</v>
      </c>
      <c r="T1548" s="7"/>
      <c r="U1548" s="7"/>
      <c r="V1548" s="7"/>
      <c r="W1548" s="7"/>
      <c r="X1548" s="7"/>
      <c r="Y1548" s="7"/>
      <c r="Z1548" s="7"/>
      <c r="AA1548" s="7"/>
      <c r="AB1548" s="7"/>
      <c r="AC1548" s="7"/>
      <c r="AD1548" s="7"/>
      <c r="AE1548" s="7"/>
      <c r="AF1548" s="7"/>
      <c r="AG1548" s="7"/>
      <c r="AH1548" s="7"/>
      <c r="AI1548" s="7"/>
    </row>
    <row r="1549" spans="12:35">
      <c r="L1549" s="7">
        <v>48</v>
      </c>
      <c r="M1549" s="7">
        <v>64</v>
      </c>
      <c r="N1549" s="7" t="b">
        <f>AND($N$6,$N$7,17&lt;=$M$6,13&lt;=$M$7)</f>
        <v>0</v>
      </c>
      <c r="O1549" s="7">
        <f>(P48-N48)*(O64-O48)-(Q48-O48)*(N64-N48)</f>
        <v>0</v>
      </c>
      <c r="P1549" s="7">
        <f>(P48-N48)*(Q64-O48)-(Q48-O48)*(P64-N48)</f>
        <v>0</v>
      </c>
      <c r="Q1549" s="7">
        <f>(P64-N64)*(O48-O64)-(Q64-O64)*(N48-N64)</f>
        <v>0</v>
      </c>
      <c r="R1549" s="7">
        <f>(P64-N64)*(Q48-O64)-(Q64-O64)*(P48-N64)</f>
        <v>0</v>
      </c>
      <c r="S1549" s="7">
        <f>IF(N1549,IF(AND(O1549*P1549&lt;=0,Q1549*R1549&lt;=0,MAX(MIN(N48,P48),MIN(N64,P64))&lt;=MIN(MAX(N48,P48),MAX(N64,P64)),MAX(MIN(O48,Q48),MIN(O64,Q64))&lt;=MIN(MAX(O48,Q48),MAX(O64,Q64))),1,0),0)</f>
        <v>0</v>
      </c>
      <c r="T1549" s="7"/>
      <c r="U1549" s="7"/>
      <c r="V1549" s="7"/>
      <c r="W1549" s="7"/>
      <c r="X1549" s="7"/>
      <c r="Y1549" s="7"/>
      <c r="Z1549" s="7"/>
      <c r="AA1549" s="7"/>
      <c r="AB1549" s="7"/>
      <c r="AC1549" s="7"/>
      <c r="AD1549" s="7"/>
      <c r="AE1549" s="7"/>
      <c r="AF1549" s="7"/>
      <c r="AG1549" s="7"/>
      <c r="AH1549" s="7"/>
      <c r="AI1549" s="7"/>
    </row>
    <row r="1550" spans="12:35">
      <c r="L1550" s="7">
        <v>48</v>
      </c>
      <c r="M1550" s="7">
        <v>65</v>
      </c>
      <c r="N1550" s="7" t="b">
        <f>AND($N$6,$N$7,17&lt;=$M$6,14&lt;=$M$7)</f>
        <v>0</v>
      </c>
      <c r="O1550" s="7">
        <f>(P48-N48)*(O65-O48)-(Q48-O48)*(N65-N48)</f>
        <v>0</v>
      </c>
      <c r="P1550" s="7">
        <f>(P48-N48)*(Q65-O48)-(Q48-O48)*(P65-N48)</f>
        <v>0</v>
      </c>
      <c r="Q1550" s="7">
        <f>(P65-N65)*(O48-O65)-(Q65-O65)*(N48-N65)</f>
        <v>0</v>
      </c>
      <c r="R1550" s="7">
        <f>(P65-N65)*(Q48-O65)-(Q65-O65)*(P48-N65)</f>
        <v>0</v>
      </c>
      <c r="S1550" s="7">
        <f>IF(N1550,IF(AND(O1550*P1550&lt;=0,Q1550*R1550&lt;=0,MAX(MIN(N48,P48),MIN(N65,P65))&lt;=MIN(MAX(N48,P48),MAX(N65,P65)),MAX(MIN(O48,Q48),MIN(O65,Q65))&lt;=MIN(MAX(O48,Q48),MAX(O65,Q65))),1,0),0)</f>
        <v>0</v>
      </c>
      <c r="T1550" s="7"/>
      <c r="U1550" s="7"/>
      <c r="V1550" s="7"/>
      <c r="W1550" s="7"/>
      <c r="X1550" s="7"/>
      <c r="Y1550" s="7"/>
      <c r="Z1550" s="7"/>
      <c r="AA1550" s="7"/>
      <c r="AB1550" s="7"/>
      <c r="AC1550" s="7"/>
      <c r="AD1550" s="7"/>
      <c r="AE1550" s="7"/>
      <c r="AF1550" s="7"/>
      <c r="AG1550" s="7"/>
      <c r="AH1550" s="7"/>
      <c r="AI1550" s="7"/>
    </row>
    <row r="1551" spans="12:35">
      <c r="L1551" s="7">
        <v>48</v>
      </c>
      <c r="M1551" s="7">
        <v>66</v>
      </c>
      <c r="N1551" s="7" t="b">
        <f>AND($N$6,$N$7,17&lt;=$M$6,15&lt;=$M$7)</f>
        <v>0</v>
      </c>
      <c r="O1551" s="7">
        <f>(P48-N48)*(O66-O48)-(Q48-O48)*(N66-N48)</f>
        <v>0</v>
      </c>
      <c r="P1551" s="7">
        <f>(P48-N48)*(Q66-O48)-(Q48-O48)*(P66-N48)</f>
        <v>0</v>
      </c>
      <c r="Q1551" s="7">
        <f>(P66-N66)*(O48-O66)-(Q66-O66)*(N48-N66)</f>
        <v>0</v>
      </c>
      <c r="R1551" s="7">
        <f>(P66-N66)*(Q48-O66)-(Q66-O66)*(P48-N66)</f>
        <v>0</v>
      </c>
      <c r="S1551" s="7">
        <f>IF(N1551,IF(AND(O1551*P1551&lt;=0,Q1551*R1551&lt;=0,MAX(MIN(N48,P48),MIN(N66,P66))&lt;=MIN(MAX(N48,P48),MAX(N66,P66)),MAX(MIN(O48,Q48),MIN(O66,Q66))&lt;=MIN(MAX(O48,Q48),MAX(O66,Q66))),1,0),0)</f>
        <v>0</v>
      </c>
      <c r="T1551" s="7"/>
      <c r="U1551" s="7"/>
      <c r="V1551" s="7"/>
      <c r="W1551" s="7"/>
      <c r="X1551" s="7"/>
      <c r="Y1551" s="7"/>
      <c r="Z1551" s="7"/>
      <c r="AA1551" s="7"/>
      <c r="AB1551" s="7"/>
      <c r="AC1551" s="7"/>
      <c r="AD1551" s="7"/>
      <c r="AE1551" s="7"/>
      <c r="AF1551" s="7"/>
      <c r="AG1551" s="7"/>
      <c r="AH1551" s="7"/>
      <c r="AI1551" s="7"/>
    </row>
    <row r="1552" spans="12:35">
      <c r="L1552" s="7">
        <v>48</v>
      </c>
      <c r="M1552" s="7">
        <v>67</v>
      </c>
      <c r="N1552" s="7" t="b">
        <f>AND($N$6,$N$7,17&lt;=$M$6,16&lt;=$M$7)</f>
        <v>0</v>
      </c>
      <c r="O1552" s="7">
        <f>(P48-N48)*(O67-O48)-(Q48-O48)*(N67-N48)</f>
        <v>0</v>
      </c>
      <c r="P1552" s="7">
        <f>(P48-N48)*(Q67-O48)-(Q48-O48)*(P67-N48)</f>
        <v>0</v>
      </c>
      <c r="Q1552" s="7">
        <f>(P67-N67)*(O48-O67)-(Q67-O67)*(N48-N67)</f>
        <v>0</v>
      </c>
      <c r="R1552" s="7">
        <f>(P67-N67)*(Q48-O67)-(Q67-O67)*(P48-N67)</f>
        <v>0</v>
      </c>
      <c r="S1552" s="7">
        <f>IF(N1552,IF(AND(O1552*P1552&lt;=0,Q1552*R1552&lt;=0,MAX(MIN(N48,P48),MIN(N67,P67))&lt;=MIN(MAX(N48,P48),MAX(N67,P67)),MAX(MIN(O48,Q48),MIN(O67,Q67))&lt;=MIN(MAX(O48,Q48),MAX(O67,Q67))),1,0),0)</f>
        <v>0</v>
      </c>
      <c r="T1552" s="7"/>
      <c r="U1552" s="7"/>
      <c r="V1552" s="7"/>
      <c r="W1552" s="7"/>
      <c r="X1552" s="7"/>
      <c r="Y1552" s="7"/>
      <c r="Z1552" s="7"/>
      <c r="AA1552" s="7"/>
      <c r="AB1552" s="7"/>
      <c r="AC1552" s="7"/>
      <c r="AD1552" s="7"/>
      <c r="AE1552" s="7"/>
      <c r="AF1552" s="7"/>
      <c r="AG1552" s="7"/>
      <c r="AH1552" s="7"/>
      <c r="AI1552" s="7"/>
    </row>
    <row r="1553" spans="12:35">
      <c r="L1553" s="7">
        <v>48</v>
      </c>
      <c r="M1553" s="7">
        <v>68</v>
      </c>
      <c r="N1553" s="7" t="b">
        <f>AND($N$6,$N$7,17&lt;=$M$6,17&lt;=$M$7)</f>
        <v>0</v>
      </c>
      <c r="O1553" s="7">
        <f>(P48-N48)*(O68-O48)-(Q48-O48)*(N68-N48)</f>
        <v>0</v>
      </c>
      <c r="P1553" s="7">
        <f>(P48-N48)*(Q68-O48)-(Q48-O48)*(P68-N48)</f>
        <v>0</v>
      </c>
      <c r="Q1553" s="7">
        <f>(P68-N68)*(O48-O68)-(Q68-O68)*(N48-N68)</f>
        <v>0</v>
      </c>
      <c r="R1553" s="7">
        <f>(P68-N68)*(Q48-O68)-(Q68-O68)*(P48-N68)</f>
        <v>0</v>
      </c>
      <c r="S1553" s="7">
        <f>IF(N1553,IF(AND(O1553*P1553&lt;=0,Q1553*R1553&lt;=0,MAX(MIN(N48,P48),MIN(N68,P68))&lt;=MIN(MAX(N48,P48),MAX(N68,P68)),MAX(MIN(O48,Q48),MIN(O68,Q68))&lt;=MIN(MAX(O48,Q48),MAX(O68,Q68))),1,0),0)</f>
        <v>0</v>
      </c>
      <c r="T1553" s="7"/>
      <c r="U1553" s="7"/>
      <c r="V1553" s="7"/>
      <c r="W1553" s="7"/>
      <c r="X1553" s="7"/>
      <c r="Y1553" s="7"/>
      <c r="Z1553" s="7"/>
      <c r="AA1553" s="7"/>
      <c r="AB1553" s="7"/>
      <c r="AC1553" s="7"/>
      <c r="AD1553" s="7"/>
      <c r="AE1553" s="7"/>
      <c r="AF1553" s="7"/>
      <c r="AG1553" s="7"/>
      <c r="AH1553" s="7"/>
      <c r="AI1553" s="7"/>
    </row>
    <row r="1554" spans="12:35">
      <c r="L1554" s="7">
        <v>48</v>
      </c>
      <c r="M1554" s="7">
        <v>69</v>
      </c>
      <c r="N1554" s="7" t="b">
        <f>AND($N$6,$N$7,17&lt;=$M$6,18&lt;=$M$7)</f>
        <v>0</v>
      </c>
      <c r="O1554" s="7">
        <f>(P48-N48)*(O69-O48)-(Q48-O48)*(N69-N48)</f>
        <v>0</v>
      </c>
      <c r="P1554" s="7">
        <f>(P48-N48)*(Q69-O48)-(Q48-O48)*(P69-N48)</f>
        <v>0</v>
      </c>
      <c r="Q1554" s="7">
        <f>(P69-N69)*(O48-O69)-(Q69-O69)*(N48-N69)</f>
        <v>0</v>
      </c>
      <c r="R1554" s="7">
        <f>(P69-N69)*(Q48-O69)-(Q69-O69)*(P48-N69)</f>
        <v>0</v>
      </c>
      <c r="S1554" s="7">
        <f>IF(N1554,IF(AND(O1554*P1554&lt;=0,Q1554*R1554&lt;=0,MAX(MIN(N48,P48),MIN(N69,P69))&lt;=MIN(MAX(N48,P48),MAX(N69,P69)),MAX(MIN(O48,Q48),MIN(O69,Q69))&lt;=MIN(MAX(O48,Q48),MAX(O69,Q69))),1,0),0)</f>
        <v>0</v>
      </c>
      <c r="T1554" s="7"/>
      <c r="U1554" s="7"/>
      <c r="V1554" s="7"/>
      <c r="W1554" s="7"/>
      <c r="X1554" s="7"/>
      <c r="Y1554" s="7"/>
      <c r="Z1554" s="7"/>
      <c r="AA1554" s="7"/>
      <c r="AB1554" s="7"/>
      <c r="AC1554" s="7"/>
      <c r="AD1554" s="7"/>
      <c r="AE1554" s="7"/>
      <c r="AF1554" s="7"/>
      <c r="AG1554" s="7"/>
      <c r="AH1554" s="7"/>
      <c r="AI1554" s="7"/>
    </row>
    <row r="1555" spans="12:35">
      <c r="L1555" s="7">
        <v>48</v>
      </c>
      <c r="M1555" s="7">
        <v>70</v>
      </c>
      <c r="N1555" s="7" t="b">
        <f>AND($N$6,$N$7,17&lt;=$M$6,19&lt;=$M$7)</f>
        <v>0</v>
      </c>
      <c r="O1555" s="7">
        <f>(P48-N48)*(O70-O48)-(Q48-O48)*(N70-N48)</f>
        <v>0</v>
      </c>
      <c r="P1555" s="7">
        <f>(P48-N48)*(Q70-O48)-(Q48-O48)*(P70-N48)</f>
        <v>0</v>
      </c>
      <c r="Q1555" s="7">
        <f>(P70-N70)*(O48-O70)-(Q70-O70)*(N48-N70)</f>
        <v>0</v>
      </c>
      <c r="R1555" s="7">
        <f>(P70-N70)*(Q48-O70)-(Q70-O70)*(P48-N70)</f>
        <v>0</v>
      </c>
      <c r="S1555" s="7">
        <f>IF(N1555,IF(AND(O1555*P1555&lt;=0,Q1555*R1555&lt;=0,MAX(MIN(N48,P48),MIN(N70,P70))&lt;=MIN(MAX(N48,P48),MAX(N70,P70)),MAX(MIN(O48,Q48),MIN(O70,Q70))&lt;=MIN(MAX(O48,Q48),MAX(O70,Q70))),1,0),0)</f>
        <v>0</v>
      </c>
      <c r="T1555" s="7"/>
      <c r="U1555" s="7"/>
      <c r="V1555" s="7"/>
      <c r="W1555" s="7"/>
      <c r="X1555" s="7"/>
      <c r="Y1555" s="7"/>
      <c r="Z1555" s="7"/>
      <c r="AA1555" s="7"/>
      <c r="AB1555" s="7"/>
      <c r="AC1555" s="7"/>
      <c r="AD1555" s="7"/>
      <c r="AE1555" s="7"/>
      <c r="AF1555" s="7"/>
      <c r="AG1555" s="7"/>
      <c r="AH1555" s="7"/>
      <c r="AI1555" s="7"/>
    </row>
    <row r="1556" spans="12:35">
      <c r="L1556" s="7">
        <v>48</v>
      </c>
      <c r="M1556" s="7">
        <v>71</v>
      </c>
      <c r="N1556" s="7" t="b">
        <f>AND($N$6,$N$7,17&lt;=$M$6,20&lt;=$M$7)</f>
        <v>0</v>
      </c>
      <c r="O1556" s="7">
        <f>(P48-N48)*(O71-O48)-(Q48-O48)*(N71-N48)</f>
        <v>0</v>
      </c>
      <c r="P1556" s="7">
        <f>(P48-N48)*(Q71-O48)-(Q48-O48)*(P71-N48)</f>
        <v>0</v>
      </c>
      <c r="Q1556" s="7">
        <f>(P71-N71)*(O48-O71)-(Q71-O71)*(N48-N71)</f>
        <v>0</v>
      </c>
      <c r="R1556" s="7">
        <f>(P71-N71)*(Q48-O71)-(Q71-O71)*(P48-N71)</f>
        <v>0</v>
      </c>
      <c r="S1556" s="7">
        <f>IF(N1556,IF(AND(O1556*P1556&lt;=0,Q1556*R1556&lt;=0,MAX(MIN(N48,P48),MIN(N71,P71))&lt;=MIN(MAX(N48,P48),MAX(N71,P71)),MAX(MIN(O48,Q48),MIN(O71,Q71))&lt;=MIN(MAX(O48,Q48),MAX(O71,Q71))),1,0),0)</f>
        <v>0</v>
      </c>
      <c r="T1556" s="7"/>
      <c r="U1556" s="7"/>
      <c r="V1556" s="7"/>
      <c r="W1556" s="7"/>
      <c r="X1556" s="7"/>
      <c r="Y1556" s="7"/>
      <c r="Z1556" s="7"/>
      <c r="AA1556" s="7"/>
      <c r="AB1556" s="7"/>
      <c r="AC1556" s="7"/>
      <c r="AD1556" s="7"/>
      <c r="AE1556" s="7"/>
      <c r="AF1556" s="7"/>
      <c r="AG1556" s="7"/>
      <c r="AH1556" s="7"/>
      <c r="AI1556" s="7"/>
    </row>
    <row r="1557" spans="12:35">
      <c r="L1557" s="7">
        <v>49</v>
      </c>
      <c r="M1557" s="7">
        <v>51</v>
      </c>
      <c r="N1557" s="7" t="b">
        <f>AND($N$6,$N$6,18&lt;=$M$6,20&lt;=$M$6)</f>
        <v>0</v>
      </c>
      <c r="O1557" s="7">
        <f>(P49-N49)*(O51-O49)-(Q49-O49)*(N51-N49)</f>
        <v>0</v>
      </c>
      <c r="P1557" s="7">
        <f>(P49-N49)*(Q51-O49)-(Q49-O49)*(P51-N49)</f>
        <v>0</v>
      </c>
      <c r="Q1557" s="7">
        <f>(P51-N51)*(O49-O51)-(Q51-O51)*(N49-N51)</f>
        <v>0</v>
      </c>
      <c r="R1557" s="7">
        <f>(P51-N51)*(Q49-O51)-(Q51-O51)*(P49-N51)</f>
        <v>0</v>
      </c>
      <c r="S1557" s="7">
        <f>IF(N1557,IF(AND(O1557*P1557&lt;=0,Q1557*R1557&lt;=0,MAX(MIN(N49,P49),MIN(N51,P51))&lt;=MIN(MAX(N49,P49),MAX(N51,P51)),MAX(MIN(O49,Q49),MIN(O51,Q51))&lt;=MIN(MAX(O49,Q49),MAX(O51,Q51))),1,0),0)</f>
        <v>0</v>
      </c>
      <c r="T1557" s="7"/>
      <c r="U1557" s="7"/>
      <c r="V1557" s="7"/>
      <c r="W1557" s="7"/>
      <c r="X1557" s="7"/>
      <c r="Y1557" s="7"/>
      <c r="Z1557" s="7"/>
      <c r="AA1557" s="7"/>
      <c r="AB1557" s="7"/>
      <c r="AC1557" s="7"/>
      <c r="AD1557" s="7"/>
      <c r="AE1557" s="7"/>
      <c r="AF1557" s="7"/>
      <c r="AG1557" s="7"/>
      <c r="AH1557" s="7"/>
      <c r="AI1557" s="7"/>
    </row>
    <row r="1558" spans="12:35">
      <c r="L1558" s="7">
        <v>49</v>
      </c>
      <c r="M1558" s="7">
        <v>52</v>
      </c>
      <c r="N1558" s="7" t="b">
        <f>AND($N$6,$N$7,18&lt;=$M$6,1&lt;=$M$7)</f>
        <v>0</v>
      </c>
      <c r="O1558" s="7">
        <f>(P49-N49)*(O52-O49)-(Q49-O49)*(N52-N49)</f>
        <v>0</v>
      </c>
      <c r="P1558" s="7">
        <f>(P49-N49)*(Q52-O49)-(Q49-O49)*(P52-N49)</f>
        <v>0</v>
      </c>
      <c r="Q1558" s="7">
        <f>(P52-N52)*(O49-O52)-(Q52-O52)*(N49-N52)</f>
        <v>0</v>
      </c>
      <c r="R1558" s="7">
        <f>(P52-N52)*(Q49-O52)-(Q52-O52)*(P49-N52)</f>
        <v>0</v>
      </c>
      <c r="S1558" s="7">
        <f>IF(N1558,IF(AND(O1558*P1558&lt;=0,Q1558*R1558&lt;=0,MAX(MIN(N49,P49),MIN(N52,P52))&lt;=MIN(MAX(N49,P49),MAX(N52,P52)),MAX(MIN(O49,Q49),MIN(O52,Q52))&lt;=MIN(MAX(O49,Q49),MAX(O52,Q52))),1,0),0)</f>
        <v>0</v>
      </c>
      <c r="T1558" s="7"/>
      <c r="U1558" s="7"/>
      <c r="V1558" s="7"/>
      <c r="W1558" s="7"/>
      <c r="X1558" s="7"/>
      <c r="Y1558" s="7"/>
      <c r="Z1558" s="7"/>
      <c r="AA1558" s="7"/>
      <c r="AB1558" s="7"/>
      <c r="AC1558" s="7"/>
      <c r="AD1558" s="7"/>
      <c r="AE1558" s="7"/>
      <c r="AF1558" s="7"/>
      <c r="AG1558" s="7"/>
      <c r="AH1558" s="7"/>
      <c r="AI1558" s="7"/>
    </row>
    <row r="1559" spans="12:35">
      <c r="L1559" s="7">
        <v>49</v>
      </c>
      <c r="M1559" s="7">
        <v>53</v>
      </c>
      <c r="N1559" s="7" t="b">
        <f>AND($N$6,$N$7,18&lt;=$M$6,2&lt;=$M$7)</f>
        <v>0</v>
      </c>
      <c r="O1559" s="7">
        <f>(P49-N49)*(O53-O49)-(Q49-O49)*(N53-N49)</f>
        <v>0</v>
      </c>
      <c r="P1559" s="7">
        <f>(P49-N49)*(Q53-O49)-(Q49-O49)*(P53-N49)</f>
        <v>0</v>
      </c>
      <c r="Q1559" s="7">
        <f>(P53-N53)*(O49-O53)-(Q53-O53)*(N49-N53)</f>
        <v>0</v>
      </c>
      <c r="R1559" s="7">
        <f>(P53-N53)*(Q49-O53)-(Q53-O53)*(P49-N53)</f>
        <v>0</v>
      </c>
      <c r="S1559" s="7">
        <f>IF(N1559,IF(AND(O1559*P1559&lt;=0,Q1559*R1559&lt;=0,MAX(MIN(N49,P49),MIN(N53,P53))&lt;=MIN(MAX(N49,P49),MAX(N53,P53)),MAX(MIN(O49,Q49),MIN(O53,Q53))&lt;=MIN(MAX(O49,Q49),MAX(O53,Q53))),1,0),0)</f>
        <v>0</v>
      </c>
      <c r="T1559" s="7"/>
      <c r="U1559" s="7"/>
      <c r="V1559" s="7"/>
      <c r="W1559" s="7"/>
      <c r="X1559" s="7"/>
      <c r="Y1559" s="7"/>
      <c r="Z1559" s="7"/>
      <c r="AA1559" s="7"/>
      <c r="AB1559" s="7"/>
      <c r="AC1559" s="7"/>
      <c r="AD1559" s="7"/>
      <c r="AE1559" s="7"/>
      <c r="AF1559" s="7"/>
      <c r="AG1559" s="7"/>
      <c r="AH1559" s="7"/>
      <c r="AI1559" s="7"/>
    </row>
    <row r="1560" spans="12:35">
      <c r="L1560" s="7">
        <v>49</v>
      </c>
      <c r="M1560" s="7">
        <v>54</v>
      </c>
      <c r="N1560" s="7" t="b">
        <f>AND($N$6,$N$7,18&lt;=$M$6,3&lt;=$M$7)</f>
        <v>0</v>
      </c>
      <c r="O1560" s="7">
        <f>(P49-N49)*(O54-O49)-(Q49-O49)*(N54-N49)</f>
        <v>0</v>
      </c>
      <c r="P1560" s="7">
        <f>(P49-N49)*(Q54-O49)-(Q49-O49)*(P54-N49)</f>
        <v>0</v>
      </c>
      <c r="Q1560" s="7">
        <f>(P54-N54)*(O49-O54)-(Q54-O54)*(N49-N54)</f>
        <v>0</v>
      </c>
      <c r="R1560" s="7">
        <f>(P54-N54)*(Q49-O54)-(Q54-O54)*(P49-N54)</f>
        <v>0</v>
      </c>
      <c r="S1560" s="7">
        <f>IF(N1560,IF(AND(O1560*P1560&lt;=0,Q1560*R1560&lt;=0,MAX(MIN(N49,P49),MIN(N54,P54))&lt;=MIN(MAX(N49,P49),MAX(N54,P54)),MAX(MIN(O49,Q49),MIN(O54,Q54))&lt;=MIN(MAX(O49,Q49),MAX(O54,Q54))),1,0),0)</f>
        <v>0</v>
      </c>
      <c r="T1560" s="7"/>
      <c r="U1560" s="7"/>
      <c r="V1560" s="7"/>
      <c r="W1560" s="7"/>
      <c r="X1560" s="7"/>
      <c r="Y1560" s="7"/>
      <c r="Z1560" s="7"/>
      <c r="AA1560" s="7"/>
      <c r="AB1560" s="7"/>
      <c r="AC1560" s="7"/>
      <c r="AD1560" s="7"/>
      <c r="AE1560" s="7"/>
      <c r="AF1560" s="7"/>
      <c r="AG1560" s="7"/>
      <c r="AH1560" s="7"/>
      <c r="AI1560" s="7"/>
    </row>
    <row r="1561" spans="12:35">
      <c r="L1561" s="7">
        <v>49</v>
      </c>
      <c r="M1561" s="7">
        <v>55</v>
      </c>
      <c r="N1561" s="7" t="b">
        <f>AND($N$6,$N$7,18&lt;=$M$6,4&lt;=$M$7)</f>
        <v>0</v>
      </c>
      <c r="O1561" s="7">
        <f>(P49-N49)*(O55-O49)-(Q49-O49)*(N55-N49)</f>
        <v>0</v>
      </c>
      <c r="P1561" s="7">
        <f>(P49-N49)*(Q55-O49)-(Q49-O49)*(P55-N49)</f>
        <v>0</v>
      </c>
      <c r="Q1561" s="7">
        <f>(P55-N55)*(O49-O55)-(Q55-O55)*(N49-N55)</f>
        <v>0</v>
      </c>
      <c r="R1561" s="7">
        <f>(P55-N55)*(Q49-O55)-(Q55-O55)*(P49-N55)</f>
        <v>0</v>
      </c>
      <c r="S1561" s="7">
        <f>IF(N1561,IF(AND(O1561*P1561&lt;=0,Q1561*R1561&lt;=0,MAX(MIN(N49,P49),MIN(N55,P55))&lt;=MIN(MAX(N49,P49),MAX(N55,P55)),MAX(MIN(O49,Q49),MIN(O55,Q55))&lt;=MIN(MAX(O49,Q49),MAX(O55,Q55))),1,0),0)</f>
        <v>0</v>
      </c>
      <c r="T1561" s="7"/>
      <c r="U1561" s="7"/>
      <c r="V1561" s="7"/>
      <c r="W1561" s="7"/>
      <c r="X1561" s="7"/>
      <c r="Y1561" s="7"/>
      <c r="Z1561" s="7"/>
      <c r="AA1561" s="7"/>
      <c r="AB1561" s="7"/>
      <c r="AC1561" s="7"/>
      <c r="AD1561" s="7"/>
      <c r="AE1561" s="7"/>
      <c r="AF1561" s="7"/>
      <c r="AG1561" s="7"/>
      <c r="AH1561" s="7"/>
      <c r="AI1561" s="7"/>
    </row>
    <row r="1562" spans="12:35">
      <c r="L1562" s="7">
        <v>49</v>
      </c>
      <c r="M1562" s="7">
        <v>56</v>
      </c>
      <c r="N1562" s="7" t="b">
        <f>AND($N$6,$N$7,18&lt;=$M$6,5&lt;=$M$7)</f>
        <v>0</v>
      </c>
      <c r="O1562" s="7">
        <f>(P49-N49)*(O56-O49)-(Q49-O49)*(N56-N49)</f>
        <v>0</v>
      </c>
      <c r="P1562" s="7">
        <f>(P49-N49)*(Q56-O49)-(Q49-O49)*(P56-N49)</f>
        <v>0</v>
      </c>
      <c r="Q1562" s="7">
        <f>(P56-N56)*(O49-O56)-(Q56-O56)*(N49-N56)</f>
        <v>0</v>
      </c>
      <c r="R1562" s="7">
        <f>(P56-N56)*(Q49-O56)-(Q56-O56)*(P49-N56)</f>
        <v>0</v>
      </c>
      <c r="S1562" s="7">
        <f>IF(N1562,IF(AND(O1562*P1562&lt;=0,Q1562*R1562&lt;=0,MAX(MIN(N49,P49),MIN(N56,P56))&lt;=MIN(MAX(N49,P49),MAX(N56,P56)),MAX(MIN(O49,Q49),MIN(O56,Q56))&lt;=MIN(MAX(O49,Q49),MAX(O56,Q56))),1,0),0)</f>
        <v>0</v>
      </c>
      <c r="T1562" s="7"/>
      <c r="U1562" s="7"/>
      <c r="V1562" s="7"/>
      <c r="W1562" s="7"/>
      <c r="X1562" s="7"/>
      <c r="Y1562" s="7"/>
      <c r="Z1562" s="7"/>
      <c r="AA1562" s="7"/>
      <c r="AB1562" s="7"/>
      <c r="AC1562" s="7"/>
      <c r="AD1562" s="7"/>
      <c r="AE1562" s="7"/>
      <c r="AF1562" s="7"/>
      <c r="AG1562" s="7"/>
      <c r="AH1562" s="7"/>
      <c r="AI1562" s="7"/>
    </row>
    <row r="1563" spans="12:35">
      <c r="L1563" s="7">
        <v>49</v>
      </c>
      <c r="M1563" s="7">
        <v>57</v>
      </c>
      <c r="N1563" s="7" t="b">
        <f>AND($N$6,$N$7,18&lt;=$M$6,6&lt;=$M$7)</f>
        <v>0</v>
      </c>
      <c r="O1563" s="7">
        <f>(P49-N49)*(O57-O49)-(Q49-O49)*(N57-N49)</f>
        <v>0</v>
      </c>
      <c r="P1563" s="7">
        <f>(P49-N49)*(Q57-O49)-(Q49-O49)*(P57-N49)</f>
        <v>0</v>
      </c>
      <c r="Q1563" s="7">
        <f>(P57-N57)*(O49-O57)-(Q57-O57)*(N49-N57)</f>
        <v>0</v>
      </c>
      <c r="R1563" s="7">
        <f>(P57-N57)*(Q49-O57)-(Q57-O57)*(P49-N57)</f>
        <v>0</v>
      </c>
      <c r="S1563" s="7">
        <f>IF(N1563,IF(AND(O1563*P1563&lt;=0,Q1563*R1563&lt;=0,MAX(MIN(N49,P49),MIN(N57,P57))&lt;=MIN(MAX(N49,P49),MAX(N57,P57)),MAX(MIN(O49,Q49),MIN(O57,Q57))&lt;=MIN(MAX(O49,Q49),MAX(O57,Q57))),1,0),0)</f>
        <v>0</v>
      </c>
      <c r="T1563" s="7"/>
      <c r="U1563" s="7"/>
      <c r="V1563" s="7"/>
      <c r="W1563" s="7"/>
      <c r="X1563" s="7"/>
      <c r="Y1563" s="7"/>
      <c r="Z1563" s="7"/>
      <c r="AA1563" s="7"/>
      <c r="AB1563" s="7"/>
      <c r="AC1563" s="7"/>
      <c r="AD1563" s="7"/>
      <c r="AE1563" s="7"/>
      <c r="AF1563" s="7"/>
      <c r="AG1563" s="7"/>
      <c r="AH1563" s="7"/>
      <c r="AI1563" s="7"/>
    </row>
    <row r="1564" spans="12:35">
      <c r="L1564" s="7">
        <v>49</v>
      </c>
      <c r="M1564" s="7">
        <v>58</v>
      </c>
      <c r="N1564" s="7" t="b">
        <f>AND($N$6,$N$7,18&lt;=$M$6,7&lt;=$M$7)</f>
        <v>0</v>
      </c>
      <c r="O1564" s="7">
        <f>(P49-N49)*(O58-O49)-(Q49-O49)*(N58-N49)</f>
        <v>0</v>
      </c>
      <c r="P1564" s="7">
        <f>(P49-N49)*(Q58-O49)-(Q49-O49)*(P58-N49)</f>
        <v>0</v>
      </c>
      <c r="Q1564" s="7">
        <f>(P58-N58)*(O49-O58)-(Q58-O58)*(N49-N58)</f>
        <v>0</v>
      </c>
      <c r="R1564" s="7">
        <f>(P58-N58)*(Q49-O58)-(Q58-O58)*(P49-N58)</f>
        <v>0</v>
      </c>
      <c r="S1564" s="7">
        <f>IF(N1564,IF(AND(O1564*P1564&lt;=0,Q1564*R1564&lt;=0,MAX(MIN(N49,P49),MIN(N58,P58))&lt;=MIN(MAX(N49,P49),MAX(N58,P58)),MAX(MIN(O49,Q49),MIN(O58,Q58))&lt;=MIN(MAX(O49,Q49),MAX(O58,Q58))),1,0),0)</f>
        <v>0</v>
      </c>
      <c r="T1564" s="7"/>
      <c r="U1564" s="7"/>
      <c r="V1564" s="7"/>
      <c r="W1564" s="7"/>
      <c r="X1564" s="7"/>
      <c r="Y1564" s="7"/>
      <c r="Z1564" s="7"/>
      <c r="AA1564" s="7"/>
      <c r="AB1564" s="7"/>
      <c r="AC1564" s="7"/>
      <c r="AD1564" s="7"/>
      <c r="AE1564" s="7"/>
      <c r="AF1564" s="7"/>
      <c r="AG1564" s="7"/>
      <c r="AH1564" s="7"/>
      <c r="AI1564" s="7"/>
    </row>
    <row r="1565" spans="12:35">
      <c r="L1565" s="7">
        <v>49</v>
      </c>
      <c r="M1565" s="7">
        <v>59</v>
      </c>
      <c r="N1565" s="7" t="b">
        <f>AND($N$6,$N$7,18&lt;=$M$6,8&lt;=$M$7)</f>
        <v>0</v>
      </c>
      <c r="O1565" s="7">
        <f>(P49-N49)*(O59-O49)-(Q49-O49)*(N59-N49)</f>
        <v>0</v>
      </c>
      <c r="P1565" s="7">
        <f>(P49-N49)*(Q59-O49)-(Q49-O49)*(P59-N49)</f>
        <v>0</v>
      </c>
      <c r="Q1565" s="7">
        <f>(P59-N59)*(O49-O59)-(Q59-O59)*(N49-N59)</f>
        <v>0</v>
      </c>
      <c r="R1565" s="7">
        <f>(P59-N59)*(Q49-O59)-(Q59-O59)*(P49-N59)</f>
        <v>0</v>
      </c>
      <c r="S1565" s="7">
        <f>IF(N1565,IF(AND(O1565*P1565&lt;=0,Q1565*R1565&lt;=0,MAX(MIN(N49,P49),MIN(N59,P59))&lt;=MIN(MAX(N49,P49),MAX(N59,P59)),MAX(MIN(O49,Q49),MIN(O59,Q59))&lt;=MIN(MAX(O49,Q49),MAX(O59,Q59))),1,0),0)</f>
        <v>0</v>
      </c>
      <c r="T1565" s="7"/>
      <c r="U1565" s="7"/>
      <c r="V1565" s="7"/>
      <c r="W1565" s="7"/>
      <c r="X1565" s="7"/>
      <c r="Y1565" s="7"/>
      <c r="Z1565" s="7"/>
      <c r="AA1565" s="7"/>
      <c r="AB1565" s="7"/>
      <c r="AC1565" s="7"/>
      <c r="AD1565" s="7"/>
      <c r="AE1565" s="7"/>
      <c r="AF1565" s="7"/>
      <c r="AG1565" s="7"/>
      <c r="AH1565" s="7"/>
      <c r="AI1565" s="7"/>
    </row>
    <row r="1566" spans="12:35">
      <c r="L1566" s="7">
        <v>49</v>
      </c>
      <c r="M1566" s="7">
        <v>60</v>
      </c>
      <c r="N1566" s="7" t="b">
        <f>AND($N$6,$N$7,18&lt;=$M$6,9&lt;=$M$7)</f>
        <v>0</v>
      </c>
      <c r="O1566" s="7">
        <f>(P49-N49)*(O60-O49)-(Q49-O49)*(N60-N49)</f>
        <v>0</v>
      </c>
      <c r="P1566" s="7">
        <f>(P49-N49)*(Q60-O49)-(Q49-O49)*(P60-N49)</f>
        <v>0</v>
      </c>
      <c r="Q1566" s="7">
        <f>(P60-N60)*(O49-O60)-(Q60-O60)*(N49-N60)</f>
        <v>0</v>
      </c>
      <c r="R1566" s="7">
        <f>(P60-N60)*(Q49-O60)-(Q60-O60)*(P49-N60)</f>
        <v>0</v>
      </c>
      <c r="S1566" s="7">
        <f>IF(N1566,IF(AND(O1566*P1566&lt;=0,Q1566*R1566&lt;=0,MAX(MIN(N49,P49),MIN(N60,P60))&lt;=MIN(MAX(N49,P49),MAX(N60,P60)),MAX(MIN(O49,Q49),MIN(O60,Q60))&lt;=MIN(MAX(O49,Q49),MAX(O60,Q60))),1,0),0)</f>
        <v>0</v>
      </c>
      <c r="T1566" s="7"/>
      <c r="U1566" s="7"/>
      <c r="V1566" s="7"/>
      <c r="W1566" s="7"/>
      <c r="X1566" s="7"/>
      <c r="Y1566" s="7"/>
      <c r="Z1566" s="7"/>
      <c r="AA1566" s="7"/>
      <c r="AB1566" s="7"/>
      <c r="AC1566" s="7"/>
      <c r="AD1566" s="7"/>
      <c r="AE1566" s="7"/>
      <c r="AF1566" s="7"/>
      <c r="AG1566" s="7"/>
      <c r="AH1566" s="7"/>
      <c r="AI1566" s="7"/>
    </row>
    <row r="1567" spans="12:35">
      <c r="L1567" s="7">
        <v>49</v>
      </c>
      <c r="M1567" s="7">
        <v>61</v>
      </c>
      <c r="N1567" s="7" t="b">
        <f>AND($N$6,$N$7,18&lt;=$M$6,10&lt;=$M$7)</f>
        <v>0</v>
      </c>
      <c r="O1567" s="7">
        <f>(P49-N49)*(O61-O49)-(Q49-O49)*(N61-N49)</f>
        <v>0</v>
      </c>
      <c r="P1567" s="7">
        <f>(P49-N49)*(Q61-O49)-(Q49-O49)*(P61-N49)</f>
        <v>0</v>
      </c>
      <c r="Q1567" s="7">
        <f>(P61-N61)*(O49-O61)-(Q61-O61)*(N49-N61)</f>
        <v>0</v>
      </c>
      <c r="R1567" s="7">
        <f>(P61-N61)*(Q49-O61)-(Q61-O61)*(P49-N61)</f>
        <v>0</v>
      </c>
      <c r="S1567" s="7">
        <f>IF(N1567,IF(AND(O1567*P1567&lt;=0,Q1567*R1567&lt;=0,MAX(MIN(N49,P49),MIN(N61,P61))&lt;=MIN(MAX(N49,P49),MAX(N61,P61)),MAX(MIN(O49,Q49),MIN(O61,Q61))&lt;=MIN(MAX(O49,Q49),MAX(O61,Q61))),1,0),0)</f>
        <v>0</v>
      </c>
      <c r="T1567" s="7"/>
      <c r="U1567" s="7"/>
      <c r="V1567" s="7"/>
      <c r="W1567" s="7"/>
      <c r="X1567" s="7"/>
      <c r="Y1567" s="7"/>
      <c r="Z1567" s="7"/>
      <c r="AA1567" s="7"/>
      <c r="AB1567" s="7"/>
      <c r="AC1567" s="7"/>
      <c r="AD1567" s="7"/>
      <c r="AE1567" s="7"/>
      <c r="AF1567" s="7"/>
      <c r="AG1567" s="7"/>
      <c r="AH1567" s="7"/>
      <c r="AI1567" s="7"/>
    </row>
    <row r="1568" spans="12:35">
      <c r="L1568" s="7">
        <v>49</v>
      </c>
      <c r="M1568" s="7">
        <v>62</v>
      </c>
      <c r="N1568" s="7" t="b">
        <f>AND($N$6,$N$7,18&lt;=$M$6,11&lt;=$M$7)</f>
        <v>0</v>
      </c>
      <c r="O1568" s="7">
        <f>(P49-N49)*(O62-O49)-(Q49-O49)*(N62-N49)</f>
        <v>0</v>
      </c>
      <c r="P1568" s="7">
        <f>(P49-N49)*(Q62-O49)-(Q49-O49)*(P62-N49)</f>
        <v>0</v>
      </c>
      <c r="Q1568" s="7">
        <f>(P62-N62)*(O49-O62)-(Q62-O62)*(N49-N62)</f>
        <v>0</v>
      </c>
      <c r="R1568" s="7">
        <f>(P62-N62)*(Q49-O62)-(Q62-O62)*(P49-N62)</f>
        <v>0</v>
      </c>
      <c r="S1568" s="7">
        <f>IF(N1568,IF(AND(O1568*P1568&lt;=0,Q1568*R1568&lt;=0,MAX(MIN(N49,P49),MIN(N62,P62))&lt;=MIN(MAX(N49,P49),MAX(N62,P62)),MAX(MIN(O49,Q49),MIN(O62,Q62))&lt;=MIN(MAX(O49,Q49),MAX(O62,Q62))),1,0),0)</f>
        <v>0</v>
      </c>
      <c r="T1568" s="7"/>
      <c r="U1568" s="7"/>
      <c r="V1568" s="7"/>
      <c r="W1568" s="7"/>
      <c r="X1568" s="7"/>
      <c r="Y1568" s="7"/>
      <c r="Z1568" s="7"/>
      <c r="AA1568" s="7"/>
      <c r="AB1568" s="7"/>
      <c r="AC1568" s="7"/>
      <c r="AD1568" s="7"/>
      <c r="AE1568" s="7"/>
      <c r="AF1568" s="7"/>
      <c r="AG1568" s="7"/>
      <c r="AH1568" s="7"/>
      <c r="AI1568" s="7"/>
    </row>
    <row r="1569" spans="12:35">
      <c r="L1569" s="7">
        <v>49</v>
      </c>
      <c r="M1569" s="7">
        <v>63</v>
      </c>
      <c r="N1569" s="7" t="b">
        <f>AND($N$6,$N$7,18&lt;=$M$6,12&lt;=$M$7)</f>
        <v>0</v>
      </c>
      <c r="O1569" s="7">
        <f>(P49-N49)*(O63-O49)-(Q49-O49)*(N63-N49)</f>
        <v>0</v>
      </c>
      <c r="P1569" s="7">
        <f>(P49-N49)*(Q63-O49)-(Q49-O49)*(P63-N49)</f>
        <v>0</v>
      </c>
      <c r="Q1569" s="7">
        <f>(P63-N63)*(O49-O63)-(Q63-O63)*(N49-N63)</f>
        <v>0</v>
      </c>
      <c r="R1569" s="7">
        <f>(P63-N63)*(Q49-O63)-(Q63-O63)*(P49-N63)</f>
        <v>0</v>
      </c>
      <c r="S1569" s="7">
        <f>IF(N1569,IF(AND(O1569*P1569&lt;=0,Q1569*R1569&lt;=0,MAX(MIN(N49,P49),MIN(N63,P63))&lt;=MIN(MAX(N49,P49),MAX(N63,P63)),MAX(MIN(O49,Q49),MIN(O63,Q63))&lt;=MIN(MAX(O49,Q49),MAX(O63,Q63))),1,0),0)</f>
        <v>0</v>
      </c>
      <c r="T1569" s="7"/>
      <c r="U1569" s="7"/>
      <c r="V1569" s="7"/>
      <c r="W1569" s="7"/>
      <c r="X1569" s="7"/>
      <c r="Y1569" s="7"/>
      <c r="Z1569" s="7"/>
      <c r="AA1569" s="7"/>
      <c r="AB1569" s="7"/>
      <c r="AC1569" s="7"/>
      <c r="AD1569" s="7"/>
      <c r="AE1569" s="7"/>
      <c r="AF1569" s="7"/>
      <c r="AG1569" s="7"/>
      <c r="AH1569" s="7"/>
      <c r="AI1569" s="7"/>
    </row>
    <row r="1570" spans="12:35">
      <c r="L1570" s="7">
        <v>49</v>
      </c>
      <c r="M1570" s="7">
        <v>64</v>
      </c>
      <c r="N1570" s="7" t="b">
        <f>AND($N$6,$N$7,18&lt;=$M$6,13&lt;=$M$7)</f>
        <v>0</v>
      </c>
      <c r="O1570" s="7">
        <f>(P49-N49)*(O64-O49)-(Q49-O49)*(N64-N49)</f>
        <v>0</v>
      </c>
      <c r="P1570" s="7">
        <f>(P49-N49)*(Q64-O49)-(Q49-O49)*(P64-N49)</f>
        <v>0</v>
      </c>
      <c r="Q1570" s="7">
        <f>(P64-N64)*(O49-O64)-(Q64-O64)*(N49-N64)</f>
        <v>0</v>
      </c>
      <c r="R1570" s="7">
        <f>(P64-N64)*(Q49-O64)-(Q64-O64)*(P49-N64)</f>
        <v>0</v>
      </c>
      <c r="S1570" s="7">
        <f>IF(N1570,IF(AND(O1570*P1570&lt;=0,Q1570*R1570&lt;=0,MAX(MIN(N49,P49),MIN(N64,P64))&lt;=MIN(MAX(N49,P49),MAX(N64,P64)),MAX(MIN(O49,Q49),MIN(O64,Q64))&lt;=MIN(MAX(O49,Q49),MAX(O64,Q64))),1,0),0)</f>
        <v>0</v>
      </c>
      <c r="T1570" s="7"/>
      <c r="U1570" s="7"/>
      <c r="V1570" s="7"/>
      <c r="W1570" s="7"/>
      <c r="X1570" s="7"/>
      <c r="Y1570" s="7"/>
      <c r="Z1570" s="7"/>
      <c r="AA1570" s="7"/>
      <c r="AB1570" s="7"/>
      <c r="AC1570" s="7"/>
      <c r="AD1570" s="7"/>
      <c r="AE1570" s="7"/>
      <c r="AF1570" s="7"/>
      <c r="AG1570" s="7"/>
      <c r="AH1570" s="7"/>
      <c r="AI1570" s="7"/>
    </row>
    <row r="1571" spans="12:35">
      <c r="L1571" s="7">
        <v>49</v>
      </c>
      <c r="M1571" s="7">
        <v>65</v>
      </c>
      <c r="N1571" s="7" t="b">
        <f>AND($N$6,$N$7,18&lt;=$M$6,14&lt;=$M$7)</f>
        <v>0</v>
      </c>
      <c r="O1571" s="7">
        <f>(P49-N49)*(O65-O49)-(Q49-O49)*(N65-N49)</f>
        <v>0</v>
      </c>
      <c r="P1571" s="7">
        <f>(P49-N49)*(Q65-O49)-(Q49-O49)*(P65-N49)</f>
        <v>0</v>
      </c>
      <c r="Q1571" s="7">
        <f>(P65-N65)*(O49-O65)-(Q65-O65)*(N49-N65)</f>
        <v>0</v>
      </c>
      <c r="R1571" s="7">
        <f>(P65-N65)*(Q49-O65)-(Q65-O65)*(P49-N65)</f>
        <v>0</v>
      </c>
      <c r="S1571" s="7">
        <f>IF(N1571,IF(AND(O1571*P1571&lt;=0,Q1571*R1571&lt;=0,MAX(MIN(N49,P49),MIN(N65,P65))&lt;=MIN(MAX(N49,P49),MAX(N65,P65)),MAX(MIN(O49,Q49),MIN(O65,Q65))&lt;=MIN(MAX(O49,Q49),MAX(O65,Q65))),1,0),0)</f>
        <v>0</v>
      </c>
      <c r="T1571" s="7"/>
      <c r="U1571" s="7"/>
      <c r="V1571" s="7"/>
      <c r="W1571" s="7"/>
      <c r="X1571" s="7"/>
      <c r="Y1571" s="7"/>
      <c r="Z1571" s="7"/>
      <c r="AA1571" s="7"/>
      <c r="AB1571" s="7"/>
      <c r="AC1571" s="7"/>
      <c r="AD1571" s="7"/>
      <c r="AE1571" s="7"/>
      <c r="AF1571" s="7"/>
      <c r="AG1571" s="7"/>
      <c r="AH1571" s="7"/>
      <c r="AI1571" s="7"/>
    </row>
    <row r="1572" spans="12:35">
      <c r="L1572" s="7">
        <v>49</v>
      </c>
      <c r="M1572" s="7">
        <v>66</v>
      </c>
      <c r="N1572" s="7" t="b">
        <f>AND($N$6,$N$7,18&lt;=$M$6,15&lt;=$M$7)</f>
        <v>0</v>
      </c>
      <c r="O1572" s="7">
        <f>(P49-N49)*(O66-O49)-(Q49-O49)*(N66-N49)</f>
        <v>0</v>
      </c>
      <c r="P1572" s="7">
        <f>(P49-N49)*(Q66-O49)-(Q49-O49)*(P66-N49)</f>
        <v>0</v>
      </c>
      <c r="Q1572" s="7">
        <f>(P66-N66)*(O49-O66)-(Q66-O66)*(N49-N66)</f>
        <v>0</v>
      </c>
      <c r="R1572" s="7">
        <f>(P66-N66)*(Q49-O66)-(Q66-O66)*(P49-N66)</f>
        <v>0</v>
      </c>
      <c r="S1572" s="7">
        <f>IF(N1572,IF(AND(O1572*P1572&lt;=0,Q1572*R1572&lt;=0,MAX(MIN(N49,P49),MIN(N66,P66))&lt;=MIN(MAX(N49,P49),MAX(N66,P66)),MAX(MIN(O49,Q49),MIN(O66,Q66))&lt;=MIN(MAX(O49,Q49),MAX(O66,Q66))),1,0),0)</f>
        <v>0</v>
      </c>
      <c r="T1572" s="7"/>
      <c r="U1572" s="7"/>
      <c r="V1572" s="7"/>
      <c r="W1572" s="7"/>
      <c r="X1572" s="7"/>
      <c r="Y1572" s="7"/>
      <c r="Z1572" s="7"/>
      <c r="AA1572" s="7"/>
      <c r="AB1572" s="7"/>
      <c r="AC1572" s="7"/>
      <c r="AD1572" s="7"/>
      <c r="AE1572" s="7"/>
      <c r="AF1572" s="7"/>
      <c r="AG1572" s="7"/>
      <c r="AH1572" s="7"/>
      <c r="AI1572" s="7"/>
    </row>
    <row r="1573" spans="12:35">
      <c r="L1573" s="7">
        <v>49</v>
      </c>
      <c r="M1573" s="7">
        <v>67</v>
      </c>
      <c r="N1573" s="7" t="b">
        <f>AND($N$6,$N$7,18&lt;=$M$6,16&lt;=$M$7)</f>
        <v>0</v>
      </c>
      <c r="O1573" s="7">
        <f>(P49-N49)*(O67-O49)-(Q49-O49)*(N67-N49)</f>
        <v>0</v>
      </c>
      <c r="P1573" s="7">
        <f>(P49-N49)*(Q67-O49)-(Q49-O49)*(P67-N49)</f>
        <v>0</v>
      </c>
      <c r="Q1573" s="7">
        <f>(P67-N67)*(O49-O67)-(Q67-O67)*(N49-N67)</f>
        <v>0</v>
      </c>
      <c r="R1573" s="7">
        <f>(P67-N67)*(Q49-O67)-(Q67-O67)*(P49-N67)</f>
        <v>0</v>
      </c>
      <c r="S1573" s="7">
        <f>IF(N1573,IF(AND(O1573*P1573&lt;=0,Q1573*R1573&lt;=0,MAX(MIN(N49,P49),MIN(N67,P67))&lt;=MIN(MAX(N49,P49),MAX(N67,P67)),MAX(MIN(O49,Q49),MIN(O67,Q67))&lt;=MIN(MAX(O49,Q49),MAX(O67,Q67))),1,0),0)</f>
        <v>0</v>
      </c>
      <c r="T1573" s="7"/>
      <c r="U1573" s="7"/>
      <c r="V1573" s="7"/>
      <c r="W1573" s="7"/>
      <c r="X1573" s="7"/>
      <c r="Y1573" s="7"/>
      <c r="Z1573" s="7"/>
      <c r="AA1573" s="7"/>
      <c r="AB1573" s="7"/>
      <c r="AC1573" s="7"/>
      <c r="AD1573" s="7"/>
      <c r="AE1573" s="7"/>
      <c r="AF1573" s="7"/>
      <c r="AG1573" s="7"/>
      <c r="AH1573" s="7"/>
      <c r="AI1573" s="7"/>
    </row>
    <row r="1574" spans="12:35">
      <c r="L1574" s="7">
        <v>49</v>
      </c>
      <c r="M1574" s="7">
        <v>68</v>
      </c>
      <c r="N1574" s="7" t="b">
        <f>AND($N$6,$N$7,18&lt;=$M$6,17&lt;=$M$7)</f>
        <v>0</v>
      </c>
      <c r="O1574" s="7">
        <f>(P49-N49)*(O68-O49)-(Q49-O49)*(N68-N49)</f>
        <v>0</v>
      </c>
      <c r="P1574" s="7">
        <f>(P49-N49)*(Q68-O49)-(Q49-O49)*(P68-N49)</f>
        <v>0</v>
      </c>
      <c r="Q1574" s="7">
        <f>(P68-N68)*(O49-O68)-(Q68-O68)*(N49-N68)</f>
        <v>0</v>
      </c>
      <c r="R1574" s="7">
        <f>(P68-N68)*(Q49-O68)-(Q68-O68)*(P49-N68)</f>
        <v>0</v>
      </c>
      <c r="S1574" s="7">
        <f>IF(N1574,IF(AND(O1574*P1574&lt;=0,Q1574*R1574&lt;=0,MAX(MIN(N49,P49),MIN(N68,P68))&lt;=MIN(MAX(N49,P49),MAX(N68,P68)),MAX(MIN(O49,Q49),MIN(O68,Q68))&lt;=MIN(MAX(O49,Q49),MAX(O68,Q68))),1,0),0)</f>
        <v>0</v>
      </c>
      <c r="T1574" s="7"/>
      <c r="U1574" s="7"/>
      <c r="V1574" s="7"/>
      <c r="W1574" s="7"/>
      <c r="X1574" s="7"/>
      <c r="Y1574" s="7"/>
      <c r="Z1574" s="7"/>
      <c r="AA1574" s="7"/>
      <c r="AB1574" s="7"/>
      <c r="AC1574" s="7"/>
      <c r="AD1574" s="7"/>
      <c r="AE1574" s="7"/>
      <c r="AF1574" s="7"/>
      <c r="AG1574" s="7"/>
      <c r="AH1574" s="7"/>
      <c r="AI1574" s="7"/>
    </row>
    <row r="1575" spans="12:35">
      <c r="L1575" s="7">
        <v>49</v>
      </c>
      <c r="M1575" s="7">
        <v>69</v>
      </c>
      <c r="N1575" s="7" t="b">
        <f>AND($N$6,$N$7,18&lt;=$M$6,18&lt;=$M$7)</f>
        <v>0</v>
      </c>
      <c r="O1575" s="7">
        <f>(P49-N49)*(O69-O49)-(Q49-O49)*(N69-N49)</f>
        <v>0</v>
      </c>
      <c r="P1575" s="7">
        <f>(P49-N49)*(Q69-O49)-(Q49-O49)*(P69-N49)</f>
        <v>0</v>
      </c>
      <c r="Q1575" s="7">
        <f>(P69-N69)*(O49-O69)-(Q69-O69)*(N49-N69)</f>
        <v>0</v>
      </c>
      <c r="R1575" s="7">
        <f>(P69-N69)*(Q49-O69)-(Q69-O69)*(P49-N69)</f>
        <v>0</v>
      </c>
      <c r="S1575" s="7">
        <f>IF(N1575,IF(AND(O1575*P1575&lt;=0,Q1575*R1575&lt;=0,MAX(MIN(N49,P49),MIN(N69,P69))&lt;=MIN(MAX(N49,P49),MAX(N69,P69)),MAX(MIN(O49,Q49),MIN(O69,Q69))&lt;=MIN(MAX(O49,Q49),MAX(O69,Q69))),1,0),0)</f>
        <v>0</v>
      </c>
      <c r="T1575" s="7"/>
      <c r="U1575" s="7"/>
      <c r="V1575" s="7"/>
      <c r="W1575" s="7"/>
      <c r="X1575" s="7"/>
      <c r="Y1575" s="7"/>
      <c r="Z1575" s="7"/>
      <c r="AA1575" s="7"/>
      <c r="AB1575" s="7"/>
      <c r="AC1575" s="7"/>
      <c r="AD1575" s="7"/>
      <c r="AE1575" s="7"/>
      <c r="AF1575" s="7"/>
      <c r="AG1575" s="7"/>
      <c r="AH1575" s="7"/>
      <c r="AI1575" s="7"/>
    </row>
    <row r="1576" spans="12:35">
      <c r="L1576" s="7">
        <v>49</v>
      </c>
      <c r="M1576" s="7">
        <v>70</v>
      </c>
      <c r="N1576" s="7" t="b">
        <f>AND($N$6,$N$7,18&lt;=$M$6,19&lt;=$M$7)</f>
        <v>0</v>
      </c>
      <c r="O1576" s="7">
        <f>(P49-N49)*(O70-O49)-(Q49-O49)*(N70-N49)</f>
        <v>0</v>
      </c>
      <c r="P1576" s="7">
        <f>(P49-N49)*(Q70-O49)-(Q49-O49)*(P70-N49)</f>
        <v>0</v>
      </c>
      <c r="Q1576" s="7">
        <f>(P70-N70)*(O49-O70)-(Q70-O70)*(N49-N70)</f>
        <v>0</v>
      </c>
      <c r="R1576" s="7">
        <f>(P70-N70)*(Q49-O70)-(Q70-O70)*(P49-N70)</f>
        <v>0</v>
      </c>
      <c r="S1576" s="7">
        <f>IF(N1576,IF(AND(O1576*P1576&lt;=0,Q1576*R1576&lt;=0,MAX(MIN(N49,P49),MIN(N70,P70))&lt;=MIN(MAX(N49,P49),MAX(N70,P70)),MAX(MIN(O49,Q49),MIN(O70,Q70))&lt;=MIN(MAX(O49,Q49),MAX(O70,Q70))),1,0),0)</f>
        <v>0</v>
      </c>
      <c r="T1576" s="7"/>
      <c r="U1576" s="7"/>
      <c r="V1576" s="7"/>
      <c r="W1576" s="7"/>
      <c r="X1576" s="7"/>
      <c r="Y1576" s="7"/>
      <c r="Z1576" s="7"/>
      <c r="AA1576" s="7"/>
      <c r="AB1576" s="7"/>
      <c r="AC1576" s="7"/>
      <c r="AD1576" s="7"/>
      <c r="AE1576" s="7"/>
      <c r="AF1576" s="7"/>
      <c r="AG1576" s="7"/>
      <c r="AH1576" s="7"/>
      <c r="AI1576" s="7"/>
    </row>
    <row r="1577" spans="12:35">
      <c r="L1577" s="7">
        <v>49</v>
      </c>
      <c r="M1577" s="7">
        <v>71</v>
      </c>
      <c r="N1577" s="7" t="b">
        <f>AND($N$6,$N$7,18&lt;=$M$6,20&lt;=$M$7)</f>
        <v>0</v>
      </c>
      <c r="O1577" s="7">
        <f>(P49-N49)*(O71-O49)-(Q49-O49)*(N71-N49)</f>
        <v>0</v>
      </c>
      <c r="P1577" s="7">
        <f>(P49-N49)*(Q71-O49)-(Q49-O49)*(P71-N49)</f>
        <v>0</v>
      </c>
      <c r="Q1577" s="7">
        <f>(P71-N71)*(O49-O71)-(Q71-O71)*(N49-N71)</f>
        <v>0</v>
      </c>
      <c r="R1577" s="7">
        <f>(P71-N71)*(Q49-O71)-(Q71-O71)*(P49-N71)</f>
        <v>0</v>
      </c>
      <c r="S1577" s="7">
        <f>IF(N1577,IF(AND(O1577*P1577&lt;=0,Q1577*R1577&lt;=0,MAX(MIN(N49,P49),MIN(N71,P71))&lt;=MIN(MAX(N49,P49),MAX(N71,P71)),MAX(MIN(O49,Q49),MIN(O71,Q71))&lt;=MIN(MAX(O49,Q49),MAX(O71,Q71))),1,0),0)</f>
        <v>0</v>
      </c>
      <c r="T1577" s="7"/>
      <c r="U1577" s="7"/>
      <c r="V1577" s="7"/>
      <c r="W1577" s="7"/>
      <c r="X1577" s="7"/>
      <c r="Y1577" s="7"/>
      <c r="Z1577" s="7"/>
      <c r="AA1577" s="7"/>
      <c r="AB1577" s="7"/>
      <c r="AC1577" s="7"/>
      <c r="AD1577" s="7"/>
      <c r="AE1577" s="7"/>
      <c r="AF1577" s="7"/>
      <c r="AG1577" s="7"/>
      <c r="AH1577" s="7"/>
      <c r="AI1577" s="7"/>
    </row>
    <row r="1578" spans="12:35">
      <c r="L1578" s="7">
        <v>50</v>
      </c>
      <c r="M1578" s="7">
        <v>52</v>
      </c>
      <c r="N1578" s="7" t="b">
        <f>AND($N$6,$N$7,19&lt;=$M$6,1&lt;=$M$7)</f>
        <v>0</v>
      </c>
      <c r="O1578" s="7">
        <f>(P50-N50)*(O52-O50)-(Q50-O50)*(N52-N50)</f>
        <v>0</v>
      </c>
      <c r="P1578" s="7">
        <f>(P50-N50)*(Q52-O50)-(Q50-O50)*(P52-N50)</f>
        <v>0</v>
      </c>
      <c r="Q1578" s="7">
        <f>(P52-N52)*(O50-O52)-(Q52-O52)*(N50-N52)</f>
        <v>0</v>
      </c>
      <c r="R1578" s="7">
        <f>(P52-N52)*(Q50-O52)-(Q52-O52)*(P50-N52)</f>
        <v>0</v>
      </c>
      <c r="S1578" s="7">
        <f>IF(N1578,IF(AND(O1578*P1578&lt;=0,Q1578*R1578&lt;=0,MAX(MIN(N50,P50),MIN(N52,P52))&lt;=MIN(MAX(N50,P50),MAX(N52,P52)),MAX(MIN(O50,Q50),MIN(O52,Q52))&lt;=MIN(MAX(O50,Q50),MAX(O52,Q52))),1,0),0)</f>
        <v>0</v>
      </c>
      <c r="T1578" s="7"/>
      <c r="U1578" s="7"/>
      <c r="V1578" s="7"/>
      <c r="W1578" s="7"/>
      <c r="X1578" s="7"/>
      <c r="Y1578" s="7"/>
      <c r="Z1578" s="7"/>
      <c r="AA1578" s="7"/>
      <c r="AB1578" s="7"/>
      <c r="AC1578" s="7"/>
      <c r="AD1578" s="7"/>
      <c r="AE1578" s="7"/>
      <c r="AF1578" s="7"/>
      <c r="AG1578" s="7"/>
      <c r="AH1578" s="7"/>
      <c r="AI1578" s="7"/>
    </row>
    <row r="1579" spans="12:35">
      <c r="L1579" s="7">
        <v>50</v>
      </c>
      <c r="M1579" s="7">
        <v>53</v>
      </c>
      <c r="N1579" s="7" t="b">
        <f>AND($N$6,$N$7,19&lt;=$M$6,2&lt;=$M$7)</f>
        <v>0</v>
      </c>
      <c r="O1579" s="7">
        <f>(P50-N50)*(O53-O50)-(Q50-O50)*(N53-N50)</f>
        <v>0</v>
      </c>
      <c r="P1579" s="7">
        <f>(P50-N50)*(Q53-O50)-(Q50-O50)*(P53-N50)</f>
        <v>0</v>
      </c>
      <c r="Q1579" s="7">
        <f>(P53-N53)*(O50-O53)-(Q53-O53)*(N50-N53)</f>
        <v>0</v>
      </c>
      <c r="R1579" s="7">
        <f>(P53-N53)*(Q50-O53)-(Q53-O53)*(P50-N53)</f>
        <v>0</v>
      </c>
      <c r="S1579" s="7">
        <f>IF(N1579,IF(AND(O1579*P1579&lt;=0,Q1579*R1579&lt;=0,MAX(MIN(N50,P50),MIN(N53,P53))&lt;=MIN(MAX(N50,P50),MAX(N53,P53)),MAX(MIN(O50,Q50),MIN(O53,Q53))&lt;=MIN(MAX(O50,Q50),MAX(O53,Q53))),1,0),0)</f>
        <v>0</v>
      </c>
      <c r="T1579" s="7"/>
      <c r="U1579" s="7"/>
      <c r="V1579" s="7"/>
      <c r="W1579" s="7"/>
      <c r="X1579" s="7"/>
      <c r="Y1579" s="7"/>
      <c r="Z1579" s="7"/>
      <c r="AA1579" s="7"/>
      <c r="AB1579" s="7"/>
      <c r="AC1579" s="7"/>
      <c r="AD1579" s="7"/>
      <c r="AE1579" s="7"/>
      <c r="AF1579" s="7"/>
      <c r="AG1579" s="7"/>
      <c r="AH1579" s="7"/>
      <c r="AI1579" s="7"/>
    </row>
    <row r="1580" spans="12:35">
      <c r="L1580" s="7">
        <v>50</v>
      </c>
      <c r="M1580" s="7">
        <v>54</v>
      </c>
      <c r="N1580" s="7" t="b">
        <f>AND($N$6,$N$7,19&lt;=$M$6,3&lt;=$M$7)</f>
        <v>0</v>
      </c>
      <c r="O1580" s="7">
        <f>(P50-N50)*(O54-O50)-(Q50-O50)*(N54-N50)</f>
        <v>0</v>
      </c>
      <c r="P1580" s="7">
        <f>(P50-N50)*(Q54-O50)-(Q50-O50)*(P54-N50)</f>
        <v>0</v>
      </c>
      <c r="Q1580" s="7">
        <f>(P54-N54)*(O50-O54)-(Q54-O54)*(N50-N54)</f>
        <v>0</v>
      </c>
      <c r="R1580" s="7">
        <f>(P54-N54)*(Q50-O54)-(Q54-O54)*(P50-N54)</f>
        <v>0</v>
      </c>
      <c r="S1580" s="7">
        <f>IF(N1580,IF(AND(O1580*P1580&lt;=0,Q1580*R1580&lt;=0,MAX(MIN(N50,P50),MIN(N54,P54))&lt;=MIN(MAX(N50,P50),MAX(N54,P54)),MAX(MIN(O50,Q50),MIN(O54,Q54))&lt;=MIN(MAX(O50,Q50),MAX(O54,Q54))),1,0),0)</f>
        <v>0</v>
      </c>
      <c r="T1580" s="7"/>
      <c r="U1580" s="7"/>
      <c r="V1580" s="7"/>
      <c r="W1580" s="7"/>
      <c r="X1580" s="7"/>
      <c r="Y1580" s="7"/>
      <c r="Z1580" s="7"/>
      <c r="AA1580" s="7"/>
      <c r="AB1580" s="7"/>
      <c r="AC1580" s="7"/>
      <c r="AD1580" s="7"/>
      <c r="AE1580" s="7"/>
      <c r="AF1580" s="7"/>
      <c r="AG1580" s="7"/>
      <c r="AH1580" s="7"/>
      <c r="AI1580" s="7"/>
    </row>
    <row r="1581" spans="12:35">
      <c r="L1581" s="7">
        <v>50</v>
      </c>
      <c r="M1581" s="7">
        <v>55</v>
      </c>
      <c r="N1581" s="7" t="b">
        <f>AND($N$6,$N$7,19&lt;=$M$6,4&lt;=$M$7)</f>
        <v>0</v>
      </c>
      <c r="O1581" s="7">
        <f>(P50-N50)*(O55-O50)-(Q50-O50)*(N55-N50)</f>
        <v>0</v>
      </c>
      <c r="P1581" s="7">
        <f>(P50-N50)*(Q55-O50)-(Q50-O50)*(P55-N50)</f>
        <v>0</v>
      </c>
      <c r="Q1581" s="7">
        <f>(P55-N55)*(O50-O55)-(Q55-O55)*(N50-N55)</f>
        <v>0</v>
      </c>
      <c r="R1581" s="7">
        <f>(P55-N55)*(Q50-O55)-(Q55-O55)*(P50-N55)</f>
        <v>0</v>
      </c>
      <c r="S1581" s="7">
        <f>IF(N1581,IF(AND(O1581*P1581&lt;=0,Q1581*R1581&lt;=0,MAX(MIN(N50,P50),MIN(N55,P55))&lt;=MIN(MAX(N50,P50),MAX(N55,P55)),MAX(MIN(O50,Q50),MIN(O55,Q55))&lt;=MIN(MAX(O50,Q50),MAX(O55,Q55))),1,0),0)</f>
        <v>0</v>
      </c>
      <c r="T1581" s="7"/>
      <c r="U1581" s="7"/>
      <c r="V1581" s="7"/>
      <c r="W1581" s="7"/>
      <c r="X1581" s="7"/>
      <c r="Y1581" s="7"/>
      <c r="Z1581" s="7"/>
      <c r="AA1581" s="7"/>
      <c r="AB1581" s="7"/>
      <c r="AC1581" s="7"/>
      <c r="AD1581" s="7"/>
      <c r="AE1581" s="7"/>
      <c r="AF1581" s="7"/>
      <c r="AG1581" s="7"/>
      <c r="AH1581" s="7"/>
      <c r="AI1581" s="7"/>
    </row>
    <row r="1582" spans="12:35">
      <c r="L1582" s="7">
        <v>50</v>
      </c>
      <c r="M1582" s="7">
        <v>56</v>
      </c>
      <c r="N1582" s="7" t="b">
        <f>AND($N$6,$N$7,19&lt;=$M$6,5&lt;=$M$7)</f>
        <v>0</v>
      </c>
      <c r="O1582" s="7">
        <f>(P50-N50)*(O56-O50)-(Q50-O50)*(N56-N50)</f>
        <v>0</v>
      </c>
      <c r="P1582" s="7">
        <f>(P50-N50)*(Q56-O50)-(Q50-O50)*(P56-N50)</f>
        <v>0</v>
      </c>
      <c r="Q1582" s="7">
        <f>(P56-N56)*(O50-O56)-(Q56-O56)*(N50-N56)</f>
        <v>0</v>
      </c>
      <c r="R1582" s="7">
        <f>(P56-N56)*(Q50-O56)-(Q56-O56)*(P50-N56)</f>
        <v>0</v>
      </c>
      <c r="S1582" s="7">
        <f>IF(N1582,IF(AND(O1582*P1582&lt;=0,Q1582*R1582&lt;=0,MAX(MIN(N50,P50),MIN(N56,P56))&lt;=MIN(MAX(N50,P50),MAX(N56,P56)),MAX(MIN(O50,Q50),MIN(O56,Q56))&lt;=MIN(MAX(O50,Q50),MAX(O56,Q56))),1,0),0)</f>
        <v>0</v>
      </c>
      <c r="T1582" s="7"/>
      <c r="U1582" s="7"/>
      <c r="V1582" s="7"/>
      <c r="W1582" s="7"/>
      <c r="X1582" s="7"/>
      <c r="Y1582" s="7"/>
      <c r="Z1582" s="7"/>
      <c r="AA1582" s="7"/>
      <c r="AB1582" s="7"/>
      <c r="AC1582" s="7"/>
      <c r="AD1582" s="7"/>
      <c r="AE1582" s="7"/>
      <c r="AF1582" s="7"/>
      <c r="AG1582" s="7"/>
      <c r="AH1582" s="7"/>
      <c r="AI1582" s="7"/>
    </row>
    <row r="1583" spans="12:35">
      <c r="L1583" s="7">
        <v>50</v>
      </c>
      <c r="M1583" s="7">
        <v>57</v>
      </c>
      <c r="N1583" s="7" t="b">
        <f>AND($N$6,$N$7,19&lt;=$M$6,6&lt;=$M$7)</f>
        <v>0</v>
      </c>
      <c r="O1583" s="7">
        <f>(P50-N50)*(O57-O50)-(Q50-O50)*(N57-N50)</f>
        <v>0</v>
      </c>
      <c r="P1583" s="7">
        <f>(P50-N50)*(Q57-O50)-(Q50-O50)*(P57-N50)</f>
        <v>0</v>
      </c>
      <c r="Q1583" s="7">
        <f>(P57-N57)*(O50-O57)-(Q57-O57)*(N50-N57)</f>
        <v>0</v>
      </c>
      <c r="R1583" s="7">
        <f>(P57-N57)*(Q50-O57)-(Q57-O57)*(P50-N57)</f>
        <v>0</v>
      </c>
      <c r="S1583" s="7">
        <f>IF(N1583,IF(AND(O1583*P1583&lt;=0,Q1583*R1583&lt;=0,MAX(MIN(N50,P50),MIN(N57,P57))&lt;=MIN(MAX(N50,P50),MAX(N57,P57)),MAX(MIN(O50,Q50),MIN(O57,Q57))&lt;=MIN(MAX(O50,Q50),MAX(O57,Q57))),1,0),0)</f>
        <v>0</v>
      </c>
      <c r="T1583" s="7"/>
      <c r="U1583" s="7"/>
      <c r="V1583" s="7"/>
      <c r="W1583" s="7"/>
      <c r="X1583" s="7"/>
      <c r="Y1583" s="7"/>
      <c r="Z1583" s="7"/>
      <c r="AA1583" s="7"/>
      <c r="AB1583" s="7"/>
      <c r="AC1583" s="7"/>
      <c r="AD1583" s="7"/>
      <c r="AE1583" s="7"/>
      <c r="AF1583" s="7"/>
      <c r="AG1583" s="7"/>
      <c r="AH1583" s="7"/>
      <c r="AI1583" s="7"/>
    </row>
    <row r="1584" spans="12:35">
      <c r="L1584" s="7">
        <v>50</v>
      </c>
      <c r="M1584" s="7">
        <v>58</v>
      </c>
      <c r="N1584" s="7" t="b">
        <f>AND($N$6,$N$7,19&lt;=$M$6,7&lt;=$M$7)</f>
        <v>0</v>
      </c>
      <c r="O1584" s="7">
        <f>(P50-N50)*(O58-O50)-(Q50-O50)*(N58-N50)</f>
        <v>0</v>
      </c>
      <c r="P1584" s="7">
        <f>(P50-N50)*(Q58-O50)-(Q50-O50)*(P58-N50)</f>
        <v>0</v>
      </c>
      <c r="Q1584" s="7">
        <f>(P58-N58)*(O50-O58)-(Q58-O58)*(N50-N58)</f>
        <v>0</v>
      </c>
      <c r="R1584" s="7">
        <f>(P58-N58)*(Q50-O58)-(Q58-O58)*(P50-N58)</f>
        <v>0</v>
      </c>
      <c r="S1584" s="7">
        <f>IF(N1584,IF(AND(O1584*P1584&lt;=0,Q1584*R1584&lt;=0,MAX(MIN(N50,P50),MIN(N58,P58))&lt;=MIN(MAX(N50,P50),MAX(N58,P58)),MAX(MIN(O50,Q50),MIN(O58,Q58))&lt;=MIN(MAX(O50,Q50),MAX(O58,Q58))),1,0),0)</f>
        <v>0</v>
      </c>
      <c r="T1584" s="7"/>
      <c r="U1584" s="7"/>
      <c r="V1584" s="7"/>
      <c r="W1584" s="7"/>
      <c r="X1584" s="7"/>
      <c r="Y1584" s="7"/>
      <c r="Z1584" s="7"/>
      <c r="AA1584" s="7"/>
      <c r="AB1584" s="7"/>
      <c r="AC1584" s="7"/>
      <c r="AD1584" s="7"/>
      <c r="AE1584" s="7"/>
      <c r="AF1584" s="7"/>
      <c r="AG1584" s="7"/>
      <c r="AH1584" s="7"/>
      <c r="AI1584" s="7"/>
    </row>
    <row r="1585" spans="12:35">
      <c r="L1585" s="7">
        <v>50</v>
      </c>
      <c r="M1585" s="7">
        <v>59</v>
      </c>
      <c r="N1585" s="7" t="b">
        <f>AND($N$6,$N$7,19&lt;=$M$6,8&lt;=$M$7)</f>
        <v>0</v>
      </c>
      <c r="O1585" s="7">
        <f>(P50-N50)*(O59-O50)-(Q50-O50)*(N59-N50)</f>
        <v>0</v>
      </c>
      <c r="P1585" s="7">
        <f>(P50-N50)*(Q59-O50)-(Q50-O50)*(P59-N50)</f>
        <v>0</v>
      </c>
      <c r="Q1585" s="7">
        <f>(P59-N59)*(O50-O59)-(Q59-O59)*(N50-N59)</f>
        <v>0</v>
      </c>
      <c r="R1585" s="7">
        <f>(P59-N59)*(Q50-O59)-(Q59-O59)*(P50-N59)</f>
        <v>0</v>
      </c>
      <c r="S1585" s="7">
        <f>IF(N1585,IF(AND(O1585*P1585&lt;=0,Q1585*R1585&lt;=0,MAX(MIN(N50,P50),MIN(N59,P59))&lt;=MIN(MAX(N50,P50),MAX(N59,P59)),MAX(MIN(O50,Q50),MIN(O59,Q59))&lt;=MIN(MAX(O50,Q50),MAX(O59,Q59))),1,0),0)</f>
        <v>0</v>
      </c>
      <c r="T1585" s="7"/>
      <c r="U1585" s="7"/>
      <c r="V1585" s="7"/>
      <c r="W1585" s="7"/>
      <c r="X1585" s="7"/>
      <c r="Y1585" s="7"/>
      <c r="Z1585" s="7"/>
      <c r="AA1585" s="7"/>
      <c r="AB1585" s="7"/>
      <c r="AC1585" s="7"/>
      <c r="AD1585" s="7"/>
      <c r="AE1585" s="7"/>
      <c r="AF1585" s="7"/>
      <c r="AG1585" s="7"/>
      <c r="AH1585" s="7"/>
      <c r="AI1585" s="7"/>
    </row>
    <row r="1586" spans="12:35">
      <c r="L1586" s="7">
        <v>50</v>
      </c>
      <c r="M1586" s="7">
        <v>60</v>
      </c>
      <c r="N1586" s="7" t="b">
        <f>AND($N$6,$N$7,19&lt;=$M$6,9&lt;=$M$7)</f>
        <v>0</v>
      </c>
      <c r="O1586" s="7">
        <f>(P50-N50)*(O60-O50)-(Q50-O50)*(N60-N50)</f>
        <v>0</v>
      </c>
      <c r="P1586" s="7">
        <f>(P50-N50)*(Q60-O50)-(Q50-O50)*(P60-N50)</f>
        <v>0</v>
      </c>
      <c r="Q1586" s="7">
        <f>(P60-N60)*(O50-O60)-(Q60-O60)*(N50-N60)</f>
        <v>0</v>
      </c>
      <c r="R1586" s="7">
        <f>(P60-N60)*(Q50-O60)-(Q60-O60)*(P50-N60)</f>
        <v>0</v>
      </c>
      <c r="S1586" s="7">
        <f>IF(N1586,IF(AND(O1586*P1586&lt;=0,Q1586*R1586&lt;=0,MAX(MIN(N50,P50),MIN(N60,P60))&lt;=MIN(MAX(N50,P50),MAX(N60,P60)),MAX(MIN(O50,Q50),MIN(O60,Q60))&lt;=MIN(MAX(O50,Q50),MAX(O60,Q60))),1,0),0)</f>
        <v>0</v>
      </c>
      <c r="T1586" s="7"/>
      <c r="U1586" s="7"/>
      <c r="V1586" s="7"/>
      <c r="W1586" s="7"/>
      <c r="X1586" s="7"/>
      <c r="Y1586" s="7"/>
      <c r="Z1586" s="7"/>
      <c r="AA1586" s="7"/>
      <c r="AB1586" s="7"/>
      <c r="AC1586" s="7"/>
      <c r="AD1586" s="7"/>
      <c r="AE1586" s="7"/>
      <c r="AF1586" s="7"/>
      <c r="AG1586" s="7"/>
      <c r="AH1586" s="7"/>
      <c r="AI1586" s="7"/>
    </row>
    <row r="1587" spans="12:35">
      <c r="L1587" s="7">
        <v>50</v>
      </c>
      <c r="M1587" s="7">
        <v>61</v>
      </c>
      <c r="N1587" s="7" t="b">
        <f>AND($N$6,$N$7,19&lt;=$M$6,10&lt;=$M$7)</f>
        <v>0</v>
      </c>
      <c r="O1587" s="7">
        <f>(P50-N50)*(O61-O50)-(Q50-O50)*(N61-N50)</f>
        <v>0</v>
      </c>
      <c r="P1587" s="7">
        <f>(P50-N50)*(Q61-O50)-(Q50-O50)*(P61-N50)</f>
        <v>0</v>
      </c>
      <c r="Q1587" s="7">
        <f>(P61-N61)*(O50-O61)-(Q61-O61)*(N50-N61)</f>
        <v>0</v>
      </c>
      <c r="R1587" s="7">
        <f>(P61-N61)*(Q50-O61)-(Q61-O61)*(P50-N61)</f>
        <v>0</v>
      </c>
      <c r="S1587" s="7">
        <f>IF(N1587,IF(AND(O1587*P1587&lt;=0,Q1587*R1587&lt;=0,MAX(MIN(N50,P50),MIN(N61,P61))&lt;=MIN(MAX(N50,P50),MAX(N61,P61)),MAX(MIN(O50,Q50),MIN(O61,Q61))&lt;=MIN(MAX(O50,Q50),MAX(O61,Q61))),1,0),0)</f>
        <v>0</v>
      </c>
      <c r="T1587" s="7"/>
      <c r="U1587" s="7"/>
      <c r="V1587" s="7"/>
      <c r="W1587" s="7"/>
      <c r="X1587" s="7"/>
      <c r="Y1587" s="7"/>
      <c r="Z1587" s="7"/>
      <c r="AA1587" s="7"/>
      <c r="AB1587" s="7"/>
      <c r="AC1587" s="7"/>
      <c r="AD1587" s="7"/>
      <c r="AE1587" s="7"/>
      <c r="AF1587" s="7"/>
      <c r="AG1587" s="7"/>
      <c r="AH1587" s="7"/>
      <c r="AI1587" s="7"/>
    </row>
    <row r="1588" spans="12:35">
      <c r="L1588" s="7">
        <v>50</v>
      </c>
      <c r="M1588" s="7">
        <v>62</v>
      </c>
      <c r="N1588" s="7" t="b">
        <f>AND($N$6,$N$7,19&lt;=$M$6,11&lt;=$M$7)</f>
        <v>0</v>
      </c>
      <c r="O1588" s="7">
        <f>(P50-N50)*(O62-O50)-(Q50-O50)*(N62-N50)</f>
        <v>0</v>
      </c>
      <c r="P1588" s="7">
        <f>(P50-N50)*(Q62-O50)-(Q50-O50)*(P62-N50)</f>
        <v>0</v>
      </c>
      <c r="Q1588" s="7">
        <f>(P62-N62)*(O50-O62)-(Q62-O62)*(N50-N62)</f>
        <v>0</v>
      </c>
      <c r="R1588" s="7">
        <f>(P62-N62)*(Q50-O62)-(Q62-O62)*(P50-N62)</f>
        <v>0</v>
      </c>
      <c r="S1588" s="7">
        <f>IF(N1588,IF(AND(O1588*P1588&lt;=0,Q1588*R1588&lt;=0,MAX(MIN(N50,P50),MIN(N62,P62))&lt;=MIN(MAX(N50,P50),MAX(N62,P62)),MAX(MIN(O50,Q50),MIN(O62,Q62))&lt;=MIN(MAX(O50,Q50),MAX(O62,Q62))),1,0),0)</f>
        <v>0</v>
      </c>
      <c r="T1588" s="7"/>
      <c r="U1588" s="7"/>
      <c r="V1588" s="7"/>
      <c r="W1588" s="7"/>
      <c r="X1588" s="7"/>
      <c r="Y1588" s="7"/>
      <c r="Z1588" s="7"/>
      <c r="AA1588" s="7"/>
      <c r="AB1588" s="7"/>
      <c r="AC1588" s="7"/>
      <c r="AD1588" s="7"/>
      <c r="AE1588" s="7"/>
      <c r="AF1588" s="7"/>
      <c r="AG1588" s="7"/>
      <c r="AH1588" s="7"/>
      <c r="AI1588" s="7"/>
    </row>
    <row r="1589" spans="12:35">
      <c r="L1589" s="7">
        <v>50</v>
      </c>
      <c r="M1589" s="7">
        <v>63</v>
      </c>
      <c r="N1589" s="7" t="b">
        <f>AND($N$6,$N$7,19&lt;=$M$6,12&lt;=$M$7)</f>
        <v>0</v>
      </c>
      <c r="O1589" s="7">
        <f>(P50-N50)*(O63-O50)-(Q50-O50)*(N63-N50)</f>
        <v>0</v>
      </c>
      <c r="P1589" s="7">
        <f>(P50-N50)*(Q63-O50)-(Q50-O50)*(P63-N50)</f>
        <v>0</v>
      </c>
      <c r="Q1589" s="7">
        <f>(P63-N63)*(O50-O63)-(Q63-O63)*(N50-N63)</f>
        <v>0</v>
      </c>
      <c r="R1589" s="7">
        <f>(P63-N63)*(Q50-O63)-(Q63-O63)*(P50-N63)</f>
        <v>0</v>
      </c>
      <c r="S1589" s="7">
        <f>IF(N1589,IF(AND(O1589*P1589&lt;=0,Q1589*R1589&lt;=0,MAX(MIN(N50,P50),MIN(N63,P63))&lt;=MIN(MAX(N50,P50),MAX(N63,P63)),MAX(MIN(O50,Q50),MIN(O63,Q63))&lt;=MIN(MAX(O50,Q50),MAX(O63,Q63))),1,0),0)</f>
        <v>0</v>
      </c>
      <c r="T1589" s="7"/>
      <c r="U1589" s="7"/>
      <c r="V1589" s="7"/>
      <c r="W1589" s="7"/>
      <c r="X1589" s="7"/>
      <c r="Y1589" s="7"/>
      <c r="Z1589" s="7"/>
      <c r="AA1589" s="7"/>
      <c r="AB1589" s="7"/>
      <c r="AC1589" s="7"/>
      <c r="AD1589" s="7"/>
      <c r="AE1589" s="7"/>
      <c r="AF1589" s="7"/>
      <c r="AG1589" s="7"/>
      <c r="AH1589" s="7"/>
      <c r="AI1589" s="7"/>
    </row>
    <row r="1590" spans="12:35">
      <c r="L1590" s="7">
        <v>50</v>
      </c>
      <c r="M1590" s="7">
        <v>64</v>
      </c>
      <c r="N1590" s="7" t="b">
        <f>AND($N$6,$N$7,19&lt;=$M$6,13&lt;=$M$7)</f>
        <v>0</v>
      </c>
      <c r="O1590" s="7">
        <f>(P50-N50)*(O64-O50)-(Q50-O50)*(N64-N50)</f>
        <v>0</v>
      </c>
      <c r="P1590" s="7">
        <f>(P50-N50)*(Q64-O50)-(Q50-O50)*(P64-N50)</f>
        <v>0</v>
      </c>
      <c r="Q1590" s="7">
        <f>(P64-N64)*(O50-O64)-(Q64-O64)*(N50-N64)</f>
        <v>0</v>
      </c>
      <c r="R1590" s="7">
        <f>(P64-N64)*(Q50-O64)-(Q64-O64)*(P50-N64)</f>
        <v>0</v>
      </c>
      <c r="S1590" s="7">
        <f>IF(N1590,IF(AND(O1590*P1590&lt;=0,Q1590*R1590&lt;=0,MAX(MIN(N50,P50),MIN(N64,P64))&lt;=MIN(MAX(N50,P50),MAX(N64,P64)),MAX(MIN(O50,Q50),MIN(O64,Q64))&lt;=MIN(MAX(O50,Q50),MAX(O64,Q64))),1,0),0)</f>
        <v>0</v>
      </c>
      <c r="T1590" s="7"/>
      <c r="U1590" s="7"/>
      <c r="V1590" s="7"/>
      <c r="W1590" s="7"/>
      <c r="X1590" s="7"/>
      <c r="Y1590" s="7"/>
      <c r="Z1590" s="7"/>
      <c r="AA1590" s="7"/>
      <c r="AB1590" s="7"/>
      <c r="AC1590" s="7"/>
      <c r="AD1590" s="7"/>
      <c r="AE1590" s="7"/>
      <c r="AF1590" s="7"/>
      <c r="AG1590" s="7"/>
      <c r="AH1590" s="7"/>
      <c r="AI1590" s="7"/>
    </row>
    <row r="1591" spans="12:35">
      <c r="L1591" s="7">
        <v>50</v>
      </c>
      <c r="M1591" s="7">
        <v>65</v>
      </c>
      <c r="N1591" s="7" t="b">
        <f>AND($N$6,$N$7,19&lt;=$M$6,14&lt;=$M$7)</f>
        <v>0</v>
      </c>
      <c r="O1591" s="7">
        <f>(P50-N50)*(O65-O50)-(Q50-O50)*(N65-N50)</f>
        <v>0</v>
      </c>
      <c r="P1591" s="7">
        <f>(P50-N50)*(Q65-O50)-(Q50-O50)*(P65-N50)</f>
        <v>0</v>
      </c>
      <c r="Q1591" s="7">
        <f>(P65-N65)*(O50-O65)-(Q65-O65)*(N50-N65)</f>
        <v>0</v>
      </c>
      <c r="R1591" s="7">
        <f>(P65-N65)*(Q50-O65)-(Q65-O65)*(P50-N65)</f>
        <v>0</v>
      </c>
      <c r="S1591" s="7">
        <f>IF(N1591,IF(AND(O1591*P1591&lt;=0,Q1591*R1591&lt;=0,MAX(MIN(N50,P50),MIN(N65,P65))&lt;=MIN(MAX(N50,P50),MAX(N65,P65)),MAX(MIN(O50,Q50),MIN(O65,Q65))&lt;=MIN(MAX(O50,Q50),MAX(O65,Q65))),1,0),0)</f>
        <v>0</v>
      </c>
      <c r="T1591" s="7"/>
      <c r="U1591" s="7"/>
      <c r="V1591" s="7"/>
      <c r="W1591" s="7"/>
      <c r="X1591" s="7"/>
      <c r="Y1591" s="7"/>
      <c r="Z1591" s="7"/>
      <c r="AA1591" s="7"/>
      <c r="AB1591" s="7"/>
      <c r="AC1591" s="7"/>
      <c r="AD1591" s="7"/>
      <c r="AE1591" s="7"/>
      <c r="AF1591" s="7"/>
      <c r="AG1591" s="7"/>
      <c r="AH1591" s="7"/>
      <c r="AI1591" s="7"/>
    </row>
    <row r="1592" spans="12:35">
      <c r="L1592" s="7">
        <v>50</v>
      </c>
      <c r="M1592" s="7">
        <v>66</v>
      </c>
      <c r="N1592" s="7" t="b">
        <f>AND($N$6,$N$7,19&lt;=$M$6,15&lt;=$M$7)</f>
        <v>0</v>
      </c>
      <c r="O1592" s="7">
        <f>(P50-N50)*(O66-O50)-(Q50-O50)*(N66-N50)</f>
        <v>0</v>
      </c>
      <c r="P1592" s="7">
        <f>(P50-N50)*(Q66-O50)-(Q50-O50)*(P66-N50)</f>
        <v>0</v>
      </c>
      <c r="Q1592" s="7">
        <f>(P66-N66)*(O50-O66)-(Q66-O66)*(N50-N66)</f>
        <v>0</v>
      </c>
      <c r="R1592" s="7">
        <f>(P66-N66)*(Q50-O66)-(Q66-O66)*(P50-N66)</f>
        <v>0</v>
      </c>
      <c r="S1592" s="7">
        <f>IF(N1592,IF(AND(O1592*P1592&lt;=0,Q1592*R1592&lt;=0,MAX(MIN(N50,P50),MIN(N66,P66))&lt;=MIN(MAX(N50,P50),MAX(N66,P66)),MAX(MIN(O50,Q50),MIN(O66,Q66))&lt;=MIN(MAX(O50,Q50),MAX(O66,Q66))),1,0),0)</f>
        <v>0</v>
      </c>
      <c r="T1592" s="7"/>
      <c r="U1592" s="7"/>
      <c r="V1592" s="7"/>
      <c r="W1592" s="7"/>
      <c r="X1592" s="7"/>
      <c r="Y1592" s="7"/>
      <c r="Z1592" s="7"/>
      <c r="AA1592" s="7"/>
      <c r="AB1592" s="7"/>
      <c r="AC1592" s="7"/>
      <c r="AD1592" s="7"/>
      <c r="AE1592" s="7"/>
      <c r="AF1592" s="7"/>
      <c r="AG1592" s="7"/>
      <c r="AH1592" s="7"/>
      <c r="AI1592" s="7"/>
    </row>
    <row r="1593" spans="12:35">
      <c r="L1593" s="7">
        <v>50</v>
      </c>
      <c r="M1593" s="7">
        <v>67</v>
      </c>
      <c r="N1593" s="7" t="b">
        <f>AND($N$6,$N$7,19&lt;=$M$6,16&lt;=$M$7)</f>
        <v>0</v>
      </c>
      <c r="O1593" s="7">
        <f>(P50-N50)*(O67-O50)-(Q50-O50)*(N67-N50)</f>
        <v>0</v>
      </c>
      <c r="P1593" s="7">
        <f>(P50-N50)*(Q67-O50)-(Q50-O50)*(P67-N50)</f>
        <v>0</v>
      </c>
      <c r="Q1593" s="7">
        <f>(P67-N67)*(O50-O67)-(Q67-O67)*(N50-N67)</f>
        <v>0</v>
      </c>
      <c r="R1593" s="7">
        <f>(P67-N67)*(Q50-O67)-(Q67-O67)*(P50-N67)</f>
        <v>0</v>
      </c>
      <c r="S1593" s="7">
        <f>IF(N1593,IF(AND(O1593*P1593&lt;=0,Q1593*R1593&lt;=0,MAX(MIN(N50,P50),MIN(N67,P67))&lt;=MIN(MAX(N50,P50),MAX(N67,P67)),MAX(MIN(O50,Q50),MIN(O67,Q67))&lt;=MIN(MAX(O50,Q50),MAX(O67,Q67))),1,0),0)</f>
        <v>0</v>
      </c>
      <c r="T1593" s="7"/>
      <c r="U1593" s="7"/>
      <c r="V1593" s="7"/>
      <c r="W1593" s="7"/>
      <c r="X1593" s="7"/>
      <c r="Y1593" s="7"/>
      <c r="Z1593" s="7"/>
      <c r="AA1593" s="7"/>
      <c r="AB1593" s="7"/>
      <c r="AC1593" s="7"/>
      <c r="AD1593" s="7"/>
      <c r="AE1593" s="7"/>
      <c r="AF1593" s="7"/>
      <c r="AG1593" s="7"/>
      <c r="AH1593" s="7"/>
      <c r="AI1593" s="7"/>
    </row>
    <row r="1594" spans="12:35">
      <c r="L1594" s="7">
        <v>50</v>
      </c>
      <c r="M1594" s="7">
        <v>68</v>
      </c>
      <c r="N1594" s="7" t="b">
        <f>AND($N$6,$N$7,19&lt;=$M$6,17&lt;=$M$7)</f>
        <v>0</v>
      </c>
      <c r="O1594" s="7">
        <f>(P50-N50)*(O68-O50)-(Q50-O50)*(N68-N50)</f>
        <v>0</v>
      </c>
      <c r="P1594" s="7">
        <f>(P50-N50)*(Q68-O50)-(Q50-O50)*(P68-N50)</f>
        <v>0</v>
      </c>
      <c r="Q1594" s="7">
        <f>(P68-N68)*(O50-O68)-(Q68-O68)*(N50-N68)</f>
        <v>0</v>
      </c>
      <c r="R1594" s="7">
        <f>(P68-N68)*(Q50-O68)-(Q68-O68)*(P50-N68)</f>
        <v>0</v>
      </c>
      <c r="S1594" s="7">
        <f>IF(N1594,IF(AND(O1594*P1594&lt;=0,Q1594*R1594&lt;=0,MAX(MIN(N50,P50),MIN(N68,P68))&lt;=MIN(MAX(N50,P50),MAX(N68,P68)),MAX(MIN(O50,Q50),MIN(O68,Q68))&lt;=MIN(MAX(O50,Q50),MAX(O68,Q68))),1,0),0)</f>
        <v>0</v>
      </c>
      <c r="T1594" s="7"/>
      <c r="U1594" s="7"/>
      <c r="V1594" s="7"/>
      <c r="W1594" s="7"/>
      <c r="X1594" s="7"/>
      <c r="Y1594" s="7"/>
      <c r="Z1594" s="7"/>
      <c r="AA1594" s="7"/>
      <c r="AB1594" s="7"/>
      <c r="AC1594" s="7"/>
      <c r="AD1594" s="7"/>
      <c r="AE1594" s="7"/>
      <c r="AF1594" s="7"/>
      <c r="AG1594" s="7"/>
      <c r="AH1594" s="7"/>
      <c r="AI1594" s="7"/>
    </row>
    <row r="1595" spans="12:35">
      <c r="L1595" s="7">
        <v>50</v>
      </c>
      <c r="M1595" s="7">
        <v>69</v>
      </c>
      <c r="N1595" s="7" t="b">
        <f>AND($N$6,$N$7,19&lt;=$M$6,18&lt;=$M$7)</f>
        <v>0</v>
      </c>
      <c r="O1595" s="7">
        <f>(P50-N50)*(O69-O50)-(Q50-O50)*(N69-N50)</f>
        <v>0</v>
      </c>
      <c r="P1595" s="7">
        <f>(P50-N50)*(Q69-O50)-(Q50-O50)*(P69-N50)</f>
        <v>0</v>
      </c>
      <c r="Q1595" s="7">
        <f>(P69-N69)*(O50-O69)-(Q69-O69)*(N50-N69)</f>
        <v>0</v>
      </c>
      <c r="R1595" s="7">
        <f>(P69-N69)*(Q50-O69)-(Q69-O69)*(P50-N69)</f>
        <v>0</v>
      </c>
      <c r="S1595" s="7">
        <f>IF(N1595,IF(AND(O1595*P1595&lt;=0,Q1595*R1595&lt;=0,MAX(MIN(N50,P50),MIN(N69,P69))&lt;=MIN(MAX(N50,P50),MAX(N69,P69)),MAX(MIN(O50,Q50),MIN(O69,Q69))&lt;=MIN(MAX(O50,Q50),MAX(O69,Q69))),1,0),0)</f>
        <v>0</v>
      </c>
      <c r="T1595" s="7"/>
      <c r="U1595" s="7"/>
      <c r="V1595" s="7"/>
      <c r="W1595" s="7"/>
      <c r="X1595" s="7"/>
      <c r="Y1595" s="7"/>
      <c r="Z1595" s="7"/>
      <c r="AA1595" s="7"/>
      <c r="AB1595" s="7"/>
      <c r="AC1595" s="7"/>
      <c r="AD1595" s="7"/>
      <c r="AE1595" s="7"/>
      <c r="AF1595" s="7"/>
      <c r="AG1595" s="7"/>
      <c r="AH1595" s="7"/>
      <c r="AI1595" s="7"/>
    </row>
    <row r="1596" spans="12:35">
      <c r="L1596" s="7">
        <v>50</v>
      </c>
      <c r="M1596" s="7">
        <v>70</v>
      </c>
      <c r="N1596" s="7" t="b">
        <f>AND($N$6,$N$7,19&lt;=$M$6,19&lt;=$M$7)</f>
        <v>0</v>
      </c>
      <c r="O1596" s="7">
        <f>(P50-N50)*(O70-O50)-(Q50-O50)*(N70-N50)</f>
        <v>0</v>
      </c>
      <c r="P1596" s="7">
        <f>(P50-N50)*(Q70-O50)-(Q50-O50)*(P70-N50)</f>
        <v>0</v>
      </c>
      <c r="Q1596" s="7">
        <f>(P70-N70)*(O50-O70)-(Q70-O70)*(N50-N70)</f>
        <v>0</v>
      </c>
      <c r="R1596" s="7">
        <f>(P70-N70)*(Q50-O70)-(Q70-O70)*(P50-N70)</f>
        <v>0</v>
      </c>
      <c r="S1596" s="7">
        <f>IF(N1596,IF(AND(O1596*P1596&lt;=0,Q1596*R1596&lt;=0,MAX(MIN(N50,P50),MIN(N70,P70))&lt;=MIN(MAX(N50,P50),MAX(N70,P70)),MAX(MIN(O50,Q50),MIN(O70,Q70))&lt;=MIN(MAX(O50,Q50),MAX(O70,Q70))),1,0),0)</f>
        <v>0</v>
      </c>
      <c r="T1596" s="7"/>
      <c r="U1596" s="7"/>
      <c r="V1596" s="7"/>
      <c r="W1596" s="7"/>
      <c r="X1596" s="7"/>
      <c r="Y1596" s="7"/>
      <c r="Z1596" s="7"/>
      <c r="AA1596" s="7"/>
      <c r="AB1596" s="7"/>
      <c r="AC1596" s="7"/>
      <c r="AD1596" s="7"/>
      <c r="AE1596" s="7"/>
      <c r="AF1596" s="7"/>
      <c r="AG1596" s="7"/>
      <c r="AH1596" s="7"/>
      <c r="AI1596" s="7"/>
    </row>
    <row r="1597" spans="12:35">
      <c r="L1597" s="7">
        <v>50</v>
      </c>
      <c r="M1597" s="7">
        <v>71</v>
      </c>
      <c r="N1597" s="7" t="b">
        <f>AND($N$6,$N$7,19&lt;=$M$6,20&lt;=$M$7)</f>
        <v>0</v>
      </c>
      <c r="O1597" s="7">
        <f>(P50-N50)*(O71-O50)-(Q50-O50)*(N71-N50)</f>
        <v>0</v>
      </c>
      <c r="P1597" s="7">
        <f>(P50-N50)*(Q71-O50)-(Q50-O50)*(P71-N50)</f>
        <v>0</v>
      </c>
      <c r="Q1597" s="7">
        <f>(P71-N71)*(O50-O71)-(Q71-O71)*(N50-N71)</f>
        <v>0</v>
      </c>
      <c r="R1597" s="7">
        <f>(P71-N71)*(Q50-O71)-(Q71-O71)*(P50-N71)</f>
        <v>0</v>
      </c>
      <c r="S1597" s="7">
        <f>IF(N1597,IF(AND(O1597*P1597&lt;=0,Q1597*R1597&lt;=0,MAX(MIN(N50,P50),MIN(N71,P71))&lt;=MIN(MAX(N50,P50),MAX(N71,P71)),MAX(MIN(O50,Q50),MIN(O71,Q71))&lt;=MIN(MAX(O50,Q50),MAX(O71,Q71))),1,0),0)</f>
        <v>0</v>
      </c>
      <c r="T1597" s="7"/>
      <c r="U1597" s="7"/>
      <c r="V1597" s="7"/>
      <c r="W1597" s="7"/>
      <c r="X1597" s="7"/>
      <c r="Y1597" s="7"/>
      <c r="Z1597" s="7"/>
      <c r="AA1597" s="7"/>
      <c r="AB1597" s="7"/>
      <c r="AC1597" s="7"/>
      <c r="AD1597" s="7"/>
      <c r="AE1597" s="7"/>
      <c r="AF1597" s="7"/>
      <c r="AG1597" s="7"/>
      <c r="AH1597" s="7"/>
      <c r="AI1597" s="7"/>
    </row>
    <row r="1598" spans="12:35">
      <c r="L1598" s="7">
        <v>51</v>
      </c>
      <c r="M1598" s="7">
        <v>52</v>
      </c>
      <c r="N1598" s="7" t="b">
        <f>AND($N$6,$N$7,20&lt;=$M$6,1&lt;=$M$7)</f>
        <v>0</v>
      </c>
      <c r="O1598" s="7">
        <f>(P51-N51)*(O52-O51)-(Q51-O51)*(N52-N51)</f>
        <v>0</v>
      </c>
      <c r="P1598" s="7">
        <f>(P51-N51)*(Q52-O51)-(Q51-O51)*(P52-N51)</f>
        <v>0</v>
      </c>
      <c r="Q1598" s="7">
        <f>(P52-N52)*(O51-O52)-(Q52-O52)*(N51-N52)</f>
        <v>0</v>
      </c>
      <c r="R1598" s="7">
        <f>(P52-N52)*(Q51-O52)-(Q52-O52)*(P51-N52)</f>
        <v>0</v>
      </c>
      <c r="S1598" s="7">
        <f>IF(N1598,IF(AND(O1598*P1598&lt;=0,Q1598*R1598&lt;=0,MAX(MIN(N51,P51),MIN(N52,P52))&lt;=MIN(MAX(N51,P51),MAX(N52,P52)),MAX(MIN(O51,Q51),MIN(O52,Q52))&lt;=MIN(MAX(O51,Q51),MAX(O52,Q52))),1,0),0)</f>
        <v>0</v>
      </c>
      <c r="T1598" s="7"/>
      <c r="U1598" s="7"/>
      <c r="V1598" s="7"/>
      <c r="W1598" s="7"/>
      <c r="X1598" s="7"/>
      <c r="Y1598" s="7"/>
      <c r="Z1598" s="7"/>
      <c r="AA1598" s="7"/>
      <c r="AB1598" s="7"/>
      <c r="AC1598" s="7"/>
      <c r="AD1598" s="7"/>
      <c r="AE1598" s="7"/>
      <c r="AF1598" s="7"/>
      <c r="AG1598" s="7"/>
      <c r="AH1598" s="7"/>
      <c r="AI1598" s="7"/>
    </row>
    <row r="1599" spans="12:35">
      <c r="L1599" s="7">
        <v>51</v>
      </c>
      <c r="M1599" s="7">
        <v>53</v>
      </c>
      <c r="N1599" s="7" t="b">
        <f>AND($N$6,$N$7,20&lt;=$M$6,2&lt;=$M$7)</f>
        <v>0</v>
      </c>
      <c r="O1599" s="7">
        <f>(P51-N51)*(O53-O51)-(Q51-O51)*(N53-N51)</f>
        <v>0</v>
      </c>
      <c r="P1599" s="7">
        <f>(P51-N51)*(Q53-O51)-(Q51-O51)*(P53-N51)</f>
        <v>0</v>
      </c>
      <c r="Q1599" s="7">
        <f>(P53-N53)*(O51-O53)-(Q53-O53)*(N51-N53)</f>
        <v>0</v>
      </c>
      <c r="R1599" s="7">
        <f>(P53-N53)*(Q51-O53)-(Q53-O53)*(P51-N53)</f>
        <v>0</v>
      </c>
      <c r="S1599" s="7">
        <f>IF(N1599,IF(AND(O1599*P1599&lt;=0,Q1599*R1599&lt;=0,MAX(MIN(N51,P51),MIN(N53,P53))&lt;=MIN(MAX(N51,P51),MAX(N53,P53)),MAX(MIN(O51,Q51),MIN(O53,Q53))&lt;=MIN(MAX(O51,Q51),MAX(O53,Q53))),1,0),0)</f>
        <v>0</v>
      </c>
      <c r="T1599" s="7"/>
      <c r="U1599" s="7"/>
      <c r="V1599" s="7"/>
      <c r="W1599" s="7"/>
      <c r="X1599" s="7"/>
      <c r="Y1599" s="7"/>
      <c r="Z1599" s="7"/>
      <c r="AA1599" s="7"/>
      <c r="AB1599" s="7"/>
      <c r="AC1599" s="7"/>
      <c r="AD1599" s="7"/>
      <c r="AE1599" s="7"/>
      <c r="AF1599" s="7"/>
      <c r="AG1599" s="7"/>
      <c r="AH1599" s="7"/>
      <c r="AI1599" s="7"/>
    </row>
    <row r="1600" spans="12:35">
      <c r="L1600" s="7">
        <v>51</v>
      </c>
      <c r="M1600" s="7">
        <v>54</v>
      </c>
      <c r="N1600" s="7" t="b">
        <f>AND($N$6,$N$7,20&lt;=$M$6,3&lt;=$M$7)</f>
        <v>0</v>
      </c>
      <c r="O1600" s="7">
        <f>(P51-N51)*(O54-O51)-(Q51-O51)*(N54-N51)</f>
        <v>0</v>
      </c>
      <c r="P1600" s="7">
        <f>(P51-N51)*(Q54-O51)-(Q51-O51)*(P54-N51)</f>
        <v>0</v>
      </c>
      <c r="Q1600" s="7">
        <f>(P54-N54)*(O51-O54)-(Q54-O54)*(N51-N54)</f>
        <v>0</v>
      </c>
      <c r="R1600" s="7">
        <f>(P54-N54)*(Q51-O54)-(Q54-O54)*(P51-N54)</f>
        <v>0</v>
      </c>
      <c r="S1600" s="7">
        <f>IF(N1600,IF(AND(O1600*P1600&lt;=0,Q1600*R1600&lt;=0,MAX(MIN(N51,P51),MIN(N54,P54))&lt;=MIN(MAX(N51,P51),MAX(N54,P54)),MAX(MIN(O51,Q51),MIN(O54,Q54))&lt;=MIN(MAX(O51,Q51),MAX(O54,Q54))),1,0),0)</f>
        <v>0</v>
      </c>
      <c r="T1600" s="7"/>
      <c r="U1600" s="7"/>
      <c r="V1600" s="7"/>
      <c r="W1600" s="7"/>
      <c r="X1600" s="7"/>
      <c r="Y1600" s="7"/>
      <c r="Z1600" s="7"/>
      <c r="AA1600" s="7"/>
      <c r="AB1600" s="7"/>
      <c r="AC1600" s="7"/>
      <c r="AD1600" s="7"/>
      <c r="AE1600" s="7"/>
      <c r="AF1600" s="7"/>
      <c r="AG1600" s="7"/>
      <c r="AH1600" s="7"/>
      <c r="AI1600" s="7"/>
    </row>
    <row r="1601" spans="12:35">
      <c r="L1601" s="7">
        <v>51</v>
      </c>
      <c r="M1601" s="7">
        <v>55</v>
      </c>
      <c r="N1601" s="7" t="b">
        <f>AND($N$6,$N$7,20&lt;=$M$6,4&lt;=$M$7)</f>
        <v>0</v>
      </c>
      <c r="O1601" s="7">
        <f>(P51-N51)*(O55-O51)-(Q51-O51)*(N55-N51)</f>
        <v>0</v>
      </c>
      <c r="P1601" s="7">
        <f>(P51-N51)*(Q55-O51)-(Q51-O51)*(P55-N51)</f>
        <v>0</v>
      </c>
      <c r="Q1601" s="7">
        <f>(P55-N55)*(O51-O55)-(Q55-O55)*(N51-N55)</f>
        <v>0</v>
      </c>
      <c r="R1601" s="7">
        <f>(P55-N55)*(Q51-O55)-(Q55-O55)*(P51-N55)</f>
        <v>0</v>
      </c>
      <c r="S1601" s="7">
        <f>IF(N1601,IF(AND(O1601*P1601&lt;=0,Q1601*R1601&lt;=0,MAX(MIN(N51,P51),MIN(N55,P55))&lt;=MIN(MAX(N51,P51),MAX(N55,P55)),MAX(MIN(O51,Q51),MIN(O55,Q55))&lt;=MIN(MAX(O51,Q51),MAX(O55,Q55))),1,0),0)</f>
        <v>0</v>
      </c>
      <c r="T1601" s="7"/>
      <c r="U1601" s="7"/>
      <c r="V1601" s="7"/>
      <c r="W1601" s="7"/>
      <c r="X1601" s="7"/>
      <c r="Y1601" s="7"/>
      <c r="Z1601" s="7"/>
      <c r="AA1601" s="7"/>
      <c r="AB1601" s="7"/>
      <c r="AC1601" s="7"/>
      <c r="AD1601" s="7"/>
      <c r="AE1601" s="7"/>
      <c r="AF1601" s="7"/>
      <c r="AG1601" s="7"/>
      <c r="AH1601" s="7"/>
      <c r="AI1601" s="7"/>
    </row>
    <row r="1602" spans="12:35">
      <c r="L1602" s="7">
        <v>51</v>
      </c>
      <c r="M1602" s="7">
        <v>56</v>
      </c>
      <c r="N1602" s="7" t="b">
        <f>AND($N$6,$N$7,20&lt;=$M$6,5&lt;=$M$7)</f>
        <v>0</v>
      </c>
      <c r="O1602" s="7">
        <f>(P51-N51)*(O56-O51)-(Q51-O51)*(N56-N51)</f>
        <v>0</v>
      </c>
      <c r="P1602" s="7">
        <f>(P51-N51)*(Q56-O51)-(Q51-O51)*(P56-N51)</f>
        <v>0</v>
      </c>
      <c r="Q1602" s="7">
        <f>(P56-N56)*(O51-O56)-(Q56-O56)*(N51-N56)</f>
        <v>0</v>
      </c>
      <c r="R1602" s="7">
        <f>(P56-N56)*(Q51-O56)-(Q56-O56)*(P51-N56)</f>
        <v>0</v>
      </c>
      <c r="S1602" s="7">
        <f>IF(N1602,IF(AND(O1602*P1602&lt;=0,Q1602*R1602&lt;=0,MAX(MIN(N51,P51),MIN(N56,P56))&lt;=MIN(MAX(N51,P51),MAX(N56,P56)),MAX(MIN(O51,Q51),MIN(O56,Q56))&lt;=MIN(MAX(O51,Q51),MAX(O56,Q56))),1,0),0)</f>
        <v>0</v>
      </c>
      <c r="T1602" s="7"/>
      <c r="U1602" s="7"/>
      <c r="V1602" s="7"/>
      <c r="W1602" s="7"/>
      <c r="X1602" s="7"/>
      <c r="Y1602" s="7"/>
      <c r="Z1602" s="7"/>
      <c r="AA1602" s="7"/>
      <c r="AB1602" s="7"/>
      <c r="AC1602" s="7"/>
      <c r="AD1602" s="7"/>
      <c r="AE1602" s="7"/>
      <c r="AF1602" s="7"/>
      <c r="AG1602" s="7"/>
      <c r="AH1602" s="7"/>
      <c r="AI1602" s="7"/>
    </row>
    <row r="1603" spans="12:35">
      <c r="L1603" s="7">
        <v>51</v>
      </c>
      <c r="M1603" s="7">
        <v>57</v>
      </c>
      <c r="N1603" s="7" t="b">
        <f>AND($N$6,$N$7,20&lt;=$M$6,6&lt;=$M$7)</f>
        <v>0</v>
      </c>
      <c r="O1603" s="7">
        <f>(P51-N51)*(O57-O51)-(Q51-O51)*(N57-N51)</f>
        <v>0</v>
      </c>
      <c r="P1603" s="7">
        <f>(P51-N51)*(Q57-O51)-(Q51-O51)*(P57-N51)</f>
        <v>0</v>
      </c>
      <c r="Q1603" s="7">
        <f>(P57-N57)*(O51-O57)-(Q57-O57)*(N51-N57)</f>
        <v>0</v>
      </c>
      <c r="R1603" s="7">
        <f>(P57-N57)*(Q51-O57)-(Q57-O57)*(P51-N57)</f>
        <v>0</v>
      </c>
      <c r="S1603" s="7">
        <f>IF(N1603,IF(AND(O1603*P1603&lt;=0,Q1603*R1603&lt;=0,MAX(MIN(N51,P51),MIN(N57,P57))&lt;=MIN(MAX(N51,P51),MAX(N57,P57)),MAX(MIN(O51,Q51),MIN(O57,Q57))&lt;=MIN(MAX(O51,Q51),MAX(O57,Q57))),1,0),0)</f>
        <v>0</v>
      </c>
      <c r="T1603" s="7"/>
      <c r="U1603" s="7"/>
      <c r="V1603" s="7"/>
      <c r="W1603" s="7"/>
      <c r="X1603" s="7"/>
      <c r="Y1603" s="7"/>
      <c r="Z1603" s="7"/>
      <c r="AA1603" s="7"/>
      <c r="AB1603" s="7"/>
      <c r="AC1603" s="7"/>
      <c r="AD1603" s="7"/>
      <c r="AE1603" s="7"/>
      <c r="AF1603" s="7"/>
      <c r="AG1603" s="7"/>
      <c r="AH1603" s="7"/>
      <c r="AI1603" s="7"/>
    </row>
    <row r="1604" spans="12:35">
      <c r="L1604" s="7">
        <v>51</v>
      </c>
      <c r="M1604" s="7">
        <v>58</v>
      </c>
      <c r="N1604" s="7" t="b">
        <f>AND($N$6,$N$7,20&lt;=$M$6,7&lt;=$M$7)</f>
        <v>0</v>
      </c>
      <c r="O1604" s="7">
        <f>(P51-N51)*(O58-O51)-(Q51-O51)*(N58-N51)</f>
        <v>0</v>
      </c>
      <c r="P1604" s="7">
        <f>(P51-N51)*(Q58-O51)-(Q51-O51)*(P58-N51)</f>
        <v>0</v>
      </c>
      <c r="Q1604" s="7">
        <f>(P58-N58)*(O51-O58)-(Q58-O58)*(N51-N58)</f>
        <v>0</v>
      </c>
      <c r="R1604" s="7">
        <f>(P58-N58)*(Q51-O58)-(Q58-O58)*(P51-N58)</f>
        <v>0</v>
      </c>
      <c r="S1604" s="7">
        <f>IF(N1604,IF(AND(O1604*P1604&lt;=0,Q1604*R1604&lt;=0,MAX(MIN(N51,P51),MIN(N58,P58))&lt;=MIN(MAX(N51,P51),MAX(N58,P58)),MAX(MIN(O51,Q51),MIN(O58,Q58))&lt;=MIN(MAX(O51,Q51),MAX(O58,Q58))),1,0),0)</f>
        <v>0</v>
      </c>
      <c r="T1604" s="7"/>
      <c r="U1604" s="7"/>
      <c r="V1604" s="7"/>
      <c r="W1604" s="7"/>
      <c r="X1604" s="7"/>
      <c r="Y1604" s="7"/>
      <c r="Z1604" s="7"/>
      <c r="AA1604" s="7"/>
      <c r="AB1604" s="7"/>
      <c r="AC1604" s="7"/>
      <c r="AD1604" s="7"/>
      <c r="AE1604" s="7"/>
      <c r="AF1604" s="7"/>
      <c r="AG1604" s="7"/>
      <c r="AH1604" s="7"/>
      <c r="AI1604" s="7"/>
    </row>
    <row r="1605" spans="12:35">
      <c r="L1605" s="7">
        <v>51</v>
      </c>
      <c r="M1605" s="7">
        <v>59</v>
      </c>
      <c r="N1605" s="7" t="b">
        <f>AND($N$6,$N$7,20&lt;=$M$6,8&lt;=$M$7)</f>
        <v>0</v>
      </c>
      <c r="O1605" s="7">
        <f>(P51-N51)*(O59-O51)-(Q51-O51)*(N59-N51)</f>
        <v>0</v>
      </c>
      <c r="P1605" s="7">
        <f>(P51-N51)*(Q59-O51)-(Q51-O51)*(P59-N51)</f>
        <v>0</v>
      </c>
      <c r="Q1605" s="7">
        <f>(P59-N59)*(O51-O59)-(Q59-O59)*(N51-N59)</f>
        <v>0</v>
      </c>
      <c r="R1605" s="7">
        <f>(P59-N59)*(Q51-O59)-(Q59-O59)*(P51-N59)</f>
        <v>0</v>
      </c>
      <c r="S1605" s="7">
        <f>IF(N1605,IF(AND(O1605*P1605&lt;=0,Q1605*R1605&lt;=0,MAX(MIN(N51,P51),MIN(N59,P59))&lt;=MIN(MAX(N51,P51),MAX(N59,P59)),MAX(MIN(O51,Q51),MIN(O59,Q59))&lt;=MIN(MAX(O51,Q51),MAX(O59,Q59))),1,0),0)</f>
        <v>0</v>
      </c>
      <c r="T1605" s="7"/>
      <c r="U1605" s="7"/>
      <c r="V1605" s="7"/>
      <c r="W1605" s="7"/>
      <c r="X1605" s="7"/>
      <c r="Y1605" s="7"/>
      <c r="Z1605" s="7"/>
      <c r="AA1605" s="7"/>
      <c r="AB1605" s="7"/>
      <c r="AC1605" s="7"/>
      <c r="AD1605" s="7"/>
      <c r="AE1605" s="7"/>
      <c r="AF1605" s="7"/>
      <c r="AG1605" s="7"/>
      <c r="AH1605" s="7"/>
      <c r="AI1605" s="7"/>
    </row>
    <row r="1606" spans="12:35">
      <c r="L1606" s="7">
        <v>51</v>
      </c>
      <c r="M1606" s="7">
        <v>60</v>
      </c>
      <c r="N1606" s="7" t="b">
        <f>AND($N$6,$N$7,20&lt;=$M$6,9&lt;=$M$7)</f>
        <v>0</v>
      </c>
      <c r="O1606" s="7">
        <f>(P51-N51)*(O60-O51)-(Q51-O51)*(N60-N51)</f>
        <v>0</v>
      </c>
      <c r="P1606" s="7">
        <f>(P51-N51)*(Q60-O51)-(Q51-O51)*(P60-N51)</f>
        <v>0</v>
      </c>
      <c r="Q1606" s="7">
        <f>(P60-N60)*(O51-O60)-(Q60-O60)*(N51-N60)</f>
        <v>0</v>
      </c>
      <c r="R1606" s="7">
        <f>(P60-N60)*(Q51-O60)-(Q60-O60)*(P51-N60)</f>
        <v>0</v>
      </c>
      <c r="S1606" s="7">
        <f>IF(N1606,IF(AND(O1606*P1606&lt;=0,Q1606*R1606&lt;=0,MAX(MIN(N51,P51),MIN(N60,P60))&lt;=MIN(MAX(N51,P51),MAX(N60,P60)),MAX(MIN(O51,Q51),MIN(O60,Q60))&lt;=MIN(MAX(O51,Q51),MAX(O60,Q60))),1,0),0)</f>
        <v>0</v>
      </c>
      <c r="T1606" s="7"/>
      <c r="U1606" s="7"/>
      <c r="V1606" s="7"/>
      <c r="W1606" s="7"/>
      <c r="X1606" s="7"/>
      <c r="Y1606" s="7"/>
      <c r="Z1606" s="7"/>
      <c r="AA1606" s="7"/>
      <c r="AB1606" s="7"/>
      <c r="AC1606" s="7"/>
      <c r="AD1606" s="7"/>
      <c r="AE1606" s="7"/>
      <c r="AF1606" s="7"/>
      <c r="AG1606" s="7"/>
      <c r="AH1606" s="7"/>
      <c r="AI1606" s="7"/>
    </row>
    <row r="1607" spans="12:35">
      <c r="L1607" s="7">
        <v>51</v>
      </c>
      <c r="M1607" s="7">
        <v>61</v>
      </c>
      <c r="N1607" s="7" t="b">
        <f>AND($N$6,$N$7,20&lt;=$M$6,10&lt;=$M$7)</f>
        <v>0</v>
      </c>
      <c r="O1607" s="7">
        <f>(P51-N51)*(O61-O51)-(Q51-O51)*(N61-N51)</f>
        <v>0</v>
      </c>
      <c r="P1607" s="7">
        <f>(P51-N51)*(Q61-O51)-(Q51-O51)*(P61-N51)</f>
        <v>0</v>
      </c>
      <c r="Q1607" s="7">
        <f>(P61-N61)*(O51-O61)-(Q61-O61)*(N51-N61)</f>
        <v>0</v>
      </c>
      <c r="R1607" s="7">
        <f>(P61-N61)*(Q51-O61)-(Q61-O61)*(P51-N61)</f>
        <v>0</v>
      </c>
      <c r="S1607" s="7">
        <f>IF(N1607,IF(AND(O1607*P1607&lt;=0,Q1607*R1607&lt;=0,MAX(MIN(N51,P51),MIN(N61,P61))&lt;=MIN(MAX(N51,P51),MAX(N61,P61)),MAX(MIN(O51,Q51),MIN(O61,Q61))&lt;=MIN(MAX(O51,Q51),MAX(O61,Q61))),1,0),0)</f>
        <v>0</v>
      </c>
      <c r="T1607" s="7"/>
      <c r="U1607" s="7"/>
      <c r="V1607" s="7"/>
      <c r="W1607" s="7"/>
      <c r="X1607" s="7"/>
      <c r="Y1607" s="7"/>
      <c r="Z1607" s="7"/>
      <c r="AA1607" s="7"/>
      <c r="AB1607" s="7"/>
      <c r="AC1607" s="7"/>
      <c r="AD1607" s="7"/>
      <c r="AE1607" s="7"/>
      <c r="AF1607" s="7"/>
      <c r="AG1607" s="7"/>
      <c r="AH1607" s="7"/>
      <c r="AI1607" s="7"/>
    </row>
    <row r="1608" spans="12:35">
      <c r="L1608" s="7">
        <v>51</v>
      </c>
      <c r="M1608" s="7">
        <v>62</v>
      </c>
      <c r="N1608" s="7" t="b">
        <f>AND($N$6,$N$7,20&lt;=$M$6,11&lt;=$M$7)</f>
        <v>0</v>
      </c>
      <c r="O1608" s="7">
        <f>(P51-N51)*(O62-O51)-(Q51-O51)*(N62-N51)</f>
        <v>0</v>
      </c>
      <c r="P1608" s="7">
        <f>(P51-N51)*(Q62-O51)-(Q51-O51)*(P62-N51)</f>
        <v>0</v>
      </c>
      <c r="Q1608" s="7">
        <f>(P62-N62)*(O51-O62)-(Q62-O62)*(N51-N62)</f>
        <v>0</v>
      </c>
      <c r="R1608" s="7">
        <f>(P62-N62)*(Q51-O62)-(Q62-O62)*(P51-N62)</f>
        <v>0</v>
      </c>
      <c r="S1608" s="7">
        <f>IF(N1608,IF(AND(O1608*P1608&lt;=0,Q1608*R1608&lt;=0,MAX(MIN(N51,P51),MIN(N62,P62))&lt;=MIN(MAX(N51,P51),MAX(N62,P62)),MAX(MIN(O51,Q51),MIN(O62,Q62))&lt;=MIN(MAX(O51,Q51),MAX(O62,Q62))),1,0),0)</f>
        <v>0</v>
      </c>
      <c r="T1608" s="7"/>
      <c r="U1608" s="7"/>
      <c r="V1608" s="7"/>
      <c r="W1608" s="7"/>
      <c r="X1608" s="7"/>
      <c r="Y1608" s="7"/>
      <c r="Z1608" s="7"/>
      <c r="AA1608" s="7"/>
      <c r="AB1608" s="7"/>
      <c r="AC1608" s="7"/>
      <c r="AD1608" s="7"/>
      <c r="AE1608" s="7"/>
      <c r="AF1608" s="7"/>
      <c r="AG1608" s="7"/>
      <c r="AH1608" s="7"/>
      <c r="AI1608" s="7"/>
    </row>
    <row r="1609" spans="12:35">
      <c r="L1609" s="7">
        <v>51</v>
      </c>
      <c r="M1609" s="7">
        <v>63</v>
      </c>
      <c r="N1609" s="7" t="b">
        <f>AND($N$6,$N$7,20&lt;=$M$6,12&lt;=$M$7)</f>
        <v>0</v>
      </c>
      <c r="O1609" s="7">
        <f>(P51-N51)*(O63-O51)-(Q51-O51)*(N63-N51)</f>
        <v>0</v>
      </c>
      <c r="P1609" s="7">
        <f>(P51-N51)*(Q63-O51)-(Q51-O51)*(P63-N51)</f>
        <v>0</v>
      </c>
      <c r="Q1609" s="7">
        <f>(P63-N63)*(O51-O63)-(Q63-O63)*(N51-N63)</f>
        <v>0</v>
      </c>
      <c r="R1609" s="7">
        <f>(P63-N63)*(Q51-O63)-(Q63-O63)*(P51-N63)</f>
        <v>0</v>
      </c>
      <c r="S1609" s="7">
        <f>IF(N1609,IF(AND(O1609*P1609&lt;=0,Q1609*R1609&lt;=0,MAX(MIN(N51,P51),MIN(N63,P63))&lt;=MIN(MAX(N51,P51),MAX(N63,P63)),MAX(MIN(O51,Q51),MIN(O63,Q63))&lt;=MIN(MAX(O51,Q51),MAX(O63,Q63))),1,0),0)</f>
        <v>0</v>
      </c>
      <c r="T1609" s="7"/>
      <c r="U1609" s="7"/>
      <c r="V1609" s="7"/>
      <c r="W1609" s="7"/>
      <c r="X1609" s="7"/>
      <c r="Y1609" s="7"/>
      <c r="Z1609" s="7"/>
      <c r="AA1609" s="7"/>
      <c r="AB1609" s="7"/>
      <c r="AC1609" s="7"/>
      <c r="AD1609" s="7"/>
      <c r="AE1609" s="7"/>
      <c r="AF1609" s="7"/>
      <c r="AG1609" s="7"/>
      <c r="AH1609" s="7"/>
      <c r="AI1609" s="7"/>
    </row>
    <row r="1610" spans="12:35">
      <c r="L1610" s="7">
        <v>51</v>
      </c>
      <c r="M1610" s="7">
        <v>64</v>
      </c>
      <c r="N1610" s="7" t="b">
        <f>AND($N$6,$N$7,20&lt;=$M$6,13&lt;=$M$7)</f>
        <v>0</v>
      </c>
      <c r="O1610" s="7">
        <f>(P51-N51)*(O64-O51)-(Q51-O51)*(N64-N51)</f>
        <v>0</v>
      </c>
      <c r="P1610" s="7">
        <f>(P51-N51)*(Q64-O51)-(Q51-O51)*(P64-N51)</f>
        <v>0</v>
      </c>
      <c r="Q1610" s="7">
        <f>(P64-N64)*(O51-O64)-(Q64-O64)*(N51-N64)</f>
        <v>0</v>
      </c>
      <c r="R1610" s="7">
        <f>(P64-N64)*(Q51-O64)-(Q64-O64)*(P51-N64)</f>
        <v>0</v>
      </c>
      <c r="S1610" s="7">
        <f>IF(N1610,IF(AND(O1610*P1610&lt;=0,Q1610*R1610&lt;=0,MAX(MIN(N51,P51),MIN(N64,P64))&lt;=MIN(MAX(N51,P51),MAX(N64,P64)),MAX(MIN(O51,Q51),MIN(O64,Q64))&lt;=MIN(MAX(O51,Q51),MAX(O64,Q64))),1,0),0)</f>
        <v>0</v>
      </c>
      <c r="T1610" s="7"/>
      <c r="U1610" s="7"/>
      <c r="V1610" s="7"/>
      <c r="W1610" s="7"/>
      <c r="X1610" s="7"/>
      <c r="Y1610" s="7"/>
      <c r="Z1610" s="7"/>
      <c r="AA1610" s="7"/>
      <c r="AB1610" s="7"/>
      <c r="AC1610" s="7"/>
      <c r="AD1610" s="7"/>
      <c r="AE1610" s="7"/>
      <c r="AF1610" s="7"/>
      <c r="AG1610" s="7"/>
      <c r="AH1610" s="7"/>
      <c r="AI1610" s="7"/>
    </row>
    <row r="1611" spans="12:35">
      <c r="L1611" s="7">
        <v>51</v>
      </c>
      <c r="M1611" s="7">
        <v>65</v>
      </c>
      <c r="N1611" s="7" t="b">
        <f>AND($N$6,$N$7,20&lt;=$M$6,14&lt;=$M$7)</f>
        <v>0</v>
      </c>
      <c r="O1611" s="7">
        <f>(P51-N51)*(O65-O51)-(Q51-O51)*(N65-N51)</f>
        <v>0</v>
      </c>
      <c r="P1611" s="7">
        <f>(P51-N51)*(Q65-O51)-(Q51-O51)*(P65-N51)</f>
        <v>0</v>
      </c>
      <c r="Q1611" s="7">
        <f>(P65-N65)*(O51-O65)-(Q65-O65)*(N51-N65)</f>
        <v>0</v>
      </c>
      <c r="R1611" s="7">
        <f>(P65-N65)*(Q51-O65)-(Q65-O65)*(P51-N65)</f>
        <v>0</v>
      </c>
      <c r="S1611" s="7">
        <f>IF(N1611,IF(AND(O1611*P1611&lt;=0,Q1611*R1611&lt;=0,MAX(MIN(N51,P51),MIN(N65,P65))&lt;=MIN(MAX(N51,P51),MAX(N65,P65)),MAX(MIN(O51,Q51),MIN(O65,Q65))&lt;=MIN(MAX(O51,Q51),MAX(O65,Q65))),1,0),0)</f>
        <v>0</v>
      </c>
      <c r="T1611" s="7"/>
      <c r="U1611" s="7"/>
      <c r="V1611" s="7"/>
      <c r="W1611" s="7"/>
      <c r="X1611" s="7"/>
      <c r="Y1611" s="7"/>
      <c r="Z1611" s="7"/>
      <c r="AA1611" s="7"/>
      <c r="AB1611" s="7"/>
      <c r="AC1611" s="7"/>
      <c r="AD1611" s="7"/>
      <c r="AE1611" s="7"/>
      <c r="AF1611" s="7"/>
      <c r="AG1611" s="7"/>
      <c r="AH1611" s="7"/>
      <c r="AI1611" s="7"/>
    </row>
    <row r="1612" spans="12:35">
      <c r="L1612" s="7">
        <v>51</v>
      </c>
      <c r="M1612" s="7">
        <v>66</v>
      </c>
      <c r="N1612" s="7" t="b">
        <f>AND($N$6,$N$7,20&lt;=$M$6,15&lt;=$M$7)</f>
        <v>0</v>
      </c>
      <c r="O1612" s="7">
        <f>(P51-N51)*(O66-O51)-(Q51-O51)*(N66-N51)</f>
        <v>0</v>
      </c>
      <c r="P1612" s="7">
        <f>(P51-N51)*(Q66-O51)-(Q51-O51)*(P66-N51)</f>
        <v>0</v>
      </c>
      <c r="Q1612" s="7">
        <f>(P66-N66)*(O51-O66)-(Q66-O66)*(N51-N66)</f>
        <v>0</v>
      </c>
      <c r="R1612" s="7">
        <f>(P66-N66)*(Q51-O66)-(Q66-O66)*(P51-N66)</f>
        <v>0</v>
      </c>
      <c r="S1612" s="7">
        <f>IF(N1612,IF(AND(O1612*P1612&lt;=0,Q1612*R1612&lt;=0,MAX(MIN(N51,P51),MIN(N66,P66))&lt;=MIN(MAX(N51,P51),MAX(N66,P66)),MAX(MIN(O51,Q51),MIN(O66,Q66))&lt;=MIN(MAX(O51,Q51),MAX(O66,Q66))),1,0),0)</f>
        <v>0</v>
      </c>
      <c r="T1612" s="7"/>
      <c r="U1612" s="7"/>
      <c r="V1612" s="7"/>
      <c r="W1612" s="7"/>
      <c r="X1612" s="7"/>
      <c r="Y1612" s="7"/>
      <c r="Z1612" s="7"/>
      <c r="AA1612" s="7"/>
      <c r="AB1612" s="7"/>
      <c r="AC1612" s="7"/>
      <c r="AD1612" s="7"/>
      <c r="AE1612" s="7"/>
      <c r="AF1612" s="7"/>
      <c r="AG1612" s="7"/>
      <c r="AH1612" s="7"/>
      <c r="AI1612" s="7"/>
    </row>
    <row r="1613" spans="12:35">
      <c r="L1613" s="7">
        <v>51</v>
      </c>
      <c r="M1613" s="7">
        <v>67</v>
      </c>
      <c r="N1613" s="7" t="b">
        <f>AND($N$6,$N$7,20&lt;=$M$6,16&lt;=$M$7)</f>
        <v>0</v>
      </c>
      <c r="O1613" s="7">
        <f>(P51-N51)*(O67-O51)-(Q51-O51)*(N67-N51)</f>
        <v>0</v>
      </c>
      <c r="P1613" s="7">
        <f>(P51-N51)*(Q67-O51)-(Q51-O51)*(P67-N51)</f>
        <v>0</v>
      </c>
      <c r="Q1613" s="7">
        <f>(P67-N67)*(O51-O67)-(Q67-O67)*(N51-N67)</f>
        <v>0</v>
      </c>
      <c r="R1613" s="7">
        <f>(P67-N67)*(Q51-O67)-(Q67-O67)*(P51-N67)</f>
        <v>0</v>
      </c>
      <c r="S1613" s="7">
        <f>IF(N1613,IF(AND(O1613*P1613&lt;=0,Q1613*R1613&lt;=0,MAX(MIN(N51,P51),MIN(N67,P67))&lt;=MIN(MAX(N51,P51),MAX(N67,P67)),MAX(MIN(O51,Q51),MIN(O67,Q67))&lt;=MIN(MAX(O51,Q51),MAX(O67,Q67))),1,0),0)</f>
        <v>0</v>
      </c>
      <c r="T1613" s="7"/>
      <c r="U1613" s="7"/>
      <c r="V1613" s="7"/>
      <c r="W1613" s="7"/>
      <c r="X1613" s="7"/>
      <c r="Y1613" s="7"/>
      <c r="Z1613" s="7"/>
      <c r="AA1613" s="7"/>
      <c r="AB1613" s="7"/>
      <c r="AC1613" s="7"/>
      <c r="AD1613" s="7"/>
      <c r="AE1613" s="7"/>
      <c r="AF1613" s="7"/>
      <c r="AG1613" s="7"/>
      <c r="AH1613" s="7"/>
      <c r="AI1613" s="7"/>
    </row>
    <row r="1614" spans="12:35">
      <c r="L1614" s="7">
        <v>51</v>
      </c>
      <c r="M1614" s="7">
        <v>68</v>
      </c>
      <c r="N1614" s="7" t="b">
        <f>AND($N$6,$N$7,20&lt;=$M$6,17&lt;=$M$7)</f>
        <v>0</v>
      </c>
      <c r="O1614" s="7">
        <f>(P51-N51)*(O68-O51)-(Q51-O51)*(N68-N51)</f>
        <v>0</v>
      </c>
      <c r="P1614" s="7">
        <f>(P51-N51)*(Q68-O51)-(Q51-O51)*(P68-N51)</f>
        <v>0</v>
      </c>
      <c r="Q1614" s="7">
        <f>(P68-N68)*(O51-O68)-(Q68-O68)*(N51-N68)</f>
        <v>0</v>
      </c>
      <c r="R1614" s="7">
        <f>(P68-N68)*(Q51-O68)-(Q68-O68)*(P51-N68)</f>
        <v>0</v>
      </c>
      <c r="S1614" s="7">
        <f>IF(N1614,IF(AND(O1614*P1614&lt;=0,Q1614*R1614&lt;=0,MAX(MIN(N51,P51),MIN(N68,P68))&lt;=MIN(MAX(N51,P51),MAX(N68,P68)),MAX(MIN(O51,Q51),MIN(O68,Q68))&lt;=MIN(MAX(O51,Q51),MAX(O68,Q68))),1,0),0)</f>
        <v>0</v>
      </c>
      <c r="T1614" s="7"/>
      <c r="U1614" s="7"/>
      <c r="V1614" s="7"/>
      <c r="W1614" s="7"/>
      <c r="X1614" s="7"/>
      <c r="Y1614" s="7"/>
      <c r="Z1614" s="7"/>
      <c r="AA1614" s="7"/>
      <c r="AB1614" s="7"/>
      <c r="AC1614" s="7"/>
      <c r="AD1614" s="7"/>
      <c r="AE1614" s="7"/>
      <c r="AF1614" s="7"/>
      <c r="AG1614" s="7"/>
      <c r="AH1614" s="7"/>
      <c r="AI1614" s="7"/>
    </row>
    <row r="1615" spans="12:35">
      <c r="L1615" s="7">
        <v>51</v>
      </c>
      <c r="M1615" s="7">
        <v>69</v>
      </c>
      <c r="N1615" s="7" t="b">
        <f>AND($N$6,$N$7,20&lt;=$M$6,18&lt;=$M$7)</f>
        <v>0</v>
      </c>
      <c r="O1615" s="7">
        <f>(P51-N51)*(O69-O51)-(Q51-O51)*(N69-N51)</f>
        <v>0</v>
      </c>
      <c r="P1615" s="7">
        <f>(P51-N51)*(Q69-O51)-(Q51-O51)*(P69-N51)</f>
        <v>0</v>
      </c>
      <c r="Q1615" s="7">
        <f>(P69-N69)*(O51-O69)-(Q69-O69)*(N51-N69)</f>
        <v>0</v>
      </c>
      <c r="R1615" s="7">
        <f>(P69-N69)*(Q51-O69)-(Q69-O69)*(P51-N69)</f>
        <v>0</v>
      </c>
      <c r="S1615" s="7">
        <f>IF(N1615,IF(AND(O1615*P1615&lt;=0,Q1615*R1615&lt;=0,MAX(MIN(N51,P51),MIN(N69,P69))&lt;=MIN(MAX(N51,P51),MAX(N69,P69)),MAX(MIN(O51,Q51),MIN(O69,Q69))&lt;=MIN(MAX(O51,Q51),MAX(O69,Q69))),1,0),0)</f>
        <v>0</v>
      </c>
      <c r="T1615" s="7"/>
      <c r="U1615" s="7"/>
      <c r="V1615" s="7"/>
      <c r="W1615" s="7"/>
      <c r="X1615" s="7"/>
      <c r="Y1615" s="7"/>
      <c r="Z1615" s="7"/>
      <c r="AA1615" s="7"/>
      <c r="AB1615" s="7"/>
      <c r="AC1615" s="7"/>
      <c r="AD1615" s="7"/>
      <c r="AE1615" s="7"/>
      <c r="AF1615" s="7"/>
      <c r="AG1615" s="7"/>
      <c r="AH1615" s="7"/>
      <c r="AI1615" s="7"/>
    </row>
    <row r="1616" spans="12:35">
      <c r="L1616" s="7">
        <v>51</v>
      </c>
      <c r="M1616" s="7">
        <v>70</v>
      </c>
      <c r="N1616" s="7" t="b">
        <f>AND($N$6,$N$7,20&lt;=$M$6,19&lt;=$M$7)</f>
        <v>0</v>
      </c>
      <c r="O1616" s="7">
        <f>(P51-N51)*(O70-O51)-(Q51-O51)*(N70-N51)</f>
        <v>0</v>
      </c>
      <c r="P1616" s="7">
        <f>(P51-N51)*(Q70-O51)-(Q51-O51)*(P70-N51)</f>
        <v>0</v>
      </c>
      <c r="Q1616" s="7">
        <f>(P70-N70)*(O51-O70)-(Q70-O70)*(N51-N70)</f>
        <v>0</v>
      </c>
      <c r="R1616" s="7">
        <f>(P70-N70)*(Q51-O70)-(Q70-O70)*(P51-N70)</f>
        <v>0</v>
      </c>
      <c r="S1616" s="7">
        <f>IF(N1616,IF(AND(O1616*P1616&lt;=0,Q1616*R1616&lt;=0,MAX(MIN(N51,P51),MIN(N70,P70))&lt;=MIN(MAX(N51,P51),MAX(N70,P70)),MAX(MIN(O51,Q51),MIN(O70,Q70))&lt;=MIN(MAX(O51,Q51),MAX(O70,Q70))),1,0),0)</f>
        <v>0</v>
      </c>
      <c r="T1616" s="7"/>
      <c r="U1616" s="7"/>
      <c r="V1616" s="7"/>
      <c r="W1616" s="7"/>
      <c r="X1616" s="7"/>
      <c r="Y1616" s="7"/>
      <c r="Z1616" s="7"/>
      <c r="AA1616" s="7"/>
      <c r="AB1616" s="7"/>
      <c r="AC1616" s="7"/>
      <c r="AD1616" s="7"/>
      <c r="AE1616" s="7"/>
      <c r="AF1616" s="7"/>
      <c r="AG1616" s="7"/>
      <c r="AH1616" s="7"/>
      <c r="AI1616" s="7"/>
    </row>
    <row r="1617" spans="12:35">
      <c r="L1617" s="7">
        <v>51</v>
      </c>
      <c r="M1617" s="7">
        <v>71</v>
      </c>
      <c r="N1617" s="7" t="b">
        <f>AND($N$6,$N$7,20&lt;=$M$6,20&lt;=$M$7)</f>
        <v>0</v>
      </c>
      <c r="O1617" s="7">
        <f>(P51-N51)*(O71-O51)-(Q51-O51)*(N71-N51)</f>
        <v>0</v>
      </c>
      <c r="P1617" s="7">
        <f>(P51-N51)*(Q71-O51)-(Q51-O51)*(P71-N51)</f>
        <v>0</v>
      </c>
      <c r="Q1617" s="7">
        <f>(P71-N71)*(O51-O71)-(Q71-O71)*(N51-N71)</f>
        <v>0</v>
      </c>
      <c r="R1617" s="7">
        <f>(P71-N71)*(Q51-O71)-(Q71-O71)*(P51-N71)</f>
        <v>0</v>
      </c>
      <c r="S1617" s="7">
        <f>IF(N1617,IF(AND(O1617*P1617&lt;=0,Q1617*R1617&lt;=0,MAX(MIN(N51,P51),MIN(N71,P71))&lt;=MIN(MAX(N51,P51),MAX(N71,P71)),MAX(MIN(O51,Q51),MIN(O71,Q71))&lt;=MIN(MAX(O51,Q51),MAX(O71,Q71))),1,0),0)</f>
        <v>0</v>
      </c>
      <c r="T1617" s="7"/>
      <c r="U1617" s="7"/>
      <c r="V1617" s="7"/>
      <c r="W1617" s="7"/>
      <c r="X1617" s="7"/>
      <c r="Y1617" s="7"/>
      <c r="Z1617" s="7"/>
      <c r="AA1617" s="7"/>
      <c r="AB1617" s="7"/>
      <c r="AC1617" s="7"/>
      <c r="AD1617" s="7"/>
      <c r="AE1617" s="7"/>
      <c r="AF1617" s="7"/>
      <c r="AG1617" s="7"/>
      <c r="AH1617" s="7"/>
      <c r="AI1617" s="7"/>
    </row>
    <row r="1618" spans="12:35">
      <c r="L1618" s="7">
        <v>52</v>
      </c>
      <c r="M1618" s="7">
        <v>54</v>
      </c>
      <c r="N1618" s="7" t="b">
        <f>AND($N$7,$N$7,1&lt;=$M$7,3&lt;=$M$7,3&lt;&gt;$M$7)</f>
        <v>0</v>
      </c>
      <c r="O1618" s="7">
        <f>(P52-N52)*(O54-O52)-(Q52-O52)*(N54-N52)</f>
        <v>0</v>
      </c>
      <c r="P1618" s="7">
        <f>(P52-N52)*(Q54-O52)-(Q52-O52)*(P54-N52)</f>
        <v>0</v>
      </c>
      <c r="Q1618" s="7">
        <f>(P54-N54)*(O52-O54)-(Q54-O54)*(N52-N54)</f>
        <v>0</v>
      </c>
      <c r="R1618" s="7">
        <f>(P54-N54)*(Q52-O54)-(Q54-O54)*(P52-N54)</f>
        <v>0</v>
      </c>
      <c r="S1618" s="7">
        <f>IF(N1618,IF(AND(O1618*P1618&lt;=0,Q1618*R1618&lt;=0,MAX(MIN(N52,P52),MIN(N54,P54))&lt;=MIN(MAX(N52,P52),MAX(N54,P54)),MAX(MIN(O52,Q52),MIN(O54,Q54))&lt;=MIN(MAX(O52,Q52),MAX(O54,Q54))),1,0),0)</f>
        <v>0</v>
      </c>
      <c r="T1618" s="7"/>
      <c r="U1618" s="7"/>
      <c r="V1618" s="7"/>
      <c r="W1618" s="7"/>
      <c r="X1618" s="7"/>
      <c r="Y1618" s="7"/>
      <c r="Z1618" s="7"/>
      <c r="AA1618" s="7"/>
      <c r="AB1618" s="7"/>
      <c r="AC1618" s="7"/>
      <c r="AD1618" s="7"/>
      <c r="AE1618" s="7"/>
      <c r="AF1618" s="7"/>
      <c r="AG1618" s="7"/>
      <c r="AH1618" s="7"/>
      <c r="AI1618" s="7"/>
    </row>
    <row r="1619" spans="12:35">
      <c r="L1619" s="7">
        <v>52</v>
      </c>
      <c r="M1619" s="7">
        <v>55</v>
      </c>
      <c r="N1619" s="7" t="b">
        <f>AND($N$7,$N$7,1&lt;=$M$7,4&lt;=$M$7,4&lt;&gt;$M$7)</f>
        <v>0</v>
      </c>
      <c r="O1619" s="7">
        <f>(P52-N52)*(O55-O52)-(Q52-O52)*(N55-N52)</f>
        <v>0</v>
      </c>
      <c r="P1619" s="7">
        <f>(P52-N52)*(Q55-O52)-(Q52-O52)*(P55-N52)</f>
        <v>0</v>
      </c>
      <c r="Q1619" s="7">
        <f>(P55-N55)*(O52-O55)-(Q55-O55)*(N52-N55)</f>
        <v>0</v>
      </c>
      <c r="R1619" s="7">
        <f>(P55-N55)*(Q52-O55)-(Q55-O55)*(P52-N55)</f>
        <v>0</v>
      </c>
      <c r="S1619" s="7">
        <f>IF(N1619,IF(AND(O1619*P1619&lt;=0,Q1619*R1619&lt;=0,MAX(MIN(N52,P52),MIN(N55,P55))&lt;=MIN(MAX(N52,P52),MAX(N55,P55)),MAX(MIN(O52,Q52),MIN(O55,Q55))&lt;=MIN(MAX(O52,Q52),MAX(O55,Q55))),1,0),0)</f>
        <v>0</v>
      </c>
      <c r="T1619" s="7"/>
      <c r="U1619" s="7"/>
      <c r="V1619" s="7"/>
      <c r="W1619" s="7"/>
      <c r="X1619" s="7"/>
      <c r="Y1619" s="7"/>
      <c r="Z1619" s="7"/>
      <c r="AA1619" s="7"/>
      <c r="AB1619" s="7"/>
      <c r="AC1619" s="7"/>
      <c r="AD1619" s="7"/>
      <c r="AE1619" s="7"/>
      <c r="AF1619" s="7"/>
      <c r="AG1619" s="7"/>
      <c r="AH1619" s="7"/>
      <c r="AI1619" s="7"/>
    </row>
    <row r="1620" spans="12:35">
      <c r="L1620" s="7">
        <v>52</v>
      </c>
      <c r="M1620" s="7">
        <v>56</v>
      </c>
      <c r="N1620" s="7" t="b">
        <f>AND($N$7,$N$7,1&lt;=$M$7,5&lt;=$M$7,5&lt;&gt;$M$7)</f>
        <v>0</v>
      </c>
      <c r="O1620" s="7">
        <f>(P52-N52)*(O56-O52)-(Q52-O52)*(N56-N52)</f>
        <v>0</v>
      </c>
      <c r="P1620" s="7">
        <f>(P52-N52)*(Q56-O52)-(Q52-O52)*(P56-N52)</f>
        <v>0</v>
      </c>
      <c r="Q1620" s="7">
        <f>(P56-N56)*(O52-O56)-(Q56-O56)*(N52-N56)</f>
        <v>0</v>
      </c>
      <c r="R1620" s="7">
        <f>(P56-N56)*(Q52-O56)-(Q56-O56)*(P52-N56)</f>
        <v>0</v>
      </c>
      <c r="S1620" s="7">
        <f>IF(N1620,IF(AND(O1620*P1620&lt;=0,Q1620*R1620&lt;=0,MAX(MIN(N52,P52),MIN(N56,P56))&lt;=MIN(MAX(N52,P52),MAX(N56,P56)),MAX(MIN(O52,Q52),MIN(O56,Q56))&lt;=MIN(MAX(O52,Q52),MAX(O56,Q56))),1,0),0)</f>
        <v>0</v>
      </c>
      <c r="T1620" s="7"/>
      <c r="U1620" s="7"/>
      <c r="V1620" s="7"/>
      <c r="W1620" s="7"/>
      <c r="X1620" s="7"/>
      <c r="Y1620" s="7"/>
      <c r="Z1620" s="7"/>
      <c r="AA1620" s="7"/>
      <c r="AB1620" s="7"/>
      <c r="AC1620" s="7"/>
      <c r="AD1620" s="7"/>
      <c r="AE1620" s="7"/>
      <c r="AF1620" s="7"/>
      <c r="AG1620" s="7"/>
      <c r="AH1620" s="7"/>
      <c r="AI1620" s="7"/>
    </row>
    <row r="1621" spans="12:35">
      <c r="L1621" s="7">
        <v>52</v>
      </c>
      <c r="M1621" s="7">
        <v>57</v>
      </c>
      <c r="N1621" s="7" t="b">
        <f>AND($N$7,$N$7,1&lt;=$M$7,6&lt;=$M$7,6&lt;&gt;$M$7)</f>
        <v>0</v>
      </c>
      <c r="O1621" s="7">
        <f>(P52-N52)*(O57-O52)-(Q52-O52)*(N57-N52)</f>
        <v>0</v>
      </c>
      <c r="P1621" s="7">
        <f>(P52-N52)*(Q57-O52)-(Q52-O52)*(P57-N52)</f>
        <v>0</v>
      </c>
      <c r="Q1621" s="7">
        <f>(P57-N57)*(O52-O57)-(Q57-O57)*(N52-N57)</f>
        <v>0</v>
      </c>
      <c r="R1621" s="7">
        <f>(P57-N57)*(Q52-O57)-(Q57-O57)*(P52-N57)</f>
        <v>0</v>
      </c>
      <c r="S1621" s="7">
        <f>IF(N1621,IF(AND(O1621*P1621&lt;=0,Q1621*R1621&lt;=0,MAX(MIN(N52,P52),MIN(N57,P57))&lt;=MIN(MAX(N52,P52),MAX(N57,P57)),MAX(MIN(O52,Q52),MIN(O57,Q57))&lt;=MIN(MAX(O52,Q52),MAX(O57,Q57))),1,0),0)</f>
        <v>0</v>
      </c>
      <c r="T1621" s="7"/>
      <c r="U1621" s="7"/>
      <c r="V1621" s="7"/>
      <c r="W1621" s="7"/>
      <c r="X1621" s="7"/>
      <c r="Y1621" s="7"/>
      <c r="Z1621" s="7"/>
      <c r="AA1621" s="7"/>
      <c r="AB1621" s="7"/>
      <c r="AC1621" s="7"/>
      <c r="AD1621" s="7"/>
      <c r="AE1621" s="7"/>
      <c r="AF1621" s="7"/>
      <c r="AG1621" s="7"/>
      <c r="AH1621" s="7"/>
      <c r="AI1621" s="7"/>
    </row>
    <row r="1622" spans="12:35">
      <c r="L1622" s="7">
        <v>52</v>
      </c>
      <c r="M1622" s="7">
        <v>58</v>
      </c>
      <c r="N1622" s="7" t="b">
        <f>AND($N$7,$N$7,1&lt;=$M$7,7&lt;=$M$7,7&lt;&gt;$M$7)</f>
        <v>0</v>
      </c>
      <c r="O1622" s="7">
        <f>(P52-N52)*(O58-O52)-(Q52-O52)*(N58-N52)</f>
        <v>0</v>
      </c>
      <c r="P1622" s="7">
        <f>(P52-N52)*(Q58-O52)-(Q52-O52)*(P58-N52)</f>
        <v>0</v>
      </c>
      <c r="Q1622" s="7">
        <f>(P58-N58)*(O52-O58)-(Q58-O58)*(N52-N58)</f>
        <v>0</v>
      </c>
      <c r="R1622" s="7">
        <f>(P58-N58)*(Q52-O58)-(Q58-O58)*(P52-N58)</f>
        <v>0</v>
      </c>
      <c r="S1622" s="7">
        <f>IF(N1622,IF(AND(O1622*P1622&lt;=0,Q1622*R1622&lt;=0,MAX(MIN(N52,P52),MIN(N58,P58))&lt;=MIN(MAX(N52,P52),MAX(N58,P58)),MAX(MIN(O52,Q52),MIN(O58,Q58))&lt;=MIN(MAX(O52,Q52),MAX(O58,Q58))),1,0),0)</f>
        <v>0</v>
      </c>
      <c r="T1622" s="7"/>
      <c r="U1622" s="7"/>
      <c r="V1622" s="7"/>
      <c r="W1622" s="7"/>
      <c r="X1622" s="7"/>
      <c r="Y1622" s="7"/>
      <c r="Z1622" s="7"/>
      <c r="AA1622" s="7"/>
      <c r="AB1622" s="7"/>
      <c r="AC1622" s="7"/>
      <c r="AD1622" s="7"/>
      <c r="AE1622" s="7"/>
      <c r="AF1622" s="7"/>
      <c r="AG1622" s="7"/>
      <c r="AH1622" s="7"/>
      <c r="AI1622" s="7"/>
    </row>
    <row r="1623" spans="12:35">
      <c r="L1623" s="7">
        <v>52</v>
      </c>
      <c r="M1623" s="7">
        <v>59</v>
      </c>
      <c r="N1623" s="7" t="b">
        <f>AND($N$7,$N$7,1&lt;=$M$7,8&lt;=$M$7,8&lt;&gt;$M$7)</f>
        <v>0</v>
      </c>
      <c r="O1623" s="7">
        <f>(P52-N52)*(O59-O52)-(Q52-O52)*(N59-N52)</f>
        <v>0</v>
      </c>
      <c r="P1623" s="7">
        <f>(P52-N52)*(Q59-O52)-(Q52-O52)*(P59-N52)</f>
        <v>0</v>
      </c>
      <c r="Q1623" s="7">
        <f>(P59-N59)*(O52-O59)-(Q59-O59)*(N52-N59)</f>
        <v>0</v>
      </c>
      <c r="R1623" s="7">
        <f>(P59-N59)*(Q52-O59)-(Q59-O59)*(P52-N59)</f>
        <v>0</v>
      </c>
      <c r="S1623" s="7">
        <f>IF(N1623,IF(AND(O1623*P1623&lt;=0,Q1623*R1623&lt;=0,MAX(MIN(N52,P52),MIN(N59,P59))&lt;=MIN(MAX(N52,P52),MAX(N59,P59)),MAX(MIN(O52,Q52),MIN(O59,Q59))&lt;=MIN(MAX(O52,Q52),MAX(O59,Q59))),1,0),0)</f>
        <v>0</v>
      </c>
      <c r="T1623" s="7"/>
      <c r="U1623" s="7"/>
      <c r="V1623" s="7"/>
      <c r="W1623" s="7"/>
      <c r="X1623" s="7"/>
      <c r="Y1623" s="7"/>
      <c r="Z1623" s="7"/>
      <c r="AA1623" s="7"/>
      <c r="AB1623" s="7"/>
      <c r="AC1623" s="7"/>
      <c r="AD1623" s="7"/>
      <c r="AE1623" s="7"/>
      <c r="AF1623" s="7"/>
      <c r="AG1623" s="7"/>
      <c r="AH1623" s="7"/>
      <c r="AI1623" s="7"/>
    </row>
    <row r="1624" spans="12:35">
      <c r="L1624" s="7">
        <v>52</v>
      </c>
      <c r="M1624" s="7">
        <v>60</v>
      </c>
      <c r="N1624" s="7" t="b">
        <f>AND($N$7,$N$7,1&lt;=$M$7,9&lt;=$M$7,9&lt;&gt;$M$7)</f>
        <v>0</v>
      </c>
      <c r="O1624" s="7">
        <f>(P52-N52)*(O60-O52)-(Q52-O52)*(N60-N52)</f>
        <v>0</v>
      </c>
      <c r="P1624" s="7">
        <f>(P52-N52)*(Q60-O52)-(Q52-O52)*(P60-N52)</f>
        <v>0</v>
      </c>
      <c r="Q1624" s="7">
        <f>(P60-N60)*(O52-O60)-(Q60-O60)*(N52-N60)</f>
        <v>0</v>
      </c>
      <c r="R1624" s="7">
        <f>(P60-N60)*(Q52-O60)-(Q60-O60)*(P52-N60)</f>
        <v>0</v>
      </c>
      <c r="S1624" s="7">
        <f>IF(N1624,IF(AND(O1624*P1624&lt;=0,Q1624*R1624&lt;=0,MAX(MIN(N52,P52),MIN(N60,P60))&lt;=MIN(MAX(N52,P52),MAX(N60,P60)),MAX(MIN(O52,Q52),MIN(O60,Q60))&lt;=MIN(MAX(O52,Q52),MAX(O60,Q60))),1,0),0)</f>
        <v>0</v>
      </c>
      <c r="T1624" s="7"/>
      <c r="U1624" s="7"/>
      <c r="V1624" s="7"/>
      <c r="W1624" s="7"/>
      <c r="X1624" s="7"/>
      <c r="Y1624" s="7"/>
      <c r="Z1624" s="7"/>
      <c r="AA1624" s="7"/>
      <c r="AB1624" s="7"/>
      <c r="AC1624" s="7"/>
      <c r="AD1624" s="7"/>
      <c r="AE1624" s="7"/>
      <c r="AF1624" s="7"/>
      <c r="AG1624" s="7"/>
      <c r="AH1624" s="7"/>
      <c r="AI1624" s="7"/>
    </row>
    <row r="1625" spans="12:35">
      <c r="L1625" s="7">
        <v>52</v>
      </c>
      <c r="M1625" s="7">
        <v>61</v>
      </c>
      <c r="N1625" s="7" t="b">
        <f>AND($N$7,$N$7,1&lt;=$M$7,10&lt;=$M$7,10&lt;&gt;$M$7)</f>
        <v>0</v>
      </c>
      <c r="O1625" s="7">
        <f>(P52-N52)*(O61-O52)-(Q52-O52)*(N61-N52)</f>
        <v>0</v>
      </c>
      <c r="P1625" s="7">
        <f>(P52-N52)*(Q61-O52)-(Q52-O52)*(P61-N52)</f>
        <v>0</v>
      </c>
      <c r="Q1625" s="7">
        <f>(P61-N61)*(O52-O61)-(Q61-O61)*(N52-N61)</f>
        <v>0</v>
      </c>
      <c r="R1625" s="7">
        <f>(P61-N61)*(Q52-O61)-(Q61-O61)*(P52-N61)</f>
        <v>0</v>
      </c>
      <c r="S1625" s="7">
        <f>IF(N1625,IF(AND(O1625*P1625&lt;=0,Q1625*R1625&lt;=0,MAX(MIN(N52,P52),MIN(N61,P61))&lt;=MIN(MAX(N52,P52),MAX(N61,P61)),MAX(MIN(O52,Q52),MIN(O61,Q61))&lt;=MIN(MAX(O52,Q52),MAX(O61,Q61))),1,0),0)</f>
        <v>0</v>
      </c>
      <c r="T1625" s="7"/>
      <c r="U1625" s="7"/>
      <c r="V1625" s="7"/>
      <c r="W1625" s="7"/>
      <c r="X1625" s="7"/>
      <c r="Y1625" s="7"/>
      <c r="Z1625" s="7"/>
      <c r="AA1625" s="7"/>
      <c r="AB1625" s="7"/>
      <c r="AC1625" s="7"/>
      <c r="AD1625" s="7"/>
      <c r="AE1625" s="7"/>
      <c r="AF1625" s="7"/>
      <c r="AG1625" s="7"/>
      <c r="AH1625" s="7"/>
      <c r="AI1625" s="7"/>
    </row>
    <row r="1626" spans="12:35">
      <c r="L1626" s="7">
        <v>52</v>
      </c>
      <c r="M1626" s="7">
        <v>62</v>
      </c>
      <c r="N1626" s="7" t="b">
        <f>AND($N$7,$N$7,1&lt;=$M$7,11&lt;=$M$7,11&lt;&gt;$M$7)</f>
        <v>0</v>
      </c>
      <c r="O1626" s="7">
        <f>(P52-N52)*(O62-O52)-(Q52-O52)*(N62-N52)</f>
        <v>0</v>
      </c>
      <c r="P1626" s="7">
        <f>(P52-N52)*(Q62-O52)-(Q52-O52)*(P62-N52)</f>
        <v>0</v>
      </c>
      <c r="Q1626" s="7">
        <f>(P62-N62)*(O52-O62)-(Q62-O62)*(N52-N62)</f>
        <v>0</v>
      </c>
      <c r="R1626" s="7">
        <f>(P62-N62)*(Q52-O62)-(Q62-O62)*(P52-N62)</f>
        <v>0</v>
      </c>
      <c r="S1626" s="7">
        <f>IF(N1626,IF(AND(O1626*P1626&lt;=0,Q1626*R1626&lt;=0,MAX(MIN(N52,P52),MIN(N62,P62))&lt;=MIN(MAX(N52,P52),MAX(N62,P62)),MAX(MIN(O52,Q52),MIN(O62,Q62))&lt;=MIN(MAX(O52,Q52),MAX(O62,Q62))),1,0),0)</f>
        <v>0</v>
      </c>
      <c r="T1626" s="7"/>
      <c r="U1626" s="7"/>
      <c r="V1626" s="7"/>
      <c r="W1626" s="7"/>
      <c r="X1626" s="7"/>
      <c r="Y1626" s="7"/>
      <c r="Z1626" s="7"/>
      <c r="AA1626" s="7"/>
      <c r="AB1626" s="7"/>
      <c r="AC1626" s="7"/>
      <c r="AD1626" s="7"/>
      <c r="AE1626" s="7"/>
      <c r="AF1626" s="7"/>
      <c r="AG1626" s="7"/>
      <c r="AH1626" s="7"/>
      <c r="AI1626" s="7"/>
    </row>
    <row r="1627" spans="12:35">
      <c r="L1627" s="7">
        <v>52</v>
      </c>
      <c r="M1627" s="7">
        <v>63</v>
      </c>
      <c r="N1627" s="7" t="b">
        <f>AND($N$7,$N$7,1&lt;=$M$7,12&lt;=$M$7,12&lt;&gt;$M$7)</f>
        <v>0</v>
      </c>
      <c r="O1627" s="7">
        <f>(P52-N52)*(O63-O52)-(Q52-O52)*(N63-N52)</f>
        <v>0</v>
      </c>
      <c r="P1627" s="7">
        <f>(P52-N52)*(Q63-O52)-(Q52-O52)*(P63-N52)</f>
        <v>0</v>
      </c>
      <c r="Q1627" s="7">
        <f>(P63-N63)*(O52-O63)-(Q63-O63)*(N52-N63)</f>
        <v>0</v>
      </c>
      <c r="R1627" s="7">
        <f>(P63-N63)*(Q52-O63)-(Q63-O63)*(P52-N63)</f>
        <v>0</v>
      </c>
      <c r="S1627" s="7">
        <f>IF(N1627,IF(AND(O1627*P1627&lt;=0,Q1627*R1627&lt;=0,MAX(MIN(N52,P52),MIN(N63,P63))&lt;=MIN(MAX(N52,P52),MAX(N63,P63)),MAX(MIN(O52,Q52),MIN(O63,Q63))&lt;=MIN(MAX(O52,Q52),MAX(O63,Q63))),1,0),0)</f>
        <v>0</v>
      </c>
      <c r="T1627" s="7"/>
      <c r="U1627" s="7"/>
      <c r="V1627" s="7"/>
      <c r="W1627" s="7"/>
      <c r="X1627" s="7"/>
      <c r="Y1627" s="7"/>
      <c r="Z1627" s="7"/>
      <c r="AA1627" s="7"/>
      <c r="AB1627" s="7"/>
      <c r="AC1627" s="7"/>
      <c r="AD1627" s="7"/>
      <c r="AE1627" s="7"/>
      <c r="AF1627" s="7"/>
      <c r="AG1627" s="7"/>
      <c r="AH1627" s="7"/>
      <c r="AI1627" s="7"/>
    </row>
    <row r="1628" spans="12:35">
      <c r="L1628" s="7">
        <v>52</v>
      </c>
      <c r="M1628" s="7">
        <v>64</v>
      </c>
      <c r="N1628" s="7" t="b">
        <f>AND($N$7,$N$7,1&lt;=$M$7,13&lt;=$M$7,13&lt;&gt;$M$7)</f>
        <v>0</v>
      </c>
      <c r="O1628" s="7">
        <f>(P52-N52)*(O64-O52)-(Q52-O52)*(N64-N52)</f>
        <v>0</v>
      </c>
      <c r="P1628" s="7">
        <f>(P52-N52)*(Q64-O52)-(Q52-O52)*(P64-N52)</f>
        <v>0</v>
      </c>
      <c r="Q1628" s="7">
        <f>(P64-N64)*(O52-O64)-(Q64-O64)*(N52-N64)</f>
        <v>0</v>
      </c>
      <c r="R1628" s="7">
        <f>(P64-N64)*(Q52-O64)-(Q64-O64)*(P52-N64)</f>
        <v>0</v>
      </c>
      <c r="S1628" s="7">
        <f>IF(N1628,IF(AND(O1628*P1628&lt;=0,Q1628*R1628&lt;=0,MAX(MIN(N52,P52),MIN(N64,P64))&lt;=MIN(MAX(N52,P52),MAX(N64,P64)),MAX(MIN(O52,Q52),MIN(O64,Q64))&lt;=MIN(MAX(O52,Q52),MAX(O64,Q64))),1,0),0)</f>
        <v>0</v>
      </c>
      <c r="T1628" s="7"/>
      <c r="U1628" s="7"/>
      <c r="V1628" s="7"/>
      <c r="W1628" s="7"/>
      <c r="X1628" s="7"/>
      <c r="Y1628" s="7"/>
      <c r="Z1628" s="7"/>
      <c r="AA1628" s="7"/>
      <c r="AB1628" s="7"/>
      <c r="AC1628" s="7"/>
      <c r="AD1628" s="7"/>
      <c r="AE1628" s="7"/>
      <c r="AF1628" s="7"/>
      <c r="AG1628" s="7"/>
      <c r="AH1628" s="7"/>
      <c r="AI1628" s="7"/>
    </row>
    <row r="1629" spans="12:35">
      <c r="L1629" s="7">
        <v>52</v>
      </c>
      <c r="M1629" s="7">
        <v>65</v>
      </c>
      <c r="N1629" s="7" t="b">
        <f>AND($N$7,$N$7,1&lt;=$M$7,14&lt;=$M$7,14&lt;&gt;$M$7)</f>
        <v>0</v>
      </c>
      <c r="O1629" s="7">
        <f>(P52-N52)*(O65-O52)-(Q52-O52)*(N65-N52)</f>
        <v>0</v>
      </c>
      <c r="P1629" s="7">
        <f>(P52-N52)*(Q65-O52)-(Q52-O52)*(P65-N52)</f>
        <v>0</v>
      </c>
      <c r="Q1629" s="7">
        <f>(P65-N65)*(O52-O65)-(Q65-O65)*(N52-N65)</f>
        <v>0</v>
      </c>
      <c r="R1629" s="7">
        <f>(P65-N65)*(Q52-O65)-(Q65-O65)*(P52-N65)</f>
        <v>0</v>
      </c>
      <c r="S1629" s="7">
        <f>IF(N1629,IF(AND(O1629*P1629&lt;=0,Q1629*R1629&lt;=0,MAX(MIN(N52,P52),MIN(N65,P65))&lt;=MIN(MAX(N52,P52),MAX(N65,P65)),MAX(MIN(O52,Q52),MIN(O65,Q65))&lt;=MIN(MAX(O52,Q52),MAX(O65,Q65))),1,0),0)</f>
        <v>0</v>
      </c>
      <c r="T1629" s="7"/>
      <c r="U1629" s="7"/>
      <c r="V1629" s="7"/>
      <c r="W1629" s="7"/>
      <c r="X1629" s="7"/>
      <c r="Y1629" s="7"/>
      <c r="Z1629" s="7"/>
      <c r="AA1629" s="7"/>
      <c r="AB1629" s="7"/>
      <c r="AC1629" s="7"/>
      <c r="AD1629" s="7"/>
      <c r="AE1629" s="7"/>
      <c r="AF1629" s="7"/>
      <c r="AG1629" s="7"/>
      <c r="AH1629" s="7"/>
      <c r="AI1629" s="7"/>
    </row>
    <row r="1630" spans="12:35">
      <c r="L1630" s="7">
        <v>52</v>
      </c>
      <c r="M1630" s="7">
        <v>66</v>
      </c>
      <c r="N1630" s="7" t="b">
        <f>AND($N$7,$N$7,1&lt;=$M$7,15&lt;=$M$7,15&lt;&gt;$M$7)</f>
        <v>0</v>
      </c>
      <c r="O1630" s="7">
        <f>(P52-N52)*(O66-O52)-(Q52-O52)*(N66-N52)</f>
        <v>0</v>
      </c>
      <c r="P1630" s="7">
        <f>(P52-N52)*(Q66-O52)-(Q52-O52)*(P66-N52)</f>
        <v>0</v>
      </c>
      <c r="Q1630" s="7">
        <f>(P66-N66)*(O52-O66)-(Q66-O66)*(N52-N66)</f>
        <v>0</v>
      </c>
      <c r="R1630" s="7">
        <f>(P66-N66)*(Q52-O66)-(Q66-O66)*(P52-N66)</f>
        <v>0</v>
      </c>
      <c r="S1630" s="7">
        <f>IF(N1630,IF(AND(O1630*P1630&lt;=0,Q1630*R1630&lt;=0,MAX(MIN(N52,P52),MIN(N66,P66))&lt;=MIN(MAX(N52,P52),MAX(N66,P66)),MAX(MIN(O52,Q52),MIN(O66,Q66))&lt;=MIN(MAX(O52,Q52),MAX(O66,Q66))),1,0),0)</f>
        <v>0</v>
      </c>
      <c r="T1630" s="7"/>
      <c r="U1630" s="7"/>
      <c r="V1630" s="7"/>
      <c r="W1630" s="7"/>
      <c r="X1630" s="7"/>
      <c r="Y1630" s="7"/>
      <c r="Z1630" s="7"/>
      <c r="AA1630" s="7"/>
      <c r="AB1630" s="7"/>
      <c r="AC1630" s="7"/>
      <c r="AD1630" s="7"/>
      <c r="AE1630" s="7"/>
      <c r="AF1630" s="7"/>
      <c r="AG1630" s="7"/>
      <c r="AH1630" s="7"/>
      <c r="AI1630" s="7"/>
    </row>
    <row r="1631" spans="12:35">
      <c r="L1631" s="7">
        <v>52</v>
      </c>
      <c r="M1631" s="7">
        <v>67</v>
      </c>
      <c r="N1631" s="7" t="b">
        <f>AND($N$7,$N$7,1&lt;=$M$7,16&lt;=$M$7,16&lt;&gt;$M$7)</f>
        <v>0</v>
      </c>
      <c r="O1631" s="7">
        <f>(P52-N52)*(O67-O52)-(Q52-O52)*(N67-N52)</f>
        <v>0</v>
      </c>
      <c r="P1631" s="7">
        <f>(P52-N52)*(Q67-O52)-(Q52-O52)*(P67-N52)</f>
        <v>0</v>
      </c>
      <c r="Q1631" s="7">
        <f>(P67-N67)*(O52-O67)-(Q67-O67)*(N52-N67)</f>
        <v>0</v>
      </c>
      <c r="R1631" s="7">
        <f>(P67-N67)*(Q52-O67)-(Q67-O67)*(P52-N67)</f>
        <v>0</v>
      </c>
      <c r="S1631" s="7">
        <f>IF(N1631,IF(AND(O1631*P1631&lt;=0,Q1631*R1631&lt;=0,MAX(MIN(N52,P52),MIN(N67,P67))&lt;=MIN(MAX(N52,P52),MAX(N67,P67)),MAX(MIN(O52,Q52),MIN(O67,Q67))&lt;=MIN(MAX(O52,Q52),MAX(O67,Q67))),1,0),0)</f>
        <v>0</v>
      </c>
      <c r="T1631" s="7"/>
      <c r="U1631" s="7"/>
      <c r="V1631" s="7"/>
      <c r="W1631" s="7"/>
      <c r="X1631" s="7"/>
      <c r="Y1631" s="7"/>
      <c r="Z1631" s="7"/>
      <c r="AA1631" s="7"/>
      <c r="AB1631" s="7"/>
      <c r="AC1631" s="7"/>
      <c r="AD1631" s="7"/>
      <c r="AE1631" s="7"/>
      <c r="AF1631" s="7"/>
      <c r="AG1631" s="7"/>
      <c r="AH1631" s="7"/>
      <c r="AI1631" s="7"/>
    </row>
    <row r="1632" spans="12:35">
      <c r="L1632" s="7">
        <v>52</v>
      </c>
      <c r="M1632" s="7">
        <v>68</v>
      </c>
      <c r="N1632" s="7" t="b">
        <f>AND($N$7,$N$7,1&lt;=$M$7,17&lt;=$M$7,17&lt;&gt;$M$7)</f>
        <v>0</v>
      </c>
      <c r="O1632" s="7">
        <f>(P52-N52)*(O68-O52)-(Q52-O52)*(N68-N52)</f>
        <v>0</v>
      </c>
      <c r="P1632" s="7">
        <f>(P52-N52)*(Q68-O52)-(Q52-O52)*(P68-N52)</f>
        <v>0</v>
      </c>
      <c r="Q1632" s="7">
        <f>(P68-N68)*(O52-O68)-(Q68-O68)*(N52-N68)</f>
        <v>0</v>
      </c>
      <c r="R1632" s="7">
        <f>(P68-N68)*(Q52-O68)-(Q68-O68)*(P52-N68)</f>
        <v>0</v>
      </c>
      <c r="S1632" s="7">
        <f>IF(N1632,IF(AND(O1632*P1632&lt;=0,Q1632*R1632&lt;=0,MAX(MIN(N52,P52),MIN(N68,P68))&lt;=MIN(MAX(N52,P52),MAX(N68,P68)),MAX(MIN(O52,Q52),MIN(O68,Q68))&lt;=MIN(MAX(O52,Q52),MAX(O68,Q68))),1,0),0)</f>
        <v>0</v>
      </c>
      <c r="T1632" s="7"/>
      <c r="U1632" s="7"/>
      <c r="V1632" s="7"/>
      <c r="W1632" s="7"/>
      <c r="X1632" s="7"/>
      <c r="Y1632" s="7"/>
      <c r="Z1632" s="7"/>
      <c r="AA1632" s="7"/>
      <c r="AB1632" s="7"/>
      <c r="AC1632" s="7"/>
      <c r="AD1632" s="7"/>
      <c r="AE1632" s="7"/>
      <c r="AF1632" s="7"/>
      <c r="AG1632" s="7"/>
      <c r="AH1632" s="7"/>
      <c r="AI1632" s="7"/>
    </row>
    <row r="1633" spans="12:35">
      <c r="L1633" s="7">
        <v>52</v>
      </c>
      <c r="M1633" s="7">
        <v>69</v>
      </c>
      <c r="N1633" s="7" t="b">
        <f>AND($N$7,$N$7,1&lt;=$M$7,18&lt;=$M$7,18&lt;&gt;$M$7)</f>
        <v>0</v>
      </c>
      <c r="O1633" s="7">
        <f>(P52-N52)*(O69-O52)-(Q52-O52)*(N69-N52)</f>
        <v>0</v>
      </c>
      <c r="P1633" s="7">
        <f>(P52-N52)*(Q69-O52)-(Q52-O52)*(P69-N52)</f>
        <v>0</v>
      </c>
      <c r="Q1633" s="7">
        <f>(P69-N69)*(O52-O69)-(Q69-O69)*(N52-N69)</f>
        <v>0</v>
      </c>
      <c r="R1633" s="7">
        <f>(P69-N69)*(Q52-O69)-(Q69-O69)*(P52-N69)</f>
        <v>0</v>
      </c>
      <c r="S1633" s="7">
        <f>IF(N1633,IF(AND(O1633*P1633&lt;=0,Q1633*R1633&lt;=0,MAX(MIN(N52,P52),MIN(N69,P69))&lt;=MIN(MAX(N52,P52),MAX(N69,P69)),MAX(MIN(O52,Q52),MIN(O69,Q69))&lt;=MIN(MAX(O52,Q52),MAX(O69,Q69))),1,0),0)</f>
        <v>0</v>
      </c>
      <c r="T1633" s="7"/>
      <c r="U1633" s="7"/>
      <c r="V1633" s="7"/>
      <c r="W1633" s="7"/>
      <c r="X1633" s="7"/>
      <c r="Y1633" s="7"/>
      <c r="Z1633" s="7"/>
      <c r="AA1633" s="7"/>
      <c r="AB1633" s="7"/>
      <c r="AC1633" s="7"/>
      <c r="AD1633" s="7"/>
      <c r="AE1633" s="7"/>
      <c r="AF1633" s="7"/>
      <c r="AG1633" s="7"/>
      <c r="AH1633" s="7"/>
      <c r="AI1633" s="7"/>
    </row>
    <row r="1634" spans="12:35">
      <c r="L1634" s="7">
        <v>52</v>
      </c>
      <c r="M1634" s="7">
        <v>70</v>
      </c>
      <c r="N1634" s="7" t="b">
        <f>AND($N$7,$N$7,1&lt;=$M$7,19&lt;=$M$7,19&lt;&gt;$M$7)</f>
        <v>0</v>
      </c>
      <c r="O1634" s="7">
        <f>(P52-N52)*(O70-O52)-(Q52-O52)*(N70-N52)</f>
        <v>0</v>
      </c>
      <c r="P1634" s="7">
        <f>(P52-N52)*(Q70-O52)-(Q52-O52)*(P70-N52)</f>
        <v>0</v>
      </c>
      <c r="Q1634" s="7">
        <f>(P70-N70)*(O52-O70)-(Q70-O70)*(N52-N70)</f>
        <v>0</v>
      </c>
      <c r="R1634" s="7">
        <f>(P70-N70)*(Q52-O70)-(Q70-O70)*(P52-N70)</f>
        <v>0</v>
      </c>
      <c r="S1634" s="7">
        <f>IF(N1634,IF(AND(O1634*P1634&lt;=0,Q1634*R1634&lt;=0,MAX(MIN(N52,P52),MIN(N70,P70))&lt;=MIN(MAX(N52,P52),MAX(N70,P70)),MAX(MIN(O52,Q52),MIN(O70,Q70))&lt;=MIN(MAX(O52,Q52),MAX(O70,Q70))),1,0),0)</f>
        <v>0</v>
      </c>
      <c r="T1634" s="7"/>
      <c r="U1634" s="7"/>
      <c r="V1634" s="7"/>
      <c r="W1634" s="7"/>
      <c r="X1634" s="7"/>
      <c r="Y1634" s="7"/>
      <c r="Z1634" s="7"/>
      <c r="AA1634" s="7"/>
      <c r="AB1634" s="7"/>
      <c r="AC1634" s="7"/>
      <c r="AD1634" s="7"/>
      <c r="AE1634" s="7"/>
      <c r="AF1634" s="7"/>
      <c r="AG1634" s="7"/>
      <c r="AH1634" s="7"/>
      <c r="AI1634" s="7"/>
    </row>
    <row r="1635" spans="12:35">
      <c r="L1635" s="7">
        <v>52</v>
      </c>
      <c r="M1635" s="7">
        <v>71</v>
      </c>
      <c r="N1635" s="7" t="b">
        <f>AND($N$7,$N$7,1&lt;=$M$7,20&lt;=$M$7,20&lt;&gt;$M$7)</f>
        <v>0</v>
      </c>
      <c r="O1635" s="7">
        <f>(P52-N52)*(O71-O52)-(Q52-O52)*(N71-N52)</f>
        <v>0</v>
      </c>
      <c r="P1635" s="7">
        <f>(P52-N52)*(Q71-O52)-(Q52-O52)*(P71-N52)</f>
        <v>0</v>
      </c>
      <c r="Q1635" s="7">
        <f>(P71-N71)*(O52-O71)-(Q71-O71)*(N52-N71)</f>
        <v>0</v>
      </c>
      <c r="R1635" s="7">
        <f>(P71-N71)*(Q52-O71)-(Q71-O71)*(P52-N71)</f>
        <v>0</v>
      </c>
      <c r="S1635" s="7">
        <f>IF(N1635,IF(AND(O1635*P1635&lt;=0,Q1635*R1635&lt;=0,MAX(MIN(N52,P52),MIN(N71,P71))&lt;=MIN(MAX(N52,P52),MAX(N71,P71)),MAX(MIN(O52,Q52),MIN(O71,Q71))&lt;=MIN(MAX(O52,Q52),MAX(O71,Q71))),1,0),0)</f>
        <v>0</v>
      </c>
      <c r="T1635" s="7"/>
      <c r="U1635" s="7"/>
      <c r="V1635" s="7"/>
      <c r="W1635" s="7"/>
      <c r="X1635" s="7"/>
      <c r="Y1635" s="7"/>
      <c r="Z1635" s="7"/>
      <c r="AA1635" s="7"/>
      <c r="AB1635" s="7"/>
      <c r="AC1635" s="7"/>
      <c r="AD1635" s="7"/>
      <c r="AE1635" s="7"/>
      <c r="AF1635" s="7"/>
      <c r="AG1635" s="7"/>
      <c r="AH1635" s="7"/>
      <c r="AI1635" s="7"/>
    </row>
    <row r="1636" spans="12:35">
      <c r="L1636" s="7">
        <v>53</v>
      </c>
      <c r="M1636" s="7">
        <v>55</v>
      </c>
      <c r="N1636" s="7" t="b">
        <f>AND($N$7,$N$7,2&lt;=$M$7,4&lt;=$M$7)</f>
        <v>0</v>
      </c>
      <c r="O1636" s="7">
        <f>(P53-N53)*(O55-O53)-(Q53-O53)*(N55-N53)</f>
        <v>0</v>
      </c>
      <c r="P1636" s="7">
        <f>(P53-N53)*(Q55-O53)-(Q53-O53)*(P55-N53)</f>
        <v>0</v>
      </c>
      <c r="Q1636" s="7">
        <f>(P55-N55)*(O53-O55)-(Q55-O55)*(N53-N55)</f>
        <v>0</v>
      </c>
      <c r="R1636" s="7">
        <f>(P55-N55)*(Q53-O55)-(Q55-O55)*(P53-N55)</f>
        <v>0</v>
      </c>
      <c r="S1636" s="7">
        <f>IF(N1636,IF(AND(O1636*P1636&lt;=0,Q1636*R1636&lt;=0,MAX(MIN(N53,P53),MIN(N55,P55))&lt;=MIN(MAX(N53,P53),MAX(N55,P55)),MAX(MIN(O53,Q53),MIN(O55,Q55))&lt;=MIN(MAX(O53,Q53),MAX(O55,Q55))),1,0),0)</f>
        <v>0</v>
      </c>
      <c r="T1636" s="7"/>
      <c r="U1636" s="7"/>
      <c r="V1636" s="7"/>
      <c r="W1636" s="7"/>
      <c r="X1636" s="7"/>
      <c r="Y1636" s="7"/>
      <c r="Z1636" s="7"/>
      <c r="AA1636" s="7"/>
      <c r="AB1636" s="7"/>
      <c r="AC1636" s="7"/>
      <c r="AD1636" s="7"/>
      <c r="AE1636" s="7"/>
      <c r="AF1636" s="7"/>
      <c r="AG1636" s="7"/>
      <c r="AH1636" s="7"/>
      <c r="AI1636" s="7"/>
    </row>
    <row r="1637" spans="12:35">
      <c r="L1637" s="7">
        <v>53</v>
      </c>
      <c r="M1637" s="7">
        <v>56</v>
      </c>
      <c r="N1637" s="7" t="b">
        <f>AND($N$7,$N$7,2&lt;=$M$7,5&lt;=$M$7)</f>
        <v>0</v>
      </c>
      <c r="O1637" s="7">
        <f>(P53-N53)*(O56-O53)-(Q53-O53)*(N56-N53)</f>
        <v>0</v>
      </c>
      <c r="P1637" s="7">
        <f>(P53-N53)*(Q56-O53)-(Q53-O53)*(P56-N53)</f>
        <v>0</v>
      </c>
      <c r="Q1637" s="7">
        <f>(P56-N56)*(O53-O56)-(Q56-O56)*(N53-N56)</f>
        <v>0</v>
      </c>
      <c r="R1637" s="7">
        <f>(P56-N56)*(Q53-O56)-(Q56-O56)*(P53-N56)</f>
        <v>0</v>
      </c>
      <c r="S1637" s="7">
        <f>IF(N1637,IF(AND(O1637*P1637&lt;=0,Q1637*R1637&lt;=0,MAX(MIN(N53,P53),MIN(N56,P56))&lt;=MIN(MAX(N53,P53),MAX(N56,P56)),MAX(MIN(O53,Q53),MIN(O56,Q56))&lt;=MIN(MAX(O53,Q53),MAX(O56,Q56))),1,0),0)</f>
        <v>0</v>
      </c>
      <c r="T1637" s="7"/>
      <c r="U1637" s="7"/>
      <c r="V1637" s="7"/>
      <c r="W1637" s="7"/>
      <c r="X1637" s="7"/>
      <c r="Y1637" s="7"/>
      <c r="Z1637" s="7"/>
      <c r="AA1637" s="7"/>
      <c r="AB1637" s="7"/>
      <c r="AC1637" s="7"/>
      <c r="AD1637" s="7"/>
      <c r="AE1637" s="7"/>
      <c r="AF1637" s="7"/>
      <c r="AG1637" s="7"/>
      <c r="AH1637" s="7"/>
      <c r="AI1637" s="7"/>
    </row>
    <row r="1638" spans="12:35">
      <c r="L1638" s="7">
        <v>53</v>
      </c>
      <c r="M1638" s="7">
        <v>57</v>
      </c>
      <c r="N1638" s="7" t="b">
        <f>AND($N$7,$N$7,2&lt;=$M$7,6&lt;=$M$7)</f>
        <v>0</v>
      </c>
      <c r="O1638" s="7">
        <f>(P53-N53)*(O57-O53)-(Q53-O53)*(N57-N53)</f>
        <v>0</v>
      </c>
      <c r="P1638" s="7">
        <f>(P53-N53)*(Q57-O53)-(Q53-O53)*(P57-N53)</f>
        <v>0</v>
      </c>
      <c r="Q1638" s="7">
        <f>(P57-N57)*(O53-O57)-(Q57-O57)*(N53-N57)</f>
        <v>0</v>
      </c>
      <c r="R1638" s="7">
        <f>(P57-N57)*(Q53-O57)-(Q57-O57)*(P53-N57)</f>
        <v>0</v>
      </c>
      <c r="S1638" s="7">
        <f>IF(N1638,IF(AND(O1638*P1638&lt;=0,Q1638*R1638&lt;=0,MAX(MIN(N53,P53),MIN(N57,P57))&lt;=MIN(MAX(N53,P53),MAX(N57,P57)),MAX(MIN(O53,Q53),MIN(O57,Q57))&lt;=MIN(MAX(O53,Q53),MAX(O57,Q57))),1,0),0)</f>
        <v>0</v>
      </c>
      <c r="T1638" s="7"/>
      <c r="U1638" s="7"/>
      <c r="V1638" s="7"/>
      <c r="W1638" s="7"/>
      <c r="X1638" s="7"/>
      <c r="Y1638" s="7"/>
      <c r="Z1638" s="7"/>
      <c r="AA1638" s="7"/>
      <c r="AB1638" s="7"/>
      <c r="AC1638" s="7"/>
      <c r="AD1638" s="7"/>
      <c r="AE1638" s="7"/>
      <c r="AF1638" s="7"/>
      <c r="AG1638" s="7"/>
      <c r="AH1638" s="7"/>
      <c r="AI1638" s="7"/>
    </row>
    <row r="1639" spans="12:35">
      <c r="L1639" s="7">
        <v>53</v>
      </c>
      <c r="M1639" s="7">
        <v>58</v>
      </c>
      <c r="N1639" s="7" t="b">
        <f>AND($N$7,$N$7,2&lt;=$M$7,7&lt;=$M$7)</f>
        <v>0</v>
      </c>
      <c r="O1639" s="7">
        <f>(P53-N53)*(O58-O53)-(Q53-O53)*(N58-N53)</f>
        <v>0</v>
      </c>
      <c r="P1639" s="7">
        <f>(P53-N53)*(Q58-O53)-(Q53-O53)*(P58-N53)</f>
        <v>0</v>
      </c>
      <c r="Q1639" s="7">
        <f>(P58-N58)*(O53-O58)-(Q58-O58)*(N53-N58)</f>
        <v>0</v>
      </c>
      <c r="R1639" s="7">
        <f>(P58-N58)*(Q53-O58)-(Q58-O58)*(P53-N58)</f>
        <v>0</v>
      </c>
      <c r="S1639" s="7">
        <f>IF(N1639,IF(AND(O1639*P1639&lt;=0,Q1639*R1639&lt;=0,MAX(MIN(N53,P53),MIN(N58,P58))&lt;=MIN(MAX(N53,P53),MAX(N58,P58)),MAX(MIN(O53,Q53),MIN(O58,Q58))&lt;=MIN(MAX(O53,Q53),MAX(O58,Q58))),1,0),0)</f>
        <v>0</v>
      </c>
      <c r="T1639" s="7"/>
      <c r="U1639" s="7"/>
      <c r="V1639" s="7"/>
      <c r="W1639" s="7"/>
      <c r="X1639" s="7"/>
      <c r="Y1639" s="7"/>
      <c r="Z1639" s="7"/>
      <c r="AA1639" s="7"/>
      <c r="AB1639" s="7"/>
      <c r="AC1639" s="7"/>
      <c r="AD1639" s="7"/>
      <c r="AE1639" s="7"/>
      <c r="AF1639" s="7"/>
      <c r="AG1639" s="7"/>
      <c r="AH1639" s="7"/>
      <c r="AI1639" s="7"/>
    </row>
    <row r="1640" spans="12:35">
      <c r="L1640" s="7">
        <v>53</v>
      </c>
      <c r="M1640" s="7">
        <v>59</v>
      </c>
      <c r="N1640" s="7" t="b">
        <f>AND($N$7,$N$7,2&lt;=$M$7,8&lt;=$M$7)</f>
        <v>0</v>
      </c>
      <c r="O1640" s="7">
        <f>(P53-N53)*(O59-O53)-(Q53-O53)*(N59-N53)</f>
        <v>0</v>
      </c>
      <c r="P1640" s="7">
        <f>(P53-N53)*(Q59-O53)-(Q53-O53)*(P59-N53)</f>
        <v>0</v>
      </c>
      <c r="Q1640" s="7">
        <f>(P59-N59)*(O53-O59)-(Q59-O59)*(N53-N59)</f>
        <v>0</v>
      </c>
      <c r="R1640" s="7">
        <f>(P59-N59)*(Q53-O59)-(Q59-O59)*(P53-N59)</f>
        <v>0</v>
      </c>
      <c r="S1640" s="7">
        <f>IF(N1640,IF(AND(O1640*P1640&lt;=0,Q1640*R1640&lt;=0,MAX(MIN(N53,P53),MIN(N59,P59))&lt;=MIN(MAX(N53,P53),MAX(N59,P59)),MAX(MIN(O53,Q53),MIN(O59,Q59))&lt;=MIN(MAX(O53,Q53),MAX(O59,Q59))),1,0),0)</f>
        <v>0</v>
      </c>
      <c r="T1640" s="7"/>
      <c r="U1640" s="7"/>
      <c r="V1640" s="7"/>
      <c r="W1640" s="7"/>
      <c r="X1640" s="7"/>
      <c r="Y1640" s="7"/>
      <c r="Z1640" s="7"/>
      <c r="AA1640" s="7"/>
      <c r="AB1640" s="7"/>
      <c r="AC1640" s="7"/>
      <c r="AD1640" s="7"/>
      <c r="AE1640" s="7"/>
      <c r="AF1640" s="7"/>
      <c r="AG1640" s="7"/>
      <c r="AH1640" s="7"/>
      <c r="AI1640" s="7"/>
    </row>
    <row r="1641" spans="12:35">
      <c r="L1641" s="7">
        <v>53</v>
      </c>
      <c r="M1641" s="7">
        <v>60</v>
      </c>
      <c r="N1641" s="7" t="b">
        <f>AND($N$7,$N$7,2&lt;=$M$7,9&lt;=$M$7)</f>
        <v>0</v>
      </c>
      <c r="O1641" s="7">
        <f>(P53-N53)*(O60-O53)-(Q53-O53)*(N60-N53)</f>
        <v>0</v>
      </c>
      <c r="P1641" s="7">
        <f>(P53-N53)*(Q60-O53)-(Q53-O53)*(P60-N53)</f>
        <v>0</v>
      </c>
      <c r="Q1641" s="7">
        <f>(P60-N60)*(O53-O60)-(Q60-O60)*(N53-N60)</f>
        <v>0</v>
      </c>
      <c r="R1641" s="7">
        <f>(P60-N60)*(Q53-O60)-(Q60-O60)*(P53-N60)</f>
        <v>0</v>
      </c>
      <c r="S1641" s="7">
        <f>IF(N1641,IF(AND(O1641*P1641&lt;=0,Q1641*R1641&lt;=0,MAX(MIN(N53,P53),MIN(N60,P60))&lt;=MIN(MAX(N53,P53),MAX(N60,P60)),MAX(MIN(O53,Q53),MIN(O60,Q60))&lt;=MIN(MAX(O53,Q53),MAX(O60,Q60))),1,0),0)</f>
        <v>0</v>
      </c>
      <c r="T1641" s="7"/>
      <c r="U1641" s="7"/>
      <c r="V1641" s="7"/>
      <c r="W1641" s="7"/>
      <c r="X1641" s="7"/>
      <c r="Y1641" s="7"/>
      <c r="Z1641" s="7"/>
      <c r="AA1641" s="7"/>
      <c r="AB1641" s="7"/>
      <c r="AC1641" s="7"/>
      <c r="AD1641" s="7"/>
      <c r="AE1641" s="7"/>
      <c r="AF1641" s="7"/>
      <c r="AG1641" s="7"/>
      <c r="AH1641" s="7"/>
      <c r="AI1641" s="7"/>
    </row>
    <row r="1642" spans="12:35">
      <c r="L1642" s="7">
        <v>53</v>
      </c>
      <c r="M1642" s="7">
        <v>61</v>
      </c>
      <c r="N1642" s="7" t="b">
        <f>AND($N$7,$N$7,2&lt;=$M$7,10&lt;=$M$7)</f>
        <v>0</v>
      </c>
      <c r="O1642" s="7">
        <f>(P53-N53)*(O61-O53)-(Q53-O53)*(N61-N53)</f>
        <v>0</v>
      </c>
      <c r="P1642" s="7">
        <f>(P53-N53)*(Q61-O53)-(Q53-O53)*(P61-N53)</f>
        <v>0</v>
      </c>
      <c r="Q1642" s="7">
        <f>(P61-N61)*(O53-O61)-(Q61-O61)*(N53-N61)</f>
        <v>0</v>
      </c>
      <c r="R1642" s="7">
        <f>(P61-N61)*(Q53-O61)-(Q61-O61)*(P53-N61)</f>
        <v>0</v>
      </c>
      <c r="S1642" s="7">
        <f>IF(N1642,IF(AND(O1642*P1642&lt;=0,Q1642*R1642&lt;=0,MAX(MIN(N53,P53),MIN(N61,P61))&lt;=MIN(MAX(N53,P53),MAX(N61,P61)),MAX(MIN(O53,Q53),MIN(O61,Q61))&lt;=MIN(MAX(O53,Q53),MAX(O61,Q61))),1,0),0)</f>
        <v>0</v>
      </c>
      <c r="T1642" s="7"/>
      <c r="U1642" s="7"/>
      <c r="V1642" s="7"/>
      <c r="W1642" s="7"/>
      <c r="X1642" s="7"/>
      <c r="Y1642" s="7"/>
      <c r="Z1642" s="7"/>
      <c r="AA1642" s="7"/>
      <c r="AB1642" s="7"/>
      <c r="AC1642" s="7"/>
      <c r="AD1642" s="7"/>
      <c r="AE1642" s="7"/>
      <c r="AF1642" s="7"/>
      <c r="AG1642" s="7"/>
      <c r="AH1642" s="7"/>
      <c r="AI1642" s="7"/>
    </row>
    <row r="1643" spans="12:35">
      <c r="L1643" s="7">
        <v>53</v>
      </c>
      <c r="M1643" s="7">
        <v>62</v>
      </c>
      <c r="N1643" s="7" t="b">
        <f>AND($N$7,$N$7,2&lt;=$M$7,11&lt;=$M$7)</f>
        <v>0</v>
      </c>
      <c r="O1643" s="7">
        <f>(P53-N53)*(O62-O53)-(Q53-O53)*(N62-N53)</f>
        <v>0</v>
      </c>
      <c r="P1643" s="7">
        <f>(P53-N53)*(Q62-O53)-(Q53-O53)*(P62-N53)</f>
        <v>0</v>
      </c>
      <c r="Q1643" s="7">
        <f>(P62-N62)*(O53-O62)-(Q62-O62)*(N53-N62)</f>
        <v>0</v>
      </c>
      <c r="R1643" s="7">
        <f>(P62-N62)*(Q53-O62)-(Q62-O62)*(P53-N62)</f>
        <v>0</v>
      </c>
      <c r="S1643" s="7">
        <f>IF(N1643,IF(AND(O1643*P1643&lt;=0,Q1643*R1643&lt;=0,MAX(MIN(N53,P53),MIN(N62,P62))&lt;=MIN(MAX(N53,P53),MAX(N62,P62)),MAX(MIN(O53,Q53),MIN(O62,Q62))&lt;=MIN(MAX(O53,Q53),MAX(O62,Q62))),1,0),0)</f>
        <v>0</v>
      </c>
      <c r="T1643" s="7"/>
      <c r="U1643" s="7"/>
      <c r="V1643" s="7"/>
      <c r="W1643" s="7"/>
      <c r="X1643" s="7"/>
      <c r="Y1643" s="7"/>
      <c r="Z1643" s="7"/>
      <c r="AA1643" s="7"/>
      <c r="AB1643" s="7"/>
      <c r="AC1643" s="7"/>
      <c r="AD1643" s="7"/>
      <c r="AE1643" s="7"/>
      <c r="AF1643" s="7"/>
      <c r="AG1643" s="7"/>
      <c r="AH1643" s="7"/>
      <c r="AI1643" s="7"/>
    </row>
    <row r="1644" spans="12:35">
      <c r="L1644" s="7">
        <v>53</v>
      </c>
      <c r="M1644" s="7">
        <v>63</v>
      </c>
      <c r="N1644" s="7" t="b">
        <f>AND($N$7,$N$7,2&lt;=$M$7,12&lt;=$M$7)</f>
        <v>0</v>
      </c>
      <c r="O1644" s="7">
        <f>(P53-N53)*(O63-O53)-(Q53-O53)*(N63-N53)</f>
        <v>0</v>
      </c>
      <c r="P1644" s="7">
        <f>(P53-N53)*(Q63-O53)-(Q53-O53)*(P63-N53)</f>
        <v>0</v>
      </c>
      <c r="Q1644" s="7">
        <f>(P63-N63)*(O53-O63)-(Q63-O63)*(N53-N63)</f>
        <v>0</v>
      </c>
      <c r="R1644" s="7">
        <f>(P63-N63)*(Q53-O63)-(Q63-O63)*(P53-N63)</f>
        <v>0</v>
      </c>
      <c r="S1644" s="7">
        <f>IF(N1644,IF(AND(O1644*P1644&lt;=0,Q1644*R1644&lt;=0,MAX(MIN(N53,P53),MIN(N63,P63))&lt;=MIN(MAX(N53,P53),MAX(N63,P63)),MAX(MIN(O53,Q53),MIN(O63,Q63))&lt;=MIN(MAX(O53,Q53),MAX(O63,Q63))),1,0),0)</f>
        <v>0</v>
      </c>
      <c r="T1644" s="7"/>
      <c r="U1644" s="7"/>
      <c r="V1644" s="7"/>
      <c r="W1644" s="7"/>
      <c r="X1644" s="7"/>
      <c r="Y1644" s="7"/>
      <c r="Z1644" s="7"/>
      <c r="AA1644" s="7"/>
      <c r="AB1644" s="7"/>
      <c r="AC1644" s="7"/>
      <c r="AD1644" s="7"/>
      <c r="AE1644" s="7"/>
      <c r="AF1644" s="7"/>
      <c r="AG1644" s="7"/>
      <c r="AH1644" s="7"/>
      <c r="AI1644" s="7"/>
    </row>
    <row r="1645" spans="12:35">
      <c r="L1645" s="7">
        <v>53</v>
      </c>
      <c r="M1645" s="7">
        <v>64</v>
      </c>
      <c r="N1645" s="7" t="b">
        <f>AND($N$7,$N$7,2&lt;=$M$7,13&lt;=$M$7)</f>
        <v>0</v>
      </c>
      <c r="O1645" s="7">
        <f>(P53-N53)*(O64-O53)-(Q53-O53)*(N64-N53)</f>
        <v>0</v>
      </c>
      <c r="P1645" s="7">
        <f>(P53-N53)*(Q64-O53)-(Q53-O53)*(P64-N53)</f>
        <v>0</v>
      </c>
      <c r="Q1645" s="7">
        <f>(P64-N64)*(O53-O64)-(Q64-O64)*(N53-N64)</f>
        <v>0</v>
      </c>
      <c r="R1645" s="7">
        <f>(P64-N64)*(Q53-O64)-(Q64-O64)*(P53-N64)</f>
        <v>0</v>
      </c>
      <c r="S1645" s="7">
        <f>IF(N1645,IF(AND(O1645*P1645&lt;=0,Q1645*R1645&lt;=0,MAX(MIN(N53,P53),MIN(N64,P64))&lt;=MIN(MAX(N53,P53),MAX(N64,P64)),MAX(MIN(O53,Q53),MIN(O64,Q64))&lt;=MIN(MAX(O53,Q53),MAX(O64,Q64))),1,0),0)</f>
        <v>0</v>
      </c>
      <c r="T1645" s="7"/>
      <c r="U1645" s="7"/>
      <c r="V1645" s="7"/>
      <c r="W1645" s="7"/>
      <c r="X1645" s="7"/>
      <c r="Y1645" s="7"/>
      <c r="Z1645" s="7"/>
      <c r="AA1645" s="7"/>
      <c r="AB1645" s="7"/>
      <c r="AC1645" s="7"/>
      <c r="AD1645" s="7"/>
      <c r="AE1645" s="7"/>
      <c r="AF1645" s="7"/>
      <c r="AG1645" s="7"/>
      <c r="AH1645" s="7"/>
      <c r="AI1645" s="7"/>
    </row>
    <row r="1646" spans="12:35">
      <c r="L1646" s="7">
        <v>53</v>
      </c>
      <c r="M1646" s="7">
        <v>65</v>
      </c>
      <c r="N1646" s="7" t="b">
        <f>AND($N$7,$N$7,2&lt;=$M$7,14&lt;=$M$7)</f>
        <v>0</v>
      </c>
      <c r="O1646" s="7">
        <f>(P53-N53)*(O65-O53)-(Q53-O53)*(N65-N53)</f>
        <v>0</v>
      </c>
      <c r="P1646" s="7">
        <f>(P53-N53)*(Q65-O53)-(Q53-O53)*(P65-N53)</f>
        <v>0</v>
      </c>
      <c r="Q1646" s="7">
        <f>(P65-N65)*(O53-O65)-(Q65-O65)*(N53-N65)</f>
        <v>0</v>
      </c>
      <c r="R1646" s="7">
        <f>(P65-N65)*(Q53-O65)-(Q65-O65)*(P53-N65)</f>
        <v>0</v>
      </c>
      <c r="S1646" s="7">
        <f>IF(N1646,IF(AND(O1646*P1646&lt;=0,Q1646*R1646&lt;=0,MAX(MIN(N53,P53),MIN(N65,P65))&lt;=MIN(MAX(N53,P53),MAX(N65,P65)),MAX(MIN(O53,Q53),MIN(O65,Q65))&lt;=MIN(MAX(O53,Q53),MAX(O65,Q65))),1,0),0)</f>
        <v>0</v>
      </c>
      <c r="T1646" s="7"/>
      <c r="U1646" s="7"/>
      <c r="V1646" s="7"/>
      <c r="W1646" s="7"/>
      <c r="X1646" s="7"/>
      <c r="Y1646" s="7"/>
      <c r="Z1646" s="7"/>
      <c r="AA1646" s="7"/>
      <c r="AB1646" s="7"/>
      <c r="AC1646" s="7"/>
      <c r="AD1646" s="7"/>
      <c r="AE1646" s="7"/>
      <c r="AF1646" s="7"/>
      <c r="AG1646" s="7"/>
      <c r="AH1646" s="7"/>
      <c r="AI1646" s="7"/>
    </row>
    <row r="1647" spans="12:35">
      <c r="L1647" s="7">
        <v>53</v>
      </c>
      <c r="M1647" s="7">
        <v>66</v>
      </c>
      <c r="N1647" s="7" t="b">
        <f>AND($N$7,$N$7,2&lt;=$M$7,15&lt;=$M$7)</f>
        <v>0</v>
      </c>
      <c r="O1647" s="7">
        <f>(P53-N53)*(O66-O53)-(Q53-O53)*(N66-N53)</f>
        <v>0</v>
      </c>
      <c r="P1647" s="7">
        <f>(P53-N53)*(Q66-O53)-(Q53-O53)*(P66-N53)</f>
        <v>0</v>
      </c>
      <c r="Q1647" s="7">
        <f>(P66-N66)*(O53-O66)-(Q66-O66)*(N53-N66)</f>
        <v>0</v>
      </c>
      <c r="R1647" s="7">
        <f>(P66-N66)*(Q53-O66)-(Q66-O66)*(P53-N66)</f>
        <v>0</v>
      </c>
      <c r="S1647" s="7">
        <f>IF(N1647,IF(AND(O1647*P1647&lt;=0,Q1647*R1647&lt;=0,MAX(MIN(N53,P53),MIN(N66,P66))&lt;=MIN(MAX(N53,P53),MAX(N66,P66)),MAX(MIN(O53,Q53),MIN(O66,Q66))&lt;=MIN(MAX(O53,Q53),MAX(O66,Q66))),1,0),0)</f>
        <v>0</v>
      </c>
      <c r="T1647" s="7"/>
      <c r="U1647" s="7"/>
      <c r="V1647" s="7"/>
      <c r="W1647" s="7"/>
      <c r="X1647" s="7"/>
      <c r="Y1647" s="7"/>
      <c r="Z1647" s="7"/>
      <c r="AA1647" s="7"/>
      <c r="AB1647" s="7"/>
      <c r="AC1647" s="7"/>
      <c r="AD1647" s="7"/>
      <c r="AE1647" s="7"/>
      <c r="AF1647" s="7"/>
      <c r="AG1647" s="7"/>
      <c r="AH1647" s="7"/>
      <c r="AI1647" s="7"/>
    </row>
    <row r="1648" spans="12:35">
      <c r="L1648" s="7">
        <v>53</v>
      </c>
      <c r="M1648" s="7">
        <v>67</v>
      </c>
      <c r="N1648" s="7" t="b">
        <f>AND($N$7,$N$7,2&lt;=$M$7,16&lt;=$M$7)</f>
        <v>0</v>
      </c>
      <c r="O1648" s="7">
        <f>(P53-N53)*(O67-O53)-(Q53-O53)*(N67-N53)</f>
        <v>0</v>
      </c>
      <c r="P1648" s="7">
        <f>(P53-N53)*(Q67-O53)-(Q53-O53)*(P67-N53)</f>
        <v>0</v>
      </c>
      <c r="Q1648" s="7">
        <f>(P67-N67)*(O53-O67)-(Q67-O67)*(N53-N67)</f>
        <v>0</v>
      </c>
      <c r="R1648" s="7">
        <f>(P67-N67)*(Q53-O67)-(Q67-O67)*(P53-N67)</f>
        <v>0</v>
      </c>
      <c r="S1648" s="7">
        <f>IF(N1648,IF(AND(O1648*P1648&lt;=0,Q1648*R1648&lt;=0,MAX(MIN(N53,P53),MIN(N67,P67))&lt;=MIN(MAX(N53,P53),MAX(N67,P67)),MAX(MIN(O53,Q53),MIN(O67,Q67))&lt;=MIN(MAX(O53,Q53),MAX(O67,Q67))),1,0),0)</f>
        <v>0</v>
      </c>
      <c r="T1648" s="7"/>
      <c r="U1648" s="7"/>
      <c r="V1648" s="7"/>
      <c r="W1648" s="7"/>
      <c r="X1648" s="7"/>
      <c r="Y1648" s="7"/>
      <c r="Z1648" s="7"/>
      <c r="AA1648" s="7"/>
      <c r="AB1648" s="7"/>
      <c r="AC1648" s="7"/>
      <c r="AD1648" s="7"/>
      <c r="AE1648" s="7"/>
      <c r="AF1648" s="7"/>
      <c r="AG1648" s="7"/>
      <c r="AH1648" s="7"/>
      <c r="AI1648" s="7"/>
    </row>
    <row r="1649" spans="12:35">
      <c r="L1649" s="7">
        <v>53</v>
      </c>
      <c r="M1649" s="7">
        <v>68</v>
      </c>
      <c r="N1649" s="7" t="b">
        <f>AND($N$7,$N$7,2&lt;=$M$7,17&lt;=$M$7)</f>
        <v>0</v>
      </c>
      <c r="O1649" s="7">
        <f>(P53-N53)*(O68-O53)-(Q53-O53)*(N68-N53)</f>
        <v>0</v>
      </c>
      <c r="P1649" s="7">
        <f>(P53-N53)*(Q68-O53)-(Q53-O53)*(P68-N53)</f>
        <v>0</v>
      </c>
      <c r="Q1649" s="7">
        <f>(P68-N68)*(O53-O68)-(Q68-O68)*(N53-N68)</f>
        <v>0</v>
      </c>
      <c r="R1649" s="7">
        <f>(P68-N68)*(Q53-O68)-(Q68-O68)*(P53-N68)</f>
        <v>0</v>
      </c>
      <c r="S1649" s="7">
        <f>IF(N1649,IF(AND(O1649*P1649&lt;=0,Q1649*R1649&lt;=0,MAX(MIN(N53,P53),MIN(N68,P68))&lt;=MIN(MAX(N53,P53),MAX(N68,P68)),MAX(MIN(O53,Q53),MIN(O68,Q68))&lt;=MIN(MAX(O53,Q53),MAX(O68,Q68))),1,0),0)</f>
        <v>0</v>
      </c>
      <c r="T1649" s="7"/>
      <c r="U1649" s="7"/>
      <c r="V1649" s="7"/>
      <c r="W1649" s="7"/>
      <c r="X1649" s="7"/>
      <c r="Y1649" s="7"/>
      <c r="Z1649" s="7"/>
      <c r="AA1649" s="7"/>
      <c r="AB1649" s="7"/>
      <c r="AC1649" s="7"/>
      <c r="AD1649" s="7"/>
      <c r="AE1649" s="7"/>
      <c r="AF1649" s="7"/>
      <c r="AG1649" s="7"/>
      <c r="AH1649" s="7"/>
      <c r="AI1649" s="7"/>
    </row>
    <row r="1650" spans="12:35">
      <c r="L1650" s="7">
        <v>53</v>
      </c>
      <c r="M1650" s="7">
        <v>69</v>
      </c>
      <c r="N1650" s="7" t="b">
        <f>AND($N$7,$N$7,2&lt;=$M$7,18&lt;=$M$7)</f>
        <v>0</v>
      </c>
      <c r="O1650" s="7">
        <f>(P53-N53)*(O69-O53)-(Q53-O53)*(N69-N53)</f>
        <v>0</v>
      </c>
      <c r="P1650" s="7">
        <f>(P53-N53)*(Q69-O53)-(Q53-O53)*(P69-N53)</f>
        <v>0</v>
      </c>
      <c r="Q1650" s="7">
        <f>(P69-N69)*(O53-O69)-(Q69-O69)*(N53-N69)</f>
        <v>0</v>
      </c>
      <c r="R1650" s="7">
        <f>(P69-N69)*(Q53-O69)-(Q69-O69)*(P53-N69)</f>
        <v>0</v>
      </c>
      <c r="S1650" s="7">
        <f>IF(N1650,IF(AND(O1650*P1650&lt;=0,Q1650*R1650&lt;=0,MAX(MIN(N53,P53),MIN(N69,P69))&lt;=MIN(MAX(N53,P53),MAX(N69,P69)),MAX(MIN(O53,Q53),MIN(O69,Q69))&lt;=MIN(MAX(O53,Q53),MAX(O69,Q69))),1,0),0)</f>
        <v>0</v>
      </c>
      <c r="T1650" s="7"/>
      <c r="U1650" s="7"/>
      <c r="V1650" s="7"/>
      <c r="W1650" s="7"/>
      <c r="X1650" s="7"/>
      <c r="Y1650" s="7"/>
      <c r="Z1650" s="7"/>
      <c r="AA1650" s="7"/>
      <c r="AB1650" s="7"/>
      <c r="AC1650" s="7"/>
      <c r="AD1650" s="7"/>
      <c r="AE1650" s="7"/>
      <c r="AF1650" s="7"/>
      <c r="AG1650" s="7"/>
      <c r="AH1650" s="7"/>
      <c r="AI1650" s="7"/>
    </row>
    <row r="1651" spans="12:35">
      <c r="L1651" s="7">
        <v>53</v>
      </c>
      <c r="M1651" s="7">
        <v>70</v>
      </c>
      <c r="N1651" s="7" t="b">
        <f>AND($N$7,$N$7,2&lt;=$M$7,19&lt;=$M$7)</f>
        <v>0</v>
      </c>
      <c r="O1651" s="7">
        <f>(P53-N53)*(O70-O53)-(Q53-O53)*(N70-N53)</f>
        <v>0</v>
      </c>
      <c r="P1651" s="7">
        <f>(P53-N53)*(Q70-O53)-(Q53-O53)*(P70-N53)</f>
        <v>0</v>
      </c>
      <c r="Q1651" s="7">
        <f>(P70-N70)*(O53-O70)-(Q70-O70)*(N53-N70)</f>
        <v>0</v>
      </c>
      <c r="R1651" s="7">
        <f>(P70-N70)*(Q53-O70)-(Q70-O70)*(P53-N70)</f>
        <v>0</v>
      </c>
      <c r="S1651" s="7">
        <f>IF(N1651,IF(AND(O1651*P1651&lt;=0,Q1651*R1651&lt;=0,MAX(MIN(N53,P53),MIN(N70,P70))&lt;=MIN(MAX(N53,P53),MAX(N70,P70)),MAX(MIN(O53,Q53),MIN(O70,Q70))&lt;=MIN(MAX(O53,Q53),MAX(O70,Q70))),1,0),0)</f>
        <v>0</v>
      </c>
      <c r="T1651" s="7"/>
      <c r="U1651" s="7"/>
      <c r="V1651" s="7"/>
      <c r="W1651" s="7"/>
      <c r="X1651" s="7"/>
      <c r="Y1651" s="7"/>
      <c r="Z1651" s="7"/>
      <c r="AA1651" s="7"/>
      <c r="AB1651" s="7"/>
      <c r="AC1651" s="7"/>
      <c r="AD1651" s="7"/>
      <c r="AE1651" s="7"/>
      <c r="AF1651" s="7"/>
      <c r="AG1651" s="7"/>
      <c r="AH1651" s="7"/>
      <c r="AI1651" s="7"/>
    </row>
    <row r="1652" spans="12:35">
      <c r="L1652" s="7">
        <v>53</v>
      </c>
      <c r="M1652" s="7">
        <v>71</v>
      </c>
      <c r="N1652" s="7" t="b">
        <f>AND($N$7,$N$7,2&lt;=$M$7,20&lt;=$M$7)</f>
        <v>0</v>
      </c>
      <c r="O1652" s="7">
        <f>(P53-N53)*(O71-O53)-(Q53-O53)*(N71-N53)</f>
        <v>0</v>
      </c>
      <c r="P1652" s="7">
        <f>(P53-N53)*(Q71-O53)-(Q53-O53)*(P71-N53)</f>
        <v>0</v>
      </c>
      <c r="Q1652" s="7">
        <f>(P71-N71)*(O53-O71)-(Q71-O71)*(N53-N71)</f>
        <v>0</v>
      </c>
      <c r="R1652" s="7">
        <f>(P71-N71)*(Q53-O71)-(Q71-O71)*(P53-N71)</f>
        <v>0</v>
      </c>
      <c r="S1652" s="7">
        <f>IF(N1652,IF(AND(O1652*P1652&lt;=0,Q1652*R1652&lt;=0,MAX(MIN(N53,P53),MIN(N71,P71))&lt;=MIN(MAX(N53,P53),MAX(N71,P71)),MAX(MIN(O53,Q53),MIN(O71,Q71))&lt;=MIN(MAX(O53,Q53),MAX(O71,Q71))),1,0),0)</f>
        <v>0</v>
      </c>
      <c r="T1652" s="7"/>
      <c r="U1652" s="7"/>
      <c r="V1652" s="7"/>
      <c r="W1652" s="7"/>
      <c r="X1652" s="7"/>
      <c r="Y1652" s="7"/>
      <c r="Z1652" s="7"/>
      <c r="AA1652" s="7"/>
      <c r="AB1652" s="7"/>
      <c r="AC1652" s="7"/>
      <c r="AD1652" s="7"/>
      <c r="AE1652" s="7"/>
      <c r="AF1652" s="7"/>
      <c r="AG1652" s="7"/>
      <c r="AH1652" s="7"/>
      <c r="AI1652" s="7"/>
    </row>
    <row r="1653" spans="12:35">
      <c r="L1653" s="7">
        <v>54</v>
      </c>
      <c r="M1653" s="7">
        <v>56</v>
      </c>
      <c r="N1653" s="7" t="b">
        <f>AND($N$7,$N$7,3&lt;=$M$7,5&lt;=$M$7)</f>
        <v>0</v>
      </c>
      <c r="O1653" s="7">
        <f>(P54-N54)*(O56-O54)-(Q54-O54)*(N56-N54)</f>
        <v>0</v>
      </c>
      <c r="P1653" s="7">
        <f>(P54-N54)*(Q56-O54)-(Q54-O54)*(P56-N54)</f>
        <v>0</v>
      </c>
      <c r="Q1653" s="7">
        <f>(P56-N56)*(O54-O56)-(Q56-O56)*(N54-N56)</f>
        <v>0</v>
      </c>
      <c r="R1653" s="7">
        <f>(P56-N56)*(Q54-O56)-(Q56-O56)*(P54-N56)</f>
        <v>0</v>
      </c>
      <c r="S1653" s="7">
        <f>IF(N1653,IF(AND(O1653*P1653&lt;=0,Q1653*R1653&lt;=0,MAX(MIN(N54,P54),MIN(N56,P56))&lt;=MIN(MAX(N54,P54),MAX(N56,P56)),MAX(MIN(O54,Q54),MIN(O56,Q56))&lt;=MIN(MAX(O54,Q54),MAX(O56,Q56))),1,0),0)</f>
        <v>0</v>
      </c>
      <c r="T1653" s="7"/>
      <c r="U1653" s="7"/>
      <c r="V1653" s="7"/>
      <c r="W1653" s="7"/>
      <c r="X1653" s="7"/>
      <c r="Y1653" s="7"/>
      <c r="Z1653" s="7"/>
      <c r="AA1653" s="7"/>
      <c r="AB1653" s="7"/>
      <c r="AC1653" s="7"/>
      <c r="AD1653" s="7"/>
      <c r="AE1653" s="7"/>
      <c r="AF1653" s="7"/>
      <c r="AG1653" s="7"/>
      <c r="AH1653" s="7"/>
      <c r="AI1653" s="7"/>
    </row>
    <row r="1654" spans="12:35">
      <c r="L1654" s="7">
        <v>54</v>
      </c>
      <c r="M1654" s="7">
        <v>57</v>
      </c>
      <c r="N1654" s="7" t="b">
        <f>AND($N$7,$N$7,3&lt;=$M$7,6&lt;=$M$7)</f>
        <v>0</v>
      </c>
      <c r="O1654" s="7">
        <f>(P54-N54)*(O57-O54)-(Q54-O54)*(N57-N54)</f>
        <v>0</v>
      </c>
      <c r="P1654" s="7">
        <f>(P54-N54)*(Q57-O54)-(Q54-O54)*(P57-N54)</f>
        <v>0</v>
      </c>
      <c r="Q1654" s="7">
        <f>(P57-N57)*(O54-O57)-(Q57-O57)*(N54-N57)</f>
        <v>0</v>
      </c>
      <c r="R1654" s="7">
        <f>(P57-N57)*(Q54-O57)-(Q57-O57)*(P54-N57)</f>
        <v>0</v>
      </c>
      <c r="S1654" s="7">
        <f>IF(N1654,IF(AND(O1654*P1654&lt;=0,Q1654*R1654&lt;=0,MAX(MIN(N54,P54),MIN(N57,P57))&lt;=MIN(MAX(N54,P54),MAX(N57,P57)),MAX(MIN(O54,Q54),MIN(O57,Q57))&lt;=MIN(MAX(O54,Q54),MAX(O57,Q57))),1,0),0)</f>
        <v>0</v>
      </c>
      <c r="T1654" s="7"/>
      <c r="U1654" s="7"/>
      <c r="V1654" s="7"/>
      <c r="W1654" s="7"/>
      <c r="X1654" s="7"/>
      <c r="Y1654" s="7"/>
      <c r="Z1654" s="7"/>
      <c r="AA1654" s="7"/>
      <c r="AB1654" s="7"/>
      <c r="AC1654" s="7"/>
      <c r="AD1654" s="7"/>
      <c r="AE1654" s="7"/>
      <c r="AF1654" s="7"/>
      <c r="AG1654" s="7"/>
      <c r="AH1654" s="7"/>
      <c r="AI1654" s="7"/>
    </row>
    <row r="1655" spans="12:35">
      <c r="L1655" s="7">
        <v>54</v>
      </c>
      <c r="M1655" s="7">
        <v>58</v>
      </c>
      <c r="N1655" s="7" t="b">
        <f>AND($N$7,$N$7,3&lt;=$M$7,7&lt;=$M$7)</f>
        <v>0</v>
      </c>
      <c r="O1655" s="7">
        <f>(P54-N54)*(O58-O54)-(Q54-O54)*(N58-N54)</f>
        <v>0</v>
      </c>
      <c r="P1655" s="7">
        <f>(P54-N54)*(Q58-O54)-(Q54-O54)*(P58-N54)</f>
        <v>0</v>
      </c>
      <c r="Q1655" s="7">
        <f>(P58-N58)*(O54-O58)-(Q58-O58)*(N54-N58)</f>
        <v>0</v>
      </c>
      <c r="R1655" s="7">
        <f>(P58-N58)*(Q54-O58)-(Q58-O58)*(P54-N58)</f>
        <v>0</v>
      </c>
      <c r="S1655" s="7">
        <f>IF(N1655,IF(AND(O1655*P1655&lt;=0,Q1655*R1655&lt;=0,MAX(MIN(N54,P54),MIN(N58,P58))&lt;=MIN(MAX(N54,P54),MAX(N58,P58)),MAX(MIN(O54,Q54),MIN(O58,Q58))&lt;=MIN(MAX(O54,Q54),MAX(O58,Q58))),1,0),0)</f>
        <v>0</v>
      </c>
      <c r="T1655" s="7"/>
      <c r="U1655" s="7"/>
      <c r="V1655" s="7"/>
      <c r="W1655" s="7"/>
      <c r="X1655" s="7"/>
      <c r="Y1655" s="7"/>
      <c r="Z1655" s="7"/>
      <c r="AA1655" s="7"/>
      <c r="AB1655" s="7"/>
      <c r="AC1655" s="7"/>
      <c r="AD1655" s="7"/>
      <c r="AE1655" s="7"/>
      <c r="AF1655" s="7"/>
      <c r="AG1655" s="7"/>
      <c r="AH1655" s="7"/>
      <c r="AI1655" s="7"/>
    </row>
    <row r="1656" spans="12:35">
      <c r="L1656" s="7">
        <v>54</v>
      </c>
      <c r="M1656" s="7">
        <v>59</v>
      </c>
      <c r="N1656" s="7" t="b">
        <f>AND($N$7,$N$7,3&lt;=$M$7,8&lt;=$M$7)</f>
        <v>0</v>
      </c>
      <c r="O1656" s="7">
        <f>(P54-N54)*(O59-O54)-(Q54-O54)*(N59-N54)</f>
        <v>0</v>
      </c>
      <c r="P1656" s="7">
        <f>(P54-N54)*(Q59-O54)-(Q54-O54)*(P59-N54)</f>
        <v>0</v>
      </c>
      <c r="Q1656" s="7">
        <f>(P59-N59)*(O54-O59)-(Q59-O59)*(N54-N59)</f>
        <v>0</v>
      </c>
      <c r="R1656" s="7">
        <f>(P59-N59)*(Q54-O59)-(Q59-O59)*(P54-N59)</f>
        <v>0</v>
      </c>
      <c r="S1656" s="7">
        <f>IF(N1656,IF(AND(O1656*P1656&lt;=0,Q1656*R1656&lt;=0,MAX(MIN(N54,P54),MIN(N59,P59))&lt;=MIN(MAX(N54,P54),MAX(N59,P59)),MAX(MIN(O54,Q54),MIN(O59,Q59))&lt;=MIN(MAX(O54,Q54),MAX(O59,Q59))),1,0),0)</f>
        <v>0</v>
      </c>
      <c r="T1656" s="7"/>
      <c r="U1656" s="7"/>
      <c r="V1656" s="7"/>
      <c r="W1656" s="7"/>
      <c r="X1656" s="7"/>
      <c r="Y1656" s="7"/>
      <c r="Z1656" s="7"/>
      <c r="AA1656" s="7"/>
      <c r="AB1656" s="7"/>
      <c r="AC1656" s="7"/>
      <c r="AD1656" s="7"/>
      <c r="AE1656" s="7"/>
      <c r="AF1656" s="7"/>
      <c r="AG1656" s="7"/>
      <c r="AH1656" s="7"/>
      <c r="AI1656" s="7"/>
    </row>
    <row r="1657" spans="12:35">
      <c r="L1657" s="7">
        <v>54</v>
      </c>
      <c r="M1657" s="7">
        <v>60</v>
      </c>
      <c r="N1657" s="7" t="b">
        <f>AND($N$7,$N$7,3&lt;=$M$7,9&lt;=$M$7)</f>
        <v>0</v>
      </c>
      <c r="O1657" s="7">
        <f>(P54-N54)*(O60-O54)-(Q54-O54)*(N60-N54)</f>
        <v>0</v>
      </c>
      <c r="P1657" s="7">
        <f>(P54-N54)*(Q60-O54)-(Q54-O54)*(P60-N54)</f>
        <v>0</v>
      </c>
      <c r="Q1657" s="7">
        <f>(P60-N60)*(O54-O60)-(Q60-O60)*(N54-N60)</f>
        <v>0</v>
      </c>
      <c r="R1657" s="7">
        <f>(P60-N60)*(Q54-O60)-(Q60-O60)*(P54-N60)</f>
        <v>0</v>
      </c>
      <c r="S1657" s="7">
        <f>IF(N1657,IF(AND(O1657*P1657&lt;=0,Q1657*R1657&lt;=0,MAX(MIN(N54,P54),MIN(N60,P60))&lt;=MIN(MAX(N54,P54),MAX(N60,P60)),MAX(MIN(O54,Q54),MIN(O60,Q60))&lt;=MIN(MAX(O54,Q54),MAX(O60,Q60))),1,0),0)</f>
        <v>0</v>
      </c>
      <c r="T1657" s="7"/>
      <c r="U1657" s="7"/>
      <c r="V1657" s="7"/>
      <c r="W1657" s="7"/>
      <c r="X1657" s="7"/>
      <c r="Y1657" s="7"/>
      <c r="Z1657" s="7"/>
      <c r="AA1657" s="7"/>
      <c r="AB1657" s="7"/>
      <c r="AC1657" s="7"/>
      <c r="AD1657" s="7"/>
      <c r="AE1657" s="7"/>
      <c r="AF1657" s="7"/>
      <c r="AG1657" s="7"/>
      <c r="AH1657" s="7"/>
      <c r="AI1657" s="7"/>
    </row>
    <row r="1658" spans="12:35">
      <c r="L1658" s="7">
        <v>54</v>
      </c>
      <c r="M1658" s="7">
        <v>61</v>
      </c>
      <c r="N1658" s="7" t="b">
        <f>AND($N$7,$N$7,3&lt;=$M$7,10&lt;=$M$7)</f>
        <v>0</v>
      </c>
      <c r="O1658" s="7">
        <f>(P54-N54)*(O61-O54)-(Q54-O54)*(N61-N54)</f>
        <v>0</v>
      </c>
      <c r="P1658" s="7">
        <f>(P54-N54)*(Q61-O54)-(Q54-O54)*(P61-N54)</f>
        <v>0</v>
      </c>
      <c r="Q1658" s="7">
        <f>(P61-N61)*(O54-O61)-(Q61-O61)*(N54-N61)</f>
        <v>0</v>
      </c>
      <c r="R1658" s="7">
        <f>(P61-N61)*(Q54-O61)-(Q61-O61)*(P54-N61)</f>
        <v>0</v>
      </c>
      <c r="S1658" s="7">
        <f>IF(N1658,IF(AND(O1658*P1658&lt;=0,Q1658*R1658&lt;=0,MAX(MIN(N54,P54),MIN(N61,P61))&lt;=MIN(MAX(N54,P54),MAX(N61,P61)),MAX(MIN(O54,Q54),MIN(O61,Q61))&lt;=MIN(MAX(O54,Q54),MAX(O61,Q61))),1,0),0)</f>
        <v>0</v>
      </c>
      <c r="T1658" s="7"/>
      <c r="U1658" s="7"/>
      <c r="V1658" s="7"/>
      <c r="W1658" s="7"/>
      <c r="X1658" s="7"/>
      <c r="Y1658" s="7"/>
      <c r="Z1658" s="7"/>
      <c r="AA1658" s="7"/>
      <c r="AB1658" s="7"/>
      <c r="AC1658" s="7"/>
      <c r="AD1658" s="7"/>
      <c r="AE1658" s="7"/>
      <c r="AF1658" s="7"/>
      <c r="AG1658" s="7"/>
      <c r="AH1658" s="7"/>
      <c r="AI1658" s="7"/>
    </row>
    <row r="1659" spans="12:35">
      <c r="L1659" s="7">
        <v>54</v>
      </c>
      <c r="M1659" s="7">
        <v>62</v>
      </c>
      <c r="N1659" s="7" t="b">
        <f>AND($N$7,$N$7,3&lt;=$M$7,11&lt;=$M$7)</f>
        <v>0</v>
      </c>
      <c r="O1659" s="7">
        <f>(P54-N54)*(O62-O54)-(Q54-O54)*(N62-N54)</f>
        <v>0</v>
      </c>
      <c r="P1659" s="7">
        <f>(P54-N54)*(Q62-O54)-(Q54-O54)*(P62-N54)</f>
        <v>0</v>
      </c>
      <c r="Q1659" s="7">
        <f>(P62-N62)*(O54-O62)-(Q62-O62)*(N54-N62)</f>
        <v>0</v>
      </c>
      <c r="R1659" s="7">
        <f>(P62-N62)*(Q54-O62)-(Q62-O62)*(P54-N62)</f>
        <v>0</v>
      </c>
      <c r="S1659" s="7">
        <f>IF(N1659,IF(AND(O1659*P1659&lt;=0,Q1659*R1659&lt;=0,MAX(MIN(N54,P54),MIN(N62,P62))&lt;=MIN(MAX(N54,P54),MAX(N62,P62)),MAX(MIN(O54,Q54),MIN(O62,Q62))&lt;=MIN(MAX(O54,Q54),MAX(O62,Q62))),1,0),0)</f>
        <v>0</v>
      </c>
      <c r="T1659" s="7"/>
      <c r="U1659" s="7"/>
      <c r="V1659" s="7"/>
      <c r="W1659" s="7"/>
      <c r="X1659" s="7"/>
      <c r="Y1659" s="7"/>
      <c r="Z1659" s="7"/>
      <c r="AA1659" s="7"/>
      <c r="AB1659" s="7"/>
      <c r="AC1659" s="7"/>
      <c r="AD1659" s="7"/>
      <c r="AE1659" s="7"/>
      <c r="AF1659" s="7"/>
      <c r="AG1659" s="7"/>
      <c r="AH1659" s="7"/>
      <c r="AI1659" s="7"/>
    </row>
    <row r="1660" spans="12:35">
      <c r="L1660" s="7">
        <v>54</v>
      </c>
      <c r="M1660" s="7">
        <v>63</v>
      </c>
      <c r="N1660" s="7" t="b">
        <f>AND($N$7,$N$7,3&lt;=$M$7,12&lt;=$M$7)</f>
        <v>0</v>
      </c>
      <c r="O1660" s="7">
        <f>(P54-N54)*(O63-O54)-(Q54-O54)*(N63-N54)</f>
        <v>0</v>
      </c>
      <c r="P1660" s="7">
        <f>(P54-N54)*(Q63-O54)-(Q54-O54)*(P63-N54)</f>
        <v>0</v>
      </c>
      <c r="Q1660" s="7">
        <f>(P63-N63)*(O54-O63)-(Q63-O63)*(N54-N63)</f>
        <v>0</v>
      </c>
      <c r="R1660" s="7">
        <f>(P63-N63)*(Q54-O63)-(Q63-O63)*(P54-N63)</f>
        <v>0</v>
      </c>
      <c r="S1660" s="7">
        <f>IF(N1660,IF(AND(O1660*P1660&lt;=0,Q1660*R1660&lt;=0,MAX(MIN(N54,P54),MIN(N63,P63))&lt;=MIN(MAX(N54,P54),MAX(N63,P63)),MAX(MIN(O54,Q54),MIN(O63,Q63))&lt;=MIN(MAX(O54,Q54),MAX(O63,Q63))),1,0),0)</f>
        <v>0</v>
      </c>
      <c r="T1660" s="7"/>
      <c r="U1660" s="7"/>
      <c r="V1660" s="7"/>
      <c r="W1660" s="7"/>
      <c r="X1660" s="7"/>
      <c r="Y1660" s="7"/>
      <c r="Z1660" s="7"/>
      <c r="AA1660" s="7"/>
      <c r="AB1660" s="7"/>
      <c r="AC1660" s="7"/>
      <c r="AD1660" s="7"/>
      <c r="AE1660" s="7"/>
      <c r="AF1660" s="7"/>
      <c r="AG1660" s="7"/>
      <c r="AH1660" s="7"/>
      <c r="AI1660" s="7"/>
    </row>
    <row r="1661" spans="12:35">
      <c r="L1661" s="7">
        <v>54</v>
      </c>
      <c r="M1661" s="7">
        <v>64</v>
      </c>
      <c r="N1661" s="7" t="b">
        <f>AND($N$7,$N$7,3&lt;=$M$7,13&lt;=$M$7)</f>
        <v>0</v>
      </c>
      <c r="O1661" s="7">
        <f>(P54-N54)*(O64-O54)-(Q54-O54)*(N64-N54)</f>
        <v>0</v>
      </c>
      <c r="P1661" s="7">
        <f>(P54-N54)*(Q64-O54)-(Q54-O54)*(P64-N54)</f>
        <v>0</v>
      </c>
      <c r="Q1661" s="7">
        <f>(P64-N64)*(O54-O64)-(Q64-O64)*(N54-N64)</f>
        <v>0</v>
      </c>
      <c r="R1661" s="7">
        <f>(P64-N64)*(Q54-O64)-(Q64-O64)*(P54-N64)</f>
        <v>0</v>
      </c>
      <c r="S1661" s="7">
        <f>IF(N1661,IF(AND(O1661*P1661&lt;=0,Q1661*R1661&lt;=0,MAX(MIN(N54,P54),MIN(N64,P64))&lt;=MIN(MAX(N54,P54),MAX(N64,P64)),MAX(MIN(O54,Q54),MIN(O64,Q64))&lt;=MIN(MAX(O54,Q54),MAX(O64,Q64))),1,0),0)</f>
        <v>0</v>
      </c>
      <c r="T1661" s="7"/>
      <c r="U1661" s="7"/>
      <c r="V1661" s="7"/>
      <c r="W1661" s="7"/>
      <c r="X1661" s="7"/>
      <c r="Y1661" s="7"/>
      <c r="Z1661" s="7"/>
      <c r="AA1661" s="7"/>
      <c r="AB1661" s="7"/>
      <c r="AC1661" s="7"/>
      <c r="AD1661" s="7"/>
      <c r="AE1661" s="7"/>
      <c r="AF1661" s="7"/>
      <c r="AG1661" s="7"/>
      <c r="AH1661" s="7"/>
      <c r="AI1661" s="7"/>
    </row>
    <row r="1662" spans="12:35">
      <c r="L1662" s="7">
        <v>54</v>
      </c>
      <c r="M1662" s="7">
        <v>65</v>
      </c>
      <c r="N1662" s="7" t="b">
        <f>AND($N$7,$N$7,3&lt;=$M$7,14&lt;=$M$7)</f>
        <v>0</v>
      </c>
      <c r="O1662" s="7">
        <f>(P54-N54)*(O65-O54)-(Q54-O54)*(N65-N54)</f>
        <v>0</v>
      </c>
      <c r="P1662" s="7">
        <f>(P54-N54)*(Q65-O54)-(Q54-O54)*(P65-N54)</f>
        <v>0</v>
      </c>
      <c r="Q1662" s="7">
        <f>(P65-N65)*(O54-O65)-(Q65-O65)*(N54-N65)</f>
        <v>0</v>
      </c>
      <c r="R1662" s="7">
        <f>(P65-N65)*(Q54-O65)-(Q65-O65)*(P54-N65)</f>
        <v>0</v>
      </c>
      <c r="S1662" s="7">
        <f>IF(N1662,IF(AND(O1662*P1662&lt;=0,Q1662*R1662&lt;=0,MAX(MIN(N54,P54),MIN(N65,P65))&lt;=MIN(MAX(N54,P54),MAX(N65,P65)),MAX(MIN(O54,Q54),MIN(O65,Q65))&lt;=MIN(MAX(O54,Q54),MAX(O65,Q65))),1,0),0)</f>
        <v>0</v>
      </c>
      <c r="T1662" s="7"/>
      <c r="U1662" s="7"/>
      <c r="V1662" s="7"/>
      <c r="W1662" s="7"/>
      <c r="X1662" s="7"/>
      <c r="Y1662" s="7"/>
      <c r="Z1662" s="7"/>
      <c r="AA1662" s="7"/>
      <c r="AB1662" s="7"/>
      <c r="AC1662" s="7"/>
      <c r="AD1662" s="7"/>
      <c r="AE1662" s="7"/>
      <c r="AF1662" s="7"/>
      <c r="AG1662" s="7"/>
      <c r="AH1662" s="7"/>
      <c r="AI1662" s="7"/>
    </row>
    <row r="1663" spans="12:35">
      <c r="L1663" s="7">
        <v>54</v>
      </c>
      <c r="M1663" s="7">
        <v>66</v>
      </c>
      <c r="N1663" s="7" t="b">
        <f>AND($N$7,$N$7,3&lt;=$M$7,15&lt;=$M$7)</f>
        <v>0</v>
      </c>
      <c r="O1663" s="7">
        <f>(P54-N54)*(O66-O54)-(Q54-O54)*(N66-N54)</f>
        <v>0</v>
      </c>
      <c r="P1663" s="7">
        <f>(P54-N54)*(Q66-O54)-(Q54-O54)*(P66-N54)</f>
        <v>0</v>
      </c>
      <c r="Q1663" s="7">
        <f>(P66-N66)*(O54-O66)-(Q66-O66)*(N54-N66)</f>
        <v>0</v>
      </c>
      <c r="R1663" s="7">
        <f>(P66-N66)*(Q54-O66)-(Q66-O66)*(P54-N66)</f>
        <v>0</v>
      </c>
      <c r="S1663" s="7">
        <f>IF(N1663,IF(AND(O1663*P1663&lt;=0,Q1663*R1663&lt;=0,MAX(MIN(N54,P54),MIN(N66,P66))&lt;=MIN(MAX(N54,P54),MAX(N66,P66)),MAX(MIN(O54,Q54),MIN(O66,Q66))&lt;=MIN(MAX(O54,Q54),MAX(O66,Q66))),1,0),0)</f>
        <v>0</v>
      </c>
      <c r="T1663" s="7"/>
      <c r="U1663" s="7"/>
      <c r="V1663" s="7"/>
      <c r="W1663" s="7"/>
      <c r="X1663" s="7"/>
      <c r="Y1663" s="7"/>
      <c r="Z1663" s="7"/>
      <c r="AA1663" s="7"/>
      <c r="AB1663" s="7"/>
      <c r="AC1663" s="7"/>
      <c r="AD1663" s="7"/>
      <c r="AE1663" s="7"/>
      <c r="AF1663" s="7"/>
      <c r="AG1663" s="7"/>
      <c r="AH1663" s="7"/>
      <c r="AI1663" s="7"/>
    </row>
    <row r="1664" spans="12:35">
      <c r="L1664" s="7">
        <v>54</v>
      </c>
      <c r="M1664" s="7">
        <v>67</v>
      </c>
      <c r="N1664" s="7" t="b">
        <f>AND($N$7,$N$7,3&lt;=$M$7,16&lt;=$M$7)</f>
        <v>0</v>
      </c>
      <c r="O1664" s="7">
        <f>(P54-N54)*(O67-O54)-(Q54-O54)*(N67-N54)</f>
        <v>0</v>
      </c>
      <c r="P1664" s="7">
        <f>(P54-N54)*(Q67-O54)-(Q54-O54)*(P67-N54)</f>
        <v>0</v>
      </c>
      <c r="Q1664" s="7">
        <f>(P67-N67)*(O54-O67)-(Q67-O67)*(N54-N67)</f>
        <v>0</v>
      </c>
      <c r="R1664" s="7">
        <f>(P67-N67)*(Q54-O67)-(Q67-O67)*(P54-N67)</f>
        <v>0</v>
      </c>
      <c r="S1664" s="7">
        <f>IF(N1664,IF(AND(O1664*P1664&lt;=0,Q1664*R1664&lt;=0,MAX(MIN(N54,P54),MIN(N67,P67))&lt;=MIN(MAX(N54,P54),MAX(N67,P67)),MAX(MIN(O54,Q54),MIN(O67,Q67))&lt;=MIN(MAX(O54,Q54),MAX(O67,Q67))),1,0),0)</f>
        <v>0</v>
      </c>
      <c r="T1664" s="7"/>
      <c r="U1664" s="7"/>
      <c r="V1664" s="7"/>
      <c r="W1664" s="7"/>
      <c r="X1664" s="7"/>
      <c r="Y1664" s="7"/>
      <c r="Z1664" s="7"/>
      <c r="AA1664" s="7"/>
      <c r="AB1664" s="7"/>
      <c r="AC1664" s="7"/>
      <c r="AD1664" s="7"/>
      <c r="AE1664" s="7"/>
      <c r="AF1664" s="7"/>
      <c r="AG1664" s="7"/>
      <c r="AH1664" s="7"/>
      <c r="AI1664" s="7"/>
    </row>
    <row r="1665" spans="12:35">
      <c r="L1665" s="7">
        <v>54</v>
      </c>
      <c r="M1665" s="7">
        <v>68</v>
      </c>
      <c r="N1665" s="7" t="b">
        <f>AND($N$7,$N$7,3&lt;=$M$7,17&lt;=$M$7)</f>
        <v>0</v>
      </c>
      <c r="O1665" s="7">
        <f>(P54-N54)*(O68-O54)-(Q54-O54)*(N68-N54)</f>
        <v>0</v>
      </c>
      <c r="P1665" s="7">
        <f>(P54-N54)*(Q68-O54)-(Q54-O54)*(P68-N54)</f>
        <v>0</v>
      </c>
      <c r="Q1665" s="7">
        <f>(P68-N68)*(O54-O68)-(Q68-O68)*(N54-N68)</f>
        <v>0</v>
      </c>
      <c r="R1665" s="7">
        <f>(P68-N68)*(Q54-O68)-(Q68-O68)*(P54-N68)</f>
        <v>0</v>
      </c>
      <c r="S1665" s="7">
        <f>IF(N1665,IF(AND(O1665*P1665&lt;=0,Q1665*R1665&lt;=0,MAX(MIN(N54,P54),MIN(N68,P68))&lt;=MIN(MAX(N54,P54),MAX(N68,P68)),MAX(MIN(O54,Q54),MIN(O68,Q68))&lt;=MIN(MAX(O54,Q54),MAX(O68,Q68))),1,0),0)</f>
        <v>0</v>
      </c>
      <c r="T1665" s="7"/>
      <c r="U1665" s="7"/>
      <c r="V1665" s="7"/>
      <c r="W1665" s="7"/>
      <c r="X1665" s="7"/>
      <c r="Y1665" s="7"/>
      <c r="Z1665" s="7"/>
      <c r="AA1665" s="7"/>
      <c r="AB1665" s="7"/>
      <c r="AC1665" s="7"/>
      <c r="AD1665" s="7"/>
      <c r="AE1665" s="7"/>
      <c r="AF1665" s="7"/>
      <c r="AG1665" s="7"/>
      <c r="AH1665" s="7"/>
      <c r="AI1665" s="7"/>
    </row>
    <row r="1666" spans="12:35">
      <c r="L1666" s="7">
        <v>54</v>
      </c>
      <c r="M1666" s="7">
        <v>69</v>
      </c>
      <c r="N1666" s="7" t="b">
        <f>AND($N$7,$N$7,3&lt;=$M$7,18&lt;=$M$7)</f>
        <v>0</v>
      </c>
      <c r="O1666" s="7">
        <f>(P54-N54)*(O69-O54)-(Q54-O54)*(N69-N54)</f>
        <v>0</v>
      </c>
      <c r="P1666" s="7">
        <f>(P54-N54)*(Q69-O54)-(Q54-O54)*(P69-N54)</f>
        <v>0</v>
      </c>
      <c r="Q1666" s="7">
        <f>(P69-N69)*(O54-O69)-(Q69-O69)*(N54-N69)</f>
        <v>0</v>
      </c>
      <c r="R1666" s="7">
        <f>(P69-N69)*(Q54-O69)-(Q69-O69)*(P54-N69)</f>
        <v>0</v>
      </c>
      <c r="S1666" s="7">
        <f>IF(N1666,IF(AND(O1666*P1666&lt;=0,Q1666*R1666&lt;=0,MAX(MIN(N54,P54),MIN(N69,P69))&lt;=MIN(MAX(N54,P54),MAX(N69,P69)),MAX(MIN(O54,Q54),MIN(O69,Q69))&lt;=MIN(MAX(O54,Q54),MAX(O69,Q69))),1,0),0)</f>
        <v>0</v>
      </c>
      <c r="T1666" s="7"/>
      <c r="U1666" s="7"/>
      <c r="V1666" s="7"/>
      <c r="W1666" s="7"/>
      <c r="X1666" s="7"/>
      <c r="Y1666" s="7"/>
      <c r="Z1666" s="7"/>
      <c r="AA1666" s="7"/>
      <c r="AB1666" s="7"/>
      <c r="AC1666" s="7"/>
      <c r="AD1666" s="7"/>
      <c r="AE1666" s="7"/>
      <c r="AF1666" s="7"/>
      <c r="AG1666" s="7"/>
      <c r="AH1666" s="7"/>
      <c r="AI1666" s="7"/>
    </row>
    <row r="1667" spans="12:35">
      <c r="L1667" s="7">
        <v>54</v>
      </c>
      <c r="M1667" s="7">
        <v>70</v>
      </c>
      <c r="N1667" s="7" t="b">
        <f>AND($N$7,$N$7,3&lt;=$M$7,19&lt;=$M$7)</f>
        <v>0</v>
      </c>
      <c r="O1667" s="7">
        <f>(P54-N54)*(O70-O54)-(Q54-O54)*(N70-N54)</f>
        <v>0</v>
      </c>
      <c r="P1667" s="7">
        <f>(P54-N54)*(Q70-O54)-(Q54-O54)*(P70-N54)</f>
        <v>0</v>
      </c>
      <c r="Q1667" s="7">
        <f>(P70-N70)*(O54-O70)-(Q70-O70)*(N54-N70)</f>
        <v>0</v>
      </c>
      <c r="R1667" s="7">
        <f>(P70-N70)*(Q54-O70)-(Q70-O70)*(P54-N70)</f>
        <v>0</v>
      </c>
      <c r="S1667" s="7">
        <f>IF(N1667,IF(AND(O1667*P1667&lt;=0,Q1667*R1667&lt;=0,MAX(MIN(N54,P54),MIN(N70,P70))&lt;=MIN(MAX(N54,P54),MAX(N70,P70)),MAX(MIN(O54,Q54),MIN(O70,Q70))&lt;=MIN(MAX(O54,Q54),MAX(O70,Q70))),1,0),0)</f>
        <v>0</v>
      </c>
      <c r="T1667" s="7"/>
      <c r="U1667" s="7"/>
      <c r="V1667" s="7"/>
      <c r="W1667" s="7"/>
      <c r="X1667" s="7"/>
      <c r="Y1667" s="7"/>
      <c r="Z1667" s="7"/>
      <c r="AA1667" s="7"/>
      <c r="AB1667" s="7"/>
      <c r="AC1667" s="7"/>
      <c r="AD1667" s="7"/>
      <c r="AE1667" s="7"/>
      <c r="AF1667" s="7"/>
      <c r="AG1667" s="7"/>
      <c r="AH1667" s="7"/>
      <c r="AI1667" s="7"/>
    </row>
    <row r="1668" spans="12:35">
      <c r="L1668" s="7">
        <v>54</v>
      </c>
      <c r="M1668" s="7">
        <v>71</v>
      </c>
      <c r="N1668" s="7" t="b">
        <f>AND($N$7,$N$7,3&lt;=$M$7,20&lt;=$M$7)</f>
        <v>0</v>
      </c>
      <c r="O1668" s="7">
        <f>(P54-N54)*(O71-O54)-(Q54-O54)*(N71-N54)</f>
        <v>0</v>
      </c>
      <c r="P1668" s="7">
        <f>(P54-N54)*(Q71-O54)-(Q54-O54)*(P71-N54)</f>
        <v>0</v>
      </c>
      <c r="Q1668" s="7">
        <f>(P71-N71)*(O54-O71)-(Q71-O71)*(N54-N71)</f>
        <v>0</v>
      </c>
      <c r="R1668" s="7">
        <f>(P71-N71)*(Q54-O71)-(Q71-O71)*(P54-N71)</f>
        <v>0</v>
      </c>
      <c r="S1668" s="7">
        <f>IF(N1668,IF(AND(O1668*P1668&lt;=0,Q1668*R1668&lt;=0,MAX(MIN(N54,P54),MIN(N71,P71))&lt;=MIN(MAX(N54,P54),MAX(N71,P71)),MAX(MIN(O54,Q54),MIN(O71,Q71))&lt;=MIN(MAX(O54,Q54),MAX(O71,Q71))),1,0),0)</f>
        <v>0</v>
      </c>
      <c r="T1668" s="7"/>
      <c r="U1668" s="7"/>
      <c r="V1668" s="7"/>
      <c r="W1668" s="7"/>
      <c r="X1668" s="7"/>
      <c r="Y1668" s="7"/>
      <c r="Z1668" s="7"/>
      <c r="AA1668" s="7"/>
      <c r="AB1668" s="7"/>
      <c r="AC1668" s="7"/>
      <c r="AD1668" s="7"/>
      <c r="AE1668" s="7"/>
      <c r="AF1668" s="7"/>
      <c r="AG1668" s="7"/>
      <c r="AH1668" s="7"/>
      <c r="AI1668" s="7"/>
    </row>
    <row r="1669" spans="12:35">
      <c r="L1669" s="7">
        <v>55</v>
      </c>
      <c r="M1669" s="7">
        <v>57</v>
      </c>
      <c r="N1669" s="7" t="b">
        <f>AND($N$7,$N$7,4&lt;=$M$7,6&lt;=$M$7)</f>
        <v>0</v>
      </c>
      <c r="O1669" s="7">
        <f>(P55-N55)*(O57-O55)-(Q55-O55)*(N57-N55)</f>
        <v>0</v>
      </c>
      <c r="P1669" s="7">
        <f>(P55-N55)*(Q57-O55)-(Q55-O55)*(P57-N55)</f>
        <v>0</v>
      </c>
      <c r="Q1669" s="7">
        <f>(P57-N57)*(O55-O57)-(Q57-O57)*(N55-N57)</f>
        <v>0</v>
      </c>
      <c r="R1669" s="7">
        <f>(P57-N57)*(Q55-O57)-(Q57-O57)*(P55-N57)</f>
        <v>0</v>
      </c>
      <c r="S1669" s="7">
        <f>IF(N1669,IF(AND(O1669*P1669&lt;=0,Q1669*R1669&lt;=0,MAX(MIN(N55,P55),MIN(N57,P57))&lt;=MIN(MAX(N55,P55),MAX(N57,P57)),MAX(MIN(O55,Q55),MIN(O57,Q57))&lt;=MIN(MAX(O55,Q55),MAX(O57,Q57))),1,0),0)</f>
        <v>0</v>
      </c>
      <c r="T1669" s="7"/>
      <c r="U1669" s="7"/>
      <c r="V1669" s="7"/>
      <c r="W1669" s="7"/>
      <c r="X1669" s="7"/>
      <c r="Y1669" s="7"/>
      <c r="Z1669" s="7"/>
      <c r="AA1669" s="7"/>
      <c r="AB1669" s="7"/>
      <c r="AC1669" s="7"/>
      <c r="AD1669" s="7"/>
      <c r="AE1669" s="7"/>
      <c r="AF1669" s="7"/>
      <c r="AG1669" s="7"/>
      <c r="AH1669" s="7"/>
      <c r="AI1669" s="7"/>
    </row>
    <row r="1670" spans="12:35">
      <c r="L1670" s="7">
        <v>55</v>
      </c>
      <c r="M1670" s="7">
        <v>58</v>
      </c>
      <c r="N1670" s="7" t="b">
        <f>AND($N$7,$N$7,4&lt;=$M$7,7&lt;=$M$7)</f>
        <v>0</v>
      </c>
      <c r="O1670" s="7">
        <f>(P55-N55)*(O58-O55)-(Q55-O55)*(N58-N55)</f>
        <v>0</v>
      </c>
      <c r="P1670" s="7">
        <f>(P55-N55)*(Q58-O55)-(Q55-O55)*(P58-N55)</f>
        <v>0</v>
      </c>
      <c r="Q1670" s="7">
        <f>(P58-N58)*(O55-O58)-(Q58-O58)*(N55-N58)</f>
        <v>0</v>
      </c>
      <c r="R1670" s="7">
        <f>(P58-N58)*(Q55-O58)-(Q58-O58)*(P55-N58)</f>
        <v>0</v>
      </c>
      <c r="S1670" s="7">
        <f>IF(N1670,IF(AND(O1670*P1670&lt;=0,Q1670*R1670&lt;=0,MAX(MIN(N55,P55),MIN(N58,P58))&lt;=MIN(MAX(N55,P55),MAX(N58,P58)),MAX(MIN(O55,Q55),MIN(O58,Q58))&lt;=MIN(MAX(O55,Q55),MAX(O58,Q58))),1,0),0)</f>
        <v>0</v>
      </c>
      <c r="T1670" s="7"/>
      <c r="U1670" s="7"/>
      <c r="V1670" s="7"/>
      <c r="W1670" s="7"/>
      <c r="X1670" s="7"/>
      <c r="Y1670" s="7"/>
      <c r="Z1670" s="7"/>
      <c r="AA1670" s="7"/>
      <c r="AB1670" s="7"/>
      <c r="AC1670" s="7"/>
      <c r="AD1670" s="7"/>
      <c r="AE1670" s="7"/>
      <c r="AF1670" s="7"/>
      <c r="AG1670" s="7"/>
      <c r="AH1670" s="7"/>
      <c r="AI1670" s="7"/>
    </row>
    <row r="1671" spans="12:35">
      <c r="L1671" s="7">
        <v>55</v>
      </c>
      <c r="M1671" s="7">
        <v>59</v>
      </c>
      <c r="N1671" s="7" t="b">
        <f>AND($N$7,$N$7,4&lt;=$M$7,8&lt;=$M$7)</f>
        <v>0</v>
      </c>
      <c r="O1671" s="7">
        <f>(P55-N55)*(O59-O55)-(Q55-O55)*(N59-N55)</f>
        <v>0</v>
      </c>
      <c r="P1671" s="7">
        <f>(P55-N55)*(Q59-O55)-(Q55-O55)*(P59-N55)</f>
        <v>0</v>
      </c>
      <c r="Q1671" s="7">
        <f>(P59-N59)*(O55-O59)-(Q59-O59)*(N55-N59)</f>
        <v>0</v>
      </c>
      <c r="R1671" s="7">
        <f>(P59-N59)*(Q55-O59)-(Q59-O59)*(P55-N59)</f>
        <v>0</v>
      </c>
      <c r="S1671" s="7">
        <f>IF(N1671,IF(AND(O1671*P1671&lt;=0,Q1671*R1671&lt;=0,MAX(MIN(N55,P55),MIN(N59,P59))&lt;=MIN(MAX(N55,P55),MAX(N59,P59)),MAX(MIN(O55,Q55),MIN(O59,Q59))&lt;=MIN(MAX(O55,Q55),MAX(O59,Q59))),1,0),0)</f>
        <v>0</v>
      </c>
      <c r="T1671" s="7"/>
      <c r="U1671" s="7"/>
      <c r="V1671" s="7"/>
      <c r="W1671" s="7"/>
      <c r="X1671" s="7"/>
      <c r="Y1671" s="7"/>
      <c r="Z1671" s="7"/>
      <c r="AA1671" s="7"/>
      <c r="AB1671" s="7"/>
      <c r="AC1671" s="7"/>
      <c r="AD1671" s="7"/>
      <c r="AE1671" s="7"/>
      <c r="AF1671" s="7"/>
      <c r="AG1671" s="7"/>
      <c r="AH1671" s="7"/>
      <c r="AI1671" s="7"/>
    </row>
    <row r="1672" spans="12:35">
      <c r="L1672" s="7">
        <v>55</v>
      </c>
      <c r="M1672" s="7">
        <v>60</v>
      </c>
      <c r="N1672" s="7" t="b">
        <f>AND($N$7,$N$7,4&lt;=$M$7,9&lt;=$M$7)</f>
        <v>0</v>
      </c>
      <c r="O1672" s="7">
        <f>(P55-N55)*(O60-O55)-(Q55-O55)*(N60-N55)</f>
        <v>0</v>
      </c>
      <c r="P1672" s="7">
        <f>(P55-N55)*(Q60-O55)-(Q55-O55)*(P60-N55)</f>
        <v>0</v>
      </c>
      <c r="Q1672" s="7">
        <f>(P60-N60)*(O55-O60)-(Q60-O60)*(N55-N60)</f>
        <v>0</v>
      </c>
      <c r="R1672" s="7">
        <f>(P60-N60)*(Q55-O60)-(Q60-O60)*(P55-N60)</f>
        <v>0</v>
      </c>
      <c r="S1672" s="7">
        <f>IF(N1672,IF(AND(O1672*P1672&lt;=0,Q1672*R1672&lt;=0,MAX(MIN(N55,P55),MIN(N60,P60))&lt;=MIN(MAX(N55,P55),MAX(N60,P60)),MAX(MIN(O55,Q55),MIN(O60,Q60))&lt;=MIN(MAX(O55,Q55),MAX(O60,Q60))),1,0),0)</f>
        <v>0</v>
      </c>
      <c r="T1672" s="7"/>
      <c r="U1672" s="7"/>
      <c r="V1672" s="7"/>
      <c r="W1672" s="7"/>
      <c r="X1672" s="7"/>
      <c r="Y1672" s="7"/>
      <c r="Z1672" s="7"/>
      <c r="AA1672" s="7"/>
      <c r="AB1672" s="7"/>
      <c r="AC1672" s="7"/>
      <c r="AD1672" s="7"/>
      <c r="AE1672" s="7"/>
      <c r="AF1672" s="7"/>
      <c r="AG1672" s="7"/>
      <c r="AH1672" s="7"/>
      <c r="AI1672" s="7"/>
    </row>
    <row r="1673" spans="12:35">
      <c r="L1673" s="7">
        <v>55</v>
      </c>
      <c r="M1673" s="7">
        <v>61</v>
      </c>
      <c r="N1673" s="7" t="b">
        <f>AND($N$7,$N$7,4&lt;=$M$7,10&lt;=$M$7)</f>
        <v>0</v>
      </c>
      <c r="O1673" s="7">
        <f>(P55-N55)*(O61-O55)-(Q55-O55)*(N61-N55)</f>
        <v>0</v>
      </c>
      <c r="P1673" s="7">
        <f>(P55-N55)*(Q61-O55)-(Q55-O55)*(P61-N55)</f>
        <v>0</v>
      </c>
      <c r="Q1673" s="7">
        <f>(P61-N61)*(O55-O61)-(Q61-O61)*(N55-N61)</f>
        <v>0</v>
      </c>
      <c r="R1673" s="7">
        <f>(P61-N61)*(Q55-O61)-(Q61-O61)*(P55-N61)</f>
        <v>0</v>
      </c>
      <c r="S1673" s="7">
        <f>IF(N1673,IF(AND(O1673*P1673&lt;=0,Q1673*R1673&lt;=0,MAX(MIN(N55,P55),MIN(N61,P61))&lt;=MIN(MAX(N55,P55),MAX(N61,P61)),MAX(MIN(O55,Q55),MIN(O61,Q61))&lt;=MIN(MAX(O55,Q55),MAX(O61,Q61))),1,0),0)</f>
        <v>0</v>
      </c>
      <c r="T1673" s="7"/>
      <c r="U1673" s="7"/>
      <c r="V1673" s="7"/>
      <c r="W1673" s="7"/>
      <c r="X1673" s="7"/>
      <c r="Y1673" s="7"/>
      <c r="Z1673" s="7"/>
      <c r="AA1673" s="7"/>
      <c r="AB1673" s="7"/>
      <c r="AC1673" s="7"/>
      <c r="AD1673" s="7"/>
      <c r="AE1673" s="7"/>
      <c r="AF1673" s="7"/>
      <c r="AG1673" s="7"/>
      <c r="AH1673" s="7"/>
      <c r="AI1673" s="7"/>
    </row>
    <row r="1674" spans="12:35">
      <c r="L1674" s="7">
        <v>55</v>
      </c>
      <c r="M1674" s="7">
        <v>62</v>
      </c>
      <c r="N1674" s="7" t="b">
        <f>AND($N$7,$N$7,4&lt;=$M$7,11&lt;=$M$7)</f>
        <v>0</v>
      </c>
      <c r="O1674" s="7">
        <f>(P55-N55)*(O62-O55)-(Q55-O55)*(N62-N55)</f>
        <v>0</v>
      </c>
      <c r="P1674" s="7">
        <f>(P55-N55)*(Q62-O55)-(Q55-O55)*(P62-N55)</f>
        <v>0</v>
      </c>
      <c r="Q1674" s="7">
        <f>(P62-N62)*(O55-O62)-(Q62-O62)*(N55-N62)</f>
        <v>0</v>
      </c>
      <c r="R1674" s="7">
        <f>(P62-N62)*(Q55-O62)-(Q62-O62)*(P55-N62)</f>
        <v>0</v>
      </c>
      <c r="S1674" s="7">
        <f>IF(N1674,IF(AND(O1674*P1674&lt;=0,Q1674*R1674&lt;=0,MAX(MIN(N55,P55),MIN(N62,P62))&lt;=MIN(MAX(N55,P55),MAX(N62,P62)),MAX(MIN(O55,Q55),MIN(O62,Q62))&lt;=MIN(MAX(O55,Q55),MAX(O62,Q62))),1,0),0)</f>
        <v>0</v>
      </c>
      <c r="T1674" s="7"/>
      <c r="U1674" s="7"/>
      <c r="V1674" s="7"/>
      <c r="W1674" s="7"/>
      <c r="X1674" s="7"/>
      <c r="Y1674" s="7"/>
      <c r="Z1674" s="7"/>
      <c r="AA1674" s="7"/>
      <c r="AB1674" s="7"/>
      <c r="AC1674" s="7"/>
      <c r="AD1674" s="7"/>
      <c r="AE1674" s="7"/>
      <c r="AF1674" s="7"/>
      <c r="AG1674" s="7"/>
      <c r="AH1674" s="7"/>
      <c r="AI1674" s="7"/>
    </row>
    <row r="1675" spans="12:35">
      <c r="L1675" s="7">
        <v>55</v>
      </c>
      <c r="M1675" s="7">
        <v>63</v>
      </c>
      <c r="N1675" s="7" t="b">
        <f>AND($N$7,$N$7,4&lt;=$M$7,12&lt;=$M$7)</f>
        <v>0</v>
      </c>
      <c r="O1675" s="7">
        <f>(P55-N55)*(O63-O55)-(Q55-O55)*(N63-N55)</f>
        <v>0</v>
      </c>
      <c r="P1675" s="7">
        <f>(P55-N55)*(Q63-O55)-(Q55-O55)*(P63-N55)</f>
        <v>0</v>
      </c>
      <c r="Q1675" s="7">
        <f>(P63-N63)*(O55-O63)-(Q63-O63)*(N55-N63)</f>
        <v>0</v>
      </c>
      <c r="R1675" s="7">
        <f>(P63-N63)*(Q55-O63)-(Q63-O63)*(P55-N63)</f>
        <v>0</v>
      </c>
      <c r="S1675" s="7">
        <f>IF(N1675,IF(AND(O1675*P1675&lt;=0,Q1675*R1675&lt;=0,MAX(MIN(N55,P55),MIN(N63,P63))&lt;=MIN(MAX(N55,P55),MAX(N63,P63)),MAX(MIN(O55,Q55),MIN(O63,Q63))&lt;=MIN(MAX(O55,Q55),MAX(O63,Q63))),1,0),0)</f>
        <v>0</v>
      </c>
      <c r="T1675" s="7"/>
      <c r="U1675" s="7"/>
      <c r="V1675" s="7"/>
      <c r="W1675" s="7"/>
      <c r="X1675" s="7"/>
      <c r="Y1675" s="7"/>
      <c r="Z1675" s="7"/>
      <c r="AA1675" s="7"/>
      <c r="AB1675" s="7"/>
      <c r="AC1675" s="7"/>
      <c r="AD1675" s="7"/>
      <c r="AE1675" s="7"/>
      <c r="AF1675" s="7"/>
      <c r="AG1675" s="7"/>
      <c r="AH1675" s="7"/>
      <c r="AI1675" s="7"/>
    </row>
    <row r="1676" spans="12:35">
      <c r="L1676" s="7">
        <v>55</v>
      </c>
      <c r="M1676" s="7">
        <v>64</v>
      </c>
      <c r="N1676" s="7" t="b">
        <f>AND($N$7,$N$7,4&lt;=$M$7,13&lt;=$M$7)</f>
        <v>0</v>
      </c>
      <c r="O1676" s="7">
        <f>(P55-N55)*(O64-O55)-(Q55-O55)*(N64-N55)</f>
        <v>0</v>
      </c>
      <c r="P1676" s="7">
        <f>(P55-N55)*(Q64-O55)-(Q55-O55)*(P64-N55)</f>
        <v>0</v>
      </c>
      <c r="Q1676" s="7">
        <f>(P64-N64)*(O55-O64)-(Q64-O64)*(N55-N64)</f>
        <v>0</v>
      </c>
      <c r="R1676" s="7">
        <f>(P64-N64)*(Q55-O64)-(Q64-O64)*(P55-N64)</f>
        <v>0</v>
      </c>
      <c r="S1676" s="7">
        <f>IF(N1676,IF(AND(O1676*P1676&lt;=0,Q1676*R1676&lt;=0,MAX(MIN(N55,P55),MIN(N64,P64))&lt;=MIN(MAX(N55,P55),MAX(N64,P64)),MAX(MIN(O55,Q55),MIN(O64,Q64))&lt;=MIN(MAX(O55,Q55),MAX(O64,Q64))),1,0),0)</f>
        <v>0</v>
      </c>
      <c r="T1676" s="7"/>
      <c r="U1676" s="7"/>
      <c r="V1676" s="7"/>
      <c r="W1676" s="7"/>
      <c r="X1676" s="7"/>
      <c r="Y1676" s="7"/>
      <c r="Z1676" s="7"/>
      <c r="AA1676" s="7"/>
      <c r="AB1676" s="7"/>
      <c r="AC1676" s="7"/>
      <c r="AD1676" s="7"/>
      <c r="AE1676" s="7"/>
      <c r="AF1676" s="7"/>
      <c r="AG1676" s="7"/>
      <c r="AH1676" s="7"/>
      <c r="AI1676" s="7"/>
    </row>
    <row r="1677" spans="12:35">
      <c r="L1677" s="7">
        <v>55</v>
      </c>
      <c r="M1677" s="7">
        <v>65</v>
      </c>
      <c r="N1677" s="7" t="b">
        <f>AND($N$7,$N$7,4&lt;=$M$7,14&lt;=$M$7)</f>
        <v>0</v>
      </c>
      <c r="O1677" s="7">
        <f>(P55-N55)*(O65-O55)-(Q55-O55)*(N65-N55)</f>
        <v>0</v>
      </c>
      <c r="P1677" s="7">
        <f>(P55-N55)*(Q65-O55)-(Q55-O55)*(P65-N55)</f>
        <v>0</v>
      </c>
      <c r="Q1677" s="7">
        <f>(P65-N65)*(O55-O65)-(Q65-O65)*(N55-N65)</f>
        <v>0</v>
      </c>
      <c r="R1677" s="7">
        <f>(P65-N65)*(Q55-O65)-(Q65-O65)*(P55-N65)</f>
        <v>0</v>
      </c>
      <c r="S1677" s="7">
        <f>IF(N1677,IF(AND(O1677*P1677&lt;=0,Q1677*R1677&lt;=0,MAX(MIN(N55,P55),MIN(N65,P65))&lt;=MIN(MAX(N55,P55),MAX(N65,P65)),MAX(MIN(O55,Q55),MIN(O65,Q65))&lt;=MIN(MAX(O55,Q55),MAX(O65,Q65))),1,0),0)</f>
        <v>0</v>
      </c>
      <c r="T1677" s="7"/>
      <c r="U1677" s="7"/>
      <c r="V1677" s="7"/>
      <c r="W1677" s="7"/>
      <c r="X1677" s="7"/>
      <c r="Y1677" s="7"/>
      <c r="Z1677" s="7"/>
      <c r="AA1677" s="7"/>
      <c r="AB1677" s="7"/>
      <c r="AC1677" s="7"/>
      <c r="AD1677" s="7"/>
      <c r="AE1677" s="7"/>
      <c r="AF1677" s="7"/>
      <c r="AG1677" s="7"/>
      <c r="AH1677" s="7"/>
      <c r="AI1677" s="7"/>
    </row>
    <row r="1678" spans="12:35">
      <c r="L1678" s="7">
        <v>55</v>
      </c>
      <c r="M1678" s="7">
        <v>66</v>
      </c>
      <c r="N1678" s="7" t="b">
        <f>AND($N$7,$N$7,4&lt;=$M$7,15&lt;=$M$7)</f>
        <v>0</v>
      </c>
      <c r="O1678" s="7">
        <f>(P55-N55)*(O66-O55)-(Q55-O55)*(N66-N55)</f>
        <v>0</v>
      </c>
      <c r="P1678" s="7">
        <f>(P55-N55)*(Q66-O55)-(Q55-O55)*(P66-N55)</f>
        <v>0</v>
      </c>
      <c r="Q1678" s="7">
        <f>(P66-N66)*(O55-O66)-(Q66-O66)*(N55-N66)</f>
        <v>0</v>
      </c>
      <c r="R1678" s="7">
        <f>(P66-N66)*(Q55-O66)-(Q66-O66)*(P55-N66)</f>
        <v>0</v>
      </c>
      <c r="S1678" s="7">
        <f>IF(N1678,IF(AND(O1678*P1678&lt;=0,Q1678*R1678&lt;=0,MAX(MIN(N55,P55),MIN(N66,P66))&lt;=MIN(MAX(N55,P55),MAX(N66,P66)),MAX(MIN(O55,Q55),MIN(O66,Q66))&lt;=MIN(MAX(O55,Q55),MAX(O66,Q66))),1,0),0)</f>
        <v>0</v>
      </c>
      <c r="T1678" s="7"/>
      <c r="U1678" s="7"/>
      <c r="V1678" s="7"/>
      <c r="W1678" s="7"/>
      <c r="X1678" s="7"/>
      <c r="Y1678" s="7"/>
      <c r="Z1678" s="7"/>
      <c r="AA1678" s="7"/>
      <c r="AB1678" s="7"/>
      <c r="AC1678" s="7"/>
      <c r="AD1678" s="7"/>
      <c r="AE1678" s="7"/>
      <c r="AF1678" s="7"/>
      <c r="AG1678" s="7"/>
      <c r="AH1678" s="7"/>
      <c r="AI1678" s="7"/>
    </row>
    <row r="1679" spans="12:35">
      <c r="L1679" s="7">
        <v>55</v>
      </c>
      <c r="M1679" s="7">
        <v>67</v>
      </c>
      <c r="N1679" s="7" t="b">
        <f>AND($N$7,$N$7,4&lt;=$M$7,16&lt;=$M$7)</f>
        <v>0</v>
      </c>
      <c r="O1679" s="7">
        <f>(P55-N55)*(O67-O55)-(Q55-O55)*(N67-N55)</f>
        <v>0</v>
      </c>
      <c r="P1679" s="7">
        <f>(P55-N55)*(Q67-O55)-(Q55-O55)*(P67-N55)</f>
        <v>0</v>
      </c>
      <c r="Q1679" s="7">
        <f>(P67-N67)*(O55-O67)-(Q67-O67)*(N55-N67)</f>
        <v>0</v>
      </c>
      <c r="R1679" s="7">
        <f>(P67-N67)*(Q55-O67)-(Q67-O67)*(P55-N67)</f>
        <v>0</v>
      </c>
      <c r="S1679" s="7">
        <f>IF(N1679,IF(AND(O1679*P1679&lt;=0,Q1679*R1679&lt;=0,MAX(MIN(N55,P55),MIN(N67,P67))&lt;=MIN(MAX(N55,P55),MAX(N67,P67)),MAX(MIN(O55,Q55),MIN(O67,Q67))&lt;=MIN(MAX(O55,Q55),MAX(O67,Q67))),1,0),0)</f>
        <v>0</v>
      </c>
      <c r="T1679" s="7"/>
      <c r="U1679" s="7"/>
      <c r="V1679" s="7"/>
      <c r="W1679" s="7"/>
      <c r="X1679" s="7"/>
      <c r="Y1679" s="7"/>
      <c r="Z1679" s="7"/>
      <c r="AA1679" s="7"/>
      <c r="AB1679" s="7"/>
      <c r="AC1679" s="7"/>
      <c r="AD1679" s="7"/>
      <c r="AE1679" s="7"/>
      <c r="AF1679" s="7"/>
      <c r="AG1679" s="7"/>
      <c r="AH1679" s="7"/>
      <c r="AI1679" s="7"/>
    </row>
    <row r="1680" spans="12:35">
      <c r="L1680" s="7">
        <v>55</v>
      </c>
      <c r="M1680" s="7">
        <v>68</v>
      </c>
      <c r="N1680" s="7" t="b">
        <f>AND($N$7,$N$7,4&lt;=$M$7,17&lt;=$M$7)</f>
        <v>0</v>
      </c>
      <c r="O1680" s="7">
        <f>(P55-N55)*(O68-O55)-(Q55-O55)*(N68-N55)</f>
        <v>0</v>
      </c>
      <c r="P1680" s="7">
        <f>(P55-N55)*(Q68-O55)-(Q55-O55)*(P68-N55)</f>
        <v>0</v>
      </c>
      <c r="Q1680" s="7">
        <f>(P68-N68)*(O55-O68)-(Q68-O68)*(N55-N68)</f>
        <v>0</v>
      </c>
      <c r="R1680" s="7">
        <f>(P68-N68)*(Q55-O68)-(Q68-O68)*(P55-N68)</f>
        <v>0</v>
      </c>
      <c r="S1680" s="7">
        <f>IF(N1680,IF(AND(O1680*P1680&lt;=0,Q1680*R1680&lt;=0,MAX(MIN(N55,P55),MIN(N68,P68))&lt;=MIN(MAX(N55,P55),MAX(N68,P68)),MAX(MIN(O55,Q55),MIN(O68,Q68))&lt;=MIN(MAX(O55,Q55),MAX(O68,Q68))),1,0),0)</f>
        <v>0</v>
      </c>
      <c r="T1680" s="7"/>
      <c r="U1680" s="7"/>
      <c r="V1680" s="7"/>
      <c r="W1680" s="7"/>
      <c r="X1680" s="7"/>
      <c r="Y1680" s="7"/>
      <c r="Z1680" s="7"/>
      <c r="AA1680" s="7"/>
      <c r="AB1680" s="7"/>
      <c r="AC1680" s="7"/>
      <c r="AD1680" s="7"/>
      <c r="AE1680" s="7"/>
      <c r="AF1680" s="7"/>
      <c r="AG1680" s="7"/>
      <c r="AH1680" s="7"/>
      <c r="AI1680" s="7"/>
    </row>
    <row r="1681" spans="12:35">
      <c r="L1681" s="7">
        <v>55</v>
      </c>
      <c r="M1681" s="7">
        <v>69</v>
      </c>
      <c r="N1681" s="7" t="b">
        <f>AND($N$7,$N$7,4&lt;=$M$7,18&lt;=$M$7)</f>
        <v>0</v>
      </c>
      <c r="O1681" s="7">
        <f>(P55-N55)*(O69-O55)-(Q55-O55)*(N69-N55)</f>
        <v>0</v>
      </c>
      <c r="P1681" s="7">
        <f>(P55-N55)*(Q69-O55)-(Q55-O55)*(P69-N55)</f>
        <v>0</v>
      </c>
      <c r="Q1681" s="7">
        <f>(P69-N69)*(O55-O69)-(Q69-O69)*(N55-N69)</f>
        <v>0</v>
      </c>
      <c r="R1681" s="7">
        <f>(P69-N69)*(Q55-O69)-(Q69-O69)*(P55-N69)</f>
        <v>0</v>
      </c>
      <c r="S1681" s="7">
        <f>IF(N1681,IF(AND(O1681*P1681&lt;=0,Q1681*R1681&lt;=0,MAX(MIN(N55,P55),MIN(N69,P69))&lt;=MIN(MAX(N55,P55),MAX(N69,P69)),MAX(MIN(O55,Q55),MIN(O69,Q69))&lt;=MIN(MAX(O55,Q55),MAX(O69,Q69))),1,0),0)</f>
        <v>0</v>
      </c>
      <c r="T1681" s="7"/>
      <c r="U1681" s="7"/>
      <c r="V1681" s="7"/>
      <c r="W1681" s="7"/>
      <c r="X1681" s="7"/>
      <c r="Y1681" s="7"/>
      <c r="Z1681" s="7"/>
      <c r="AA1681" s="7"/>
      <c r="AB1681" s="7"/>
      <c r="AC1681" s="7"/>
      <c r="AD1681" s="7"/>
      <c r="AE1681" s="7"/>
      <c r="AF1681" s="7"/>
      <c r="AG1681" s="7"/>
      <c r="AH1681" s="7"/>
      <c r="AI1681" s="7"/>
    </row>
    <row r="1682" spans="12:35">
      <c r="L1682" s="7">
        <v>55</v>
      </c>
      <c r="M1682" s="7">
        <v>70</v>
      </c>
      <c r="N1682" s="7" t="b">
        <f>AND($N$7,$N$7,4&lt;=$M$7,19&lt;=$M$7)</f>
        <v>0</v>
      </c>
      <c r="O1682" s="7">
        <f>(P55-N55)*(O70-O55)-(Q55-O55)*(N70-N55)</f>
        <v>0</v>
      </c>
      <c r="P1682" s="7">
        <f>(P55-N55)*(Q70-O55)-(Q55-O55)*(P70-N55)</f>
        <v>0</v>
      </c>
      <c r="Q1682" s="7">
        <f>(P70-N70)*(O55-O70)-(Q70-O70)*(N55-N70)</f>
        <v>0</v>
      </c>
      <c r="R1682" s="7">
        <f>(P70-N70)*(Q55-O70)-(Q70-O70)*(P55-N70)</f>
        <v>0</v>
      </c>
      <c r="S1682" s="7">
        <f>IF(N1682,IF(AND(O1682*P1682&lt;=0,Q1682*R1682&lt;=0,MAX(MIN(N55,P55),MIN(N70,P70))&lt;=MIN(MAX(N55,P55),MAX(N70,P70)),MAX(MIN(O55,Q55),MIN(O70,Q70))&lt;=MIN(MAX(O55,Q55),MAX(O70,Q70))),1,0),0)</f>
        <v>0</v>
      </c>
      <c r="T1682" s="7"/>
      <c r="U1682" s="7"/>
      <c r="V1682" s="7"/>
      <c r="W1682" s="7"/>
      <c r="X1682" s="7"/>
      <c r="Y1682" s="7"/>
      <c r="Z1682" s="7"/>
      <c r="AA1682" s="7"/>
      <c r="AB1682" s="7"/>
      <c r="AC1682" s="7"/>
      <c r="AD1682" s="7"/>
      <c r="AE1682" s="7"/>
      <c r="AF1682" s="7"/>
      <c r="AG1682" s="7"/>
      <c r="AH1682" s="7"/>
      <c r="AI1682" s="7"/>
    </row>
    <row r="1683" spans="12:35">
      <c r="L1683" s="7">
        <v>55</v>
      </c>
      <c r="M1683" s="7">
        <v>71</v>
      </c>
      <c r="N1683" s="7" t="b">
        <f>AND($N$7,$N$7,4&lt;=$M$7,20&lt;=$M$7)</f>
        <v>0</v>
      </c>
      <c r="O1683" s="7">
        <f>(P55-N55)*(O71-O55)-(Q55-O55)*(N71-N55)</f>
        <v>0</v>
      </c>
      <c r="P1683" s="7">
        <f>(P55-N55)*(Q71-O55)-(Q55-O55)*(P71-N55)</f>
        <v>0</v>
      </c>
      <c r="Q1683" s="7">
        <f>(P71-N71)*(O55-O71)-(Q71-O71)*(N55-N71)</f>
        <v>0</v>
      </c>
      <c r="R1683" s="7">
        <f>(P71-N71)*(Q55-O71)-(Q71-O71)*(P55-N71)</f>
        <v>0</v>
      </c>
      <c r="S1683" s="7">
        <f>IF(N1683,IF(AND(O1683*P1683&lt;=0,Q1683*R1683&lt;=0,MAX(MIN(N55,P55),MIN(N71,P71))&lt;=MIN(MAX(N55,P55),MAX(N71,P71)),MAX(MIN(O55,Q55),MIN(O71,Q71))&lt;=MIN(MAX(O55,Q55),MAX(O71,Q71))),1,0),0)</f>
        <v>0</v>
      </c>
      <c r="T1683" s="7"/>
      <c r="U1683" s="7"/>
      <c r="V1683" s="7"/>
      <c r="W1683" s="7"/>
      <c r="X1683" s="7"/>
      <c r="Y1683" s="7"/>
      <c r="Z1683" s="7"/>
      <c r="AA1683" s="7"/>
      <c r="AB1683" s="7"/>
      <c r="AC1683" s="7"/>
      <c r="AD1683" s="7"/>
      <c r="AE1683" s="7"/>
      <c r="AF1683" s="7"/>
      <c r="AG1683" s="7"/>
      <c r="AH1683" s="7"/>
      <c r="AI1683" s="7"/>
    </row>
    <row r="1684" spans="12:35">
      <c r="L1684" s="7">
        <v>56</v>
      </c>
      <c r="M1684" s="7">
        <v>58</v>
      </c>
      <c r="N1684" s="7" t="b">
        <f>AND($N$7,$N$7,5&lt;=$M$7,7&lt;=$M$7)</f>
        <v>0</v>
      </c>
      <c r="O1684" s="7">
        <f>(P56-N56)*(O58-O56)-(Q56-O56)*(N58-N56)</f>
        <v>0</v>
      </c>
      <c r="P1684" s="7">
        <f>(P56-N56)*(Q58-O56)-(Q56-O56)*(P58-N56)</f>
        <v>0</v>
      </c>
      <c r="Q1684" s="7">
        <f>(P58-N58)*(O56-O58)-(Q58-O58)*(N56-N58)</f>
        <v>0</v>
      </c>
      <c r="R1684" s="7">
        <f>(P58-N58)*(Q56-O58)-(Q58-O58)*(P56-N58)</f>
        <v>0</v>
      </c>
      <c r="S1684" s="7">
        <f>IF(N1684,IF(AND(O1684*P1684&lt;=0,Q1684*R1684&lt;=0,MAX(MIN(N56,P56),MIN(N58,P58))&lt;=MIN(MAX(N56,P56),MAX(N58,P58)),MAX(MIN(O56,Q56),MIN(O58,Q58))&lt;=MIN(MAX(O56,Q56),MAX(O58,Q58))),1,0),0)</f>
        <v>0</v>
      </c>
      <c r="T1684" s="7"/>
      <c r="U1684" s="7"/>
      <c r="V1684" s="7"/>
      <c r="W1684" s="7"/>
      <c r="X1684" s="7"/>
      <c r="Y1684" s="7"/>
      <c r="Z1684" s="7"/>
      <c r="AA1684" s="7"/>
      <c r="AB1684" s="7"/>
      <c r="AC1684" s="7"/>
      <c r="AD1684" s="7"/>
      <c r="AE1684" s="7"/>
      <c r="AF1684" s="7"/>
      <c r="AG1684" s="7"/>
      <c r="AH1684" s="7"/>
      <c r="AI1684" s="7"/>
    </row>
    <row r="1685" spans="12:35">
      <c r="L1685" s="7">
        <v>56</v>
      </c>
      <c r="M1685" s="7">
        <v>59</v>
      </c>
      <c r="N1685" s="7" t="b">
        <f>AND($N$7,$N$7,5&lt;=$M$7,8&lt;=$M$7)</f>
        <v>0</v>
      </c>
      <c r="O1685" s="7">
        <f>(P56-N56)*(O59-O56)-(Q56-O56)*(N59-N56)</f>
        <v>0</v>
      </c>
      <c r="P1685" s="7">
        <f>(P56-N56)*(Q59-O56)-(Q56-O56)*(P59-N56)</f>
        <v>0</v>
      </c>
      <c r="Q1685" s="7">
        <f>(P59-N59)*(O56-O59)-(Q59-O59)*(N56-N59)</f>
        <v>0</v>
      </c>
      <c r="R1685" s="7">
        <f>(P59-N59)*(Q56-O59)-(Q59-O59)*(P56-N59)</f>
        <v>0</v>
      </c>
      <c r="S1685" s="7">
        <f>IF(N1685,IF(AND(O1685*P1685&lt;=0,Q1685*R1685&lt;=0,MAX(MIN(N56,P56),MIN(N59,P59))&lt;=MIN(MAX(N56,P56),MAX(N59,P59)),MAX(MIN(O56,Q56),MIN(O59,Q59))&lt;=MIN(MAX(O56,Q56),MAX(O59,Q59))),1,0),0)</f>
        <v>0</v>
      </c>
      <c r="T1685" s="7"/>
      <c r="U1685" s="7"/>
      <c r="V1685" s="7"/>
      <c r="W1685" s="7"/>
      <c r="X1685" s="7"/>
      <c r="Y1685" s="7"/>
      <c r="Z1685" s="7"/>
      <c r="AA1685" s="7"/>
      <c r="AB1685" s="7"/>
      <c r="AC1685" s="7"/>
      <c r="AD1685" s="7"/>
      <c r="AE1685" s="7"/>
      <c r="AF1685" s="7"/>
      <c r="AG1685" s="7"/>
      <c r="AH1685" s="7"/>
      <c r="AI1685" s="7"/>
    </row>
    <row r="1686" spans="12:35">
      <c r="L1686" s="7">
        <v>56</v>
      </c>
      <c r="M1686" s="7">
        <v>60</v>
      </c>
      <c r="N1686" s="7" t="b">
        <f>AND($N$7,$N$7,5&lt;=$M$7,9&lt;=$M$7)</f>
        <v>0</v>
      </c>
      <c r="O1686" s="7">
        <f>(P56-N56)*(O60-O56)-(Q56-O56)*(N60-N56)</f>
        <v>0</v>
      </c>
      <c r="P1686" s="7">
        <f>(P56-N56)*(Q60-O56)-(Q56-O56)*(P60-N56)</f>
        <v>0</v>
      </c>
      <c r="Q1686" s="7">
        <f>(P60-N60)*(O56-O60)-(Q60-O60)*(N56-N60)</f>
        <v>0</v>
      </c>
      <c r="R1686" s="7">
        <f>(P60-N60)*(Q56-O60)-(Q60-O60)*(P56-N60)</f>
        <v>0</v>
      </c>
      <c r="S1686" s="7">
        <f>IF(N1686,IF(AND(O1686*P1686&lt;=0,Q1686*R1686&lt;=0,MAX(MIN(N56,P56),MIN(N60,P60))&lt;=MIN(MAX(N56,P56),MAX(N60,P60)),MAX(MIN(O56,Q56),MIN(O60,Q60))&lt;=MIN(MAX(O56,Q56),MAX(O60,Q60))),1,0),0)</f>
        <v>0</v>
      </c>
      <c r="T1686" s="7"/>
      <c r="U1686" s="7"/>
      <c r="V1686" s="7"/>
      <c r="W1686" s="7"/>
      <c r="X1686" s="7"/>
      <c r="Y1686" s="7"/>
      <c r="Z1686" s="7"/>
      <c r="AA1686" s="7"/>
      <c r="AB1686" s="7"/>
      <c r="AC1686" s="7"/>
      <c r="AD1686" s="7"/>
      <c r="AE1686" s="7"/>
      <c r="AF1686" s="7"/>
      <c r="AG1686" s="7"/>
      <c r="AH1686" s="7"/>
      <c r="AI1686" s="7"/>
    </row>
    <row r="1687" spans="12:35">
      <c r="L1687" s="7">
        <v>56</v>
      </c>
      <c r="M1687" s="7">
        <v>61</v>
      </c>
      <c r="N1687" s="7" t="b">
        <f>AND($N$7,$N$7,5&lt;=$M$7,10&lt;=$M$7)</f>
        <v>0</v>
      </c>
      <c r="O1687" s="7">
        <f>(P56-N56)*(O61-O56)-(Q56-O56)*(N61-N56)</f>
        <v>0</v>
      </c>
      <c r="P1687" s="7">
        <f>(P56-N56)*(Q61-O56)-(Q56-O56)*(P61-N56)</f>
        <v>0</v>
      </c>
      <c r="Q1687" s="7">
        <f>(P61-N61)*(O56-O61)-(Q61-O61)*(N56-N61)</f>
        <v>0</v>
      </c>
      <c r="R1687" s="7">
        <f>(P61-N61)*(Q56-O61)-(Q61-O61)*(P56-N61)</f>
        <v>0</v>
      </c>
      <c r="S1687" s="7">
        <f>IF(N1687,IF(AND(O1687*P1687&lt;=0,Q1687*R1687&lt;=0,MAX(MIN(N56,P56),MIN(N61,P61))&lt;=MIN(MAX(N56,P56),MAX(N61,P61)),MAX(MIN(O56,Q56),MIN(O61,Q61))&lt;=MIN(MAX(O56,Q56),MAX(O61,Q61))),1,0),0)</f>
        <v>0</v>
      </c>
      <c r="T1687" s="7"/>
      <c r="U1687" s="7"/>
      <c r="V1687" s="7"/>
      <c r="W1687" s="7"/>
      <c r="X1687" s="7"/>
      <c r="Y1687" s="7"/>
      <c r="Z1687" s="7"/>
      <c r="AA1687" s="7"/>
      <c r="AB1687" s="7"/>
      <c r="AC1687" s="7"/>
      <c r="AD1687" s="7"/>
      <c r="AE1687" s="7"/>
      <c r="AF1687" s="7"/>
      <c r="AG1687" s="7"/>
      <c r="AH1687" s="7"/>
      <c r="AI1687" s="7"/>
    </row>
    <row r="1688" spans="12:35">
      <c r="L1688" s="7">
        <v>56</v>
      </c>
      <c r="M1688" s="7">
        <v>62</v>
      </c>
      <c r="N1688" s="7" t="b">
        <f>AND($N$7,$N$7,5&lt;=$M$7,11&lt;=$M$7)</f>
        <v>0</v>
      </c>
      <c r="O1688" s="7">
        <f>(P56-N56)*(O62-O56)-(Q56-O56)*(N62-N56)</f>
        <v>0</v>
      </c>
      <c r="P1688" s="7">
        <f>(P56-N56)*(Q62-O56)-(Q56-O56)*(P62-N56)</f>
        <v>0</v>
      </c>
      <c r="Q1688" s="7">
        <f>(P62-N62)*(O56-O62)-(Q62-O62)*(N56-N62)</f>
        <v>0</v>
      </c>
      <c r="R1688" s="7">
        <f>(P62-N62)*(Q56-O62)-(Q62-O62)*(P56-N62)</f>
        <v>0</v>
      </c>
      <c r="S1688" s="7">
        <f>IF(N1688,IF(AND(O1688*P1688&lt;=0,Q1688*R1688&lt;=0,MAX(MIN(N56,P56),MIN(N62,P62))&lt;=MIN(MAX(N56,P56),MAX(N62,P62)),MAX(MIN(O56,Q56),MIN(O62,Q62))&lt;=MIN(MAX(O56,Q56),MAX(O62,Q62))),1,0),0)</f>
        <v>0</v>
      </c>
      <c r="T1688" s="7"/>
      <c r="U1688" s="7"/>
      <c r="V1688" s="7"/>
      <c r="W1688" s="7"/>
      <c r="X1688" s="7"/>
      <c r="Y1688" s="7"/>
      <c r="Z1688" s="7"/>
      <c r="AA1688" s="7"/>
      <c r="AB1688" s="7"/>
      <c r="AC1688" s="7"/>
      <c r="AD1688" s="7"/>
      <c r="AE1688" s="7"/>
      <c r="AF1688" s="7"/>
      <c r="AG1688" s="7"/>
      <c r="AH1688" s="7"/>
      <c r="AI1688" s="7"/>
    </row>
    <row r="1689" spans="12:35">
      <c r="L1689" s="7">
        <v>56</v>
      </c>
      <c r="M1689" s="7">
        <v>63</v>
      </c>
      <c r="N1689" s="7" t="b">
        <f>AND($N$7,$N$7,5&lt;=$M$7,12&lt;=$M$7)</f>
        <v>0</v>
      </c>
      <c r="O1689" s="7">
        <f>(P56-N56)*(O63-O56)-(Q56-O56)*(N63-N56)</f>
        <v>0</v>
      </c>
      <c r="P1689" s="7">
        <f>(P56-N56)*(Q63-O56)-(Q56-O56)*(P63-N56)</f>
        <v>0</v>
      </c>
      <c r="Q1689" s="7">
        <f>(P63-N63)*(O56-O63)-(Q63-O63)*(N56-N63)</f>
        <v>0</v>
      </c>
      <c r="R1689" s="7">
        <f>(P63-N63)*(Q56-O63)-(Q63-O63)*(P56-N63)</f>
        <v>0</v>
      </c>
      <c r="S1689" s="7">
        <f>IF(N1689,IF(AND(O1689*P1689&lt;=0,Q1689*R1689&lt;=0,MAX(MIN(N56,P56),MIN(N63,P63))&lt;=MIN(MAX(N56,P56),MAX(N63,P63)),MAX(MIN(O56,Q56),MIN(O63,Q63))&lt;=MIN(MAX(O56,Q56),MAX(O63,Q63))),1,0),0)</f>
        <v>0</v>
      </c>
      <c r="T1689" s="7"/>
      <c r="U1689" s="7"/>
      <c r="V1689" s="7"/>
      <c r="W1689" s="7"/>
      <c r="X1689" s="7"/>
      <c r="Y1689" s="7"/>
      <c r="Z1689" s="7"/>
      <c r="AA1689" s="7"/>
      <c r="AB1689" s="7"/>
      <c r="AC1689" s="7"/>
      <c r="AD1689" s="7"/>
      <c r="AE1689" s="7"/>
      <c r="AF1689" s="7"/>
      <c r="AG1689" s="7"/>
      <c r="AH1689" s="7"/>
      <c r="AI1689" s="7"/>
    </row>
    <row r="1690" spans="12:35">
      <c r="L1690" s="7">
        <v>56</v>
      </c>
      <c r="M1690" s="7">
        <v>64</v>
      </c>
      <c r="N1690" s="7" t="b">
        <f>AND($N$7,$N$7,5&lt;=$M$7,13&lt;=$M$7)</f>
        <v>0</v>
      </c>
      <c r="O1690" s="7">
        <f>(P56-N56)*(O64-O56)-(Q56-O56)*(N64-N56)</f>
        <v>0</v>
      </c>
      <c r="P1690" s="7">
        <f>(P56-N56)*(Q64-O56)-(Q56-O56)*(P64-N56)</f>
        <v>0</v>
      </c>
      <c r="Q1690" s="7">
        <f>(P64-N64)*(O56-O64)-(Q64-O64)*(N56-N64)</f>
        <v>0</v>
      </c>
      <c r="R1690" s="7">
        <f>(P64-N64)*(Q56-O64)-(Q64-O64)*(P56-N64)</f>
        <v>0</v>
      </c>
      <c r="S1690" s="7">
        <f>IF(N1690,IF(AND(O1690*P1690&lt;=0,Q1690*R1690&lt;=0,MAX(MIN(N56,P56),MIN(N64,P64))&lt;=MIN(MAX(N56,P56),MAX(N64,P64)),MAX(MIN(O56,Q56),MIN(O64,Q64))&lt;=MIN(MAX(O56,Q56),MAX(O64,Q64))),1,0),0)</f>
        <v>0</v>
      </c>
      <c r="T1690" s="7"/>
      <c r="U1690" s="7"/>
      <c r="V1690" s="7"/>
      <c r="W1690" s="7"/>
      <c r="X1690" s="7"/>
      <c r="Y1690" s="7"/>
      <c r="Z1690" s="7"/>
      <c r="AA1690" s="7"/>
      <c r="AB1690" s="7"/>
      <c r="AC1690" s="7"/>
      <c r="AD1690" s="7"/>
      <c r="AE1690" s="7"/>
      <c r="AF1690" s="7"/>
      <c r="AG1690" s="7"/>
      <c r="AH1690" s="7"/>
      <c r="AI1690" s="7"/>
    </row>
    <row r="1691" spans="12:35">
      <c r="L1691" s="7">
        <v>56</v>
      </c>
      <c r="M1691" s="7">
        <v>65</v>
      </c>
      <c r="N1691" s="7" t="b">
        <f>AND($N$7,$N$7,5&lt;=$M$7,14&lt;=$M$7)</f>
        <v>0</v>
      </c>
      <c r="O1691" s="7">
        <f>(P56-N56)*(O65-O56)-(Q56-O56)*(N65-N56)</f>
        <v>0</v>
      </c>
      <c r="P1691" s="7">
        <f>(P56-N56)*(Q65-O56)-(Q56-O56)*(P65-N56)</f>
        <v>0</v>
      </c>
      <c r="Q1691" s="7">
        <f>(P65-N65)*(O56-O65)-(Q65-O65)*(N56-N65)</f>
        <v>0</v>
      </c>
      <c r="R1691" s="7">
        <f>(P65-N65)*(Q56-O65)-(Q65-O65)*(P56-N65)</f>
        <v>0</v>
      </c>
      <c r="S1691" s="7">
        <f>IF(N1691,IF(AND(O1691*P1691&lt;=0,Q1691*R1691&lt;=0,MAX(MIN(N56,P56),MIN(N65,P65))&lt;=MIN(MAX(N56,P56),MAX(N65,P65)),MAX(MIN(O56,Q56),MIN(O65,Q65))&lt;=MIN(MAX(O56,Q56),MAX(O65,Q65))),1,0),0)</f>
        <v>0</v>
      </c>
      <c r="T1691" s="7"/>
      <c r="U1691" s="7"/>
      <c r="V1691" s="7"/>
      <c r="W1691" s="7"/>
      <c r="X1691" s="7"/>
      <c r="Y1691" s="7"/>
      <c r="Z1691" s="7"/>
      <c r="AA1691" s="7"/>
      <c r="AB1691" s="7"/>
      <c r="AC1691" s="7"/>
      <c r="AD1691" s="7"/>
      <c r="AE1691" s="7"/>
      <c r="AF1691" s="7"/>
      <c r="AG1691" s="7"/>
      <c r="AH1691" s="7"/>
      <c r="AI1691" s="7"/>
    </row>
    <row r="1692" spans="12:35">
      <c r="L1692" s="7">
        <v>56</v>
      </c>
      <c r="M1692" s="7">
        <v>66</v>
      </c>
      <c r="N1692" s="7" t="b">
        <f>AND($N$7,$N$7,5&lt;=$M$7,15&lt;=$M$7)</f>
        <v>0</v>
      </c>
      <c r="O1692" s="7">
        <f>(P56-N56)*(O66-O56)-(Q56-O56)*(N66-N56)</f>
        <v>0</v>
      </c>
      <c r="P1692" s="7">
        <f>(P56-N56)*(Q66-O56)-(Q56-O56)*(P66-N56)</f>
        <v>0</v>
      </c>
      <c r="Q1692" s="7">
        <f>(P66-N66)*(O56-O66)-(Q66-O66)*(N56-N66)</f>
        <v>0</v>
      </c>
      <c r="R1692" s="7">
        <f>(P66-N66)*(Q56-O66)-(Q66-O66)*(P56-N66)</f>
        <v>0</v>
      </c>
      <c r="S1692" s="7">
        <f>IF(N1692,IF(AND(O1692*P1692&lt;=0,Q1692*R1692&lt;=0,MAX(MIN(N56,P56),MIN(N66,P66))&lt;=MIN(MAX(N56,P56),MAX(N66,P66)),MAX(MIN(O56,Q56),MIN(O66,Q66))&lt;=MIN(MAX(O56,Q56),MAX(O66,Q66))),1,0),0)</f>
        <v>0</v>
      </c>
      <c r="T1692" s="7"/>
      <c r="U1692" s="7"/>
      <c r="V1692" s="7"/>
      <c r="W1692" s="7"/>
      <c r="X1692" s="7"/>
      <c r="Y1692" s="7"/>
      <c r="Z1692" s="7"/>
      <c r="AA1692" s="7"/>
      <c r="AB1692" s="7"/>
      <c r="AC1692" s="7"/>
      <c r="AD1692" s="7"/>
      <c r="AE1692" s="7"/>
      <c r="AF1692" s="7"/>
      <c r="AG1692" s="7"/>
      <c r="AH1692" s="7"/>
      <c r="AI1692" s="7"/>
    </row>
    <row r="1693" spans="12:35">
      <c r="L1693" s="7">
        <v>56</v>
      </c>
      <c r="M1693" s="7">
        <v>67</v>
      </c>
      <c r="N1693" s="7" t="b">
        <f>AND($N$7,$N$7,5&lt;=$M$7,16&lt;=$M$7)</f>
        <v>0</v>
      </c>
      <c r="O1693" s="7">
        <f>(P56-N56)*(O67-O56)-(Q56-O56)*(N67-N56)</f>
        <v>0</v>
      </c>
      <c r="P1693" s="7">
        <f>(P56-N56)*(Q67-O56)-(Q56-O56)*(P67-N56)</f>
        <v>0</v>
      </c>
      <c r="Q1693" s="7">
        <f>(P67-N67)*(O56-O67)-(Q67-O67)*(N56-N67)</f>
        <v>0</v>
      </c>
      <c r="R1693" s="7">
        <f>(P67-N67)*(Q56-O67)-(Q67-O67)*(P56-N67)</f>
        <v>0</v>
      </c>
      <c r="S1693" s="7">
        <f>IF(N1693,IF(AND(O1693*P1693&lt;=0,Q1693*R1693&lt;=0,MAX(MIN(N56,P56),MIN(N67,P67))&lt;=MIN(MAX(N56,P56),MAX(N67,P67)),MAX(MIN(O56,Q56),MIN(O67,Q67))&lt;=MIN(MAX(O56,Q56),MAX(O67,Q67))),1,0),0)</f>
        <v>0</v>
      </c>
      <c r="T1693" s="7"/>
      <c r="U1693" s="7"/>
      <c r="V1693" s="7"/>
      <c r="W1693" s="7"/>
      <c r="X1693" s="7"/>
      <c r="Y1693" s="7"/>
      <c r="Z1693" s="7"/>
      <c r="AA1693" s="7"/>
      <c r="AB1693" s="7"/>
      <c r="AC1693" s="7"/>
      <c r="AD1693" s="7"/>
      <c r="AE1693" s="7"/>
      <c r="AF1693" s="7"/>
      <c r="AG1693" s="7"/>
      <c r="AH1693" s="7"/>
      <c r="AI1693" s="7"/>
    </row>
    <row r="1694" spans="12:35">
      <c r="L1694" s="7">
        <v>56</v>
      </c>
      <c r="M1694" s="7">
        <v>68</v>
      </c>
      <c r="N1694" s="7" t="b">
        <f>AND($N$7,$N$7,5&lt;=$M$7,17&lt;=$M$7)</f>
        <v>0</v>
      </c>
      <c r="O1694" s="7">
        <f>(P56-N56)*(O68-O56)-(Q56-O56)*(N68-N56)</f>
        <v>0</v>
      </c>
      <c r="P1694" s="7">
        <f>(P56-N56)*(Q68-O56)-(Q56-O56)*(P68-N56)</f>
        <v>0</v>
      </c>
      <c r="Q1694" s="7">
        <f>(P68-N68)*(O56-O68)-(Q68-O68)*(N56-N68)</f>
        <v>0</v>
      </c>
      <c r="R1694" s="7">
        <f>(P68-N68)*(Q56-O68)-(Q68-O68)*(P56-N68)</f>
        <v>0</v>
      </c>
      <c r="S1694" s="7">
        <f>IF(N1694,IF(AND(O1694*P1694&lt;=0,Q1694*R1694&lt;=0,MAX(MIN(N56,P56),MIN(N68,P68))&lt;=MIN(MAX(N56,P56),MAX(N68,P68)),MAX(MIN(O56,Q56),MIN(O68,Q68))&lt;=MIN(MAX(O56,Q56),MAX(O68,Q68))),1,0),0)</f>
        <v>0</v>
      </c>
      <c r="T1694" s="7"/>
      <c r="U1694" s="7"/>
      <c r="V1694" s="7"/>
      <c r="W1694" s="7"/>
      <c r="X1694" s="7"/>
      <c r="Y1694" s="7"/>
      <c r="Z1694" s="7"/>
      <c r="AA1694" s="7"/>
      <c r="AB1694" s="7"/>
      <c r="AC1694" s="7"/>
      <c r="AD1694" s="7"/>
      <c r="AE1694" s="7"/>
      <c r="AF1694" s="7"/>
      <c r="AG1694" s="7"/>
      <c r="AH1694" s="7"/>
      <c r="AI1694" s="7"/>
    </row>
    <row r="1695" spans="12:35">
      <c r="L1695" s="7">
        <v>56</v>
      </c>
      <c r="M1695" s="7">
        <v>69</v>
      </c>
      <c r="N1695" s="7" t="b">
        <f>AND($N$7,$N$7,5&lt;=$M$7,18&lt;=$M$7)</f>
        <v>0</v>
      </c>
      <c r="O1695" s="7">
        <f>(P56-N56)*(O69-O56)-(Q56-O56)*(N69-N56)</f>
        <v>0</v>
      </c>
      <c r="P1695" s="7">
        <f>(P56-N56)*(Q69-O56)-(Q56-O56)*(P69-N56)</f>
        <v>0</v>
      </c>
      <c r="Q1695" s="7">
        <f>(P69-N69)*(O56-O69)-(Q69-O69)*(N56-N69)</f>
        <v>0</v>
      </c>
      <c r="R1695" s="7">
        <f>(P69-N69)*(Q56-O69)-(Q69-O69)*(P56-N69)</f>
        <v>0</v>
      </c>
      <c r="S1695" s="7">
        <f>IF(N1695,IF(AND(O1695*P1695&lt;=0,Q1695*R1695&lt;=0,MAX(MIN(N56,P56),MIN(N69,P69))&lt;=MIN(MAX(N56,P56),MAX(N69,P69)),MAX(MIN(O56,Q56),MIN(O69,Q69))&lt;=MIN(MAX(O56,Q56),MAX(O69,Q69))),1,0),0)</f>
        <v>0</v>
      </c>
      <c r="T1695" s="7"/>
      <c r="U1695" s="7"/>
      <c r="V1695" s="7"/>
      <c r="W1695" s="7"/>
      <c r="X1695" s="7"/>
      <c r="Y1695" s="7"/>
      <c r="Z1695" s="7"/>
      <c r="AA1695" s="7"/>
      <c r="AB1695" s="7"/>
      <c r="AC1695" s="7"/>
      <c r="AD1695" s="7"/>
      <c r="AE1695" s="7"/>
      <c r="AF1695" s="7"/>
      <c r="AG1695" s="7"/>
      <c r="AH1695" s="7"/>
      <c r="AI1695" s="7"/>
    </row>
    <row r="1696" spans="12:35">
      <c r="L1696" s="7">
        <v>56</v>
      </c>
      <c r="M1696" s="7">
        <v>70</v>
      </c>
      <c r="N1696" s="7" t="b">
        <f>AND($N$7,$N$7,5&lt;=$M$7,19&lt;=$M$7)</f>
        <v>0</v>
      </c>
      <c r="O1696" s="7">
        <f>(P56-N56)*(O70-O56)-(Q56-O56)*(N70-N56)</f>
        <v>0</v>
      </c>
      <c r="P1696" s="7">
        <f>(P56-N56)*(Q70-O56)-(Q56-O56)*(P70-N56)</f>
        <v>0</v>
      </c>
      <c r="Q1696" s="7">
        <f>(P70-N70)*(O56-O70)-(Q70-O70)*(N56-N70)</f>
        <v>0</v>
      </c>
      <c r="R1696" s="7">
        <f>(P70-N70)*(Q56-O70)-(Q70-O70)*(P56-N70)</f>
        <v>0</v>
      </c>
      <c r="S1696" s="7">
        <f>IF(N1696,IF(AND(O1696*P1696&lt;=0,Q1696*R1696&lt;=0,MAX(MIN(N56,P56),MIN(N70,P70))&lt;=MIN(MAX(N56,P56),MAX(N70,P70)),MAX(MIN(O56,Q56),MIN(O70,Q70))&lt;=MIN(MAX(O56,Q56),MAX(O70,Q70))),1,0),0)</f>
        <v>0</v>
      </c>
      <c r="T1696" s="7"/>
      <c r="U1696" s="7"/>
      <c r="V1696" s="7"/>
      <c r="W1696" s="7"/>
      <c r="X1696" s="7"/>
      <c r="Y1696" s="7"/>
      <c r="Z1696" s="7"/>
      <c r="AA1696" s="7"/>
      <c r="AB1696" s="7"/>
      <c r="AC1696" s="7"/>
      <c r="AD1696" s="7"/>
      <c r="AE1696" s="7"/>
      <c r="AF1696" s="7"/>
      <c r="AG1696" s="7"/>
      <c r="AH1696" s="7"/>
      <c r="AI1696" s="7"/>
    </row>
    <row r="1697" spans="12:35">
      <c r="L1697" s="7">
        <v>56</v>
      </c>
      <c r="M1697" s="7">
        <v>71</v>
      </c>
      <c r="N1697" s="7" t="b">
        <f>AND($N$7,$N$7,5&lt;=$M$7,20&lt;=$M$7)</f>
        <v>0</v>
      </c>
      <c r="O1697" s="7">
        <f>(P56-N56)*(O71-O56)-(Q56-O56)*(N71-N56)</f>
        <v>0</v>
      </c>
      <c r="P1697" s="7">
        <f>(P56-N56)*(Q71-O56)-(Q56-O56)*(P71-N56)</f>
        <v>0</v>
      </c>
      <c r="Q1697" s="7">
        <f>(P71-N71)*(O56-O71)-(Q71-O71)*(N56-N71)</f>
        <v>0</v>
      </c>
      <c r="R1697" s="7">
        <f>(P71-N71)*(Q56-O71)-(Q71-O71)*(P56-N71)</f>
        <v>0</v>
      </c>
      <c r="S1697" s="7">
        <f>IF(N1697,IF(AND(O1697*P1697&lt;=0,Q1697*R1697&lt;=0,MAX(MIN(N56,P56),MIN(N71,P71))&lt;=MIN(MAX(N56,P56),MAX(N71,P71)),MAX(MIN(O56,Q56),MIN(O71,Q71))&lt;=MIN(MAX(O56,Q56),MAX(O71,Q71))),1,0),0)</f>
        <v>0</v>
      </c>
      <c r="T1697" s="7"/>
      <c r="U1697" s="7"/>
      <c r="V1697" s="7"/>
      <c r="W1697" s="7"/>
      <c r="X1697" s="7"/>
      <c r="Y1697" s="7"/>
      <c r="Z1697" s="7"/>
      <c r="AA1697" s="7"/>
      <c r="AB1697" s="7"/>
      <c r="AC1697" s="7"/>
      <c r="AD1697" s="7"/>
      <c r="AE1697" s="7"/>
      <c r="AF1697" s="7"/>
      <c r="AG1697" s="7"/>
      <c r="AH1697" s="7"/>
      <c r="AI1697" s="7"/>
    </row>
    <row r="1698" spans="12:35">
      <c r="L1698" s="7">
        <v>57</v>
      </c>
      <c r="M1698" s="7">
        <v>59</v>
      </c>
      <c r="N1698" s="7" t="b">
        <f>AND($N$7,$N$7,6&lt;=$M$7,8&lt;=$M$7)</f>
        <v>0</v>
      </c>
      <c r="O1698" s="7">
        <f>(P57-N57)*(O59-O57)-(Q57-O57)*(N59-N57)</f>
        <v>0</v>
      </c>
      <c r="P1698" s="7">
        <f>(P57-N57)*(Q59-O57)-(Q57-O57)*(P59-N57)</f>
        <v>0</v>
      </c>
      <c r="Q1698" s="7">
        <f>(P59-N59)*(O57-O59)-(Q59-O59)*(N57-N59)</f>
        <v>0</v>
      </c>
      <c r="R1698" s="7">
        <f>(P59-N59)*(Q57-O59)-(Q59-O59)*(P57-N59)</f>
        <v>0</v>
      </c>
      <c r="S1698" s="7">
        <f>IF(N1698,IF(AND(O1698*P1698&lt;=0,Q1698*R1698&lt;=0,MAX(MIN(N57,P57),MIN(N59,P59))&lt;=MIN(MAX(N57,P57),MAX(N59,P59)),MAX(MIN(O57,Q57),MIN(O59,Q59))&lt;=MIN(MAX(O57,Q57),MAX(O59,Q59))),1,0),0)</f>
        <v>0</v>
      </c>
      <c r="T1698" s="7"/>
      <c r="U1698" s="7"/>
      <c r="V1698" s="7"/>
      <c r="W1698" s="7"/>
      <c r="X1698" s="7"/>
      <c r="Y1698" s="7"/>
      <c r="Z1698" s="7"/>
      <c r="AA1698" s="7"/>
      <c r="AB1698" s="7"/>
      <c r="AC1698" s="7"/>
      <c r="AD1698" s="7"/>
      <c r="AE1698" s="7"/>
      <c r="AF1698" s="7"/>
      <c r="AG1698" s="7"/>
      <c r="AH1698" s="7"/>
      <c r="AI1698" s="7"/>
    </row>
    <row r="1699" spans="12:35">
      <c r="L1699" s="7">
        <v>57</v>
      </c>
      <c r="M1699" s="7">
        <v>60</v>
      </c>
      <c r="N1699" s="7" t="b">
        <f>AND($N$7,$N$7,6&lt;=$M$7,9&lt;=$M$7)</f>
        <v>0</v>
      </c>
      <c r="O1699" s="7">
        <f>(P57-N57)*(O60-O57)-(Q57-O57)*(N60-N57)</f>
        <v>0</v>
      </c>
      <c r="P1699" s="7">
        <f>(P57-N57)*(Q60-O57)-(Q57-O57)*(P60-N57)</f>
        <v>0</v>
      </c>
      <c r="Q1699" s="7">
        <f>(P60-N60)*(O57-O60)-(Q60-O60)*(N57-N60)</f>
        <v>0</v>
      </c>
      <c r="R1699" s="7">
        <f>(P60-N60)*(Q57-O60)-(Q60-O60)*(P57-N60)</f>
        <v>0</v>
      </c>
      <c r="S1699" s="7">
        <f>IF(N1699,IF(AND(O1699*P1699&lt;=0,Q1699*R1699&lt;=0,MAX(MIN(N57,P57),MIN(N60,P60))&lt;=MIN(MAX(N57,P57),MAX(N60,P60)),MAX(MIN(O57,Q57),MIN(O60,Q60))&lt;=MIN(MAX(O57,Q57),MAX(O60,Q60))),1,0),0)</f>
        <v>0</v>
      </c>
      <c r="T1699" s="7"/>
      <c r="U1699" s="7"/>
      <c r="V1699" s="7"/>
      <c r="W1699" s="7"/>
      <c r="X1699" s="7"/>
      <c r="Y1699" s="7"/>
      <c r="Z1699" s="7"/>
      <c r="AA1699" s="7"/>
      <c r="AB1699" s="7"/>
      <c r="AC1699" s="7"/>
      <c r="AD1699" s="7"/>
      <c r="AE1699" s="7"/>
      <c r="AF1699" s="7"/>
      <c r="AG1699" s="7"/>
      <c r="AH1699" s="7"/>
      <c r="AI1699" s="7"/>
    </row>
    <row r="1700" spans="12:35">
      <c r="L1700" s="7">
        <v>57</v>
      </c>
      <c r="M1700" s="7">
        <v>61</v>
      </c>
      <c r="N1700" s="7" t="b">
        <f>AND($N$7,$N$7,6&lt;=$M$7,10&lt;=$M$7)</f>
        <v>0</v>
      </c>
      <c r="O1700" s="7">
        <f>(P57-N57)*(O61-O57)-(Q57-O57)*(N61-N57)</f>
        <v>0</v>
      </c>
      <c r="P1700" s="7">
        <f>(P57-N57)*(Q61-O57)-(Q57-O57)*(P61-N57)</f>
        <v>0</v>
      </c>
      <c r="Q1700" s="7">
        <f>(P61-N61)*(O57-O61)-(Q61-O61)*(N57-N61)</f>
        <v>0</v>
      </c>
      <c r="R1700" s="7">
        <f>(P61-N61)*(Q57-O61)-(Q61-O61)*(P57-N61)</f>
        <v>0</v>
      </c>
      <c r="S1700" s="7">
        <f>IF(N1700,IF(AND(O1700*P1700&lt;=0,Q1700*R1700&lt;=0,MAX(MIN(N57,P57),MIN(N61,P61))&lt;=MIN(MAX(N57,P57),MAX(N61,P61)),MAX(MIN(O57,Q57),MIN(O61,Q61))&lt;=MIN(MAX(O57,Q57),MAX(O61,Q61))),1,0),0)</f>
        <v>0</v>
      </c>
      <c r="T1700" s="7"/>
      <c r="U1700" s="7"/>
      <c r="V1700" s="7"/>
      <c r="W1700" s="7"/>
      <c r="X1700" s="7"/>
      <c r="Y1700" s="7"/>
      <c r="Z1700" s="7"/>
      <c r="AA1700" s="7"/>
      <c r="AB1700" s="7"/>
      <c r="AC1700" s="7"/>
      <c r="AD1700" s="7"/>
      <c r="AE1700" s="7"/>
      <c r="AF1700" s="7"/>
      <c r="AG1700" s="7"/>
      <c r="AH1700" s="7"/>
      <c r="AI1700" s="7"/>
    </row>
    <row r="1701" spans="12:35">
      <c r="L1701" s="7">
        <v>57</v>
      </c>
      <c r="M1701" s="7">
        <v>62</v>
      </c>
      <c r="N1701" s="7" t="b">
        <f>AND($N$7,$N$7,6&lt;=$M$7,11&lt;=$M$7)</f>
        <v>0</v>
      </c>
      <c r="O1701" s="7">
        <f>(P57-N57)*(O62-O57)-(Q57-O57)*(N62-N57)</f>
        <v>0</v>
      </c>
      <c r="P1701" s="7">
        <f>(P57-N57)*(Q62-O57)-(Q57-O57)*(P62-N57)</f>
        <v>0</v>
      </c>
      <c r="Q1701" s="7">
        <f>(P62-N62)*(O57-O62)-(Q62-O62)*(N57-N62)</f>
        <v>0</v>
      </c>
      <c r="R1701" s="7">
        <f>(P62-N62)*(Q57-O62)-(Q62-O62)*(P57-N62)</f>
        <v>0</v>
      </c>
      <c r="S1701" s="7">
        <f>IF(N1701,IF(AND(O1701*P1701&lt;=0,Q1701*R1701&lt;=0,MAX(MIN(N57,P57),MIN(N62,P62))&lt;=MIN(MAX(N57,P57),MAX(N62,P62)),MAX(MIN(O57,Q57),MIN(O62,Q62))&lt;=MIN(MAX(O57,Q57),MAX(O62,Q62))),1,0),0)</f>
        <v>0</v>
      </c>
      <c r="T1701" s="7"/>
      <c r="U1701" s="7"/>
      <c r="V1701" s="7"/>
      <c r="W1701" s="7"/>
      <c r="X1701" s="7"/>
      <c r="Y1701" s="7"/>
      <c r="Z1701" s="7"/>
      <c r="AA1701" s="7"/>
      <c r="AB1701" s="7"/>
      <c r="AC1701" s="7"/>
      <c r="AD1701" s="7"/>
      <c r="AE1701" s="7"/>
      <c r="AF1701" s="7"/>
      <c r="AG1701" s="7"/>
      <c r="AH1701" s="7"/>
      <c r="AI1701" s="7"/>
    </row>
    <row r="1702" spans="12:35">
      <c r="L1702" s="7">
        <v>57</v>
      </c>
      <c r="M1702" s="7">
        <v>63</v>
      </c>
      <c r="N1702" s="7" t="b">
        <f>AND($N$7,$N$7,6&lt;=$M$7,12&lt;=$M$7)</f>
        <v>0</v>
      </c>
      <c r="O1702" s="7">
        <f>(P57-N57)*(O63-O57)-(Q57-O57)*(N63-N57)</f>
        <v>0</v>
      </c>
      <c r="P1702" s="7">
        <f>(P57-N57)*(Q63-O57)-(Q57-O57)*(P63-N57)</f>
        <v>0</v>
      </c>
      <c r="Q1702" s="7">
        <f>(P63-N63)*(O57-O63)-(Q63-O63)*(N57-N63)</f>
        <v>0</v>
      </c>
      <c r="R1702" s="7">
        <f>(P63-N63)*(Q57-O63)-(Q63-O63)*(P57-N63)</f>
        <v>0</v>
      </c>
      <c r="S1702" s="7">
        <f>IF(N1702,IF(AND(O1702*P1702&lt;=0,Q1702*R1702&lt;=0,MAX(MIN(N57,P57),MIN(N63,P63))&lt;=MIN(MAX(N57,P57),MAX(N63,P63)),MAX(MIN(O57,Q57),MIN(O63,Q63))&lt;=MIN(MAX(O57,Q57),MAX(O63,Q63))),1,0),0)</f>
        <v>0</v>
      </c>
      <c r="T1702" s="7"/>
      <c r="U1702" s="7"/>
      <c r="V1702" s="7"/>
      <c r="W1702" s="7"/>
      <c r="X1702" s="7"/>
      <c r="Y1702" s="7"/>
      <c r="Z1702" s="7"/>
      <c r="AA1702" s="7"/>
      <c r="AB1702" s="7"/>
      <c r="AC1702" s="7"/>
      <c r="AD1702" s="7"/>
      <c r="AE1702" s="7"/>
      <c r="AF1702" s="7"/>
      <c r="AG1702" s="7"/>
      <c r="AH1702" s="7"/>
      <c r="AI1702" s="7"/>
    </row>
    <row r="1703" spans="12:35">
      <c r="L1703" s="7">
        <v>57</v>
      </c>
      <c r="M1703" s="7">
        <v>64</v>
      </c>
      <c r="N1703" s="7" t="b">
        <f>AND($N$7,$N$7,6&lt;=$M$7,13&lt;=$M$7)</f>
        <v>0</v>
      </c>
      <c r="O1703" s="7">
        <f>(P57-N57)*(O64-O57)-(Q57-O57)*(N64-N57)</f>
        <v>0</v>
      </c>
      <c r="P1703" s="7">
        <f>(P57-N57)*(Q64-O57)-(Q57-O57)*(P64-N57)</f>
        <v>0</v>
      </c>
      <c r="Q1703" s="7">
        <f>(P64-N64)*(O57-O64)-(Q64-O64)*(N57-N64)</f>
        <v>0</v>
      </c>
      <c r="R1703" s="7">
        <f>(P64-N64)*(Q57-O64)-(Q64-O64)*(P57-N64)</f>
        <v>0</v>
      </c>
      <c r="S1703" s="7">
        <f>IF(N1703,IF(AND(O1703*P1703&lt;=0,Q1703*R1703&lt;=0,MAX(MIN(N57,P57),MIN(N64,P64))&lt;=MIN(MAX(N57,P57),MAX(N64,P64)),MAX(MIN(O57,Q57),MIN(O64,Q64))&lt;=MIN(MAX(O57,Q57),MAX(O64,Q64))),1,0),0)</f>
        <v>0</v>
      </c>
      <c r="T1703" s="7"/>
      <c r="U1703" s="7"/>
      <c r="V1703" s="7"/>
      <c r="W1703" s="7"/>
      <c r="X1703" s="7"/>
      <c r="Y1703" s="7"/>
      <c r="Z1703" s="7"/>
      <c r="AA1703" s="7"/>
      <c r="AB1703" s="7"/>
      <c r="AC1703" s="7"/>
      <c r="AD1703" s="7"/>
      <c r="AE1703" s="7"/>
      <c r="AF1703" s="7"/>
      <c r="AG1703" s="7"/>
      <c r="AH1703" s="7"/>
      <c r="AI1703" s="7"/>
    </row>
    <row r="1704" spans="12:35">
      <c r="L1704" s="7">
        <v>57</v>
      </c>
      <c r="M1704" s="7">
        <v>65</v>
      </c>
      <c r="N1704" s="7" t="b">
        <f>AND($N$7,$N$7,6&lt;=$M$7,14&lt;=$M$7)</f>
        <v>0</v>
      </c>
      <c r="O1704" s="7">
        <f>(P57-N57)*(O65-O57)-(Q57-O57)*(N65-N57)</f>
        <v>0</v>
      </c>
      <c r="P1704" s="7">
        <f>(P57-N57)*(Q65-O57)-(Q57-O57)*(P65-N57)</f>
        <v>0</v>
      </c>
      <c r="Q1704" s="7">
        <f>(P65-N65)*(O57-O65)-(Q65-O65)*(N57-N65)</f>
        <v>0</v>
      </c>
      <c r="R1704" s="7">
        <f>(P65-N65)*(Q57-O65)-(Q65-O65)*(P57-N65)</f>
        <v>0</v>
      </c>
      <c r="S1704" s="7">
        <f>IF(N1704,IF(AND(O1704*P1704&lt;=0,Q1704*R1704&lt;=0,MAX(MIN(N57,P57),MIN(N65,P65))&lt;=MIN(MAX(N57,P57),MAX(N65,P65)),MAX(MIN(O57,Q57),MIN(O65,Q65))&lt;=MIN(MAX(O57,Q57),MAX(O65,Q65))),1,0),0)</f>
        <v>0</v>
      </c>
      <c r="T1704" s="7"/>
      <c r="U1704" s="7"/>
      <c r="V1704" s="7"/>
      <c r="W1704" s="7"/>
      <c r="X1704" s="7"/>
      <c r="Y1704" s="7"/>
      <c r="Z1704" s="7"/>
      <c r="AA1704" s="7"/>
      <c r="AB1704" s="7"/>
      <c r="AC1704" s="7"/>
      <c r="AD1704" s="7"/>
      <c r="AE1704" s="7"/>
      <c r="AF1704" s="7"/>
      <c r="AG1704" s="7"/>
      <c r="AH1704" s="7"/>
      <c r="AI1704" s="7"/>
    </row>
    <row r="1705" spans="12:35">
      <c r="L1705" s="7">
        <v>57</v>
      </c>
      <c r="M1705" s="7">
        <v>66</v>
      </c>
      <c r="N1705" s="7" t="b">
        <f>AND($N$7,$N$7,6&lt;=$M$7,15&lt;=$M$7)</f>
        <v>0</v>
      </c>
      <c r="O1705" s="7">
        <f>(P57-N57)*(O66-O57)-(Q57-O57)*(N66-N57)</f>
        <v>0</v>
      </c>
      <c r="P1705" s="7">
        <f>(P57-N57)*(Q66-O57)-(Q57-O57)*(P66-N57)</f>
        <v>0</v>
      </c>
      <c r="Q1705" s="7">
        <f>(P66-N66)*(O57-O66)-(Q66-O66)*(N57-N66)</f>
        <v>0</v>
      </c>
      <c r="R1705" s="7">
        <f>(P66-N66)*(Q57-O66)-(Q66-O66)*(P57-N66)</f>
        <v>0</v>
      </c>
      <c r="S1705" s="7">
        <f>IF(N1705,IF(AND(O1705*P1705&lt;=0,Q1705*R1705&lt;=0,MAX(MIN(N57,P57),MIN(N66,P66))&lt;=MIN(MAX(N57,P57),MAX(N66,P66)),MAX(MIN(O57,Q57),MIN(O66,Q66))&lt;=MIN(MAX(O57,Q57),MAX(O66,Q66))),1,0),0)</f>
        <v>0</v>
      </c>
      <c r="T1705" s="7"/>
      <c r="U1705" s="7"/>
      <c r="V1705" s="7"/>
      <c r="W1705" s="7"/>
      <c r="X1705" s="7"/>
      <c r="Y1705" s="7"/>
      <c r="Z1705" s="7"/>
      <c r="AA1705" s="7"/>
      <c r="AB1705" s="7"/>
      <c r="AC1705" s="7"/>
      <c r="AD1705" s="7"/>
      <c r="AE1705" s="7"/>
      <c r="AF1705" s="7"/>
      <c r="AG1705" s="7"/>
      <c r="AH1705" s="7"/>
      <c r="AI1705" s="7"/>
    </row>
    <row r="1706" spans="12:35">
      <c r="L1706" s="7">
        <v>57</v>
      </c>
      <c r="M1706" s="7">
        <v>67</v>
      </c>
      <c r="N1706" s="7" t="b">
        <f>AND($N$7,$N$7,6&lt;=$M$7,16&lt;=$M$7)</f>
        <v>0</v>
      </c>
      <c r="O1706" s="7">
        <f>(P57-N57)*(O67-O57)-(Q57-O57)*(N67-N57)</f>
        <v>0</v>
      </c>
      <c r="P1706" s="7">
        <f>(P57-N57)*(Q67-O57)-(Q57-O57)*(P67-N57)</f>
        <v>0</v>
      </c>
      <c r="Q1706" s="7">
        <f>(P67-N67)*(O57-O67)-(Q67-O67)*(N57-N67)</f>
        <v>0</v>
      </c>
      <c r="R1706" s="7">
        <f>(P67-N67)*(Q57-O67)-(Q67-O67)*(P57-N67)</f>
        <v>0</v>
      </c>
      <c r="S1706" s="7">
        <f>IF(N1706,IF(AND(O1706*P1706&lt;=0,Q1706*R1706&lt;=0,MAX(MIN(N57,P57),MIN(N67,P67))&lt;=MIN(MAX(N57,P57),MAX(N67,P67)),MAX(MIN(O57,Q57),MIN(O67,Q67))&lt;=MIN(MAX(O57,Q57),MAX(O67,Q67))),1,0),0)</f>
        <v>0</v>
      </c>
      <c r="T1706" s="7"/>
      <c r="U1706" s="7"/>
      <c r="V1706" s="7"/>
      <c r="W1706" s="7"/>
      <c r="X1706" s="7"/>
      <c r="Y1706" s="7"/>
      <c r="Z1706" s="7"/>
      <c r="AA1706" s="7"/>
      <c r="AB1706" s="7"/>
      <c r="AC1706" s="7"/>
      <c r="AD1706" s="7"/>
      <c r="AE1706" s="7"/>
      <c r="AF1706" s="7"/>
      <c r="AG1706" s="7"/>
      <c r="AH1706" s="7"/>
      <c r="AI1706" s="7"/>
    </row>
    <row r="1707" spans="12:35">
      <c r="L1707" s="7">
        <v>57</v>
      </c>
      <c r="M1707" s="7">
        <v>68</v>
      </c>
      <c r="N1707" s="7" t="b">
        <f>AND($N$7,$N$7,6&lt;=$M$7,17&lt;=$M$7)</f>
        <v>0</v>
      </c>
      <c r="O1707" s="7">
        <f>(P57-N57)*(O68-O57)-(Q57-O57)*(N68-N57)</f>
        <v>0</v>
      </c>
      <c r="P1707" s="7">
        <f>(P57-N57)*(Q68-O57)-(Q57-O57)*(P68-N57)</f>
        <v>0</v>
      </c>
      <c r="Q1707" s="7">
        <f>(P68-N68)*(O57-O68)-(Q68-O68)*(N57-N68)</f>
        <v>0</v>
      </c>
      <c r="R1707" s="7">
        <f>(P68-N68)*(Q57-O68)-(Q68-O68)*(P57-N68)</f>
        <v>0</v>
      </c>
      <c r="S1707" s="7">
        <f>IF(N1707,IF(AND(O1707*P1707&lt;=0,Q1707*R1707&lt;=0,MAX(MIN(N57,P57),MIN(N68,P68))&lt;=MIN(MAX(N57,P57),MAX(N68,P68)),MAX(MIN(O57,Q57),MIN(O68,Q68))&lt;=MIN(MAX(O57,Q57),MAX(O68,Q68))),1,0),0)</f>
        <v>0</v>
      </c>
      <c r="T1707" s="7"/>
      <c r="U1707" s="7"/>
      <c r="V1707" s="7"/>
      <c r="W1707" s="7"/>
      <c r="X1707" s="7"/>
      <c r="Y1707" s="7"/>
      <c r="Z1707" s="7"/>
      <c r="AA1707" s="7"/>
      <c r="AB1707" s="7"/>
      <c r="AC1707" s="7"/>
      <c r="AD1707" s="7"/>
      <c r="AE1707" s="7"/>
      <c r="AF1707" s="7"/>
      <c r="AG1707" s="7"/>
      <c r="AH1707" s="7"/>
      <c r="AI1707" s="7"/>
    </row>
    <row r="1708" spans="12:35">
      <c r="L1708" s="7">
        <v>57</v>
      </c>
      <c r="M1708" s="7">
        <v>69</v>
      </c>
      <c r="N1708" s="7" t="b">
        <f>AND($N$7,$N$7,6&lt;=$M$7,18&lt;=$M$7)</f>
        <v>0</v>
      </c>
      <c r="O1708" s="7">
        <f>(P57-N57)*(O69-O57)-(Q57-O57)*(N69-N57)</f>
        <v>0</v>
      </c>
      <c r="P1708" s="7">
        <f>(P57-N57)*(Q69-O57)-(Q57-O57)*(P69-N57)</f>
        <v>0</v>
      </c>
      <c r="Q1708" s="7">
        <f>(P69-N69)*(O57-O69)-(Q69-O69)*(N57-N69)</f>
        <v>0</v>
      </c>
      <c r="R1708" s="7">
        <f>(P69-N69)*(Q57-O69)-(Q69-O69)*(P57-N69)</f>
        <v>0</v>
      </c>
      <c r="S1708" s="7">
        <f>IF(N1708,IF(AND(O1708*P1708&lt;=0,Q1708*R1708&lt;=0,MAX(MIN(N57,P57),MIN(N69,P69))&lt;=MIN(MAX(N57,P57),MAX(N69,P69)),MAX(MIN(O57,Q57),MIN(O69,Q69))&lt;=MIN(MAX(O57,Q57),MAX(O69,Q69))),1,0),0)</f>
        <v>0</v>
      </c>
      <c r="T1708" s="7"/>
      <c r="U1708" s="7"/>
      <c r="V1708" s="7"/>
      <c r="W1708" s="7"/>
      <c r="X1708" s="7"/>
      <c r="Y1708" s="7"/>
      <c r="Z1708" s="7"/>
      <c r="AA1708" s="7"/>
      <c r="AB1708" s="7"/>
      <c r="AC1708" s="7"/>
      <c r="AD1708" s="7"/>
      <c r="AE1708" s="7"/>
      <c r="AF1708" s="7"/>
      <c r="AG1708" s="7"/>
      <c r="AH1708" s="7"/>
      <c r="AI1708" s="7"/>
    </row>
    <row r="1709" spans="12:35">
      <c r="L1709" s="7">
        <v>57</v>
      </c>
      <c r="M1709" s="7">
        <v>70</v>
      </c>
      <c r="N1709" s="7" t="b">
        <f>AND($N$7,$N$7,6&lt;=$M$7,19&lt;=$M$7)</f>
        <v>0</v>
      </c>
      <c r="O1709" s="7">
        <f>(P57-N57)*(O70-O57)-(Q57-O57)*(N70-N57)</f>
        <v>0</v>
      </c>
      <c r="P1709" s="7">
        <f>(P57-N57)*(Q70-O57)-(Q57-O57)*(P70-N57)</f>
        <v>0</v>
      </c>
      <c r="Q1709" s="7">
        <f>(P70-N70)*(O57-O70)-(Q70-O70)*(N57-N70)</f>
        <v>0</v>
      </c>
      <c r="R1709" s="7">
        <f>(P70-N70)*(Q57-O70)-(Q70-O70)*(P57-N70)</f>
        <v>0</v>
      </c>
      <c r="S1709" s="7">
        <f>IF(N1709,IF(AND(O1709*P1709&lt;=0,Q1709*R1709&lt;=0,MAX(MIN(N57,P57),MIN(N70,P70))&lt;=MIN(MAX(N57,P57),MAX(N70,P70)),MAX(MIN(O57,Q57),MIN(O70,Q70))&lt;=MIN(MAX(O57,Q57),MAX(O70,Q70))),1,0),0)</f>
        <v>0</v>
      </c>
      <c r="T1709" s="7"/>
      <c r="U1709" s="7"/>
      <c r="V1709" s="7"/>
      <c r="W1709" s="7"/>
      <c r="X1709" s="7"/>
      <c r="Y1709" s="7"/>
      <c r="Z1709" s="7"/>
      <c r="AA1709" s="7"/>
      <c r="AB1709" s="7"/>
      <c r="AC1709" s="7"/>
      <c r="AD1709" s="7"/>
      <c r="AE1709" s="7"/>
      <c r="AF1709" s="7"/>
      <c r="AG1709" s="7"/>
      <c r="AH1709" s="7"/>
      <c r="AI1709" s="7"/>
    </row>
    <row r="1710" spans="12:35">
      <c r="L1710" s="7">
        <v>57</v>
      </c>
      <c r="M1710" s="7">
        <v>71</v>
      </c>
      <c r="N1710" s="7" t="b">
        <f>AND($N$7,$N$7,6&lt;=$M$7,20&lt;=$M$7)</f>
        <v>0</v>
      </c>
      <c r="O1710" s="7">
        <f>(P57-N57)*(O71-O57)-(Q57-O57)*(N71-N57)</f>
        <v>0</v>
      </c>
      <c r="P1710" s="7">
        <f>(P57-N57)*(Q71-O57)-(Q57-O57)*(P71-N57)</f>
        <v>0</v>
      </c>
      <c r="Q1710" s="7">
        <f>(P71-N71)*(O57-O71)-(Q71-O71)*(N57-N71)</f>
        <v>0</v>
      </c>
      <c r="R1710" s="7">
        <f>(P71-N71)*(Q57-O71)-(Q71-O71)*(P57-N71)</f>
        <v>0</v>
      </c>
      <c r="S1710" s="7">
        <f>IF(N1710,IF(AND(O1710*P1710&lt;=0,Q1710*R1710&lt;=0,MAX(MIN(N57,P57),MIN(N71,P71))&lt;=MIN(MAX(N57,P57),MAX(N71,P71)),MAX(MIN(O57,Q57),MIN(O71,Q71))&lt;=MIN(MAX(O57,Q57),MAX(O71,Q71))),1,0),0)</f>
        <v>0</v>
      </c>
      <c r="T1710" s="7"/>
      <c r="U1710" s="7"/>
      <c r="V1710" s="7"/>
      <c r="W1710" s="7"/>
      <c r="X1710" s="7"/>
      <c r="Y1710" s="7"/>
      <c r="Z1710" s="7"/>
      <c r="AA1710" s="7"/>
      <c r="AB1710" s="7"/>
      <c r="AC1710" s="7"/>
      <c r="AD1710" s="7"/>
      <c r="AE1710" s="7"/>
      <c r="AF1710" s="7"/>
      <c r="AG1710" s="7"/>
      <c r="AH1710" s="7"/>
      <c r="AI1710" s="7"/>
    </row>
    <row r="1711" spans="12:35">
      <c r="L1711" s="7">
        <v>58</v>
      </c>
      <c r="M1711" s="7">
        <v>60</v>
      </c>
      <c r="N1711" s="7" t="b">
        <f>AND($N$7,$N$7,7&lt;=$M$7,9&lt;=$M$7)</f>
        <v>0</v>
      </c>
      <c r="O1711" s="7">
        <f>(P58-N58)*(O60-O58)-(Q58-O58)*(N60-N58)</f>
        <v>0</v>
      </c>
      <c r="P1711" s="7">
        <f>(P58-N58)*(Q60-O58)-(Q58-O58)*(P60-N58)</f>
        <v>0</v>
      </c>
      <c r="Q1711" s="7">
        <f>(P60-N60)*(O58-O60)-(Q60-O60)*(N58-N60)</f>
        <v>0</v>
      </c>
      <c r="R1711" s="7">
        <f>(P60-N60)*(Q58-O60)-(Q60-O60)*(P58-N60)</f>
        <v>0</v>
      </c>
      <c r="S1711" s="7">
        <f>IF(N1711,IF(AND(O1711*P1711&lt;=0,Q1711*R1711&lt;=0,MAX(MIN(N58,P58),MIN(N60,P60))&lt;=MIN(MAX(N58,P58),MAX(N60,P60)),MAX(MIN(O58,Q58),MIN(O60,Q60))&lt;=MIN(MAX(O58,Q58),MAX(O60,Q60))),1,0),0)</f>
        <v>0</v>
      </c>
      <c r="T1711" s="7"/>
      <c r="U1711" s="7"/>
      <c r="V1711" s="7"/>
      <c r="W1711" s="7"/>
      <c r="X1711" s="7"/>
      <c r="Y1711" s="7"/>
      <c r="Z1711" s="7"/>
      <c r="AA1711" s="7"/>
      <c r="AB1711" s="7"/>
      <c r="AC1711" s="7"/>
      <c r="AD1711" s="7"/>
      <c r="AE1711" s="7"/>
      <c r="AF1711" s="7"/>
      <c r="AG1711" s="7"/>
      <c r="AH1711" s="7"/>
      <c r="AI1711" s="7"/>
    </row>
    <row r="1712" spans="12:35">
      <c r="L1712" s="7">
        <v>58</v>
      </c>
      <c r="M1712" s="7">
        <v>61</v>
      </c>
      <c r="N1712" s="7" t="b">
        <f>AND($N$7,$N$7,7&lt;=$M$7,10&lt;=$M$7)</f>
        <v>0</v>
      </c>
      <c r="O1712" s="7">
        <f>(P58-N58)*(O61-O58)-(Q58-O58)*(N61-N58)</f>
        <v>0</v>
      </c>
      <c r="P1712" s="7">
        <f>(P58-N58)*(Q61-O58)-(Q58-O58)*(P61-N58)</f>
        <v>0</v>
      </c>
      <c r="Q1712" s="7">
        <f>(P61-N61)*(O58-O61)-(Q61-O61)*(N58-N61)</f>
        <v>0</v>
      </c>
      <c r="R1712" s="7">
        <f>(P61-N61)*(Q58-O61)-(Q61-O61)*(P58-N61)</f>
        <v>0</v>
      </c>
      <c r="S1712" s="7">
        <f>IF(N1712,IF(AND(O1712*P1712&lt;=0,Q1712*R1712&lt;=0,MAX(MIN(N58,P58),MIN(N61,P61))&lt;=MIN(MAX(N58,P58),MAX(N61,P61)),MAX(MIN(O58,Q58),MIN(O61,Q61))&lt;=MIN(MAX(O58,Q58),MAX(O61,Q61))),1,0),0)</f>
        <v>0</v>
      </c>
      <c r="T1712" s="7"/>
      <c r="U1712" s="7"/>
      <c r="V1712" s="7"/>
      <c r="W1712" s="7"/>
      <c r="X1712" s="7"/>
      <c r="Y1712" s="7"/>
      <c r="Z1712" s="7"/>
      <c r="AA1712" s="7"/>
      <c r="AB1712" s="7"/>
      <c r="AC1712" s="7"/>
      <c r="AD1712" s="7"/>
      <c r="AE1712" s="7"/>
      <c r="AF1712" s="7"/>
      <c r="AG1712" s="7"/>
      <c r="AH1712" s="7"/>
      <c r="AI1712" s="7"/>
    </row>
    <row r="1713" spans="12:35">
      <c r="L1713" s="7">
        <v>58</v>
      </c>
      <c r="M1713" s="7">
        <v>62</v>
      </c>
      <c r="N1713" s="7" t="b">
        <f>AND($N$7,$N$7,7&lt;=$M$7,11&lt;=$M$7)</f>
        <v>0</v>
      </c>
      <c r="O1713" s="7">
        <f>(P58-N58)*(O62-O58)-(Q58-O58)*(N62-N58)</f>
        <v>0</v>
      </c>
      <c r="P1713" s="7">
        <f>(P58-N58)*(Q62-O58)-(Q58-O58)*(P62-N58)</f>
        <v>0</v>
      </c>
      <c r="Q1713" s="7">
        <f>(P62-N62)*(O58-O62)-(Q62-O62)*(N58-N62)</f>
        <v>0</v>
      </c>
      <c r="R1713" s="7">
        <f>(P62-N62)*(Q58-O62)-(Q62-O62)*(P58-N62)</f>
        <v>0</v>
      </c>
      <c r="S1713" s="7">
        <f>IF(N1713,IF(AND(O1713*P1713&lt;=0,Q1713*R1713&lt;=0,MAX(MIN(N58,P58),MIN(N62,P62))&lt;=MIN(MAX(N58,P58),MAX(N62,P62)),MAX(MIN(O58,Q58),MIN(O62,Q62))&lt;=MIN(MAX(O58,Q58),MAX(O62,Q62))),1,0),0)</f>
        <v>0</v>
      </c>
      <c r="T1713" s="7"/>
      <c r="U1713" s="7"/>
      <c r="V1713" s="7"/>
      <c r="W1713" s="7"/>
      <c r="X1713" s="7"/>
      <c r="Y1713" s="7"/>
      <c r="Z1713" s="7"/>
      <c r="AA1713" s="7"/>
      <c r="AB1713" s="7"/>
      <c r="AC1713" s="7"/>
      <c r="AD1713" s="7"/>
      <c r="AE1713" s="7"/>
      <c r="AF1713" s="7"/>
      <c r="AG1713" s="7"/>
      <c r="AH1713" s="7"/>
      <c r="AI1713" s="7"/>
    </row>
    <row r="1714" spans="12:35">
      <c r="L1714" s="7">
        <v>58</v>
      </c>
      <c r="M1714" s="7">
        <v>63</v>
      </c>
      <c r="N1714" s="7" t="b">
        <f>AND($N$7,$N$7,7&lt;=$M$7,12&lt;=$M$7)</f>
        <v>0</v>
      </c>
      <c r="O1714" s="7">
        <f>(P58-N58)*(O63-O58)-(Q58-O58)*(N63-N58)</f>
        <v>0</v>
      </c>
      <c r="P1714" s="7">
        <f>(P58-N58)*(Q63-O58)-(Q58-O58)*(P63-N58)</f>
        <v>0</v>
      </c>
      <c r="Q1714" s="7">
        <f>(P63-N63)*(O58-O63)-(Q63-O63)*(N58-N63)</f>
        <v>0</v>
      </c>
      <c r="R1714" s="7">
        <f>(P63-N63)*(Q58-O63)-(Q63-O63)*(P58-N63)</f>
        <v>0</v>
      </c>
      <c r="S1714" s="7">
        <f>IF(N1714,IF(AND(O1714*P1714&lt;=0,Q1714*R1714&lt;=0,MAX(MIN(N58,P58),MIN(N63,P63))&lt;=MIN(MAX(N58,P58),MAX(N63,P63)),MAX(MIN(O58,Q58),MIN(O63,Q63))&lt;=MIN(MAX(O58,Q58),MAX(O63,Q63))),1,0),0)</f>
        <v>0</v>
      </c>
      <c r="T1714" s="7"/>
      <c r="U1714" s="7"/>
      <c r="V1714" s="7"/>
      <c r="W1714" s="7"/>
      <c r="X1714" s="7"/>
      <c r="Y1714" s="7"/>
      <c r="Z1714" s="7"/>
      <c r="AA1714" s="7"/>
      <c r="AB1714" s="7"/>
      <c r="AC1714" s="7"/>
      <c r="AD1714" s="7"/>
      <c r="AE1714" s="7"/>
      <c r="AF1714" s="7"/>
      <c r="AG1714" s="7"/>
      <c r="AH1714" s="7"/>
      <c r="AI1714" s="7"/>
    </row>
    <row r="1715" spans="12:35">
      <c r="L1715" s="7">
        <v>58</v>
      </c>
      <c r="M1715" s="7">
        <v>64</v>
      </c>
      <c r="N1715" s="7" t="b">
        <f>AND($N$7,$N$7,7&lt;=$M$7,13&lt;=$M$7)</f>
        <v>0</v>
      </c>
      <c r="O1715" s="7">
        <f>(P58-N58)*(O64-O58)-(Q58-O58)*(N64-N58)</f>
        <v>0</v>
      </c>
      <c r="P1715" s="7">
        <f>(P58-N58)*(Q64-O58)-(Q58-O58)*(P64-N58)</f>
        <v>0</v>
      </c>
      <c r="Q1715" s="7">
        <f>(P64-N64)*(O58-O64)-(Q64-O64)*(N58-N64)</f>
        <v>0</v>
      </c>
      <c r="R1715" s="7">
        <f>(P64-N64)*(Q58-O64)-(Q64-O64)*(P58-N64)</f>
        <v>0</v>
      </c>
      <c r="S1715" s="7">
        <f>IF(N1715,IF(AND(O1715*P1715&lt;=0,Q1715*R1715&lt;=0,MAX(MIN(N58,P58),MIN(N64,P64))&lt;=MIN(MAX(N58,P58),MAX(N64,P64)),MAX(MIN(O58,Q58),MIN(O64,Q64))&lt;=MIN(MAX(O58,Q58),MAX(O64,Q64))),1,0),0)</f>
        <v>0</v>
      </c>
      <c r="T1715" s="7"/>
      <c r="U1715" s="7"/>
      <c r="V1715" s="7"/>
      <c r="W1715" s="7"/>
      <c r="X1715" s="7"/>
      <c r="Y1715" s="7"/>
      <c r="Z1715" s="7"/>
      <c r="AA1715" s="7"/>
      <c r="AB1715" s="7"/>
      <c r="AC1715" s="7"/>
      <c r="AD1715" s="7"/>
      <c r="AE1715" s="7"/>
      <c r="AF1715" s="7"/>
      <c r="AG1715" s="7"/>
      <c r="AH1715" s="7"/>
      <c r="AI1715" s="7"/>
    </row>
    <row r="1716" spans="12:35">
      <c r="L1716" s="7">
        <v>58</v>
      </c>
      <c r="M1716" s="7">
        <v>65</v>
      </c>
      <c r="N1716" s="7" t="b">
        <f>AND($N$7,$N$7,7&lt;=$M$7,14&lt;=$M$7)</f>
        <v>0</v>
      </c>
      <c r="O1716" s="7">
        <f>(P58-N58)*(O65-O58)-(Q58-O58)*(N65-N58)</f>
        <v>0</v>
      </c>
      <c r="P1716" s="7">
        <f>(P58-N58)*(Q65-O58)-(Q58-O58)*(P65-N58)</f>
        <v>0</v>
      </c>
      <c r="Q1716" s="7">
        <f>(P65-N65)*(O58-O65)-(Q65-O65)*(N58-N65)</f>
        <v>0</v>
      </c>
      <c r="R1716" s="7">
        <f>(P65-N65)*(Q58-O65)-(Q65-O65)*(P58-N65)</f>
        <v>0</v>
      </c>
      <c r="S1716" s="7">
        <f>IF(N1716,IF(AND(O1716*P1716&lt;=0,Q1716*R1716&lt;=0,MAX(MIN(N58,P58),MIN(N65,P65))&lt;=MIN(MAX(N58,P58),MAX(N65,P65)),MAX(MIN(O58,Q58),MIN(O65,Q65))&lt;=MIN(MAX(O58,Q58),MAX(O65,Q65))),1,0),0)</f>
        <v>0</v>
      </c>
      <c r="T1716" s="7"/>
      <c r="U1716" s="7"/>
      <c r="V1716" s="7"/>
      <c r="W1716" s="7"/>
      <c r="X1716" s="7"/>
      <c r="Y1716" s="7"/>
      <c r="Z1716" s="7"/>
      <c r="AA1716" s="7"/>
      <c r="AB1716" s="7"/>
      <c r="AC1716" s="7"/>
      <c r="AD1716" s="7"/>
      <c r="AE1716" s="7"/>
      <c r="AF1716" s="7"/>
      <c r="AG1716" s="7"/>
      <c r="AH1716" s="7"/>
      <c r="AI1716" s="7"/>
    </row>
    <row r="1717" spans="12:35">
      <c r="L1717" s="7">
        <v>58</v>
      </c>
      <c r="M1717" s="7">
        <v>66</v>
      </c>
      <c r="N1717" s="7" t="b">
        <f>AND($N$7,$N$7,7&lt;=$M$7,15&lt;=$M$7)</f>
        <v>0</v>
      </c>
      <c r="O1717" s="7">
        <f>(P58-N58)*(O66-O58)-(Q58-O58)*(N66-N58)</f>
        <v>0</v>
      </c>
      <c r="P1717" s="7">
        <f>(P58-N58)*(Q66-O58)-(Q58-O58)*(P66-N58)</f>
        <v>0</v>
      </c>
      <c r="Q1717" s="7">
        <f>(P66-N66)*(O58-O66)-(Q66-O66)*(N58-N66)</f>
        <v>0</v>
      </c>
      <c r="R1717" s="7">
        <f>(P66-N66)*(Q58-O66)-(Q66-O66)*(P58-N66)</f>
        <v>0</v>
      </c>
      <c r="S1717" s="7">
        <f>IF(N1717,IF(AND(O1717*P1717&lt;=0,Q1717*R1717&lt;=0,MAX(MIN(N58,P58),MIN(N66,P66))&lt;=MIN(MAX(N58,P58),MAX(N66,P66)),MAX(MIN(O58,Q58),MIN(O66,Q66))&lt;=MIN(MAX(O58,Q58),MAX(O66,Q66))),1,0),0)</f>
        <v>0</v>
      </c>
      <c r="T1717" s="7"/>
      <c r="U1717" s="7"/>
      <c r="V1717" s="7"/>
      <c r="W1717" s="7"/>
      <c r="X1717" s="7"/>
      <c r="Y1717" s="7"/>
      <c r="Z1717" s="7"/>
      <c r="AA1717" s="7"/>
      <c r="AB1717" s="7"/>
      <c r="AC1717" s="7"/>
      <c r="AD1717" s="7"/>
      <c r="AE1717" s="7"/>
      <c r="AF1717" s="7"/>
      <c r="AG1717" s="7"/>
      <c r="AH1717" s="7"/>
      <c r="AI1717" s="7"/>
    </row>
    <row r="1718" spans="12:35">
      <c r="L1718" s="7">
        <v>58</v>
      </c>
      <c r="M1718" s="7">
        <v>67</v>
      </c>
      <c r="N1718" s="7" t="b">
        <f>AND($N$7,$N$7,7&lt;=$M$7,16&lt;=$M$7)</f>
        <v>0</v>
      </c>
      <c r="O1718" s="7">
        <f>(P58-N58)*(O67-O58)-(Q58-O58)*(N67-N58)</f>
        <v>0</v>
      </c>
      <c r="P1718" s="7">
        <f>(P58-N58)*(Q67-O58)-(Q58-O58)*(P67-N58)</f>
        <v>0</v>
      </c>
      <c r="Q1718" s="7">
        <f>(P67-N67)*(O58-O67)-(Q67-O67)*(N58-N67)</f>
        <v>0</v>
      </c>
      <c r="R1718" s="7">
        <f>(P67-N67)*(Q58-O67)-(Q67-O67)*(P58-N67)</f>
        <v>0</v>
      </c>
      <c r="S1718" s="7">
        <f>IF(N1718,IF(AND(O1718*P1718&lt;=0,Q1718*R1718&lt;=0,MAX(MIN(N58,P58),MIN(N67,P67))&lt;=MIN(MAX(N58,P58),MAX(N67,P67)),MAX(MIN(O58,Q58),MIN(O67,Q67))&lt;=MIN(MAX(O58,Q58),MAX(O67,Q67))),1,0),0)</f>
        <v>0</v>
      </c>
      <c r="T1718" s="7"/>
      <c r="U1718" s="7"/>
      <c r="V1718" s="7"/>
      <c r="W1718" s="7"/>
      <c r="X1718" s="7"/>
      <c r="Y1718" s="7"/>
      <c r="Z1718" s="7"/>
      <c r="AA1718" s="7"/>
      <c r="AB1718" s="7"/>
      <c r="AC1718" s="7"/>
      <c r="AD1718" s="7"/>
      <c r="AE1718" s="7"/>
      <c r="AF1718" s="7"/>
      <c r="AG1718" s="7"/>
      <c r="AH1718" s="7"/>
      <c r="AI1718" s="7"/>
    </row>
    <row r="1719" spans="12:35">
      <c r="L1719" s="7">
        <v>58</v>
      </c>
      <c r="M1719" s="7">
        <v>68</v>
      </c>
      <c r="N1719" s="7" t="b">
        <f>AND($N$7,$N$7,7&lt;=$M$7,17&lt;=$M$7)</f>
        <v>0</v>
      </c>
      <c r="O1719" s="7">
        <f>(P58-N58)*(O68-O58)-(Q58-O58)*(N68-N58)</f>
        <v>0</v>
      </c>
      <c r="P1719" s="7">
        <f>(P58-N58)*(Q68-O58)-(Q58-O58)*(P68-N58)</f>
        <v>0</v>
      </c>
      <c r="Q1719" s="7">
        <f>(P68-N68)*(O58-O68)-(Q68-O68)*(N58-N68)</f>
        <v>0</v>
      </c>
      <c r="R1719" s="7">
        <f>(P68-N68)*(Q58-O68)-(Q68-O68)*(P58-N68)</f>
        <v>0</v>
      </c>
      <c r="S1719" s="7">
        <f>IF(N1719,IF(AND(O1719*P1719&lt;=0,Q1719*R1719&lt;=0,MAX(MIN(N58,P58),MIN(N68,P68))&lt;=MIN(MAX(N58,P58),MAX(N68,P68)),MAX(MIN(O58,Q58),MIN(O68,Q68))&lt;=MIN(MAX(O58,Q58),MAX(O68,Q68))),1,0),0)</f>
        <v>0</v>
      </c>
      <c r="T1719" s="7"/>
      <c r="U1719" s="7"/>
      <c r="V1719" s="7"/>
      <c r="W1719" s="7"/>
      <c r="X1719" s="7"/>
      <c r="Y1719" s="7"/>
      <c r="Z1719" s="7"/>
      <c r="AA1719" s="7"/>
      <c r="AB1719" s="7"/>
      <c r="AC1719" s="7"/>
      <c r="AD1719" s="7"/>
      <c r="AE1719" s="7"/>
      <c r="AF1719" s="7"/>
      <c r="AG1719" s="7"/>
      <c r="AH1719" s="7"/>
      <c r="AI1719" s="7"/>
    </row>
    <row r="1720" spans="12:35">
      <c r="L1720" s="7">
        <v>58</v>
      </c>
      <c r="M1720" s="7">
        <v>69</v>
      </c>
      <c r="N1720" s="7" t="b">
        <f>AND($N$7,$N$7,7&lt;=$M$7,18&lt;=$M$7)</f>
        <v>0</v>
      </c>
      <c r="O1720" s="7">
        <f>(P58-N58)*(O69-O58)-(Q58-O58)*(N69-N58)</f>
        <v>0</v>
      </c>
      <c r="P1720" s="7">
        <f>(P58-N58)*(Q69-O58)-(Q58-O58)*(P69-N58)</f>
        <v>0</v>
      </c>
      <c r="Q1720" s="7">
        <f>(P69-N69)*(O58-O69)-(Q69-O69)*(N58-N69)</f>
        <v>0</v>
      </c>
      <c r="R1720" s="7">
        <f>(P69-N69)*(Q58-O69)-(Q69-O69)*(P58-N69)</f>
        <v>0</v>
      </c>
      <c r="S1720" s="7">
        <f>IF(N1720,IF(AND(O1720*P1720&lt;=0,Q1720*R1720&lt;=0,MAX(MIN(N58,P58),MIN(N69,P69))&lt;=MIN(MAX(N58,P58),MAX(N69,P69)),MAX(MIN(O58,Q58),MIN(O69,Q69))&lt;=MIN(MAX(O58,Q58),MAX(O69,Q69))),1,0),0)</f>
        <v>0</v>
      </c>
      <c r="T1720" s="7"/>
      <c r="U1720" s="7"/>
      <c r="V1720" s="7"/>
      <c r="W1720" s="7"/>
      <c r="X1720" s="7"/>
      <c r="Y1720" s="7"/>
      <c r="Z1720" s="7"/>
      <c r="AA1720" s="7"/>
      <c r="AB1720" s="7"/>
      <c r="AC1720" s="7"/>
      <c r="AD1720" s="7"/>
      <c r="AE1720" s="7"/>
      <c r="AF1720" s="7"/>
      <c r="AG1720" s="7"/>
      <c r="AH1720" s="7"/>
      <c r="AI1720" s="7"/>
    </row>
    <row r="1721" spans="12:35">
      <c r="L1721" s="7">
        <v>58</v>
      </c>
      <c r="M1721" s="7">
        <v>70</v>
      </c>
      <c r="N1721" s="7" t="b">
        <f>AND($N$7,$N$7,7&lt;=$M$7,19&lt;=$M$7)</f>
        <v>0</v>
      </c>
      <c r="O1721" s="7">
        <f>(P58-N58)*(O70-O58)-(Q58-O58)*(N70-N58)</f>
        <v>0</v>
      </c>
      <c r="P1721" s="7">
        <f>(P58-N58)*(Q70-O58)-(Q58-O58)*(P70-N58)</f>
        <v>0</v>
      </c>
      <c r="Q1721" s="7">
        <f>(P70-N70)*(O58-O70)-(Q70-O70)*(N58-N70)</f>
        <v>0</v>
      </c>
      <c r="R1721" s="7">
        <f>(P70-N70)*(Q58-O70)-(Q70-O70)*(P58-N70)</f>
        <v>0</v>
      </c>
      <c r="S1721" s="7">
        <f>IF(N1721,IF(AND(O1721*P1721&lt;=0,Q1721*R1721&lt;=0,MAX(MIN(N58,P58),MIN(N70,P70))&lt;=MIN(MAX(N58,P58),MAX(N70,P70)),MAX(MIN(O58,Q58),MIN(O70,Q70))&lt;=MIN(MAX(O58,Q58),MAX(O70,Q70))),1,0),0)</f>
        <v>0</v>
      </c>
      <c r="T1721" s="7"/>
      <c r="U1721" s="7"/>
      <c r="V1721" s="7"/>
      <c r="W1721" s="7"/>
      <c r="X1721" s="7"/>
      <c r="Y1721" s="7"/>
      <c r="Z1721" s="7"/>
      <c r="AA1721" s="7"/>
      <c r="AB1721" s="7"/>
      <c r="AC1721" s="7"/>
      <c r="AD1721" s="7"/>
      <c r="AE1721" s="7"/>
      <c r="AF1721" s="7"/>
      <c r="AG1721" s="7"/>
      <c r="AH1721" s="7"/>
      <c r="AI1721" s="7"/>
    </row>
    <row r="1722" spans="12:35">
      <c r="L1722" s="7">
        <v>58</v>
      </c>
      <c r="M1722" s="7">
        <v>71</v>
      </c>
      <c r="N1722" s="7" t="b">
        <f>AND($N$7,$N$7,7&lt;=$M$7,20&lt;=$M$7)</f>
        <v>0</v>
      </c>
      <c r="O1722" s="7">
        <f>(P58-N58)*(O71-O58)-(Q58-O58)*(N71-N58)</f>
        <v>0</v>
      </c>
      <c r="P1722" s="7">
        <f>(P58-N58)*(Q71-O58)-(Q58-O58)*(P71-N58)</f>
        <v>0</v>
      </c>
      <c r="Q1722" s="7">
        <f>(P71-N71)*(O58-O71)-(Q71-O71)*(N58-N71)</f>
        <v>0</v>
      </c>
      <c r="R1722" s="7">
        <f>(P71-N71)*(Q58-O71)-(Q71-O71)*(P58-N71)</f>
        <v>0</v>
      </c>
      <c r="S1722" s="7">
        <f>IF(N1722,IF(AND(O1722*P1722&lt;=0,Q1722*R1722&lt;=0,MAX(MIN(N58,P58),MIN(N71,P71))&lt;=MIN(MAX(N58,P58),MAX(N71,P71)),MAX(MIN(O58,Q58),MIN(O71,Q71))&lt;=MIN(MAX(O58,Q58),MAX(O71,Q71))),1,0),0)</f>
        <v>0</v>
      </c>
      <c r="T1722" s="7"/>
      <c r="U1722" s="7"/>
      <c r="V1722" s="7"/>
      <c r="W1722" s="7"/>
      <c r="X1722" s="7"/>
      <c r="Y1722" s="7"/>
      <c r="Z1722" s="7"/>
      <c r="AA1722" s="7"/>
      <c r="AB1722" s="7"/>
      <c r="AC1722" s="7"/>
      <c r="AD1722" s="7"/>
      <c r="AE1722" s="7"/>
      <c r="AF1722" s="7"/>
      <c r="AG1722" s="7"/>
      <c r="AH1722" s="7"/>
      <c r="AI1722" s="7"/>
    </row>
    <row r="1723" spans="12:35">
      <c r="L1723" s="7">
        <v>59</v>
      </c>
      <c r="M1723" s="7">
        <v>61</v>
      </c>
      <c r="N1723" s="7" t="b">
        <f>AND($N$7,$N$7,8&lt;=$M$7,10&lt;=$M$7)</f>
        <v>0</v>
      </c>
      <c r="O1723" s="7">
        <f>(P59-N59)*(O61-O59)-(Q59-O59)*(N61-N59)</f>
        <v>0</v>
      </c>
      <c r="P1723" s="7">
        <f>(P59-N59)*(Q61-O59)-(Q59-O59)*(P61-N59)</f>
        <v>0</v>
      </c>
      <c r="Q1723" s="7">
        <f>(P61-N61)*(O59-O61)-(Q61-O61)*(N59-N61)</f>
        <v>0</v>
      </c>
      <c r="R1723" s="7">
        <f>(P61-N61)*(Q59-O61)-(Q61-O61)*(P59-N61)</f>
        <v>0</v>
      </c>
      <c r="S1723" s="7">
        <f>IF(N1723,IF(AND(O1723*P1723&lt;=0,Q1723*R1723&lt;=0,MAX(MIN(N59,P59),MIN(N61,P61))&lt;=MIN(MAX(N59,P59),MAX(N61,P61)),MAX(MIN(O59,Q59),MIN(O61,Q61))&lt;=MIN(MAX(O59,Q59),MAX(O61,Q61))),1,0),0)</f>
        <v>0</v>
      </c>
      <c r="T1723" s="7"/>
      <c r="U1723" s="7"/>
      <c r="V1723" s="7"/>
      <c r="W1723" s="7"/>
      <c r="X1723" s="7"/>
      <c r="Y1723" s="7"/>
      <c r="Z1723" s="7"/>
      <c r="AA1723" s="7"/>
      <c r="AB1723" s="7"/>
      <c r="AC1723" s="7"/>
      <c r="AD1723" s="7"/>
      <c r="AE1723" s="7"/>
      <c r="AF1723" s="7"/>
      <c r="AG1723" s="7"/>
      <c r="AH1723" s="7"/>
      <c r="AI1723" s="7"/>
    </row>
    <row r="1724" spans="12:35">
      <c r="L1724" s="7">
        <v>59</v>
      </c>
      <c r="M1724" s="7">
        <v>62</v>
      </c>
      <c r="N1724" s="7" t="b">
        <f>AND($N$7,$N$7,8&lt;=$M$7,11&lt;=$M$7)</f>
        <v>0</v>
      </c>
      <c r="O1724" s="7">
        <f>(P59-N59)*(O62-O59)-(Q59-O59)*(N62-N59)</f>
        <v>0</v>
      </c>
      <c r="P1724" s="7">
        <f>(P59-N59)*(Q62-O59)-(Q59-O59)*(P62-N59)</f>
        <v>0</v>
      </c>
      <c r="Q1724" s="7">
        <f>(P62-N62)*(O59-O62)-(Q62-O62)*(N59-N62)</f>
        <v>0</v>
      </c>
      <c r="R1724" s="7">
        <f>(P62-N62)*(Q59-O62)-(Q62-O62)*(P59-N62)</f>
        <v>0</v>
      </c>
      <c r="S1724" s="7">
        <f>IF(N1724,IF(AND(O1724*P1724&lt;=0,Q1724*R1724&lt;=0,MAX(MIN(N59,P59),MIN(N62,P62))&lt;=MIN(MAX(N59,P59),MAX(N62,P62)),MAX(MIN(O59,Q59),MIN(O62,Q62))&lt;=MIN(MAX(O59,Q59),MAX(O62,Q62))),1,0),0)</f>
        <v>0</v>
      </c>
      <c r="T1724" s="7"/>
      <c r="U1724" s="7"/>
      <c r="V1724" s="7"/>
      <c r="W1724" s="7"/>
      <c r="X1724" s="7"/>
      <c r="Y1724" s="7"/>
      <c r="Z1724" s="7"/>
      <c r="AA1724" s="7"/>
      <c r="AB1724" s="7"/>
      <c r="AC1724" s="7"/>
      <c r="AD1724" s="7"/>
      <c r="AE1724" s="7"/>
      <c r="AF1724" s="7"/>
      <c r="AG1724" s="7"/>
      <c r="AH1724" s="7"/>
      <c r="AI1724" s="7"/>
    </row>
    <row r="1725" spans="12:35">
      <c r="L1725" s="7">
        <v>59</v>
      </c>
      <c r="M1725" s="7">
        <v>63</v>
      </c>
      <c r="N1725" s="7" t="b">
        <f>AND($N$7,$N$7,8&lt;=$M$7,12&lt;=$M$7)</f>
        <v>0</v>
      </c>
      <c r="O1725" s="7">
        <f>(P59-N59)*(O63-O59)-(Q59-O59)*(N63-N59)</f>
        <v>0</v>
      </c>
      <c r="P1725" s="7">
        <f>(P59-N59)*(Q63-O59)-(Q59-O59)*(P63-N59)</f>
        <v>0</v>
      </c>
      <c r="Q1725" s="7">
        <f>(P63-N63)*(O59-O63)-(Q63-O63)*(N59-N63)</f>
        <v>0</v>
      </c>
      <c r="R1725" s="7">
        <f>(P63-N63)*(Q59-O63)-(Q63-O63)*(P59-N63)</f>
        <v>0</v>
      </c>
      <c r="S1725" s="7">
        <f>IF(N1725,IF(AND(O1725*P1725&lt;=0,Q1725*R1725&lt;=0,MAX(MIN(N59,P59),MIN(N63,P63))&lt;=MIN(MAX(N59,P59),MAX(N63,P63)),MAX(MIN(O59,Q59),MIN(O63,Q63))&lt;=MIN(MAX(O59,Q59),MAX(O63,Q63))),1,0),0)</f>
        <v>0</v>
      </c>
      <c r="T1725" s="7"/>
      <c r="U1725" s="7"/>
      <c r="V1725" s="7"/>
      <c r="W1725" s="7"/>
      <c r="X1725" s="7"/>
      <c r="Y1725" s="7"/>
      <c r="Z1725" s="7"/>
      <c r="AA1725" s="7"/>
      <c r="AB1725" s="7"/>
      <c r="AC1725" s="7"/>
      <c r="AD1725" s="7"/>
      <c r="AE1725" s="7"/>
      <c r="AF1725" s="7"/>
      <c r="AG1725" s="7"/>
      <c r="AH1725" s="7"/>
      <c r="AI1725" s="7"/>
    </row>
    <row r="1726" spans="12:35">
      <c r="L1726" s="7">
        <v>59</v>
      </c>
      <c r="M1726" s="7">
        <v>64</v>
      </c>
      <c r="N1726" s="7" t="b">
        <f>AND($N$7,$N$7,8&lt;=$M$7,13&lt;=$M$7)</f>
        <v>0</v>
      </c>
      <c r="O1726" s="7">
        <f>(P59-N59)*(O64-O59)-(Q59-O59)*(N64-N59)</f>
        <v>0</v>
      </c>
      <c r="P1726" s="7">
        <f>(P59-N59)*(Q64-O59)-(Q59-O59)*(P64-N59)</f>
        <v>0</v>
      </c>
      <c r="Q1726" s="7">
        <f>(P64-N64)*(O59-O64)-(Q64-O64)*(N59-N64)</f>
        <v>0</v>
      </c>
      <c r="R1726" s="7">
        <f>(P64-N64)*(Q59-O64)-(Q64-O64)*(P59-N64)</f>
        <v>0</v>
      </c>
      <c r="S1726" s="7">
        <f>IF(N1726,IF(AND(O1726*P1726&lt;=0,Q1726*R1726&lt;=0,MAX(MIN(N59,P59),MIN(N64,P64))&lt;=MIN(MAX(N59,P59),MAX(N64,P64)),MAX(MIN(O59,Q59),MIN(O64,Q64))&lt;=MIN(MAX(O59,Q59),MAX(O64,Q64))),1,0),0)</f>
        <v>0</v>
      </c>
      <c r="T1726" s="7"/>
      <c r="U1726" s="7"/>
      <c r="V1726" s="7"/>
      <c r="W1726" s="7"/>
      <c r="X1726" s="7"/>
      <c r="Y1726" s="7"/>
      <c r="Z1726" s="7"/>
      <c r="AA1726" s="7"/>
      <c r="AB1726" s="7"/>
      <c r="AC1726" s="7"/>
      <c r="AD1726" s="7"/>
      <c r="AE1726" s="7"/>
      <c r="AF1726" s="7"/>
      <c r="AG1726" s="7"/>
      <c r="AH1726" s="7"/>
      <c r="AI1726" s="7"/>
    </row>
    <row r="1727" spans="12:35">
      <c r="L1727" s="7">
        <v>59</v>
      </c>
      <c r="M1727" s="7">
        <v>65</v>
      </c>
      <c r="N1727" s="7" t="b">
        <f>AND($N$7,$N$7,8&lt;=$M$7,14&lt;=$M$7)</f>
        <v>0</v>
      </c>
      <c r="O1727" s="7">
        <f>(P59-N59)*(O65-O59)-(Q59-O59)*(N65-N59)</f>
        <v>0</v>
      </c>
      <c r="P1727" s="7">
        <f>(P59-N59)*(Q65-O59)-(Q59-O59)*(P65-N59)</f>
        <v>0</v>
      </c>
      <c r="Q1727" s="7">
        <f>(P65-N65)*(O59-O65)-(Q65-O65)*(N59-N65)</f>
        <v>0</v>
      </c>
      <c r="R1727" s="7">
        <f>(P65-N65)*(Q59-O65)-(Q65-O65)*(P59-N65)</f>
        <v>0</v>
      </c>
      <c r="S1727" s="7">
        <f>IF(N1727,IF(AND(O1727*P1727&lt;=0,Q1727*R1727&lt;=0,MAX(MIN(N59,P59),MIN(N65,P65))&lt;=MIN(MAX(N59,P59),MAX(N65,P65)),MAX(MIN(O59,Q59),MIN(O65,Q65))&lt;=MIN(MAX(O59,Q59),MAX(O65,Q65))),1,0),0)</f>
        <v>0</v>
      </c>
      <c r="T1727" s="7"/>
      <c r="U1727" s="7"/>
      <c r="V1727" s="7"/>
      <c r="W1727" s="7"/>
      <c r="X1727" s="7"/>
      <c r="Y1727" s="7"/>
      <c r="Z1727" s="7"/>
      <c r="AA1727" s="7"/>
      <c r="AB1727" s="7"/>
      <c r="AC1727" s="7"/>
      <c r="AD1727" s="7"/>
      <c r="AE1727" s="7"/>
      <c r="AF1727" s="7"/>
      <c r="AG1727" s="7"/>
      <c r="AH1727" s="7"/>
      <c r="AI1727" s="7"/>
    </row>
    <row r="1728" spans="12:35">
      <c r="L1728" s="7">
        <v>59</v>
      </c>
      <c r="M1728" s="7">
        <v>66</v>
      </c>
      <c r="N1728" s="7" t="b">
        <f>AND($N$7,$N$7,8&lt;=$M$7,15&lt;=$M$7)</f>
        <v>0</v>
      </c>
      <c r="O1728" s="7">
        <f>(P59-N59)*(O66-O59)-(Q59-O59)*(N66-N59)</f>
        <v>0</v>
      </c>
      <c r="P1728" s="7">
        <f>(P59-N59)*(Q66-O59)-(Q59-O59)*(P66-N59)</f>
        <v>0</v>
      </c>
      <c r="Q1728" s="7">
        <f>(P66-N66)*(O59-O66)-(Q66-O66)*(N59-N66)</f>
        <v>0</v>
      </c>
      <c r="R1728" s="7">
        <f>(P66-N66)*(Q59-O66)-(Q66-O66)*(P59-N66)</f>
        <v>0</v>
      </c>
      <c r="S1728" s="7">
        <f>IF(N1728,IF(AND(O1728*P1728&lt;=0,Q1728*R1728&lt;=0,MAX(MIN(N59,P59),MIN(N66,P66))&lt;=MIN(MAX(N59,P59),MAX(N66,P66)),MAX(MIN(O59,Q59),MIN(O66,Q66))&lt;=MIN(MAX(O59,Q59),MAX(O66,Q66))),1,0),0)</f>
        <v>0</v>
      </c>
      <c r="T1728" s="7"/>
      <c r="U1728" s="7"/>
      <c r="V1728" s="7"/>
      <c r="W1728" s="7"/>
      <c r="X1728" s="7"/>
      <c r="Y1728" s="7"/>
      <c r="Z1728" s="7"/>
      <c r="AA1728" s="7"/>
      <c r="AB1728" s="7"/>
      <c r="AC1728" s="7"/>
      <c r="AD1728" s="7"/>
      <c r="AE1728" s="7"/>
      <c r="AF1728" s="7"/>
      <c r="AG1728" s="7"/>
      <c r="AH1728" s="7"/>
      <c r="AI1728" s="7"/>
    </row>
    <row r="1729" spans="12:35">
      <c r="L1729" s="7">
        <v>59</v>
      </c>
      <c r="M1729" s="7">
        <v>67</v>
      </c>
      <c r="N1729" s="7" t="b">
        <f>AND($N$7,$N$7,8&lt;=$M$7,16&lt;=$M$7)</f>
        <v>0</v>
      </c>
      <c r="O1729" s="7">
        <f>(P59-N59)*(O67-O59)-(Q59-O59)*(N67-N59)</f>
        <v>0</v>
      </c>
      <c r="P1729" s="7">
        <f>(P59-N59)*(Q67-O59)-(Q59-O59)*(P67-N59)</f>
        <v>0</v>
      </c>
      <c r="Q1729" s="7">
        <f>(P67-N67)*(O59-O67)-(Q67-O67)*(N59-N67)</f>
        <v>0</v>
      </c>
      <c r="R1729" s="7">
        <f>(P67-N67)*(Q59-O67)-(Q67-O67)*(P59-N67)</f>
        <v>0</v>
      </c>
      <c r="S1729" s="7">
        <f>IF(N1729,IF(AND(O1729*P1729&lt;=0,Q1729*R1729&lt;=0,MAX(MIN(N59,P59),MIN(N67,P67))&lt;=MIN(MAX(N59,P59),MAX(N67,P67)),MAX(MIN(O59,Q59),MIN(O67,Q67))&lt;=MIN(MAX(O59,Q59),MAX(O67,Q67))),1,0),0)</f>
        <v>0</v>
      </c>
      <c r="T1729" s="7"/>
      <c r="U1729" s="7"/>
      <c r="V1729" s="7"/>
      <c r="W1729" s="7"/>
      <c r="X1729" s="7"/>
      <c r="Y1729" s="7"/>
      <c r="Z1729" s="7"/>
      <c r="AA1729" s="7"/>
      <c r="AB1729" s="7"/>
      <c r="AC1729" s="7"/>
      <c r="AD1729" s="7"/>
      <c r="AE1729" s="7"/>
      <c r="AF1729" s="7"/>
      <c r="AG1729" s="7"/>
      <c r="AH1729" s="7"/>
      <c r="AI1729" s="7"/>
    </row>
    <row r="1730" spans="12:35">
      <c r="L1730" s="7">
        <v>59</v>
      </c>
      <c r="M1730" s="7">
        <v>68</v>
      </c>
      <c r="N1730" s="7" t="b">
        <f>AND($N$7,$N$7,8&lt;=$M$7,17&lt;=$M$7)</f>
        <v>0</v>
      </c>
      <c r="O1730" s="7">
        <f>(P59-N59)*(O68-O59)-(Q59-O59)*(N68-N59)</f>
        <v>0</v>
      </c>
      <c r="P1730" s="7">
        <f>(P59-N59)*(Q68-O59)-(Q59-O59)*(P68-N59)</f>
        <v>0</v>
      </c>
      <c r="Q1730" s="7">
        <f>(P68-N68)*(O59-O68)-(Q68-O68)*(N59-N68)</f>
        <v>0</v>
      </c>
      <c r="R1730" s="7">
        <f>(P68-N68)*(Q59-O68)-(Q68-O68)*(P59-N68)</f>
        <v>0</v>
      </c>
      <c r="S1730" s="7">
        <f>IF(N1730,IF(AND(O1730*P1730&lt;=0,Q1730*R1730&lt;=0,MAX(MIN(N59,P59),MIN(N68,P68))&lt;=MIN(MAX(N59,P59),MAX(N68,P68)),MAX(MIN(O59,Q59),MIN(O68,Q68))&lt;=MIN(MAX(O59,Q59),MAX(O68,Q68))),1,0),0)</f>
        <v>0</v>
      </c>
      <c r="T1730" s="7"/>
      <c r="U1730" s="7"/>
      <c r="V1730" s="7"/>
      <c r="W1730" s="7"/>
      <c r="X1730" s="7"/>
      <c r="Y1730" s="7"/>
      <c r="Z1730" s="7"/>
      <c r="AA1730" s="7"/>
      <c r="AB1730" s="7"/>
      <c r="AC1730" s="7"/>
      <c r="AD1730" s="7"/>
      <c r="AE1730" s="7"/>
      <c r="AF1730" s="7"/>
      <c r="AG1730" s="7"/>
      <c r="AH1730" s="7"/>
      <c r="AI1730" s="7"/>
    </row>
    <row r="1731" spans="12:35">
      <c r="L1731" s="7">
        <v>59</v>
      </c>
      <c r="M1731" s="7">
        <v>69</v>
      </c>
      <c r="N1731" s="7" t="b">
        <f>AND($N$7,$N$7,8&lt;=$M$7,18&lt;=$M$7)</f>
        <v>0</v>
      </c>
      <c r="O1731" s="7">
        <f>(P59-N59)*(O69-O59)-(Q59-O59)*(N69-N59)</f>
        <v>0</v>
      </c>
      <c r="P1731" s="7">
        <f>(P59-N59)*(Q69-O59)-(Q59-O59)*(P69-N59)</f>
        <v>0</v>
      </c>
      <c r="Q1731" s="7">
        <f>(P69-N69)*(O59-O69)-(Q69-O69)*(N59-N69)</f>
        <v>0</v>
      </c>
      <c r="R1731" s="7">
        <f>(P69-N69)*(Q59-O69)-(Q69-O69)*(P59-N69)</f>
        <v>0</v>
      </c>
      <c r="S1731" s="7">
        <f>IF(N1731,IF(AND(O1731*P1731&lt;=0,Q1731*R1731&lt;=0,MAX(MIN(N59,P59),MIN(N69,P69))&lt;=MIN(MAX(N59,P59),MAX(N69,P69)),MAX(MIN(O59,Q59),MIN(O69,Q69))&lt;=MIN(MAX(O59,Q59),MAX(O69,Q69))),1,0),0)</f>
        <v>0</v>
      </c>
      <c r="T1731" s="7"/>
      <c r="U1731" s="7"/>
      <c r="V1731" s="7"/>
      <c r="W1731" s="7"/>
      <c r="X1731" s="7"/>
      <c r="Y1731" s="7"/>
      <c r="Z1731" s="7"/>
      <c r="AA1731" s="7"/>
      <c r="AB1731" s="7"/>
      <c r="AC1731" s="7"/>
      <c r="AD1731" s="7"/>
      <c r="AE1731" s="7"/>
      <c r="AF1731" s="7"/>
      <c r="AG1731" s="7"/>
      <c r="AH1731" s="7"/>
      <c r="AI1731" s="7"/>
    </row>
    <row r="1732" spans="12:35">
      <c r="L1732" s="7">
        <v>59</v>
      </c>
      <c r="M1732" s="7">
        <v>70</v>
      </c>
      <c r="N1732" s="7" t="b">
        <f>AND($N$7,$N$7,8&lt;=$M$7,19&lt;=$M$7)</f>
        <v>0</v>
      </c>
      <c r="O1732" s="7">
        <f>(P59-N59)*(O70-O59)-(Q59-O59)*(N70-N59)</f>
        <v>0</v>
      </c>
      <c r="P1732" s="7">
        <f>(P59-N59)*(Q70-O59)-(Q59-O59)*(P70-N59)</f>
        <v>0</v>
      </c>
      <c r="Q1732" s="7">
        <f>(P70-N70)*(O59-O70)-(Q70-O70)*(N59-N70)</f>
        <v>0</v>
      </c>
      <c r="R1732" s="7">
        <f>(P70-N70)*(Q59-O70)-(Q70-O70)*(P59-N70)</f>
        <v>0</v>
      </c>
      <c r="S1732" s="7">
        <f>IF(N1732,IF(AND(O1732*P1732&lt;=0,Q1732*R1732&lt;=0,MAX(MIN(N59,P59),MIN(N70,P70))&lt;=MIN(MAX(N59,P59),MAX(N70,P70)),MAX(MIN(O59,Q59),MIN(O70,Q70))&lt;=MIN(MAX(O59,Q59),MAX(O70,Q70))),1,0),0)</f>
        <v>0</v>
      </c>
      <c r="T1732" s="7"/>
      <c r="U1732" s="7"/>
      <c r="V1732" s="7"/>
      <c r="W1732" s="7"/>
      <c r="X1732" s="7"/>
      <c r="Y1732" s="7"/>
      <c r="Z1732" s="7"/>
      <c r="AA1732" s="7"/>
      <c r="AB1732" s="7"/>
      <c r="AC1732" s="7"/>
      <c r="AD1732" s="7"/>
      <c r="AE1732" s="7"/>
      <c r="AF1732" s="7"/>
      <c r="AG1732" s="7"/>
      <c r="AH1732" s="7"/>
      <c r="AI1732" s="7"/>
    </row>
    <row r="1733" spans="12:35">
      <c r="L1733" s="7">
        <v>59</v>
      </c>
      <c r="M1733" s="7">
        <v>71</v>
      </c>
      <c r="N1733" s="7" t="b">
        <f>AND($N$7,$N$7,8&lt;=$M$7,20&lt;=$M$7)</f>
        <v>0</v>
      </c>
      <c r="O1733" s="7">
        <f>(P59-N59)*(O71-O59)-(Q59-O59)*(N71-N59)</f>
        <v>0</v>
      </c>
      <c r="P1733" s="7">
        <f>(P59-N59)*(Q71-O59)-(Q59-O59)*(P71-N59)</f>
        <v>0</v>
      </c>
      <c r="Q1733" s="7">
        <f>(P71-N71)*(O59-O71)-(Q71-O71)*(N59-N71)</f>
        <v>0</v>
      </c>
      <c r="R1733" s="7">
        <f>(P71-N71)*(Q59-O71)-(Q71-O71)*(P59-N71)</f>
        <v>0</v>
      </c>
      <c r="S1733" s="7">
        <f>IF(N1733,IF(AND(O1733*P1733&lt;=0,Q1733*R1733&lt;=0,MAX(MIN(N59,P59),MIN(N71,P71))&lt;=MIN(MAX(N59,P59),MAX(N71,P71)),MAX(MIN(O59,Q59),MIN(O71,Q71))&lt;=MIN(MAX(O59,Q59),MAX(O71,Q71))),1,0),0)</f>
        <v>0</v>
      </c>
      <c r="T1733" s="7"/>
      <c r="U1733" s="7"/>
      <c r="V1733" s="7"/>
      <c r="W1733" s="7"/>
      <c r="X1733" s="7"/>
      <c r="Y1733" s="7"/>
      <c r="Z1733" s="7"/>
      <c r="AA1733" s="7"/>
      <c r="AB1733" s="7"/>
      <c r="AC1733" s="7"/>
      <c r="AD1733" s="7"/>
      <c r="AE1733" s="7"/>
      <c r="AF1733" s="7"/>
      <c r="AG1733" s="7"/>
      <c r="AH1733" s="7"/>
      <c r="AI1733" s="7"/>
    </row>
    <row r="1734" spans="12:35">
      <c r="L1734" s="7">
        <v>60</v>
      </c>
      <c r="M1734" s="7">
        <v>62</v>
      </c>
      <c r="N1734" s="7" t="b">
        <f>AND($N$7,$N$7,9&lt;=$M$7,11&lt;=$M$7)</f>
        <v>0</v>
      </c>
      <c r="O1734" s="7">
        <f>(P60-N60)*(O62-O60)-(Q60-O60)*(N62-N60)</f>
        <v>0</v>
      </c>
      <c r="P1734" s="7">
        <f>(P60-N60)*(Q62-O60)-(Q60-O60)*(P62-N60)</f>
        <v>0</v>
      </c>
      <c r="Q1734" s="7">
        <f>(P62-N62)*(O60-O62)-(Q62-O62)*(N60-N62)</f>
        <v>0</v>
      </c>
      <c r="R1734" s="7">
        <f>(P62-N62)*(Q60-O62)-(Q62-O62)*(P60-N62)</f>
        <v>0</v>
      </c>
      <c r="S1734" s="7">
        <f>IF(N1734,IF(AND(O1734*P1734&lt;=0,Q1734*R1734&lt;=0,MAX(MIN(N60,P60),MIN(N62,P62))&lt;=MIN(MAX(N60,P60),MAX(N62,P62)),MAX(MIN(O60,Q60),MIN(O62,Q62))&lt;=MIN(MAX(O60,Q60),MAX(O62,Q62))),1,0),0)</f>
        <v>0</v>
      </c>
      <c r="T1734" s="7"/>
      <c r="U1734" s="7"/>
      <c r="V1734" s="7"/>
      <c r="W1734" s="7"/>
      <c r="X1734" s="7"/>
      <c r="Y1734" s="7"/>
      <c r="Z1734" s="7"/>
      <c r="AA1734" s="7"/>
      <c r="AB1734" s="7"/>
      <c r="AC1734" s="7"/>
      <c r="AD1734" s="7"/>
      <c r="AE1734" s="7"/>
      <c r="AF1734" s="7"/>
      <c r="AG1734" s="7"/>
      <c r="AH1734" s="7"/>
      <c r="AI1734" s="7"/>
    </row>
    <row r="1735" spans="12:35">
      <c r="L1735" s="7">
        <v>60</v>
      </c>
      <c r="M1735" s="7">
        <v>63</v>
      </c>
      <c r="N1735" s="7" t="b">
        <f>AND($N$7,$N$7,9&lt;=$M$7,12&lt;=$M$7)</f>
        <v>0</v>
      </c>
      <c r="O1735" s="7">
        <f>(P60-N60)*(O63-O60)-(Q60-O60)*(N63-N60)</f>
        <v>0</v>
      </c>
      <c r="P1735" s="7">
        <f>(P60-N60)*(Q63-O60)-(Q60-O60)*(P63-N60)</f>
        <v>0</v>
      </c>
      <c r="Q1735" s="7">
        <f>(P63-N63)*(O60-O63)-(Q63-O63)*(N60-N63)</f>
        <v>0</v>
      </c>
      <c r="R1735" s="7">
        <f>(P63-N63)*(Q60-O63)-(Q63-O63)*(P60-N63)</f>
        <v>0</v>
      </c>
      <c r="S1735" s="7">
        <f>IF(N1735,IF(AND(O1735*P1735&lt;=0,Q1735*R1735&lt;=0,MAX(MIN(N60,P60),MIN(N63,P63))&lt;=MIN(MAX(N60,P60),MAX(N63,P63)),MAX(MIN(O60,Q60),MIN(O63,Q63))&lt;=MIN(MAX(O60,Q60),MAX(O63,Q63))),1,0),0)</f>
        <v>0</v>
      </c>
      <c r="T1735" s="7"/>
      <c r="U1735" s="7"/>
      <c r="V1735" s="7"/>
      <c r="W1735" s="7"/>
      <c r="X1735" s="7"/>
      <c r="Y1735" s="7"/>
      <c r="Z1735" s="7"/>
      <c r="AA1735" s="7"/>
      <c r="AB1735" s="7"/>
      <c r="AC1735" s="7"/>
      <c r="AD1735" s="7"/>
      <c r="AE1735" s="7"/>
      <c r="AF1735" s="7"/>
      <c r="AG1735" s="7"/>
      <c r="AH1735" s="7"/>
      <c r="AI1735" s="7"/>
    </row>
    <row r="1736" spans="12:35">
      <c r="L1736" s="7">
        <v>60</v>
      </c>
      <c r="M1736" s="7">
        <v>64</v>
      </c>
      <c r="N1736" s="7" t="b">
        <f>AND($N$7,$N$7,9&lt;=$M$7,13&lt;=$M$7)</f>
        <v>0</v>
      </c>
      <c r="O1736" s="7">
        <f>(P60-N60)*(O64-O60)-(Q60-O60)*(N64-N60)</f>
        <v>0</v>
      </c>
      <c r="P1736" s="7">
        <f>(P60-N60)*(Q64-O60)-(Q60-O60)*(P64-N60)</f>
        <v>0</v>
      </c>
      <c r="Q1736" s="7">
        <f>(P64-N64)*(O60-O64)-(Q64-O64)*(N60-N64)</f>
        <v>0</v>
      </c>
      <c r="R1736" s="7">
        <f>(P64-N64)*(Q60-O64)-(Q64-O64)*(P60-N64)</f>
        <v>0</v>
      </c>
      <c r="S1736" s="7">
        <f>IF(N1736,IF(AND(O1736*P1736&lt;=0,Q1736*R1736&lt;=0,MAX(MIN(N60,P60),MIN(N64,P64))&lt;=MIN(MAX(N60,P60),MAX(N64,P64)),MAX(MIN(O60,Q60),MIN(O64,Q64))&lt;=MIN(MAX(O60,Q60),MAX(O64,Q64))),1,0),0)</f>
        <v>0</v>
      </c>
      <c r="T1736" s="7"/>
      <c r="U1736" s="7"/>
      <c r="V1736" s="7"/>
      <c r="W1736" s="7"/>
      <c r="X1736" s="7"/>
      <c r="Y1736" s="7"/>
      <c r="Z1736" s="7"/>
      <c r="AA1736" s="7"/>
      <c r="AB1736" s="7"/>
      <c r="AC1736" s="7"/>
      <c r="AD1736" s="7"/>
      <c r="AE1736" s="7"/>
      <c r="AF1736" s="7"/>
      <c r="AG1736" s="7"/>
      <c r="AH1736" s="7"/>
      <c r="AI1736" s="7"/>
    </row>
    <row r="1737" spans="12:35">
      <c r="L1737" s="7">
        <v>60</v>
      </c>
      <c r="M1737" s="7">
        <v>65</v>
      </c>
      <c r="N1737" s="7" t="b">
        <f>AND($N$7,$N$7,9&lt;=$M$7,14&lt;=$M$7)</f>
        <v>0</v>
      </c>
      <c r="O1737" s="7">
        <f>(P60-N60)*(O65-O60)-(Q60-O60)*(N65-N60)</f>
        <v>0</v>
      </c>
      <c r="P1737" s="7">
        <f>(P60-N60)*(Q65-O60)-(Q60-O60)*(P65-N60)</f>
        <v>0</v>
      </c>
      <c r="Q1737" s="7">
        <f>(P65-N65)*(O60-O65)-(Q65-O65)*(N60-N65)</f>
        <v>0</v>
      </c>
      <c r="R1737" s="7">
        <f>(P65-N65)*(Q60-O65)-(Q65-O65)*(P60-N65)</f>
        <v>0</v>
      </c>
      <c r="S1737" s="7">
        <f>IF(N1737,IF(AND(O1737*P1737&lt;=0,Q1737*R1737&lt;=0,MAX(MIN(N60,P60),MIN(N65,P65))&lt;=MIN(MAX(N60,P60),MAX(N65,P65)),MAX(MIN(O60,Q60),MIN(O65,Q65))&lt;=MIN(MAX(O60,Q60),MAX(O65,Q65))),1,0),0)</f>
        <v>0</v>
      </c>
      <c r="T1737" s="7"/>
      <c r="U1737" s="7"/>
      <c r="V1737" s="7"/>
      <c r="W1737" s="7"/>
      <c r="X1737" s="7"/>
      <c r="Y1737" s="7"/>
      <c r="Z1737" s="7"/>
      <c r="AA1737" s="7"/>
      <c r="AB1737" s="7"/>
      <c r="AC1737" s="7"/>
      <c r="AD1737" s="7"/>
      <c r="AE1737" s="7"/>
      <c r="AF1737" s="7"/>
      <c r="AG1737" s="7"/>
      <c r="AH1737" s="7"/>
      <c r="AI1737" s="7"/>
    </row>
    <row r="1738" spans="12:35">
      <c r="L1738" s="7">
        <v>60</v>
      </c>
      <c r="M1738" s="7">
        <v>66</v>
      </c>
      <c r="N1738" s="7" t="b">
        <f>AND($N$7,$N$7,9&lt;=$M$7,15&lt;=$M$7)</f>
        <v>0</v>
      </c>
      <c r="O1738" s="7">
        <f>(P60-N60)*(O66-O60)-(Q60-O60)*(N66-N60)</f>
        <v>0</v>
      </c>
      <c r="P1738" s="7">
        <f>(P60-N60)*(Q66-O60)-(Q60-O60)*(P66-N60)</f>
        <v>0</v>
      </c>
      <c r="Q1738" s="7">
        <f>(P66-N66)*(O60-O66)-(Q66-O66)*(N60-N66)</f>
        <v>0</v>
      </c>
      <c r="R1738" s="7">
        <f>(P66-N66)*(Q60-O66)-(Q66-O66)*(P60-N66)</f>
        <v>0</v>
      </c>
      <c r="S1738" s="7">
        <f>IF(N1738,IF(AND(O1738*P1738&lt;=0,Q1738*R1738&lt;=0,MAX(MIN(N60,P60),MIN(N66,P66))&lt;=MIN(MAX(N60,P60),MAX(N66,P66)),MAX(MIN(O60,Q60),MIN(O66,Q66))&lt;=MIN(MAX(O60,Q60),MAX(O66,Q66))),1,0),0)</f>
        <v>0</v>
      </c>
      <c r="T1738" s="7"/>
      <c r="U1738" s="7"/>
      <c r="V1738" s="7"/>
      <c r="W1738" s="7"/>
      <c r="X1738" s="7"/>
      <c r="Y1738" s="7"/>
      <c r="Z1738" s="7"/>
      <c r="AA1738" s="7"/>
      <c r="AB1738" s="7"/>
      <c r="AC1738" s="7"/>
      <c r="AD1738" s="7"/>
      <c r="AE1738" s="7"/>
      <c r="AF1738" s="7"/>
      <c r="AG1738" s="7"/>
      <c r="AH1738" s="7"/>
      <c r="AI1738" s="7"/>
    </row>
    <row r="1739" spans="12:35">
      <c r="L1739" s="7">
        <v>60</v>
      </c>
      <c r="M1739" s="7">
        <v>67</v>
      </c>
      <c r="N1739" s="7" t="b">
        <f>AND($N$7,$N$7,9&lt;=$M$7,16&lt;=$M$7)</f>
        <v>0</v>
      </c>
      <c r="O1739" s="7">
        <f>(P60-N60)*(O67-O60)-(Q60-O60)*(N67-N60)</f>
        <v>0</v>
      </c>
      <c r="P1739" s="7">
        <f>(P60-N60)*(Q67-O60)-(Q60-O60)*(P67-N60)</f>
        <v>0</v>
      </c>
      <c r="Q1739" s="7">
        <f>(P67-N67)*(O60-O67)-(Q67-O67)*(N60-N67)</f>
        <v>0</v>
      </c>
      <c r="R1739" s="7">
        <f>(P67-N67)*(Q60-O67)-(Q67-O67)*(P60-N67)</f>
        <v>0</v>
      </c>
      <c r="S1739" s="7">
        <f>IF(N1739,IF(AND(O1739*P1739&lt;=0,Q1739*R1739&lt;=0,MAX(MIN(N60,P60),MIN(N67,P67))&lt;=MIN(MAX(N60,P60),MAX(N67,P67)),MAX(MIN(O60,Q60),MIN(O67,Q67))&lt;=MIN(MAX(O60,Q60),MAX(O67,Q67))),1,0),0)</f>
        <v>0</v>
      </c>
      <c r="T1739" s="7"/>
      <c r="U1739" s="7"/>
      <c r="V1739" s="7"/>
      <c r="W1739" s="7"/>
      <c r="X1739" s="7"/>
      <c r="Y1739" s="7"/>
      <c r="Z1739" s="7"/>
      <c r="AA1739" s="7"/>
      <c r="AB1739" s="7"/>
      <c r="AC1739" s="7"/>
      <c r="AD1739" s="7"/>
      <c r="AE1739" s="7"/>
      <c r="AF1739" s="7"/>
      <c r="AG1739" s="7"/>
      <c r="AH1739" s="7"/>
      <c r="AI1739" s="7"/>
    </row>
    <row r="1740" spans="12:35">
      <c r="L1740" s="7">
        <v>60</v>
      </c>
      <c r="M1740" s="7">
        <v>68</v>
      </c>
      <c r="N1740" s="7" t="b">
        <f>AND($N$7,$N$7,9&lt;=$M$7,17&lt;=$M$7)</f>
        <v>0</v>
      </c>
      <c r="O1740" s="7">
        <f>(P60-N60)*(O68-O60)-(Q60-O60)*(N68-N60)</f>
        <v>0</v>
      </c>
      <c r="P1740" s="7">
        <f>(P60-N60)*(Q68-O60)-(Q60-O60)*(P68-N60)</f>
        <v>0</v>
      </c>
      <c r="Q1740" s="7">
        <f>(P68-N68)*(O60-O68)-(Q68-O68)*(N60-N68)</f>
        <v>0</v>
      </c>
      <c r="R1740" s="7">
        <f>(P68-N68)*(Q60-O68)-(Q68-O68)*(P60-N68)</f>
        <v>0</v>
      </c>
      <c r="S1740" s="7">
        <f>IF(N1740,IF(AND(O1740*P1740&lt;=0,Q1740*R1740&lt;=0,MAX(MIN(N60,P60),MIN(N68,P68))&lt;=MIN(MAX(N60,P60),MAX(N68,P68)),MAX(MIN(O60,Q60),MIN(O68,Q68))&lt;=MIN(MAX(O60,Q60),MAX(O68,Q68))),1,0),0)</f>
        <v>0</v>
      </c>
      <c r="T1740" s="7"/>
      <c r="U1740" s="7"/>
      <c r="V1740" s="7"/>
      <c r="W1740" s="7"/>
      <c r="X1740" s="7"/>
      <c r="Y1740" s="7"/>
      <c r="Z1740" s="7"/>
      <c r="AA1740" s="7"/>
      <c r="AB1740" s="7"/>
      <c r="AC1740" s="7"/>
      <c r="AD1740" s="7"/>
      <c r="AE1740" s="7"/>
      <c r="AF1740" s="7"/>
      <c r="AG1740" s="7"/>
      <c r="AH1740" s="7"/>
      <c r="AI1740" s="7"/>
    </row>
    <row r="1741" spans="12:35">
      <c r="L1741" s="7">
        <v>60</v>
      </c>
      <c r="M1741" s="7">
        <v>69</v>
      </c>
      <c r="N1741" s="7" t="b">
        <f>AND($N$7,$N$7,9&lt;=$M$7,18&lt;=$M$7)</f>
        <v>0</v>
      </c>
      <c r="O1741" s="7">
        <f>(P60-N60)*(O69-O60)-(Q60-O60)*(N69-N60)</f>
        <v>0</v>
      </c>
      <c r="P1741" s="7">
        <f>(P60-N60)*(Q69-O60)-(Q60-O60)*(P69-N60)</f>
        <v>0</v>
      </c>
      <c r="Q1741" s="7">
        <f>(P69-N69)*(O60-O69)-(Q69-O69)*(N60-N69)</f>
        <v>0</v>
      </c>
      <c r="R1741" s="7">
        <f>(P69-N69)*(Q60-O69)-(Q69-O69)*(P60-N69)</f>
        <v>0</v>
      </c>
      <c r="S1741" s="7">
        <f>IF(N1741,IF(AND(O1741*P1741&lt;=0,Q1741*R1741&lt;=0,MAX(MIN(N60,P60),MIN(N69,P69))&lt;=MIN(MAX(N60,P60),MAX(N69,P69)),MAX(MIN(O60,Q60),MIN(O69,Q69))&lt;=MIN(MAX(O60,Q60),MAX(O69,Q69))),1,0),0)</f>
        <v>0</v>
      </c>
      <c r="T1741" s="7"/>
      <c r="U1741" s="7"/>
      <c r="V1741" s="7"/>
      <c r="W1741" s="7"/>
      <c r="X1741" s="7"/>
      <c r="Y1741" s="7"/>
      <c r="Z1741" s="7"/>
      <c r="AA1741" s="7"/>
      <c r="AB1741" s="7"/>
      <c r="AC1741" s="7"/>
      <c r="AD1741" s="7"/>
      <c r="AE1741" s="7"/>
      <c r="AF1741" s="7"/>
      <c r="AG1741" s="7"/>
      <c r="AH1741" s="7"/>
      <c r="AI1741" s="7"/>
    </row>
    <row r="1742" spans="12:35">
      <c r="L1742" s="7">
        <v>60</v>
      </c>
      <c r="M1742" s="7">
        <v>70</v>
      </c>
      <c r="N1742" s="7" t="b">
        <f>AND($N$7,$N$7,9&lt;=$M$7,19&lt;=$M$7)</f>
        <v>0</v>
      </c>
      <c r="O1742" s="7">
        <f>(P60-N60)*(O70-O60)-(Q60-O60)*(N70-N60)</f>
        <v>0</v>
      </c>
      <c r="P1742" s="7">
        <f>(P60-N60)*(Q70-O60)-(Q60-O60)*(P70-N60)</f>
        <v>0</v>
      </c>
      <c r="Q1742" s="7">
        <f>(P70-N70)*(O60-O70)-(Q70-O70)*(N60-N70)</f>
        <v>0</v>
      </c>
      <c r="R1742" s="7">
        <f>(P70-N70)*(Q60-O70)-(Q70-O70)*(P60-N70)</f>
        <v>0</v>
      </c>
      <c r="S1742" s="7">
        <f>IF(N1742,IF(AND(O1742*P1742&lt;=0,Q1742*R1742&lt;=0,MAX(MIN(N60,P60),MIN(N70,P70))&lt;=MIN(MAX(N60,P60),MAX(N70,P70)),MAX(MIN(O60,Q60),MIN(O70,Q70))&lt;=MIN(MAX(O60,Q60),MAX(O70,Q70))),1,0),0)</f>
        <v>0</v>
      </c>
      <c r="T1742" s="7"/>
      <c r="U1742" s="7"/>
      <c r="V1742" s="7"/>
      <c r="W1742" s="7"/>
      <c r="X1742" s="7"/>
      <c r="Y1742" s="7"/>
      <c r="Z1742" s="7"/>
      <c r="AA1742" s="7"/>
      <c r="AB1742" s="7"/>
      <c r="AC1742" s="7"/>
      <c r="AD1742" s="7"/>
      <c r="AE1742" s="7"/>
      <c r="AF1742" s="7"/>
      <c r="AG1742" s="7"/>
      <c r="AH1742" s="7"/>
      <c r="AI1742" s="7"/>
    </row>
    <row r="1743" spans="12:35">
      <c r="L1743" s="7">
        <v>60</v>
      </c>
      <c r="M1743" s="7">
        <v>71</v>
      </c>
      <c r="N1743" s="7" t="b">
        <f>AND($N$7,$N$7,9&lt;=$M$7,20&lt;=$M$7)</f>
        <v>0</v>
      </c>
      <c r="O1743" s="7">
        <f>(P60-N60)*(O71-O60)-(Q60-O60)*(N71-N60)</f>
        <v>0</v>
      </c>
      <c r="P1743" s="7">
        <f>(P60-N60)*(Q71-O60)-(Q60-O60)*(P71-N60)</f>
        <v>0</v>
      </c>
      <c r="Q1743" s="7">
        <f>(P71-N71)*(O60-O71)-(Q71-O71)*(N60-N71)</f>
        <v>0</v>
      </c>
      <c r="R1743" s="7">
        <f>(P71-N71)*(Q60-O71)-(Q71-O71)*(P60-N71)</f>
        <v>0</v>
      </c>
      <c r="S1743" s="7">
        <f>IF(N1743,IF(AND(O1743*P1743&lt;=0,Q1743*R1743&lt;=0,MAX(MIN(N60,P60),MIN(N71,P71))&lt;=MIN(MAX(N60,P60),MAX(N71,P71)),MAX(MIN(O60,Q60),MIN(O71,Q71))&lt;=MIN(MAX(O60,Q60),MAX(O71,Q71))),1,0),0)</f>
        <v>0</v>
      </c>
      <c r="T1743" s="7"/>
      <c r="U1743" s="7"/>
      <c r="V1743" s="7"/>
      <c r="W1743" s="7"/>
      <c r="X1743" s="7"/>
      <c r="Y1743" s="7"/>
      <c r="Z1743" s="7"/>
      <c r="AA1743" s="7"/>
      <c r="AB1743" s="7"/>
      <c r="AC1743" s="7"/>
      <c r="AD1743" s="7"/>
      <c r="AE1743" s="7"/>
      <c r="AF1743" s="7"/>
      <c r="AG1743" s="7"/>
      <c r="AH1743" s="7"/>
      <c r="AI1743" s="7"/>
    </row>
    <row r="1744" spans="12:35">
      <c r="L1744" s="7">
        <v>61</v>
      </c>
      <c r="M1744" s="7">
        <v>63</v>
      </c>
      <c r="N1744" s="7" t="b">
        <f>AND($N$7,$N$7,10&lt;=$M$7,12&lt;=$M$7)</f>
        <v>0</v>
      </c>
      <c r="O1744" s="7">
        <f>(P61-N61)*(O63-O61)-(Q61-O61)*(N63-N61)</f>
        <v>0</v>
      </c>
      <c r="P1744" s="7">
        <f>(P61-N61)*(Q63-O61)-(Q61-O61)*(P63-N61)</f>
        <v>0</v>
      </c>
      <c r="Q1744" s="7">
        <f>(P63-N63)*(O61-O63)-(Q63-O63)*(N61-N63)</f>
        <v>0</v>
      </c>
      <c r="R1744" s="7">
        <f>(P63-N63)*(Q61-O63)-(Q63-O63)*(P61-N63)</f>
        <v>0</v>
      </c>
      <c r="S1744" s="7">
        <f>IF(N1744,IF(AND(O1744*P1744&lt;=0,Q1744*R1744&lt;=0,MAX(MIN(N61,P61),MIN(N63,P63))&lt;=MIN(MAX(N61,P61),MAX(N63,P63)),MAX(MIN(O61,Q61),MIN(O63,Q63))&lt;=MIN(MAX(O61,Q61),MAX(O63,Q63))),1,0),0)</f>
        <v>0</v>
      </c>
      <c r="T1744" s="7"/>
      <c r="U1744" s="7"/>
      <c r="V1744" s="7"/>
      <c r="W1744" s="7"/>
      <c r="X1744" s="7"/>
      <c r="Y1744" s="7"/>
      <c r="Z1744" s="7"/>
      <c r="AA1744" s="7"/>
      <c r="AB1744" s="7"/>
      <c r="AC1744" s="7"/>
      <c r="AD1744" s="7"/>
      <c r="AE1744" s="7"/>
      <c r="AF1744" s="7"/>
      <c r="AG1744" s="7"/>
      <c r="AH1744" s="7"/>
      <c r="AI1744" s="7"/>
    </row>
    <row r="1745" spans="12:35">
      <c r="L1745" s="7">
        <v>61</v>
      </c>
      <c r="M1745" s="7">
        <v>64</v>
      </c>
      <c r="N1745" s="7" t="b">
        <f>AND($N$7,$N$7,10&lt;=$M$7,13&lt;=$M$7)</f>
        <v>0</v>
      </c>
      <c r="O1745" s="7">
        <f>(P61-N61)*(O64-O61)-(Q61-O61)*(N64-N61)</f>
        <v>0</v>
      </c>
      <c r="P1745" s="7">
        <f>(P61-N61)*(Q64-O61)-(Q61-O61)*(P64-N61)</f>
        <v>0</v>
      </c>
      <c r="Q1745" s="7">
        <f>(P64-N64)*(O61-O64)-(Q64-O64)*(N61-N64)</f>
        <v>0</v>
      </c>
      <c r="R1745" s="7">
        <f>(P64-N64)*(Q61-O64)-(Q64-O64)*(P61-N64)</f>
        <v>0</v>
      </c>
      <c r="S1745" s="7">
        <f>IF(N1745,IF(AND(O1745*P1745&lt;=0,Q1745*R1745&lt;=0,MAX(MIN(N61,P61),MIN(N64,P64))&lt;=MIN(MAX(N61,P61),MAX(N64,P64)),MAX(MIN(O61,Q61),MIN(O64,Q64))&lt;=MIN(MAX(O61,Q61),MAX(O64,Q64))),1,0),0)</f>
        <v>0</v>
      </c>
      <c r="T1745" s="7"/>
      <c r="U1745" s="7"/>
      <c r="V1745" s="7"/>
      <c r="W1745" s="7"/>
      <c r="X1745" s="7"/>
      <c r="Y1745" s="7"/>
      <c r="Z1745" s="7"/>
      <c r="AA1745" s="7"/>
      <c r="AB1745" s="7"/>
      <c r="AC1745" s="7"/>
      <c r="AD1745" s="7"/>
      <c r="AE1745" s="7"/>
      <c r="AF1745" s="7"/>
      <c r="AG1745" s="7"/>
      <c r="AH1745" s="7"/>
      <c r="AI1745" s="7"/>
    </row>
    <row r="1746" spans="12:35">
      <c r="L1746" s="7">
        <v>61</v>
      </c>
      <c r="M1746" s="7">
        <v>65</v>
      </c>
      <c r="N1746" s="7" t="b">
        <f>AND($N$7,$N$7,10&lt;=$M$7,14&lt;=$M$7)</f>
        <v>0</v>
      </c>
      <c r="O1746" s="7">
        <f>(P61-N61)*(O65-O61)-(Q61-O61)*(N65-N61)</f>
        <v>0</v>
      </c>
      <c r="P1746" s="7">
        <f>(P61-N61)*(Q65-O61)-(Q61-O61)*(P65-N61)</f>
        <v>0</v>
      </c>
      <c r="Q1746" s="7">
        <f>(P65-N65)*(O61-O65)-(Q65-O65)*(N61-N65)</f>
        <v>0</v>
      </c>
      <c r="R1746" s="7">
        <f>(P65-N65)*(Q61-O65)-(Q65-O65)*(P61-N65)</f>
        <v>0</v>
      </c>
      <c r="S1746" s="7">
        <f>IF(N1746,IF(AND(O1746*P1746&lt;=0,Q1746*R1746&lt;=0,MAX(MIN(N61,P61),MIN(N65,P65))&lt;=MIN(MAX(N61,P61),MAX(N65,P65)),MAX(MIN(O61,Q61),MIN(O65,Q65))&lt;=MIN(MAX(O61,Q61),MAX(O65,Q65))),1,0),0)</f>
        <v>0</v>
      </c>
      <c r="T1746" s="7"/>
      <c r="U1746" s="7"/>
      <c r="V1746" s="7"/>
      <c r="W1746" s="7"/>
      <c r="X1746" s="7"/>
      <c r="Y1746" s="7"/>
      <c r="Z1746" s="7"/>
      <c r="AA1746" s="7"/>
      <c r="AB1746" s="7"/>
      <c r="AC1746" s="7"/>
      <c r="AD1746" s="7"/>
      <c r="AE1746" s="7"/>
      <c r="AF1746" s="7"/>
      <c r="AG1746" s="7"/>
      <c r="AH1746" s="7"/>
      <c r="AI1746" s="7"/>
    </row>
    <row r="1747" spans="12:35">
      <c r="L1747" s="7">
        <v>61</v>
      </c>
      <c r="M1747" s="7">
        <v>66</v>
      </c>
      <c r="N1747" s="7" t="b">
        <f>AND($N$7,$N$7,10&lt;=$M$7,15&lt;=$M$7)</f>
        <v>0</v>
      </c>
      <c r="O1747" s="7">
        <f>(P61-N61)*(O66-O61)-(Q61-O61)*(N66-N61)</f>
        <v>0</v>
      </c>
      <c r="P1747" s="7">
        <f>(P61-N61)*(Q66-O61)-(Q61-O61)*(P66-N61)</f>
        <v>0</v>
      </c>
      <c r="Q1747" s="7">
        <f>(P66-N66)*(O61-O66)-(Q66-O66)*(N61-N66)</f>
        <v>0</v>
      </c>
      <c r="R1747" s="7">
        <f>(P66-N66)*(Q61-O66)-(Q66-O66)*(P61-N66)</f>
        <v>0</v>
      </c>
      <c r="S1747" s="7">
        <f>IF(N1747,IF(AND(O1747*P1747&lt;=0,Q1747*R1747&lt;=0,MAX(MIN(N61,P61),MIN(N66,P66))&lt;=MIN(MAX(N61,P61),MAX(N66,P66)),MAX(MIN(O61,Q61),MIN(O66,Q66))&lt;=MIN(MAX(O61,Q61),MAX(O66,Q66))),1,0),0)</f>
        <v>0</v>
      </c>
      <c r="T1747" s="7"/>
      <c r="U1747" s="7"/>
      <c r="V1747" s="7"/>
      <c r="W1747" s="7"/>
      <c r="X1747" s="7"/>
      <c r="Y1747" s="7"/>
      <c r="Z1747" s="7"/>
      <c r="AA1747" s="7"/>
      <c r="AB1747" s="7"/>
      <c r="AC1747" s="7"/>
      <c r="AD1747" s="7"/>
      <c r="AE1747" s="7"/>
      <c r="AF1747" s="7"/>
      <c r="AG1747" s="7"/>
      <c r="AH1747" s="7"/>
      <c r="AI1747" s="7"/>
    </row>
    <row r="1748" spans="12:35">
      <c r="L1748" s="7">
        <v>61</v>
      </c>
      <c r="M1748" s="7">
        <v>67</v>
      </c>
      <c r="N1748" s="7" t="b">
        <f>AND($N$7,$N$7,10&lt;=$M$7,16&lt;=$M$7)</f>
        <v>0</v>
      </c>
      <c r="O1748" s="7">
        <f>(P61-N61)*(O67-O61)-(Q61-O61)*(N67-N61)</f>
        <v>0</v>
      </c>
      <c r="P1748" s="7">
        <f>(P61-N61)*(Q67-O61)-(Q61-O61)*(P67-N61)</f>
        <v>0</v>
      </c>
      <c r="Q1748" s="7">
        <f>(P67-N67)*(O61-O67)-(Q67-O67)*(N61-N67)</f>
        <v>0</v>
      </c>
      <c r="R1748" s="7">
        <f>(P67-N67)*(Q61-O67)-(Q67-O67)*(P61-N67)</f>
        <v>0</v>
      </c>
      <c r="S1748" s="7">
        <f>IF(N1748,IF(AND(O1748*P1748&lt;=0,Q1748*R1748&lt;=0,MAX(MIN(N61,P61),MIN(N67,P67))&lt;=MIN(MAX(N61,P61),MAX(N67,P67)),MAX(MIN(O61,Q61),MIN(O67,Q67))&lt;=MIN(MAX(O61,Q61),MAX(O67,Q67))),1,0),0)</f>
        <v>0</v>
      </c>
      <c r="T1748" s="7"/>
      <c r="U1748" s="7"/>
      <c r="V1748" s="7"/>
      <c r="W1748" s="7"/>
      <c r="X1748" s="7"/>
      <c r="Y1748" s="7"/>
      <c r="Z1748" s="7"/>
      <c r="AA1748" s="7"/>
      <c r="AB1748" s="7"/>
      <c r="AC1748" s="7"/>
      <c r="AD1748" s="7"/>
      <c r="AE1748" s="7"/>
      <c r="AF1748" s="7"/>
      <c r="AG1748" s="7"/>
      <c r="AH1748" s="7"/>
      <c r="AI1748" s="7"/>
    </row>
    <row r="1749" spans="12:35">
      <c r="L1749" s="7">
        <v>61</v>
      </c>
      <c r="M1749" s="7">
        <v>68</v>
      </c>
      <c r="N1749" s="7" t="b">
        <f>AND($N$7,$N$7,10&lt;=$M$7,17&lt;=$M$7)</f>
        <v>0</v>
      </c>
      <c r="O1749" s="7">
        <f>(P61-N61)*(O68-O61)-(Q61-O61)*(N68-N61)</f>
        <v>0</v>
      </c>
      <c r="P1749" s="7">
        <f>(P61-N61)*(Q68-O61)-(Q61-O61)*(P68-N61)</f>
        <v>0</v>
      </c>
      <c r="Q1749" s="7">
        <f>(P68-N68)*(O61-O68)-(Q68-O68)*(N61-N68)</f>
        <v>0</v>
      </c>
      <c r="R1749" s="7">
        <f>(P68-N68)*(Q61-O68)-(Q68-O68)*(P61-N68)</f>
        <v>0</v>
      </c>
      <c r="S1749" s="7">
        <f>IF(N1749,IF(AND(O1749*P1749&lt;=0,Q1749*R1749&lt;=0,MAX(MIN(N61,P61),MIN(N68,P68))&lt;=MIN(MAX(N61,P61),MAX(N68,P68)),MAX(MIN(O61,Q61),MIN(O68,Q68))&lt;=MIN(MAX(O61,Q61),MAX(O68,Q68))),1,0),0)</f>
        <v>0</v>
      </c>
      <c r="T1749" s="7"/>
      <c r="U1749" s="7"/>
      <c r="V1749" s="7"/>
      <c r="W1749" s="7"/>
      <c r="X1749" s="7"/>
      <c r="Y1749" s="7"/>
      <c r="Z1749" s="7"/>
      <c r="AA1749" s="7"/>
      <c r="AB1749" s="7"/>
      <c r="AC1749" s="7"/>
      <c r="AD1749" s="7"/>
      <c r="AE1749" s="7"/>
      <c r="AF1749" s="7"/>
      <c r="AG1749" s="7"/>
      <c r="AH1749" s="7"/>
      <c r="AI1749" s="7"/>
    </row>
    <row r="1750" spans="12:35">
      <c r="L1750" s="7">
        <v>61</v>
      </c>
      <c r="M1750" s="7">
        <v>69</v>
      </c>
      <c r="N1750" s="7" t="b">
        <f>AND($N$7,$N$7,10&lt;=$M$7,18&lt;=$M$7)</f>
        <v>0</v>
      </c>
      <c r="O1750" s="7">
        <f>(P61-N61)*(O69-O61)-(Q61-O61)*(N69-N61)</f>
        <v>0</v>
      </c>
      <c r="P1750" s="7">
        <f>(P61-N61)*(Q69-O61)-(Q61-O61)*(P69-N61)</f>
        <v>0</v>
      </c>
      <c r="Q1750" s="7">
        <f>(P69-N69)*(O61-O69)-(Q69-O69)*(N61-N69)</f>
        <v>0</v>
      </c>
      <c r="R1750" s="7">
        <f>(P69-N69)*(Q61-O69)-(Q69-O69)*(P61-N69)</f>
        <v>0</v>
      </c>
      <c r="S1750" s="7">
        <f>IF(N1750,IF(AND(O1750*P1750&lt;=0,Q1750*R1750&lt;=0,MAX(MIN(N61,P61),MIN(N69,P69))&lt;=MIN(MAX(N61,P61),MAX(N69,P69)),MAX(MIN(O61,Q61),MIN(O69,Q69))&lt;=MIN(MAX(O61,Q61),MAX(O69,Q69))),1,0),0)</f>
        <v>0</v>
      </c>
      <c r="T1750" s="7"/>
      <c r="U1750" s="7"/>
      <c r="V1750" s="7"/>
      <c r="W1750" s="7"/>
      <c r="X1750" s="7"/>
      <c r="Y1750" s="7"/>
      <c r="Z1750" s="7"/>
      <c r="AA1750" s="7"/>
      <c r="AB1750" s="7"/>
      <c r="AC1750" s="7"/>
      <c r="AD1750" s="7"/>
      <c r="AE1750" s="7"/>
      <c r="AF1750" s="7"/>
      <c r="AG1750" s="7"/>
      <c r="AH1750" s="7"/>
      <c r="AI1750" s="7"/>
    </row>
    <row r="1751" spans="12:35">
      <c r="L1751" s="7">
        <v>61</v>
      </c>
      <c r="M1751" s="7">
        <v>70</v>
      </c>
      <c r="N1751" s="7" t="b">
        <f>AND($N$7,$N$7,10&lt;=$M$7,19&lt;=$M$7)</f>
        <v>0</v>
      </c>
      <c r="O1751" s="7">
        <f>(P61-N61)*(O70-O61)-(Q61-O61)*(N70-N61)</f>
        <v>0</v>
      </c>
      <c r="P1751" s="7">
        <f>(P61-N61)*(Q70-O61)-(Q61-O61)*(P70-N61)</f>
        <v>0</v>
      </c>
      <c r="Q1751" s="7">
        <f>(P70-N70)*(O61-O70)-(Q70-O70)*(N61-N70)</f>
        <v>0</v>
      </c>
      <c r="R1751" s="7">
        <f>(P70-N70)*(Q61-O70)-(Q70-O70)*(P61-N70)</f>
        <v>0</v>
      </c>
      <c r="S1751" s="7">
        <f>IF(N1751,IF(AND(O1751*P1751&lt;=0,Q1751*R1751&lt;=0,MAX(MIN(N61,P61),MIN(N70,P70))&lt;=MIN(MAX(N61,P61),MAX(N70,P70)),MAX(MIN(O61,Q61),MIN(O70,Q70))&lt;=MIN(MAX(O61,Q61),MAX(O70,Q70))),1,0),0)</f>
        <v>0</v>
      </c>
      <c r="T1751" s="7"/>
      <c r="U1751" s="7"/>
      <c r="V1751" s="7"/>
      <c r="W1751" s="7"/>
      <c r="X1751" s="7"/>
      <c r="Y1751" s="7"/>
      <c r="Z1751" s="7"/>
      <c r="AA1751" s="7"/>
      <c r="AB1751" s="7"/>
      <c r="AC1751" s="7"/>
      <c r="AD1751" s="7"/>
      <c r="AE1751" s="7"/>
      <c r="AF1751" s="7"/>
      <c r="AG1751" s="7"/>
      <c r="AH1751" s="7"/>
      <c r="AI1751" s="7"/>
    </row>
    <row r="1752" spans="12:35">
      <c r="L1752" s="7">
        <v>61</v>
      </c>
      <c r="M1752" s="7">
        <v>71</v>
      </c>
      <c r="N1752" s="7" t="b">
        <f>AND($N$7,$N$7,10&lt;=$M$7,20&lt;=$M$7)</f>
        <v>0</v>
      </c>
      <c r="O1752" s="7">
        <f>(P61-N61)*(O71-O61)-(Q61-O61)*(N71-N61)</f>
        <v>0</v>
      </c>
      <c r="P1752" s="7">
        <f>(P61-N61)*(Q71-O61)-(Q61-O61)*(P71-N61)</f>
        <v>0</v>
      </c>
      <c r="Q1752" s="7">
        <f>(P71-N71)*(O61-O71)-(Q71-O71)*(N61-N71)</f>
        <v>0</v>
      </c>
      <c r="R1752" s="7">
        <f>(P71-N71)*(Q61-O71)-(Q71-O71)*(P61-N71)</f>
        <v>0</v>
      </c>
      <c r="S1752" s="7">
        <f>IF(N1752,IF(AND(O1752*P1752&lt;=0,Q1752*R1752&lt;=0,MAX(MIN(N61,P61),MIN(N71,P71))&lt;=MIN(MAX(N61,P61),MAX(N71,P71)),MAX(MIN(O61,Q61),MIN(O71,Q71))&lt;=MIN(MAX(O61,Q61),MAX(O71,Q71))),1,0),0)</f>
        <v>0</v>
      </c>
      <c r="T1752" s="7"/>
      <c r="U1752" s="7"/>
      <c r="V1752" s="7"/>
      <c r="W1752" s="7"/>
      <c r="X1752" s="7"/>
      <c r="Y1752" s="7"/>
      <c r="Z1752" s="7"/>
      <c r="AA1752" s="7"/>
      <c r="AB1752" s="7"/>
      <c r="AC1752" s="7"/>
      <c r="AD1752" s="7"/>
      <c r="AE1752" s="7"/>
      <c r="AF1752" s="7"/>
      <c r="AG1752" s="7"/>
      <c r="AH1752" s="7"/>
      <c r="AI1752" s="7"/>
    </row>
    <row r="1753" spans="12:35">
      <c r="L1753" s="7">
        <v>62</v>
      </c>
      <c r="M1753" s="7">
        <v>64</v>
      </c>
      <c r="N1753" s="7" t="b">
        <f>AND($N$7,$N$7,11&lt;=$M$7,13&lt;=$M$7)</f>
        <v>0</v>
      </c>
      <c r="O1753" s="7">
        <f>(P62-N62)*(O64-O62)-(Q62-O62)*(N64-N62)</f>
        <v>0</v>
      </c>
      <c r="P1753" s="7">
        <f>(P62-N62)*(Q64-O62)-(Q62-O62)*(P64-N62)</f>
        <v>0</v>
      </c>
      <c r="Q1753" s="7">
        <f>(P64-N64)*(O62-O64)-(Q64-O64)*(N62-N64)</f>
        <v>0</v>
      </c>
      <c r="R1753" s="7">
        <f>(P64-N64)*(Q62-O64)-(Q64-O64)*(P62-N64)</f>
        <v>0</v>
      </c>
      <c r="S1753" s="7">
        <f>IF(N1753,IF(AND(O1753*P1753&lt;=0,Q1753*R1753&lt;=0,MAX(MIN(N62,P62),MIN(N64,P64))&lt;=MIN(MAX(N62,P62),MAX(N64,P64)),MAX(MIN(O62,Q62),MIN(O64,Q64))&lt;=MIN(MAX(O62,Q62),MAX(O64,Q64))),1,0),0)</f>
        <v>0</v>
      </c>
      <c r="T1753" s="7"/>
      <c r="U1753" s="7"/>
      <c r="V1753" s="7"/>
      <c r="W1753" s="7"/>
      <c r="X1753" s="7"/>
      <c r="Y1753" s="7"/>
      <c r="Z1753" s="7"/>
      <c r="AA1753" s="7"/>
      <c r="AB1753" s="7"/>
      <c r="AC1753" s="7"/>
      <c r="AD1753" s="7"/>
      <c r="AE1753" s="7"/>
      <c r="AF1753" s="7"/>
      <c r="AG1753" s="7"/>
      <c r="AH1753" s="7"/>
      <c r="AI1753" s="7"/>
    </row>
    <row r="1754" spans="12:35">
      <c r="L1754" s="7">
        <v>62</v>
      </c>
      <c r="M1754" s="7">
        <v>65</v>
      </c>
      <c r="N1754" s="7" t="b">
        <f>AND($N$7,$N$7,11&lt;=$M$7,14&lt;=$M$7)</f>
        <v>0</v>
      </c>
      <c r="O1754" s="7">
        <f>(P62-N62)*(O65-O62)-(Q62-O62)*(N65-N62)</f>
        <v>0</v>
      </c>
      <c r="P1754" s="7">
        <f>(P62-N62)*(Q65-O62)-(Q62-O62)*(P65-N62)</f>
        <v>0</v>
      </c>
      <c r="Q1754" s="7">
        <f>(P65-N65)*(O62-O65)-(Q65-O65)*(N62-N65)</f>
        <v>0</v>
      </c>
      <c r="R1754" s="7">
        <f>(P65-N65)*(Q62-O65)-(Q65-O65)*(P62-N65)</f>
        <v>0</v>
      </c>
      <c r="S1754" s="7">
        <f>IF(N1754,IF(AND(O1754*P1754&lt;=0,Q1754*R1754&lt;=0,MAX(MIN(N62,P62),MIN(N65,P65))&lt;=MIN(MAX(N62,P62),MAX(N65,P65)),MAX(MIN(O62,Q62),MIN(O65,Q65))&lt;=MIN(MAX(O62,Q62),MAX(O65,Q65))),1,0),0)</f>
        <v>0</v>
      </c>
      <c r="T1754" s="7"/>
      <c r="U1754" s="7"/>
      <c r="V1754" s="7"/>
      <c r="W1754" s="7"/>
      <c r="X1754" s="7"/>
      <c r="Y1754" s="7"/>
      <c r="Z1754" s="7"/>
      <c r="AA1754" s="7"/>
      <c r="AB1754" s="7"/>
      <c r="AC1754" s="7"/>
      <c r="AD1754" s="7"/>
      <c r="AE1754" s="7"/>
      <c r="AF1754" s="7"/>
      <c r="AG1754" s="7"/>
      <c r="AH1754" s="7"/>
      <c r="AI1754" s="7"/>
    </row>
    <row r="1755" spans="12:35">
      <c r="L1755" s="7">
        <v>62</v>
      </c>
      <c r="M1755" s="7">
        <v>66</v>
      </c>
      <c r="N1755" s="7" t="b">
        <f>AND($N$7,$N$7,11&lt;=$M$7,15&lt;=$M$7)</f>
        <v>0</v>
      </c>
      <c r="O1755" s="7">
        <f>(P62-N62)*(O66-O62)-(Q62-O62)*(N66-N62)</f>
        <v>0</v>
      </c>
      <c r="P1755" s="7">
        <f>(P62-N62)*(Q66-O62)-(Q62-O62)*(P66-N62)</f>
        <v>0</v>
      </c>
      <c r="Q1755" s="7">
        <f>(P66-N66)*(O62-O66)-(Q66-O66)*(N62-N66)</f>
        <v>0</v>
      </c>
      <c r="R1755" s="7">
        <f>(P66-N66)*(Q62-O66)-(Q66-O66)*(P62-N66)</f>
        <v>0</v>
      </c>
      <c r="S1755" s="7">
        <f>IF(N1755,IF(AND(O1755*P1755&lt;=0,Q1755*R1755&lt;=0,MAX(MIN(N62,P62),MIN(N66,P66))&lt;=MIN(MAX(N62,P62),MAX(N66,P66)),MAX(MIN(O62,Q62),MIN(O66,Q66))&lt;=MIN(MAX(O62,Q62),MAX(O66,Q66))),1,0),0)</f>
        <v>0</v>
      </c>
      <c r="T1755" s="7"/>
      <c r="U1755" s="7"/>
      <c r="V1755" s="7"/>
      <c r="W1755" s="7"/>
      <c r="X1755" s="7"/>
      <c r="Y1755" s="7"/>
      <c r="Z1755" s="7"/>
      <c r="AA1755" s="7"/>
      <c r="AB1755" s="7"/>
      <c r="AC1755" s="7"/>
      <c r="AD1755" s="7"/>
      <c r="AE1755" s="7"/>
      <c r="AF1755" s="7"/>
      <c r="AG1755" s="7"/>
      <c r="AH1755" s="7"/>
      <c r="AI1755" s="7"/>
    </row>
    <row r="1756" spans="12:35">
      <c r="L1756" s="7">
        <v>62</v>
      </c>
      <c r="M1756" s="7">
        <v>67</v>
      </c>
      <c r="N1756" s="7" t="b">
        <f>AND($N$7,$N$7,11&lt;=$M$7,16&lt;=$M$7)</f>
        <v>0</v>
      </c>
      <c r="O1756" s="7">
        <f>(P62-N62)*(O67-O62)-(Q62-O62)*(N67-N62)</f>
        <v>0</v>
      </c>
      <c r="P1756" s="7">
        <f>(P62-N62)*(Q67-O62)-(Q62-O62)*(P67-N62)</f>
        <v>0</v>
      </c>
      <c r="Q1756" s="7">
        <f>(P67-N67)*(O62-O67)-(Q67-O67)*(N62-N67)</f>
        <v>0</v>
      </c>
      <c r="R1756" s="7">
        <f>(P67-N67)*(Q62-O67)-(Q67-O67)*(P62-N67)</f>
        <v>0</v>
      </c>
      <c r="S1756" s="7">
        <f>IF(N1756,IF(AND(O1756*P1756&lt;=0,Q1756*R1756&lt;=0,MAX(MIN(N62,P62),MIN(N67,P67))&lt;=MIN(MAX(N62,P62),MAX(N67,P67)),MAX(MIN(O62,Q62),MIN(O67,Q67))&lt;=MIN(MAX(O62,Q62),MAX(O67,Q67))),1,0),0)</f>
        <v>0</v>
      </c>
      <c r="T1756" s="7"/>
      <c r="U1756" s="7"/>
      <c r="V1756" s="7"/>
      <c r="W1756" s="7"/>
      <c r="X1756" s="7"/>
      <c r="Y1756" s="7"/>
      <c r="Z1756" s="7"/>
      <c r="AA1756" s="7"/>
      <c r="AB1756" s="7"/>
      <c r="AC1756" s="7"/>
      <c r="AD1756" s="7"/>
      <c r="AE1756" s="7"/>
      <c r="AF1756" s="7"/>
      <c r="AG1756" s="7"/>
      <c r="AH1756" s="7"/>
      <c r="AI1756" s="7"/>
    </row>
    <row r="1757" spans="12:35">
      <c r="L1757" s="7">
        <v>62</v>
      </c>
      <c r="M1757" s="7">
        <v>68</v>
      </c>
      <c r="N1757" s="7" t="b">
        <f>AND($N$7,$N$7,11&lt;=$M$7,17&lt;=$M$7)</f>
        <v>0</v>
      </c>
      <c r="O1757" s="7">
        <f>(P62-N62)*(O68-O62)-(Q62-O62)*(N68-N62)</f>
        <v>0</v>
      </c>
      <c r="P1757" s="7">
        <f>(P62-N62)*(Q68-O62)-(Q62-O62)*(P68-N62)</f>
        <v>0</v>
      </c>
      <c r="Q1757" s="7">
        <f>(P68-N68)*(O62-O68)-(Q68-O68)*(N62-N68)</f>
        <v>0</v>
      </c>
      <c r="R1757" s="7">
        <f>(P68-N68)*(Q62-O68)-(Q68-O68)*(P62-N68)</f>
        <v>0</v>
      </c>
      <c r="S1757" s="7">
        <f>IF(N1757,IF(AND(O1757*P1757&lt;=0,Q1757*R1757&lt;=0,MAX(MIN(N62,P62),MIN(N68,P68))&lt;=MIN(MAX(N62,P62),MAX(N68,P68)),MAX(MIN(O62,Q62),MIN(O68,Q68))&lt;=MIN(MAX(O62,Q62),MAX(O68,Q68))),1,0),0)</f>
        <v>0</v>
      </c>
      <c r="T1757" s="7"/>
      <c r="U1757" s="7"/>
      <c r="V1757" s="7"/>
      <c r="W1757" s="7"/>
      <c r="X1757" s="7"/>
      <c r="Y1757" s="7"/>
      <c r="Z1757" s="7"/>
      <c r="AA1757" s="7"/>
      <c r="AB1757" s="7"/>
      <c r="AC1757" s="7"/>
      <c r="AD1757" s="7"/>
      <c r="AE1757" s="7"/>
      <c r="AF1757" s="7"/>
      <c r="AG1757" s="7"/>
      <c r="AH1757" s="7"/>
      <c r="AI1757" s="7"/>
    </row>
    <row r="1758" spans="12:35">
      <c r="L1758" s="7">
        <v>62</v>
      </c>
      <c r="M1758" s="7">
        <v>69</v>
      </c>
      <c r="N1758" s="7" t="b">
        <f>AND($N$7,$N$7,11&lt;=$M$7,18&lt;=$M$7)</f>
        <v>0</v>
      </c>
      <c r="O1758" s="7">
        <f>(P62-N62)*(O69-O62)-(Q62-O62)*(N69-N62)</f>
        <v>0</v>
      </c>
      <c r="P1758" s="7">
        <f>(P62-N62)*(Q69-O62)-(Q62-O62)*(P69-N62)</f>
        <v>0</v>
      </c>
      <c r="Q1758" s="7">
        <f>(P69-N69)*(O62-O69)-(Q69-O69)*(N62-N69)</f>
        <v>0</v>
      </c>
      <c r="R1758" s="7">
        <f>(P69-N69)*(Q62-O69)-(Q69-O69)*(P62-N69)</f>
        <v>0</v>
      </c>
      <c r="S1758" s="7">
        <f>IF(N1758,IF(AND(O1758*P1758&lt;=0,Q1758*R1758&lt;=0,MAX(MIN(N62,P62),MIN(N69,P69))&lt;=MIN(MAX(N62,P62),MAX(N69,P69)),MAX(MIN(O62,Q62),MIN(O69,Q69))&lt;=MIN(MAX(O62,Q62),MAX(O69,Q69))),1,0),0)</f>
        <v>0</v>
      </c>
      <c r="T1758" s="7"/>
      <c r="U1758" s="7"/>
      <c r="V1758" s="7"/>
      <c r="W1758" s="7"/>
      <c r="X1758" s="7"/>
      <c r="Y1758" s="7"/>
      <c r="Z1758" s="7"/>
      <c r="AA1758" s="7"/>
      <c r="AB1758" s="7"/>
      <c r="AC1758" s="7"/>
      <c r="AD1758" s="7"/>
      <c r="AE1758" s="7"/>
      <c r="AF1758" s="7"/>
      <c r="AG1758" s="7"/>
      <c r="AH1758" s="7"/>
      <c r="AI1758" s="7"/>
    </row>
    <row r="1759" spans="12:35">
      <c r="L1759" s="7">
        <v>62</v>
      </c>
      <c r="M1759" s="7">
        <v>70</v>
      </c>
      <c r="N1759" s="7" t="b">
        <f>AND($N$7,$N$7,11&lt;=$M$7,19&lt;=$M$7)</f>
        <v>0</v>
      </c>
      <c r="O1759" s="7">
        <f>(P62-N62)*(O70-O62)-(Q62-O62)*(N70-N62)</f>
        <v>0</v>
      </c>
      <c r="P1759" s="7">
        <f>(P62-N62)*(Q70-O62)-(Q62-O62)*(P70-N62)</f>
        <v>0</v>
      </c>
      <c r="Q1759" s="7">
        <f>(P70-N70)*(O62-O70)-(Q70-O70)*(N62-N70)</f>
        <v>0</v>
      </c>
      <c r="R1759" s="7">
        <f>(P70-N70)*(Q62-O70)-(Q70-O70)*(P62-N70)</f>
        <v>0</v>
      </c>
      <c r="S1759" s="7">
        <f>IF(N1759,IF(AND(O1759*P1759&lt;=0,Q1759*R1759&lt;=0,MAX(MIN(N62,P62),MIN(N70,P70))&lt;=MIN(MAX(N62,P62),MAX(N70,P70)),MAX(MIN(O62,Q62),MIN(O70,Q70))&lt;=MIN(MAX(O62,Q62),MAX(O70,Q70))),1,0),0)</f>
        <v>0</v>
      </c>
      <c r="T1759" s="7"/>
      <c r="U1759" s="7"/>
      <c r="V1759" s="7"/>
      <c r="W1759" s="7"/>
      <c r="X1759" s="7"/>
      <c r="Y1759" s="7"/>
      <c r="Z1759" s="7"/>
      <c r="AA1759" s="7"/>
      <c r="AB1759" s="7"/>
      <c r="AC1759" s="7"/>
      <c r="AD1759" s="7"/>
      <c r="AE1759" s="7"/>
      <c r="AF1759" s="7"/>
      <c r="AG1759" s="7"/>
      <c r="AH1759" s="7"/>
      <c r="AI1759" s="7"/>
    </row>
    <row r="1760" spans="12:35">
      <c r="L1760" s="7">
        <v>62</v>
      </c>
      <c r="M1760" s="7">
        <v>71</v>
      </c>
      <c r="N1760" s="7" t="b">
        <f>AND($N$7,$N$7,11&lt;=$M$7,20&lt;=$M$7)</f>
        <v>0</v>
      </c>
      <c r="O1760" s="7">
        <f>(P62-N62)*(O71-O62)-(Q62-O62)*(N71-N62)</f>
        <v>0</v>
      </c>
      <c r="P1760" s="7">
        <f>(P62-N62)*(Q71-O62)-(Q62-O62)*(P71-N62)</f>
        <v>0</v>
      </c>
      <c r="Q1760" s="7">
        <f>(P71-N71)*(O62-O71)-(Q71-O71)*(N62-N71)</f>
        <v>0</v>
      </c>
      <c r="R1760" s="7">
        <f>(P71-N71)*(Q62-O71)-(Q71-O71)*(P62-N71)</f>
        <v>0</v>
      </c>
      <c r="S1760" s="7">
        <f>IF(N1760,IF(AND(O1760*P1760&lt;=0,Q1760*R1760&lt;=0,MAX(MIN(N62,P62),MIN(N71,P71))&lt;=MIN(MAX(N62,P62),MAX(N71,P71)),MAX(MIN(O62,Q62),MIN(O71,Q71))&lt;=MIN(MAX(O62,Q62),MAX(O71,Q71))),1,0),0)</f>
        <v>0</v>
      </c>
      <c r="T1760" s="7"/>
      <c r="U1760" s="7"/>
      <c r="V1760" s="7"/>
      <c r="W1760" s="7"/>
      <c r="X1760" s="7"/>
      <c r="Y1760" s="7"/>
      <c r="Z1760" s="7"/>
      <c r="AA1760" s="7"/>
      <c r="AB1760" s="7"/>
      <c r="AC1760" s="7"/>
      <c r="AD1760" s="7"/>
      <c r="AE1760" s="7"/>
      <c r="AF1760" s="7"/>
      <c r="AG1760" s="7"/>
      <c r="AH1760" s="7"/>
      <c r="AI1760" s="7"/>
    </row>
    <row r="1761" spans="12:35">
      <c r="L1761" s="7">
        <v>63</v>
      </c>
      <c r="M1761" s="7">
        <v>65</v>
      </c>
      <c r="N1761" s="7" t="b">
        <f>AND($N$7,$N$7,12&lt;=$M$7,14&lt;=$M$7)</f>
        <v>0</v>
      </c>
      <c r="O1761" s="7">
        <f>(P63-N63)*(O65-O63)-(Q63-O63)*(N65-N63)</f>
        <v>0</v>
      </c>
      <c r="P1761" s="7">
        <f>(P63-N63)*(Q65-O63)-(Q63-O63)*(P65-N63)</f>
        <v>0</v>
      </c>
      <c r="Q1761" s="7">
        <f>(P65-N65)*(O63-O65)-(Q65-O65)*(N63-N65)</f>
        <v>0</v>
      </c>
      <c r="R1761" s="7">
        <f>(P65-N65)*(Q63-O65)-(Q65-O65)*(P63-N65)</f>
        <v>0</v>
      </c>
      <c r="S1761" s="7">
        <f>IF(N1761,IF(AND(O1761*P1761&lt;=0,Q1761*R1761&lt;=0,MAX(MIN(N63,P63),MIN(N65,P65))&lt;=MIN(MAX(N63,P63),MAX(N65,P65)),MAX(MIN(O63,Q63),MIN(O65,Q65))&lt;=MIN(MAX(O63,Q63),MAX(O65,Q65))),1,0),0)</f>
        <v>0</v>
      </c>
      <c r="T1761" s="7"/>
      <c r="U1761" s="7"/>
      <c r="V1761" s="7"/>
      <c r="W1761" s="7"/>
      <c r="X1761" s="7"/>
      <c r="Y1761" s="7"/>
      <c r="Z1761" s="7"/>
      <c r="AA1761" s="7"/>
      <c r="AB1761" s="7"/>
      <c r="AC1761" s="7"/>
      <c r="AD1761" s="7"/>
      <c r="AE1761" s="7"/>
      <c r="AF1761" s="7"/>
      <c r="AG1761" s="7"/>
      <c r="AH1761" s="7"/>
      <c r="AI1761" s="7"/>
    </row>
    <row r="1762" spans="12:35">
      <c r="L1762" s="7">
        <v>63</v>
      </c>
      <c r="M1762" s="7">
        <v>66</v>
      </c>
      <c r="N1762" s="7" t="b">
        <f>AND($N$7,$N$7,12&lt;=$M$7,15&lt;=$M$7)</f>
        <v>0</v>
      </c>
      <c r="O1762" s="7">
        <f>(P63-N63)*(O66-O63)-(Q63-O63)*(N66-N63)</f>
        <v>0</v>
      </c>
      <c r="P1762" s="7">
        <f>(P63-N63)*(Q66-O63)-(Q63-O63)*(P66-N63)</f>
        <v>0</v>
      </c>
      <c r="Q1762" s="7">
        <f>(P66-N66)*(O63-O66)-(Q66-O66)*(N63-N66)</f>
        <v>0</v>
      </c>
      <c r="R1762" s="7">
        <f>(P66-N66)*(Q63-O66)-(Q66-O66)*(P63-N66)</f>
        <v>0</v>
      </c>
      <c r="S1762" s="7">
        <f>IF(N1762,IF(AND(O1762*P1762&lt;=0,Q1762*R1762&lt;=0,MAX(MIN(N63,P63),MIN(N66,P66))&lt;=MIN(MAX(N63,P63),MAX(N66,P66)),MAX(MIN(O63,Q63),MIN(O66,Q66))&lt;=MIN(MAX(O63,Q63),MAX(O66,Q66))),1,0),0)</f>
        <v>0</v>
      </c>
      <c r="T1762" s="7"/>
      <c r="U1762" s="7"/>
      <c r="V1762" s="7"/>
      <c r="W1762" s="7"/>
      <c r="X1762" s="7"/>
      <c r="Y1762" s="7"/>
      <c r="Z1762" s="7"/>
      <c r="AA1762" s="7"/>
      <c r="AB1762" s="7"/>
      <c r="AC1762" s="7"/>
      <c r="AD1762" s="7"/>
      <c r="AE1762" s="7"/>
      <c r="AF1762" s="7"/>
      <c r="AG1762" s="7"/>
      <c r="AH1762" s="7"/>
      <c r="AI1762" s="7"/>
    </row>
    <row r="1763" spans="12:35">
      <c r="L1763" s="7">
        <v>63</v>
      </c>
      <c r="M1763" s="7">
        <v>67</v>
      </c>
      <c r="N1763" s="7" t="b">
        <f>AND($N$7,$N$7,12&lt;=$M$7,16&lt;=$M$7)</f>
        <v>0</v>
      </c>
      <c r="O1763" s="7">
        <f>(P63-N63)*(O67-O63)-(Q63-O63)*(N67-N63)</f>
        <v>0</v>
      </c>
      <c r="P1763" s="7">
        <f>(P63-N63)*(Q67-O63)-(Q63-O63)*(P67-N63)</f>
        <v>0</v>
      </c>
      <c r="Q1763" s="7">
        <f>(P67-N67)*(O63-O67)-(Q67-O67)*(N63-N67)</f>
        <v>0</v>
      </c>
      <c r="R1763" s="7">
        <f>(P67-N67)*(Q63-O67)-(Q67-O67)*(P63-N67)</f>
        <v>0</v>
      </c>
      <c r="S1763" s="7">
        <f>IF(N1763,IF(AND(O1763*P1763&lt;=0,Q1763*R1763&lt;=0,MAX(MIN(N63,P63),MIN(N67,P67))&lt;=MIN(MAX(N63,P63),MAX(N67,P67)),MAX(MIN(O63,Q63),MIN(O67,Q67))&lt;=MIN(MAX(O63,Q63),MAX(O67,Q67))),1,0),0)</f>
        <v>0</v>
      </c>
      <c r="T1763" s="7"/>
      <c r="U1763" s="7"/>
      <c r="V1763" s="7"/>
      <c r="W1763" s="7"/>
      <c r="X1763" s="7"/>
      <c r="Y1763" s="7"/>
      <c r="Z1763" s="7"/>
      <c r="AA1763" s="7"/>
      <c r="AB1763" s="7"/>
      <c r="AC1763" s="7"/>
      <c r="AD1763" s="7"/>
      <c r="AE1763" s="7"/>
      <c r="AF1763" s="7"/>
      <c r="AG1763" s="7"/>
      <c r="AH1763" s="7"/>
      <c r="AI1763" s="7"/>
    </row>
    <row r="1764" spans="12:35">
      <c r="L1764" s="7">
        <v>63</v>
      </c>
      <c r="M1764" s="7">
        <v>68</v>
      </c>
      <c r="N1764" s="7" t="b">
        <f>AND($N$7,$N$7,12&lt;=$M$7,17&lt;=$M$7)</f>
        <v>0</v>
      </c>
      <c r="O1764" s="7">
        <f>(P63-N63)*(O68-O63)-(Q63-O63)*(N68-N63)</f>
        <v>0</v>
      </c>
      <c r="P1764" s="7">
        <f>(P63-N63)*(Q68-O63)-(Q63-O63)*(P68-N63)</f>
        <v>0</v>
      </c>
      <c r="Q1764" s="7">
        <f>(P68-N68)*(O63-O68)-(Q68-O68)*(N63-N68)</f>
        <v>0</v>
      </c>
      <c r="R1764" s="7">
        <f>(P68-N68)*(Q63-O68)-(Q68-O68)*(P63-N68)</f>
        <v>0</v>
      </c>
      <c r="S1764" s="7">
        <f>IF(N1764,IF(AND(O1764*P1764&lt;=0,Q1764*R1764&lt;=0,MAX(MIN(N63,P63),MIN(N68,P68))&lt;=MIN(MAX(N63,P63),MAX(N68,P68)),MAX(MIN(O63,Q63),MIN(O68,Q68))&lt;=MIN(MAX(O63,Q63),MAX(O68,Q68))),1,0),0)</f>
        <v>0</v>
      </c>
      <c r="T1764" s="7"/>
      <c r="U1764" s="7"/>
      <c r="V1764" s="7"/>
      <c r="W1764" s="7"/>
      <c r="X1764" s="7"/>
      <c r="Y1764" s="7"/>
      <c r="Z1764" s="7"/>
      <c r="AA1764" s="7"/>
      <c r="AB1764" s="7"/>
      <c r="AC1764" s="7"/>
      <c r="AD1764" s="7"/>
      <c r="AE1764" s="7"/>
      <c r="AF1764" s="7"/>
      <c r="AG1764" s="7"/>
      <c r="AH1764" s="7"/>
      <c r="AI1764" s="7"/>
    </row>
    <row r="1765" spans="12:35">
      <c r="L1765" s="7">
        <v>63</v>
      </c>
      <c r="M1765" s="7">
        <v>69</v>
      </c>
      <c r="N1765" s="7" t="b">
        <f>AND($N$7,$N$7,12&lt;=$M$7,18&lt;=$M$7)</f>
        <v>0</v>
      </c>
      <c r="O1765" s="7">
        <f>(P63-N63)*(O69-O63)-(Q63-O63)*(N69-N63)</f>
        <v>0</v>
      </c>
      <c r="P1765" s="7">
        <f>(P63-N63)*(Q69-O63)-(Q63-O63)*(P69-N63)</f>
        <v>0</v>
      </c>
      <c r="Q1765" s="7">
        <f>(P69-N69)*(O63-O69)-(Q69-O69)*(N63-N69)</f>
        <v>0</v>
      </c>
      <c r="R1765" s="7">
        <f>(P69-N69)*(Q63-O69)-(Q69-O69)*(P63-N69)</f>
        <v>0</v>
      </c>
      <c r="S1765" s="7">
        <f>IF(N1765,IF(AND(O1765*P1765&lt;=0,Q1765*R1765&lt;=0,MAX(MIN(N63,P63),MIN(N69,P69))&lt;=MIN(MAX(N63,P63),MAX(N69,P69)),MAX(MIN(O63,Q63),MIN(O69,Q69))&lt;=MIN(MAX(O63,Q63),MAX(O69,Q69))),1,0),0)</f>
        <v>0</v>
      </c>
      <c r="T1765" s="7"/>
      <c r="U1765" s="7"/>
      <c r="V1765" s="7"/>
      <c r="W1765" s="7"/>
      <c r="X1765" s="7"/>
      <c r="Y1765" s="7"/>
      <c r="Z1765" s="7"/>
      <c r="AA1765" s="7"/>
      <c r="AB1765" s="7"/>
      <c r="AC1765" s="7"/>
      <c r="AD1765" s="7"/>
      <c r="AE1765" s="7"/>
      <c r="AF1765" s="7"/>
      <c r="AG1765" s="7"/>
      <c r="AH1765" s="7"/>
      <c r="AI1765" s="7"/>
    </row>
    <row r="1766" spans="12:35">
      <c r="L1766" s="7">
        <v>63</v>
      </c>
      <c r="M1766" s="7">
        <v>70</v>
      </c>
      <c r="N1766" s="7" t="b">
        <f>AND($N$7,$N$7,12&lt;=$M$7,19&lt;=$M$7)</f>
        <v>0</v>
      </c>
      <c r="O1766" s="7">
        <f>(P63-N63)*(O70-O63)-(Q63-O63)*(N70-N63)</f>
        <v>0</v>
      </c>
      <c r="P1766" s="7">
        <f>(P63-N63)*(Q70-O63)-(Q63-O63)*(P70-N63)</f>
        <v>0</v>
      </c>
      <c r="Q1766" s="7">
        <f>(P70-N70)*(O63-O70)-(Q70-O70)*(N63-N70)</f>
        <v>0</v>
      </c>
      <c r="R1766" s="7">
        <f>(P70-N70)*(Q63-O70)-(Q70-O70)*(P63-N70)</f>
        <v>0</v>
      </c>
      <c r="S1766" s="7">
        <f>IF(N1766,IF(AND(O1766*P1766&lt;=0,Q1766*R1766&lt;=0,MAX(MIN(N63,P63),MIN(N70,P70))&lt;=MIN(MAX(N63,P63),MAX(N70,P70)),MAX(MIN(O63,Q63),MIN(O70,Q70))&lt;=MIN(MAX(O63,Q63),MAX(O70,Q70))),1,0),0)</f>
        <v>0</v>
      </c>
      <c r="T1766" s="7"/>
      <c r="U1766" s="7"/>
      <c r="V1766" s="7"/>
      <c r="W1766" s="7"/>
      <c r="X1766" s="7"/>
      <c r="Y1766" s="7"/>
      <c r="Z1766" s="7"/>
      <c r="AA1766" s="7"/>
      <c r="AB1766" s="7"/>
      <c r="AC1766" s="7"/>
      <c r="AD1766" s="7"/>
      <c r="AE1766" s="7"/>
      <c r="AF1766" s="7"/>
      <c r="AG1766" s="7"/>
      <c r="AH1766" s="7"/>
      <c r="AI1766" s="7"/>
    </row>
    <row r="1767" spans="12:35">
      <c r="L1767" s="7">
        <v>63</v>
      </c>
      <c r="M1767" s="7">
        <v>71</v>
      </c>
      <c r="N1767" s="7" t="b">
        <f>AND($N$7,$N$7,12&lt;=$M$7,20&lt;=$M$7)</f>
        <v>0</v>
      </c>
      <c r="O1767" s="7">
        <f>(P63-N63)*(O71-O63)-(Q63-O63)*(N71-N63)</f>
        <v>0</v>
      </c>
      <c r="P1767" s="7">
        <f>(P63-N63)*(Q71-O63)-(Q63-O63)*(P71-N63)</f>
        <v>0</v>
      </c>
      <c r="Q1767" s="7">
        <f>(P71-N71)*(O63-O71)-(Q71-O71)*(N63-N71)</f>
        <v>0</v>
      </c>
      <c r="R1767" s="7">
        <f>(P71-N71)*(Q63-O71)-(Q71-O71)*(P63-N71)</f>
        <v>0</v>
      </c>
      <c r="S1767" s="7">
        <f>IF(N1767,IF(AND(O1767*P1767&lt;=0,Q1767*R1767&lt;=0,MAX(MIN(N63,P63),MIN(N71,P71))&lt;=MIN(MAX(N63,P63),MAX(N71,P71)),MAX(MIN(O63,Q63),MIN(O71,Q71))&lt;=MIN(MAX(O63,Q63),MAX(O71,Q71))),1,0),0)</f>
        <v>0</v>
      </c>
      <c r="T1767" s="7"/>
      <c r="U1767" s="7"/>
      <c r="V1767" s="7"/>
      <c r="W1767" s="7"/>
      <c r="X1767" s="7"/>
      <c r="Y1767" s="7"/>
      <c r="Z1767" s="7"/>
      <c r="AA1767" s="7"/>
      <c r="AB1767" s="7"/>
      <c r="AC1767" s="7"/>
      <c r="AD1767" s="7"/>
      <c r="AE1767" s="7"/>
      <c r="AF1767" s="7"/>
      <c r="AG1767" s="7"/>
      <c r="AH1767" s="7"/>
      <c r="AI1767" s="7"/>
    </row>
    <row r="1768" spans="12:35">
      <c r="L1768" s="7">
        <v>64</v>
      </c>
      <c r="M1768" s="7">
        <v>66</v>
      </c>
      <c r="N1768" s="7" t="b">
        <f>AND($N$7,$N$7,13&lt;=$M$7,15&lt;=$M$7)</f>
        <v>0</v>
      </c>
      <c r="O1768" s="7">
        <f>(P64-N64)*(O66-O64)-(Q64-O64)*(N66-N64)</f>
        <v>0</v>
      </c>
      <c r="P1768" s="7">
        <f>(P64-N64)*(Q66-O64)-(Q64-O64)*(P66-N64)</f>
        <v>0</v>
      </c>
      <c r="Q1768" s="7">
        <f>(P66-N66)*(O64-O66)-(Q66-O66)*(N64-N66)</f>
        <v>0</v>
      </c>
      <c r="R1768" s="7">
        <f>(P66-N66)*(Q64-O66)-(Q66-O66)*(P64-N66)</f>
        <v>0</v>
      </c>
      <c r="S1768" s="7">
        <f>IF(N1768,IF(AND(O1768*P1768&lt;=0,Q1768*R1768&lt;=0,MAX(MIN(N64,P64),MIN(N66,P66))&lt;=MIN(MAX(N64,P64),MAX(N66,P66)),MAX(MIN(O64,Q64),MIN(O66,Q66))&lt;=MIN(MAX(O64,Q64),MAX(O66,Q66))),1,0),0)</f>
        <v>0</v>
      </c>
      <c r="T1768" s="7"/>
      <c r="U1768" s="7"/>
      <c r="V1768" s="7"/>
      <c r="W1768" s="7"/>
      <c r="X1768" s="7"/>
      <c r="Y1768" s="7"/>
      <c r="Z1768" s="7"/>
      <c r="AA1768" s="7"/>
      <c r="AB1768" s="7"/>
      <c r="AC1768" s="7"/>
      <c r="AD1768" s="7"/>
      <c r="AE1768" s="7"/>
      <c r="AF1768" s="7"/>
      <c r="AG1768" s="7"/>
      <c r="AH1768" s="7"/>
      <c r="AI1768" s="7"/>
    </row>
    <row r="1769" spans="12:35">
      <c r="L1769" s="7">
        <v>64</v>
      </c>
      <c r="M1769" s="7">
        <v>67</v>
      </c>
      <c r="N1769" s="7" t="b">
        <f>AND($N$7,$N$7,13&lt;=$M$7,16&lt;=$M$7)</f>
        <v>0</v>
      </c>
      <c r="O1769" s="7">
        <f>(P64-N64)*(O67-O64)-(Q64-O64)*(N67-N64)</f>
        <v>0</v>
      </c>
      <c r="P1769" s="7">
        <f>(P64-N64)*(Q67-O64)-(Q64-O64)*(P67-N64)</f>
        <v>0</v>
      </c>
      <c r="Q1769" s="7">
        <f>(P67-N67)*(O64-O67)-(Q67-O67)*(N64-N67)</f>
        <v>0</v>
      </c>
      <c r="R1769" s="7">
        <f>(P67-N67)*(Q64-O67)-(Q67-O67)*(P64-N67)</f>
        <v>0</v>
      </c>
      <c r="S1769" s="7">
        <f>IF(N1769,IF(AND(O1769*P1769&lt;=0,Q1769*R1769&lt;=0,MAX(MIN(N64,P64),MIN(N67,P67))&lt;=MIN(MAX(N64,P64),MAX(N67,P67)),MAX(MIN(O64,Q64),MIN(O67,Q67))&lt;=MIN(MAX(O64,Q64),MAX(O67,Q67))),1,0),0)</f>
        <v>0</v>
      </c>
      <c r="T1769" s="7"/>
      <c r="U1769" s="7"/>
      <c r="V1769" s="7"/>
      <c r="W1769" s="7"/>
      <c r="X1769" s="7"/>
      <c r="Y1769" s="7"/>
      <c r="Z1769" s="7"/>
      <c r="AA1769" s="7"/>
      <c r="AB1769" s="7"/>
      <c r="AC1769" s="7"/>
      <c r="AD1769" s="7"/>
      <c r="AE1769" s="7"/>
      <c r="AF1769" s="7"/>
      <c r="AG1769" s="7"/>
      <c r="AH1769" s="7"/>
      <c r="AI1769" s="7"/>
    </row>
    <row r="1770" spans="12:35">
      <c r="L1770" s="7">
        <v>64</v>
      </c>
      <c r="M1770" s="7">
        <v>68</v>
      </c>
      <c r="N1770" s="7" t="b">
        <f>AND($N$7,$N$7,13&lt;=$M$7,17&lt;=$M$7)</f>
        <v>0</v>
      </c>
      <c r="O1770" s="7">
        <f>(P64-N64)*(O68-O64)-(Q64-O64)*(N68-N64)</f>
        <v>0</v>
      </c>
      <c r="P1770" s="7">
        <f>(P64-N64)*(Q68-O64)-(Q64-O64)*(P68-N64)</f>
        <v>0</v>
      </c>
      <c r="Q1770" s="7">
        <f>(P68-N68)*(O64-O68)-(Q68-O68)*(N64-N68)</f>
        <v>0</v>
      </c>
      <c r="R1770" s="7">
        <f>(P68-N68)*(Q64-O68)-(Q68-O68)*(P64-N68)</f>
        <v>0</v>
      </c>
      <c r="S1770" s="7">
        <f>IF(N1770,IF(AND(O1770*P1770&lt;=0,Q1770*R1770&lt;=0,MAX(MIN(N64,P64),MIN(N68,P68))&lt;=MIN(MAX(N64,P64),MAX(N68,P68)),MAX(MIN(O64,Q64),MIN(O68,Q68))&lt;=MIN(MAX(O64,Q64),MAX(O68,Q68))),1,0),0)</f>
        <v>0</v>
      </c>
      <c r="T1770" s="7"/>
      <c r="U1770" s="7"/>
      <c r="V1770" s="7"/>
      <c r="W1770" s="7"/>
      <c r="X1770" s="7"/>
      <c r="Y1770" s="7"/>
      <c r="Z1770" s="7"/>
      <c r="AA1770" s="7"/>
      <c r="AB1770" s="7"/>
      <c r="AC1770" s="7"/>
      <c r="AD1770" s="7"/>
      <c r="AE1770" s="7"/>
      <c r="AF1770" s="7"/>
      <c r="AG1770" s="7"/>
      <c r="AH1770" s="7"/>
      <c r="AI1770" s="7"/>
    </row>
    <row r="1771" spans="12:35">
      <c r="L1771" s="7">
        <v>64</v>
      </c>
      <c r="M1771" s="7">
        <v>69</v>
      </c>
      <c r="N1771" s="7" t="b">
        <f>AND($N$7,$N$7,13&lt;=$M$7,18&lt;=$M$7)</f>
        <v>0</v>
      </c>
      <c r="O1771" s="7">
        <f>(P64-N64)*(O69-O64)-(Q64-O64)*(N69-N64)</f>
        <v>0</v>
      </c>
      <c r="P1771" s="7">
        <f>(P64-N64)*(Q69-O64)-(Q64-O64)*(P69-N64)</f>
        <v>0</v>
      </c>
      <c r="Q1771" s="7">
        <f>(P69-N69)*(O64-O69)-(Q69-O69)*(N64-N69)</f>
        <v>0</v>
      </c>
      <c r="R1771" s="7">
        <f>(P69-N69)*(Q64-O69)-(Q69-O69)*(P64-N69)</f>
        <v>0</v>
      </c>
      <c r="S1771" s="7">
        <f>IF(N1771,IF(AND(O1771*P1771&lt;=0,Q1771*R1771&lt;=0,MAX(MIN(N64,P64),MIN(N69,P69))&lt;=MIN(MAX(N64,P64),MAX(N69,P69)),MAX(MIN(O64,Q64),MIN(O69,Q69))&lt;=MIN(MAX(O64,Q64),MAX(O69,Q69))),1,0),0)</f>
        <v>0</v>
      </c>
      <c r="T1771" s="7"/>
      <c r="U1771" s="7"/>
      <c r="V1771" s="7"/>
      <c r="W1771" s="7"/>
      <c r="X1771" s="7"/>
      <c r="Y1771" s="7"/>
      <c r="Z1771" s="7"/>
      <c r="AA1771" s="7"/>
      <c r="AB1771" s="7"/>
      <c r="AC1771" s="7"/>
      <c r="AD1771" s="7"/>
      <c r="AE1771" s="7"/>
      <c r="AF1771" s="7"/>
      <c r="AG1771" s="7"/>
      <c r="AH1771" s="7"/>
      <c r="AI1771" s="7"/>
    </row>
    <row r="1772" spans="12:35">
      <c r="L1772" s="7">
        <v>64</v>
      </c>
      <c r="M1772" s="7">
        <v>70</v>
      </c>
      <c r="N1772" s="7" t="b">
        <f>AND($N$7,$N$7,13&lt;=$M$7,19&lt;=$M$7)</f>
        <v>0</v>
      </c>
      <c r="O1772" s="7">
        <f>(P64-N64)*(O70-O64)-(Q64-O64)*(N70-N64)</f>
        <v>0</v>
      </c>
      <c r="P1772" s="7">
        <f>(P64-N64)*(Q70-O64)-(Q64-O64)*(P70-N64)</f>
        <v>0</v>
      </c>
      <c r="Q1772" s="7">
        <f>(P70-N70)*(O64-O70)-(Q70-O70)*(N64-N70)</f>
        <v>0</v>
      </c>
      <c r="R1772" s="7">
        <f>(P70-N70)*(Q64-O70)-(Q70-O70)*(P64-N70)</f>
        <v>0</v>
      </c>
      <c r="S1772" s="7">
        <f>IF(N1772,IF(AND(O1772*P1772&lt;=0,Q1772*R1772&lt;=0,MAX(MIN(N64,P64),MIN(N70,P70))&lt;=MIN(MAX(N64,P64),MAX(N70,P70)),MAX(MIN(O64,Q64),MIN(O70,Q70))&lt;=MIN(MAX(O64,Q64),MAX(O70,Q70))),1,0),0)</f>
        <v>0</v>
      </c>
      <c r="T1772" s="7"/>
      <c r="U1772" s="7"/>
      <c r="V1772" s="7"/>
      <c r="W1772" s="7"/>
      <c r="X1772" s="7"/>
      <c r="Y1772" s="7"/>
      <c r="Z1772" s="7"/>
      <c r="AA1772" s="7"/>
      <c r="AB1772" s="7"/>
      <c r="AC1772" s="7"/>
      <c r="AD1772" s="7"/>
      <c r="AE1772" s="7"/>
      <c r="AF1772" s="7"/>
      <c r="AG1772" s="7"/>
      <c r="AH1772" s="7"/>
      <c r="AI1772" s="7"/>
    </row>
    <row r="1773" spans="12:35">
      <c r="L1773" s="7">
        <v>64</v>
      </c>
      <c r="M1773" s="7">
        <v>71</v>
      </c>
      <c r="N1773" s="7" t="b">
        <f>AND($N$7,$N$7,13&lt;=$M$7,20&lt;=$M$7)</f>
        <v>0</v>
      </c>
      <c r="O1773" s="7">
        <f>(P64-N64)*(O71-O64)-(Q64-O64)*(N71-N64)</f>
        <v>0</v>
      </c>
      <c r="P1773" s="7">
        <f>(P64-N64)*(Q71-O64)-(Q64-O64)*(P71-N64)</f>
        <v>0</v>
      </c>
      <c r="Q1773" s="7">
        <f>(P71-N71)*(O64-O71)-(Q71-O71)*(N64-N71)</f>
        <v>0</v>
      </c>
      <c r="R1773" s="7">
        <f>(P71-N71)*(Q64-O71)-(Q71-O71)*(P64-N71)</f>
        <v>0</v>
      </c>
      <c r="S1773" s="7">
        <f>IF(N1773,IF(AND(O1773*P1773&lt;=0,Q1773*R1773&lt;=0,MAX(MIN(N64,P64),MIN(N71,P71))&lt;=MIN(MAX(N64,P64),MAX(N71,P71)),MAX(MIN(O64,Q64),MIN(O71,Q71))&lt;=MIN(MAX(O64,Q64),MAX(O71,Q71))),1,0),0)</f>
        <v>0</v>
      </c>
      <c r="T1773" s="7"/>
      <c r="U1773" s="7"/>
      <c r="V1773" s="7"/>
      <c r="W1773" s="7"/>
      <c r="X1773" s="7"/>
      <c r="Y1773" s="7"/>
      <c r="Z1773" s="7"/>
      <c r="AA1773" s="7"/>
      <c r="AB1773" s="7"/>
      <c r="AC1773" s="7"/>
      <c r="AD1773" s="7"/>
      <c r="AE1773" s="7"/>
      <c r="AF1773" s="7"/>
      <c r="AG1773" s="7"/>
      <c r="AH1773" s="7"/>
      <c r="AI1773" s="7"/>
    </row>
    <row r="1774" spans="12:35">
      <c r="L1774" s="7">
        <v>65</v>
      </c>
      <c r="M1774" s="7">
        <v>67</v>
      </c>
      <c r="N1774" s="7" t="b">
        <f>AND($N$7,$N$7,14&lt;=$M$7,16&lt;=$M$7)</f>
        <v>0</v>
      </c>
      <c r="O1774" s="7">
        <f>(P65-N65)*(O67-O65)-(Q65-O65)*(N67-N65)</f>
        <v>0</v>
      </c>
      <c r="P1774" s="7">
        <f>(P65-N65)*(Q67-O65)-(Q65-O65)*(P67-N65)</f>
        <v>0</v>
      </c>
      <c r="Q1774" s="7">
        <f>(P67-N67)*(O65-O67)-(Q67-O67)*(N65-N67)</f>
        <v>0</v>
      </c>
      <c r="R1774" s="7">
        <f>(P67-N67)*(Q65-O67)-(Q67-O67)*(P65-N67)</f>
        <v>0</v>
      </c>
      <c r="S1774" s="7">
        <f>IF(N1774,IF(AND(O1774*P1774&lt;=0,Q1774*R1774&lt;=0,MAX(MIN(N65,P65),MIN(N67,P67))&lt;=MIN(MAX(N65,P65),MAX(N67,P67)),MAX(MIN(O65,Q65),MIN(O67,Q67))&lt;=MIN(MAX(O65,Q65),MAX(O67,Q67))),1,0),0)</f>
        <v>0</v>
      </c>
      <c r="T1774" s="7"/>
      <c r="U1774" s="7"/>
      <c r="V1774" s="7"/>
      <c r="W1774" s="7"/>
      <c r="X1774" s="7"/>
      <c r="Y1774" s="7"/>
      <c r="Z1774" s="7"/>
      <c r="AA1774" s="7"/>
      <c r="AB1774" s="7"/>
      <c r="AC1774" s="7"/>
      <c r="AD1774" s="7"/>
      <c r="AE1774" s="7"/>
      <c r="AF1774" s="7"/>
      <c r="AG1774" s="7"/>
      <c r="AH1774" s="7"/>
      <c r="AI1774" s="7"/>
    </row>
    <row r="1775" spans="12:35">
      <c r="L1775" s="7">
        <v>65</v>
      </c>
      <c r="M1775" s="7">
        <v>68</v>
      </c>
      <c r="N1775" s="7" t="b">
        <f>AND($N$7,$N$7,14&lt;=$M$7,17&lt;=$M$7)</f>
        <v>0</v>
      </c>
      <c r="O1775" s="7">
        <f>(P65-N65)*(O68-O65)-(Q65-O65)*(N68-N65)</f>
        <v>0</v>
      </c>
      <c r="P1775" s="7">
        <f>(P65-N65)*(Q68-O65)-(Q65-O65)*(P68-N65)</f>
        <v>0</v>
      </c>
      <c r="Q1775" s="7">
        <f>(P68-N68)*(O65-O68)-(Q68-O68)*(N65-N68)</f>
        <v>0</v>
      </c>
      <c r="R1775" s="7">
        <f>(P68-N68)*(Q65-O68)-(Q68-O68)*(P65-N68)</f>
        <v>0</v>
      </c>
      <c r="S1775" s="7">
        <f>IF(N1775,IF(AND(O1775*P1775&lt;=0,Q1775*R1775&lt;=0,MAX(MIN(N65,P65),MIN(N68,P68))&lt;=MIN(MAX(N65,P65),MAX(N68,P68)),MAX(MIN(O65,Q65),MIN(O68,Q68))&lt;=MIN(MAX(O65,Q65),MAX(O68,Q68))),1,0),0)</f>
        <v>0</v>
      </c>
      <c r="T1775" s="7"/>
      <c r="U1775" s="7"/>
      <c r="V1775" s="7"/>
      <c r="W1775" s="7"/>
      <c r="X1775" s="7"/>
      <c r="Y1775" s="7"/>
      <c r="Z1775" s="7"/>
      <c r="AA1775" s="7"/>
      <c r="AB1775" s="7"/>
      <c r="AC1775" s="7"/>
      <c r="AD1775" s="7"/>
      <c r="AE1775" s="7"/>
      <c r="AF1775" s="7"/>
      <c r="AG1775" s="7"/>
      <c r="AH1775" s="7"/>
      <c r="AI1775" s="7"/>
    </row>
    <row r="1776" spans="12:35">
      <c r="L1776" s="7">
        <v>65</v>
      </c>
      <c r="M1776" s="7">
        <v>69</v>
      </c>
      <c r="N1776" s="7" t="b">
        <f>AND($N$7,$N$7,14&lt;=$M$7,18&lt;=$M$7)</f>
        <v>0</v>
      </c>
      <c r="O1776" s="7">
        <f>(P65-N65)*(O69-O65)-(Q65-O65)*(N69-N65)</f>
        <v>0</v>
      </c>
      <c r="P1776" s="7">
        <f>(P65-N65)*(Q69-O65)-(Q65-O65)*(P69-N65)</f>
        <v>0</v>
      </c>
      <c r="Q1776" s="7">
        <f>(P69-N69)*(O65-O69)-(Q69-O69)*(N65-N69)</f>
        <v>0</v>
      </c>
      <c r="R1776" s="7">
        <f>(P69-N69)*(Q65-O69)-(Q69-O69)*(P65-N69)</f>
        <v>0</v>
      </c>
      <c r="S1776" s="7">
        <f>IF(N1776,IF(AND(O1776*P1776&lt;=0,Q1776*R1776&lt;=0,MAX(MIN(N65,P65),MIN(N69,P69))&lt;=MIN(MAX(N65,P65),MAX(N69,P69)),MAX(MIN(O65,Q65),MIN(O69,Q69))&lt;=MIN(MAX(O65,Q65),MAX(O69,Q69))),1,0),0)</f>
        <v>0</v>
      </c>
      <c r="T1776" s="7"/>
      <c r="U1776" s="7"/>
      <c r="V1776" s="7"/>
      <c r="W1776" s="7"/>
      <c r="X1776" s="7"/>
      <c r="Y1776" s="7"/>
      <c r="Z1776" s="7"/>
      <c r="AA1776" s="7"/>
      <c r="AB1776" s="7"/>
      <c r="AC1776" s="7"/>
      <c r="AD1776" s="7"/>
      <c r="AE1776" s="7"/>
      <c r="AF1776" s="7"/>
      <c r="AG1776" s="7"/>
      <c r="AH1776" s="7"/>
      <c r="AI1776" s="7"/>
    </row>
    <row r="1777" spans="12:35">
      <c r="L1777" s="7">
        <v>65</v>
      </c>
      <c r="M1777" s="7">
        <v>70</v>
      </c>
      <c r="N1777" s="7" t="b">
        <f>AND($N$7,$N$7,14&lt;=$M$7,19&lt;=$M$7)</f>
        <v>0</v>
      </c>
      <c r="O1777" s="7">
        <f>(P65-N65)*(O70-O65)-(Q65-O65)*(N70-N65)</f>
        <v>0</v>
      </c>
      <c r="P1777" s="7">
        <f>(P65-N65)*(Q70-O65)-(Q65-O65)*(P70-N65)</f>
        <v>0</v>
      </c>
      <c r="Q1777" s="7">
        <f>(P70-N70)*(O65-O70)-(Q70-O70)*(N65-N70)</f>
        <v>0</v>
      </c>
      <c r="R1777" s="7">
        <f>(P70-N70)*(Q65-O70)-(Q70-O70)*(P65-N70)</f>
        <v>0</v>
      </c>
      <c r="S1777" s="7">
        <f>IF(N1777,IF(AND(O1777*P1777&lt;=0,Q1777*R1777&lt;=0,MAX(MIN(N65,P65),MIN(N70,P70))&lt;=MIN(MAX(N65,P65),MAX(N70,P70)),MAX(MIN(O65,Q65),MIN(O70,Q70))&lt;=MIN(MAX(O65,Q65),MAX(O70,Q70))),1,0),0)</f>
        <v>0</v>
      </c>
      <c r="T1777" s="7"/>
      <c r="U1777" s="7"/>
      <c r="V1777" s="7"/>
      <c r="W1777" s="7"/>
      <c r="X1777" s="7"/>
      <c r="Y1777" s="7"/>
      <c r="Z1777" s="7"/>
      <c r="AA1777" s="7"/>
      <c r="AB1777" s="7"/>
      <c r="AC1777" s="7"/>
      <c r="AD1777" s="7"/>
      <c r="AE1777" s="7"/>
      <c r="AF1777" s="7"/>
      <c r="AG1777" s="7"/>
      <c r="AH1777" s="7"/>
      <c r="AI1777" s="7"/>
    </row>
    <row r="1778" spans="12:35">
      <c r="L1778" s="7">
        <v>65</v>
      </c>
      <c r="M1778" s="7">
        <v>71</v>
      </c>
      <c r="N1778" s="7" t="b">
        <f>AND($N$7,$N$7,14&lt;=$M$7,20&lt;=$M$7)</f>
        <v>0</v>
      </c>
      <c r="O1778" s="7">
        <f>(P65-N65)*(O71-O65)-(Q65-O65)*(N71-N65)</f>
        <v>0</v>
      </c>
      <c r="P1778" s="7">
        <f>(P65-N65)*(Q71-O65)-(Q65-O65)*(P71-N65)</f>
        <v>0</v>
      </c>
      <c r="Q1778" s="7">
        <f>(P71-N71)*(O65-O71)-(Q71-O71)*(N65-N71)</f>
        <v>0</v>
      </c>
      <c r="R1778" s="7">
        <f>(P71-N71)*(Q65-O71)-(Q71-O71)*(P65-N71)</f>
        <v>0</v>
      </c>
      <c r="S1778" s="7">
        <f>IF(N1778,IF(AND(O1778*P1778&lt;=0,Q1778*R1778&lt;=0,MAX(MIN(N65,P65),MIN(N71,P71))&lt;=MIN(MAX(N65,P65),MAX(N71,P71)),MAX(MIN(O65,Q65),MIN(O71,Q71))&lt;=MIN(MAX(O65,Q65),MAX(O71,Q71))),1,0),0)</f>
        <v>0</v>
      </c>
      <c r="T1778" s="7"/>
      <c r="U1778" s="7"/>
      <c r="V1778" s="7"/>
      <c r="W1778" s="7"/>
      <c r="X1778" s="7"/>
      <c r="Y1778" s="7"/>
      <c r="Z1778" s="7"/>
      <c r="AA1778" s="7"/>
      <c r="AB1778" s="7"/>
      <c r="AC1778" s="7"/>
      <c r="AD1778" s="7"/>
      <c r="AE1778" s="7"/>
      <c r="AF1778" s="7"/>
      <c r="AG1778" s="7"/>
      <c r="AH1778" s="7"/>
      <c r="AI1778" s="7"/>
    </row>
    <row r="1779" spans="12:35">
      <c r="L1779" s="7">
        <v>66</v>
      </c>
      <c r="M1779" s="7">
        <v>68</v>
      </c>
      <c r="N1779" s="7" t="b">
        <f>AND($N$7,$N$7,15&lt;=$M$7,17&lt;=$M$7)</f>
        <v>0</v>
      </c>
      <c r="O1779" s="7">
        <f>(P66-N66)*(O68-O66)-(Q66-O66)*(N68-N66)</f>
        <v>0</v>
      </c>
      <c r="P1779" s="7">
        <f>(P66-N66)*(Q68-O66)-(Q66-O66)*(P68-N66)</f>
        <v>0</v>
      </c>
      <c r="Q1779" s="7">
        <f>(P68-N68)*(O66-O68)-(Q68-O68)*(N66-N68)</f>
        <v>0</v>
      </c>
      <c r="R1779" s="7">
        <f>(P68-N68)*(Q66-O68)-(Q68-O68)*(P66-N68)</f>
        <v>0</v>
      </c>
      <c r="S1779" s="7">
        <f>IF(N1779,IF(AND(O1779*P1779&lt;=0,Q1779*R1779&lt;=0,MAX(MIN(N66,P66),MIN(N68,P68))&lt;=MIN(MAX(N66,P66),MAX(N68,P68)),MAX(MIN(O66,Q66),MIN(O68,Q68))&lt;=MIN(MAX(O66,Q66),MAX(O68,Q68))),1,0),0)</f>
        <v>0</v>
      </c>
      <c r="T1779" s="7"/>
      <c r="U1779" s="7"/>
      <c r="V1779" s="7"/>
      <c r="W1779" s="7"/>
      <c r="X1779" s="7"/>
      <c r="Y1779" s="7"/>
      <c r="Z1779" s="7"/>
      <c r="AA1779" s="7"/>
      <c r="AB1779" s="7"/>
      <c r="AC1779" s="7"/>
      <c r="AD1779" s="7"/>
      <c r="AE1779" s="7"/>
      <c r="AF1779" s="7"/>
      <c r="AG1779" s="7"/>
      <c r="AH1779" s="7"/>
      <c r="AI1779" s="7"/>
    </row>
    <row r="1780" spans="12:35">
      <c r="L1780" s="7">
        <v>66</v>
      </c>
      <c r="M1780" s="7">
        <v>69</v>
      </c>
      <c r="N1780" s="7" t="b">
        <f>AND($N$7,$N$7,15&lt;=$M$7,18&lt;=$M$7)</f>
        <v>0</v>
      </c>
      <c r="O1780" s="7">
        <f>(P66-N66)*(O69-O66)-(Q66-O66)*(N69-N66)</f>
        <v>0</v>
      </c>
      <c r="P1780" s="7">
        <f>(P66-N66)*(Q69-O66)-(Q66-O66)*(P69-N66)</f>
        <v>0</v>
      </c>
      <c r="Q1780" s="7">
        <f>(P69-N69)*(O66-O69)-(Q69-O69)*(N66-N69)</f>
        <v>0</v>
      </c>
      <c r="R1780" s="7">
        <f>(P69-N69)*(Q66-O69)-(Q69-O69)*(P66-N69)</f>
        <v>0</v>
      </c>
      <c r="S1780" s="7">
        <f>IF(N1780,IF(AND(O1780*P1780&lt;=0,Q1780*R1780&lt;=0,MAX(MIN(N66,P66),MIN(N69,P69))&lt;=MIN(MAX(N66,P66),MAX(N69,P69)),MAX(MIN(O66,Q66),MIN(O69,Q69))&lt;=MIN(MAX(O66,Q66),MAX(O69,Q69))),1,0),0)</f>
        <v>0</v>
      </c>
      <c r="T1780" s="7"/>
      <c r="U1780" s="7"/>
      <c r="V1780" s="7"/>
      <c r="W1780" s="7"/>
      <c r="X1780" s="7"/>
      <c r="Y1780" s="7"/>
      <c r="Z1780" s="7"/>
      <c r="AA1780" s="7"/>
      <c r="AB1780" s="7"/>
      <c r="AC1780" s="7"/>
      <c r="AD1780" s="7"/>
      <c r="AE1780" s="7"/>
      <c r="AF1780" s="7"/>
      <c r="AG1780" s="7"/>
      <c r="AH1780" s="7"/>
      <c r="AI1780" s="7"/>
    </row>
    <row r="1781" spans="12:35">
      <c r="L1781" s="7">
        <v>66</v>
      </c>
      <c r="M1781" s="7">
        <v>70</v>
      </c>
      <c r="N1781" s="7" t="b">
        <f>AND($N$7,$N$7,15&lt;=$M$7,19&lt;=$M$7)</f>
        <v>0</v>
      </c>
      <c r="O1781" s="7">
        <f>(P66-N66)*(O70-O66)-(Q66-O66)*(N70-N66)</f>
        <v>0</v>
      </c>
      <c r="P1781" s="7">
        <f>(P66-N66)*(Q70-O66)-(Q66-O66)*(P70-N66)</f>
        <v>0</v>
      </c>
      <c r="Q1781" s="7">
        <f>(P70-N70)*(O66-O70)-(Q70-O70)*(N66-N70)</f>
        <v>0</v>
      </c>
      <c r="R1781" s="7">
        <f>(P70-N70)*(Q66-O70)-(Q70-O70)*(P66-N70)</f>
        <v>0</v>
      </c>
      <c r="S1781" s="7">
        <f>IF(N1781,IF(AND(O1781*P1781&lt;=0,Q1781*R1781&lt;=0,MAX(MIN(N66,P66),MIN(N70,P70))&lt;=MIN(MAX(N66,P66),MAX(N70,P70)),MAX(MIN(O66,Q66),MIN(O70,Q70))&lt;=MIN(MAX(O66,Q66),MAX(O70,Q70))),1,0),0)</f>
        <v>0</v>
      </c>
      <c r="T1781" s="7"/>
      <c r="U1781" s="7"/>
      <c r="V1781" s="7"/>
      <c r="W1781" s="7"/>
      <c r="X1781" s="7"/>
      <c r="Y1781" s="7"/>
      <c r="Z1781" s="7"/>
      <c r="AA1781" s="7"/>
      <c r="AB1781" s="7"/>
      <c r="AC1781" s="7"/>
      <c r="AD1781" s="7"/>
      <c r="AE1781" s="7"/>
      <c r="AF1781" s="7"/>
      <c r="AG1781" s="7"/>
      <c r="AH1781" s="7"/>
      <c r="AI1781" s="7"/>
    </row>
    <row r="1782" spans="12:35">
      <c r="L1782" s="7">
        <v>66</v>
      </c>
      <c r="M1782" s="7">
        <v>71</v>
      </c>
      <c r="N1782" s="7" t="b">
        <f>AND($N$7,$N$7,15&lt;=$M$7,20&lt;=$M$7)</f>
        <v>0</v>
      </c>
      <c r="O1782" s="7">
        <f>(P66-N66)*(O71-O66)-(Q66-O66)*(N71-N66)</f>
        <v>0</v>
      </c>
      <c r="P1782" s="7">
        <f>(P66-N66)*(Q71-O66)-(Q66-O66)*(P71-N66)</f>
        <v>0</v>
      </c>
      <c r="Q1782" s="7">
        <f>(P71-N71)*(O66-O71)-(Q71-O71)*(N66-N71)</f>
        <v>0</v>
      </c>
      <c r="R1782" s="7">
        <f>(P71-N71)*(Q66-O71)-(Q71-O71)*(P66-N71)</f>
        <v>0</v>
      </c>
      <c r="S1782" s="7">
        <f>IF(N1782,IF(AND(O1782*P1782&lt;=0,Q1782*R1782&lt;=0,MAX(MIN(N66,P66),MIN(N71,P71))&lt;=MIN(MAX(N66,P66),MAX(N71,P71)),MAX(MIN(O66,Q66),MIN(O71,Q71))&lt;=MIN(MAX(O66,Q66),MAX(O71,Q71))),1,0),0)</f>
        <v>0</v>
      </c>
      <c r="T1782" s="7"/>
      <c r="U1782" s="7"/>
      <c r="V1782" s="7"/>
      <c r="W1782" s="7"/>
      <c r="X1782" s="7"/>
      <c r="Y1782" s="7"/>
      <c r="Z1782" s="7"/>
      <c r="AA1782" s="7"/>
      <c r="AB1782" s="7"/>
      <c r="AC1782" s="7"/>
      <c r="AD1782" s="7"/>
      <c r="AE1782" s="7"/>
      <c r="AF1782" s="7"/>
      <c r="AG1782" s="7"/>
      <c r="AH1782" s="7"/>
      <c r="AI1782" s="7"/>
    </row>
    <row r="1783" spans="12:35">
      <c r="L1783" s="7">
        <v>67</v>
      </c>
      <c r="M1783" s="7">
        <v>69</v>
      </c>
      <c r="N1783" s="7" t="b">
        <f>AND($N$7,$N$7,16&lt;=$M$7,18&lt;=$M$7)</f>
        <v>0</v>
      </c>
      <c r="O1783" s="7">
        <f>(P67-N67)*(O69-O67)-(Q67-O67)*(N69-N67)</f>
        <v>0</v>
      </c>
      <c r="P1783" s="7">
        <f>(P67-N67)*(Q69-O67)-(Q67-O67)*(P69-N67)</f>
        <v>0</v>
      </c>
      <c r="Q1783" s="7">
        <f>(P69-N69)*(O67-O69)-(Q69-O69)*(N67-N69)</f>
        <v>0</v>
      </c>
      <c r="R1783" s="7">
        <f>(P69-N69)*(Q67-O69)-(Q69-O69)*(P67-N69)</f>
        <v>0</v>
      </c>
      <c r="S1783" s="7">
        <f>IF(N1783,IF(AND(O1783*P1783&lt;=0,Q1783*R1783&lt;=0,MAX(MIN(N67,P67),MIN(N69,P69))&lt;=MIN(MAX(N67,P67),MAX(N69,P69)),MAX(MIN(O67,Q67),MIN(O69,Q69))&lt;=MIN(MAX(O67,Q67),MAX(O69,Q69))),1,0),0)</f>
        <v>0</v>
      </c>
      <c r="T1783" s="7"/>
      <c r="U1783" s="7"/>
      <c r="V1783" s="7"/>
      <c r="W1783" s="7"/>
      <c r="X1783" s="7"/>
      <c r="Y1783" s="7"/>
      <c r="Z1783" s="7"/>
      <c r="AA1783" s="7"/>
      <c r="AB1783" s="7"/>
      <c r="AC1783" s="7"/>
      <c r="AD1783" s="7"/>
      <c r="AE1783" s="7"/>
      <c r="AF1783" s="7"/>
      <c r="AG1783" s="7"/>
      <c r="AH1783" s="7"/>
      <c r="AI1783" s="7"/>
    </row>
    <row r="1784" spans="12:35">
      <c r="L1784" s="7">
        <v>67</v>
      </c>
      <c r="M1784" s="7">
        <v>70</v>
      </c>
      <c r="N1784" s="7" t="b">
        <f>AND($N$7,$N$7,16&lt;=$M$7,19&lt;=$M$7)</f>
        <v>0</v>
      </c>
      <c r="O1784" s="7">
        <f>(P67-N67)*(O70-O67)-(Q67-O67)*(N70-N67)</f>
        <v>0</v>
      </c>
      <c r="P1784" s="7">
        <f>(P67-N67)*(Q70-O67)-(Q67-O67)*(P70-N67)</f>
        <v>0</v>
      </c>
      <c r="Q1784" s="7">
        <f>(P70-N70)*(O67-O70)-(Q70-O70)*(N67-N70)</f>
        <v>0</v>
      </c>
      <c r="R1784" s="7">
        <f>(P70-N70)*(Q67-O70)-(Q70-O70)*(P67-N70)</f>
        <v>0</v>
      </c>
      <c r="S1784" s="7">
        <f>IF(N1784,IF(AND(O1784*P1784&lt;=0,Q1784*R1784&lt;=0,MAX(MIN(N67,P67),MIN(N70,P70))&lt;=MIN(MAX(N67,P67),MAX(N70,P70)),MAX(MIN(O67,Q67),MIN(O70,Q70))&lt;=MIN(MAX(O67,Q67),MAX(O70,Q70))),1,0),0)</f>
        <v>0</v>
      </c>
      <c r="T1784" s="7"/>
      <c r="U1784" s="7"/>
      <c r="V1784" s="7"/>
      <c r="W1784" s="7"/>
      <c r="X1784" s="7"/>
      <c r="Y1784" s="7"/>
      <c r="Z1784" s="7"/>
      <c r="AA1784" s="7"/>
      <c r="AB1784" s="7"/>
      <c r="AC1784" s="7"/>
      <c r="AD1784" s="7"/>
      <c r="AE1784" s="7"/>
      <c r="AF1784" s="7"/>
      <c r="AG1784" s="7"/>
      <c r="AH1784" s="7"/>
      <c r="AI1784" s="7"/>
    </row>
    <row r="1785" spans="12:35">
      <c r="L1785" s="7">
        <v>67</v>
      </c>
      <c r="M1785" s="7">
        <v>71</v>
      </c>
      <c r="N1785" s="7" t="b">
        <f>AND($N$7,$N$7,16&lt;=$M$7,20&lt;=$M$7)</f>
        <v>0</v>
      </c>
      <c r="O1785" s="7">
        <f>(P67-N67)*(O71-O67)-(Q67-O67)*(N71-N67)</f>
        <v>0</v>
      </c>
      <c r="P1785" s="7">
        <f>(P67-N67)*(Q71-O67)-(Q67-O67)*(P71-N67)</f>
        <v>0</v>
      </c>
      <c r="Q1785" s="7">
        <f>(P71-N71)*(O67-O71)-(Q71-O71)*(N67-N71)</f>
        <v>0</v>
      </c>
      <c r="R1785" s="7">
        <f>(P71-N71)*(Q67-O71)-(Q71-O71)*(P67-N71)</f>
        <v>0</v>
      </c>
      <c r="S1785" s="7">
        <f>IF(N1785,IF(AND(O1785*P1785&lt;=0,Q1785*R1785&lt;=0,MAX(MIN(N67,P67),MIN(N71,P71))&lt;=MIN(MAX(N67,P67),MAX(N71,P71)),MAX(MIN(O67,Q67),MIN(O71,Q71))&lt;=MIN(MAX(O67,Q67),MAX(O71,Q71))),1,0),0)</f>
        <v>0</v>
      </c>
      <c r="T1785" s="7"/>
      <c r="U1785" s="7"/>
      <c r="V1785" s="7"/>
      <c r="W1785" s="7"/>
      <c r="X1785" s="7"/>
      <c r="Y1785" s="7"/>
      <c r="Z1785" s="7"/>
      <c r="AA1785" s="7"/>
      <c r="AB1785" s="7"/>
      <c r="AC1785" s="7"/>
      <c r="AD1785" s="7"/>
      <c r="AE1785" s="7"/>
      <c r="AF1785" s="7"/>
      <c r="AG1785" s="7"/>
      <c r="AH1785" s="7"/>
      <c r="AI1785" s="7"/>
    </row>
    <row r="1786" spans="12:35">
      <c r="L1786" s="7">
        <v>68</v>
      </c>
      <c r="M1786" s="7">
        <v>70</v>
      </c>
      <c r="N1786" s="7" t="b">
        <f>AND($N$7,$N$7,17&lt;=$M$7,19&lt;=$M$7)</f>
        <v>0</v>
      </c>
      <c r="O1786" s="7">
        <f>(P68-N68)*(O70-O68)-(Q68-O68)*(N70-N68)</f>
        <v>0</v>
      </c>
      <c r="P1786" s="7">
        <f>(P68-N68)*(Q70-O68)-(Q68-O68)*(P70-N68)</f>
        <v>0</v>
      </c>
      <c r="Q1786" s="7">
        <f>(P70-N70)*(O68-O70)-(Q70-O70)*(N68-N70)</f>
        <v>0</v>
      </c>
      <c r="R1786" s="7">
        <f>(P70-N70)*(Q68-O70)-(Q70-O70)*(P68-N70)</f>
        <v>0</v>
      </c>
      <c r="S1786" s="7">
        <f>IF(N1786,IF(AND(O1786*P1786&lt;=0,Q1786*R1786&lt;=0,MAX(MIN(N68,P68),MIN(N70,P70))&lt;=MIN(MAX(N68,P68),MAX(N70,P70)),MAX(MIN(O68,Q68),MIN(O70,Q70))&lt;=MIN(MAX(O68,Q68),MAX(O70,Q70))),1,0),0)</f>
        <v>0</v>
      </c>
      <c r="T1786" s="7"/>
      <c r="U1786" s="7"/>
      <c r="V1786" s="7"/>
      <c r="W1786" s="7"/>
      <c r="X1786" s="7"/>
      <c r="Y1786" s="7"/>
      <c r="Z1786" s="7"/>
      <c r="AA1786" s="7"/>
      <c r="AB1786" s="7"/>
      <c r="AC1786" s="7"/>
      <c r="AD1786" s="7"/>
      <c r="AE1786" s="7"/>
      <c r="AF1786" s="7"/>
      <c r="AG1786" s="7"/>
      <c r="AH1786" s="7"/>
      <c r="AI1786" s="7"/>
    </row>
    <row r="1787" spans="12:35">
      <c r="L1787" s="7">
        <v>68</v>
      </c>
      <c r="M1787" s="7">
        <v>71</v>
      </c>
      <c r="N1787" s="7" t="b">
        <f>AND($N$7,$N$7,17&lt;=$M$7,20&lt;=$M$7)</f>
        <v>0</v>
      </c>
      <c r="O1787" s="7">
        <f>(P68-N68)*(O71-O68)-(Q68-O68)*(N71-N68)</f>
        <v>0</v>
      </c>
      <c r="P1787" s="7">
        <f>(P68-N68)*(Q71-O68)-(Q68-O68)*(P71-N68)</f>
        <v>0</v>
      </c>
      <c r="Q1787" s="7">
        <f>(P71-N71)*(O68-O71)-(Q71-O71)*(N68-N71)</f>
        <v>0</v>
      </c>
      <c r="R1787" s="7">
        <f>(P71-N71)*(Q68-O71)-(Q71-O71)*(P68-N71)</f>
        <v>0</v>
      </c>
      <c r="S1787" s="7">
        <f>IF(N1787,IF(AND(O1787*P1787&lt;=0,Q1787*R1787&lt;=0,MAX(MIN(N68,P68),MIN(N71,P71))&lt;=MIN(MAX(N68,P68),MAX(N71,P71)),MAX(MIN(O68,Q68),MIN(O71,Q71))&lt;=MIN(MAX(O68,Q68),MAX(O71,Q71))),1,0),0)</f>
        <v>0</v>
      </c>
      <c r="T1787" s="7"/>
      <c r="U1787" s="7"/>
      <c r="V1787" s="7"/>
      <c r="W1787" s="7"/>
      <c r="X1787" s="7"/>
      <c r="Y1787" s="7"/>
      <c r="Z1787" s="7"/>
      <c r="AA1787" s="7"/>
      <c r="AB1787" s="7"/>
      <c r="AC1787" s="7"/>
      <c r="AD1787" s="7"/>
      <c r="AE1787" s="7"/>
      <c r="AF1787" s="7"/>
      <c r="AG1787" s="7"/>
      <c r="AH1787" s="7"/>
      <c r="AI1787" s="7"/>
    </row>
    <row r="1788" spans="12:35">
      <c r="L1788" s="7">
        <v>69</v>
      </c>
      <c r="M1788" s="7">
        <v>71</v>
      </c>
      <c r="N1788" s="7" t="b">
        <f>AND($N$7,$N$7,18&lt;=$M$7,20&lt;=$M$7)</f>
        <v>0</v>
      </c>
      <c r="O1788" s="7">
        <f>(P69-N69)*(O71-O69)-(Q69-O69)*(N71-N69)</f>
        <v>0</v>
      </c>
      <c r="P1788" s="7">
        <f>(P69-N69)*(Q71-O69)-(Q69-O69)*(P71-N69)</f>
        <v>0</v>
      </c>
      <c r="Q1788" s="7">
        <f>(P71-N71)*(O69-O71)-(Q71-O71)*(N69-N71)</f>
        <v>0</v>
      </c>
      <c r="R1788" s="7">
        <f>(P71-N71)*(Q69-O71)-(Q71-O71)*(P69-N71)</f>
        <v>0</v>
      </c>
      <c r="S1788" s="7">
        <f>IF(N1788,IF(AND(O1788*P1788&lt;=0,Q1788*R1788&lt;=0,MAX(MIN(N69,P69),MIN(N71,P71))&lt;=MIN(MAX(N69,P69),MAX(N71,P71)),MAX(MIN(O69,Q69),MIN(O71,Q71))&lt;=MIN(MAX(O69,Q69),MAX(O71,Q71))),1,0),0)</f>
        <v>0</v>
      </c>
      <c r="T1788" s="7"/>
      <c r="U1788" s="7"/>
      <c r="V1788" s="7"/>
      <c r="W1788" s="7"/>
      <c r="X1788" s="7"/>
      <c r="Y1788" s="7"/>
      <c r="Z1788" s="7"/>
      <c r="AA1788" s="7"/>
      <c r="AB1788" s="7"/>
      <c r="AC1788" s="7"/>
      <c r="AD1788" s="7"/>
      <c r="AE1788" s="7"/>
      <c r="AF1788" s="7"/>
      <c r="AG1788" s="7"/>
      <c r="AH1788" s="7"/>
      <c r="AI1788" s="7"/>
    </row>
    <row r="1789" spans="12:35">
      <c r="L1789" s="7"/>
      <c r="M1789" s="7"/>
      <c r="N1789" s="7"/>
      <c r="O1789" s="7"/>
      <c r="P1789" s="7"/>
      <c r="Q1789" s="7"/>
      <c r="R1789" s="7"/>
      <c r="S1789" s="7"/>
      <c r="T1789" s="7"/>
      <c r="U1789" s="7"/>
      <c r="V1789" s="7"/>
      <c r="W1789" s="7"/>
      <c r="X1789" s="7"/>
      <c r="Y1789" s="7"/>
      <c r="Z1789" s="7"/>
      <c r="AA1789" s="7"/>
      <c r="AB1789" s="7"/>
      <c r="AC1789" s="7"/>
      <c r="AD1789" s="7"/>
      <c r="AE1789" s="7"/>
      <c r="AF1789" s="7"/>
      <c r="AG1789" s="7"/>
      <c r="AH1789" s="7"/>
      <c r="AI1789" s="7"/>
    </row>
    <row r="1790" spans="12:35">
      <c r="L1790" s="7"/>
      <c r="M1790" s="7"/>
      <c r="N1790" s="7"/>
      <c r="O1790" s="7"/>
      <c r="P1790" s="7"/>
      <c r="Q1790" s="7"/>
      <c r="R1790" s="7"/>
      <c r="S1790" s="7"/>
      <c r="T1790" s="7"/>
      <c r="U1790" s="7"/>
      <c r="V1790" s="7"/>
      <c r="W1790" s="7"/>
      <c r="X1790" s="7"/>
      <c r="Y1790" s="7"/>
      <c r="Z1790" s="7"/>
      <c r="AA1790" s="7"/>
      <c r="AB1790" s="7"/>
      <c r="AC1790" s="7"/>
      <c r="AD1790" s="7"/>
      <c r="AE1790" s="7"/>
      <c r="AF1790" s="7"/>
      <c r="AG1790" s="7"/>
      <c r="AH1790" s="7"/>
      <c r="AI1790" s="7"/>
    </row>
    <row r="1791" spans="12:35">
      <c r="L1791" s="7"/>
      <c r="M1791" s="7"/>
      <c r="N1791" s="7"/>
      <c r="O1791" s="7"/>
      <c r="P1791" s="7"/>
      <c r="Q1791" s="7"/>
      <c r="R1791" s="7"/>
      <c r="S1791" s="7"/>
      <c r="T1791" s="7"/>
      <c r="U1791" s="7"/>
      <c r="V1791" s="7"/>
      <c r="W1791" s="7"/>
      <c r="X1791" s="7"/>
      <c r="Y1791" s="7"/>
      <c r="Z1791" s="7"/>
      <c r="AA1791" s="7"/>
      <c r="AB1791" s="7"/>
      <c r="AC1791" s="7"/>
      <c r="AD1791" s="7"/>
      <c r="AE1791" s="7"/>
      <c r="AF1791" s="7"/>
      <c r="AG1791" s="7"/>
      <c r="AH1791" s="7"/>
      <c r="AI1791" s="7"/>
    </row>
    <row r="1792" spans="12:35">
      <c r="L1792" s="7"/>
      <c r="M1792" s="7"/>
      <c r="N1792" s="7"/>
      <c r="O1792" s="7"/>
      <c r="P1792" s="7"/>
      <c r="Q1792" s="7"/>
      <c r="R1792" s="7"/>
      <c r="S1792" s="7"/>
      <c r="T1792" s="7"/>
      <c r="U1792" s="7"/>
      <c r="V1792" s="7"/>
      <c r="W1792" s="7"/>
      <c r="X1792" s="7"/>
      <c r="Y1792" s="7"/>
      <c r="Z1792" s="7"/>
      <c r="AA1792" s="7"/>
      <c r="AB1792" s="7"/>
      <c r="AC1792" s="7"/>
      <c r="AD1792" s="7"/>
      <c r="AE1792" s="7"/>
      <c r="AF1792" s="7"/>
      <c r="AG1792" s="7"/>
      <c r="AH1792" s="7"/>
      <c r="AI1792" s="7"/>
    </row>
    <row r="1793" spans="12:35">
      <c r="L1793" s="7"/>
      <c r="M1793" s="7"/>
      <c r="N1793" s="7"/>
      <c r="O1793" s="7"/>
      <c r="P1793" s="7"/>
      <c r="Q1793" s="7"/>
      <c r="R1793" s="7"/>
      <c r="S1793" s="7"/>
      <c r="T1793" s="7"/>
      <c r="U1793" s="7"/>
      <c r="V1793" s="7"/>
      <c r="W1793" s="7"/>
      <c r="X1793" s="7"/>
      <c r="Y1793" s="7"/>
      <c r="Z1793" s="7"/>
      <c r="AA1793" s="7"/>
      <c r="AB1793" s="7"/>
      <c r="AC1793" s="7"/>
      <c r="AD1793" s="7"/>
      <c r="AE1793" s="7"/>
      <c r="AF1793" s="7"/>
      <c r="AG1793" s="7"/>
      <c r="AH1793" s="7"/>
      <c r="AI1793" s="7"/>
    </row>
    <row r="1794" spans="12:35">
      <c r="L1794" s="7"/>
      <c r="M1794" s="7"/>
      <c r="N1794" s="7"/>
      <c r="O1794" s="7"/>
      <c r="P1794" s="7"/>
      <c r="Q1794" s="7"/>
      <c r="R1794" s="7"/>
      <c r="S1794" s="7"/>
      <c r="T1794" s="7"/>
      <c r="U1794" s="7"/>
      <c r="V1794" s="7"/>
      <c r="W1794" s="7"/>
      <c r="X1794" s="7"/>
      <c r="Y1794" s="7"/>
      <c r="Z1794" s="7"/>
      <c r="AA1794" s="7"/>
      <c r="AB1794" s="7"/>
      <c r="AC1794" s="7"/>
      <c r="AD1794" s="7"/>
      <c r="AE1794" s="7"/>
      <c r="AF1794" s="7"/>
      <c r="AG1794" s="7"/>
      <c r="AH1794" s="7"/>
      <c r="AI1794" s="7"/>
    </row>
    <row r="1795" spans="12:35">
      <c r="L1795" s="7"/>
      <c r="M1795" s="7"/>
      <c r="N1795" s="7"/>
      <c r="O1795" s="7"/>
      <c r="P1795" s="7"/>
      <c r="Q1795" s="7"/>
      <c r="R1795" s="7"/>
      <c r="S1795" s="7"/>
      <c r="T1795" s="7"/>
      <c r="U1795" s="7"/>
      <c r="V1795" s="7"/>
      <c r="W1795" s="7"/>
      <c r="X1795" s="7"/>
      <c r="Y1795" s="7"/>
      <c r="Z1795" s="7"/>
      <c r="AA1795" s="7"/>
      <c r="AB1795" s="7"/>
      <c r="AC1795" s="7"/>
      <c r="AD1795" s="7"/>
      <c r="AE1795" s="7"/>
      <c r="AF1795" s="7"/>
      <c r="AG1795" s="7"/>
      <c r="AH1795" s="7"/>
      <c r="AI1795" s="7"/>
    </row>
    <row r="1796" spans="12:35">
      <c r="L1796" s="7"/>
      <c r="M1796" s="7"/>
      <c r="N1796" s="7"/>
      <c r="O1796" s="7"/>
      <c r="P1796" s="7"/>
      <c r="Q1796" s="7"/>
      <c r="R1796" s="7"/>
      <c r="S1796" s="7"/>
      <c r="T1796" s="7"/>
      <c r="U1796" s="7"/>
      <c r="V1796" s="7"/>
      <c r="W1796" s="7"/>
      <c r="X1796" s="7"/>
      <c r="Y1796" s="7"/>
      <c r="Z1796" s="7"/>
      <c r="AA1796" s="7"/>
      <c r="AB1796" s="7"/>
      <c r="AC1796" s="7"/>
      <c r="AD1796" s="7"/>
      <c r="AE1796" s="7"/>
      <c r="AF1796" s="7"/>
      <c r="AG1796" s="7"/>
      <c r="AH1796" s="7"/>
      <c r="AI1796" s="7"/>
    </row>
    <row r="1797" spans="12:35">
      <c r="L1797" s="7"/>
      <c r="M1797" s="7"/>
      <c r="N1797" s="7"/>
      <c r="O1797" s="7"/>
      <c r="P1797" s="7"/>
      <c r="Q1797" s="7"/>
      <c r="R1797" s="7"/>
      <c r="S1797" s="7"/>
      <c r="T1797" s="7"/>
      <c r="U1797" s="7"/>
      <c r="V1797" s="7"/>
      <c r="W1797" s="7"/>
      <c r="X1797" s="7"/>
      <c r="Y1797" s="7"/>
      <c r="Z1797" s="7"/>
      <c r="AA1797" s="7"/>
      <c r="AB1797" s="7"/>
      <c r="AC1797" s="7"/>
      <c r="AD1797" s="7"/>
      <c r="AE1797" s="7"/>
      <c r="AF1797" s="7"/>
      <c r="AG1797" s="7"/>
      <c r="AH1797" s="7"/>
      <c r="AI1797" s="7"/>
    </row>
    <row r="1798" spans="12:35">
      <c r="L1798" s="7"/>
      <c r="M1798" s="7"/>
      <c r="N1798" s="7"/>
      <c r="O1798" s="7"/>
      <c r="P1798" s="7"/>
      <c r="Q1798" s="7"/>
      <c r="R1798" s="7"/>
      <c r="S1798" s="7"/>
      <c r="T1798" s="7"/>
      <c r="U1798" s="7"/>
      <c r="V1798" s="7"/>
      <c r="W1798" s="7"/>
      <c r="X1798" s="7"/>
      <c r="Y1798" s="7"/>
      <c r="Z1798" s="7"/>
      <c r="AA1798" s="7"/>
      <c r="AB1798" s="7"/>
      <c r="AC1798" s="7"/>
      <c r="AD1798" s="7"/>
      <c r="AE1798" s="7"/>
      <c r="AF1798" s="7"/>
      <c r="AG1798" s="7"/>
      <c r="AH1798" s="7"/>
      <c r="AI1798" s="7"/>
    </row>
    <row r="1799" spans="12:35">
      <c r="L1799" s="7"/>
      <c r="M1799" s="7"/>
      <c r="N1799" s="7"/>
      <c r="O1799" s="7"/>
      <c r="P1799" s="7"/>
      <c r="Q1799" s="7"/>
      <c r="R1799" s="7"/>
      <c r="S1799" s="7"/>
      <c r="T1799" s="7"/>
      <c r="U1799" s="7"/>
      <c r="V1799" s="7"/>
      <c r="W1799" s="7"/>
      <c r="X1799" s="7"/>
      <c r="Y1799" s="7"/>
      <c r="Z1799" s="7"/>
      <c r="AA1799" s="7"/>
      <c r="AB1799" s="7"/>
      <c r="AC1799" s="7"/>
      <c r="AD1799" s="7"/>
      <c r="AE1799" s="7"/>
      <c r="AF1799" s="7"/>
      <c r="AG1799" s="7"/>
      <c r="AH1799" s="7"/>
      <c r="AI1799" s="7"/>
    </row>
    <row r="1800" spans="12:35">
      <c r="L1800" s="7"/>
      <c r="M1800" s="7"/>
      <c r="N1800" s="7"/>
      <c r="O1800" s="7"/>
      <c r="P1800" s="7"/>
      <c r="Q1800" s="7"/>
      <c r="R1800" s="7"/>
      <c r="S1800" s="7"/>
      <c r="T1800" s="7"/>
      <c r="U1800" s="7"/>
      <c r="V1800" s="7"/>
      <c r="W1800" s="7"/>
      <c r="X1800" s="7"/>
      <c r="Y1800" s="7"/>
      <c r="Z1800" s="7"/>
      <c r="AA1800" s="7"/>
      <c r="AB1800" s="7"/>
      <c r="AC1800" s="7"/>
      <c r="AD1800" s="7"/>
      <c r="AE1800" s="7"/>
      <c r="AF1800" s="7"/>
      <c r="AG1800" s="7"/>
      <c r="AH1800" s="7"/>
      <c r="AI1800" s="7"/>
    </row>
  </sheetData>
  <mergeCells count="43">
    <mergeCell ref="J100:M105"/>
    <mergeCell ref="F6:I9"/>
    <mergeCell ref="F10:I12"/>
    <mergeCell ref="B23:D23"/>
    <mergeCell ref="F40:I42"/>
    <mergeCell ref="A63:I65"/>
    <mergeCell ref="F14:K14"/>
    <mergeCell ref="F15:G15"/>
    <mergeCell ref="H15:I15"/>
    <mergeCell ref="J15:K15"/>
    <mergeCell ref="F16:G16"/>
    <mergeCell ref="H16:I16"/>
    <mergeCell ref="J16:K16"/>
    <mergeCell ref="F17:G17"/>
    <mergeCell ref="H17:I17"/>
    <mergeCell ref="J17:K17"/>
    <mergeCell ref="F18:G18"/>
    <mergeCell ref="H18:I18"/>
    <mergeCell ref="J18:K18"/>
    <mergeCell ref="F19:G19"/>
    <mergeCell ref="H19:I19"/>
    <mergeCell ref="J19:K19"/>
    <mergeCell ref="F20:G20"/>
    <mergeCell ref="H20:I20"/>
    <mergeCell ref="J20:K20"/>
    <mergeCell ref="F27:G27"/>
    <mergeCell ref="H27:I27"/>
    <mergeCell ref="J27:K27"/>
    <mergeCell ref="F30:G30"/>
    <mergeCell ref="H30:I30"/>
    <mergeCell ref="J30:K30"/>
    <mergeCell ref="F21:K21"/>
    <mergeCell ref="F23:G23"/>
    <mergeCell ref="H23:K23"/>
    <mergeCell ref="F24:K24"/>
    <mergeCell ref="F25:K25"/>
    <mergeCell ref="F26:K26"/>
    <mergeCell ref="F28:G28"/>
    <mergeCell ref="H28:I28"/>
    <mergeCell ref="J28:K28"/>
    <mergeCell ref="F29:G29"/>
    <mergeCell ref="H29:I29"/>
    <mergeCell ref="J29:K29"/>
  </mergeCells>
  <phoneticPr fontId="5" type="noConversion"/>
  <conditionalFormatting sqref="B11">
    <cfRule type="expression" dxfId="10" priority="1">
      <formula>$B$11="OK"</formula>
    </cfRule>
    <cfRule type="expression" dxfId="9" priority="2">
      <formula>$B$11="NOT OK"</formula>
    </cfRule>
    <cfRule type="expression" dxfId="8" priority="3">
      <formula>$B$11="CHECK INPUTS"</formula>
    </cfRule>
  </conditionalFormatting>
  <conditionalFormatting sqref="B44">
    <cfRule type="expression" dxfId="7" priority="5">
      <formula>$B$44="OK"</formula>
    </cfRule>
    <cfRule type="expression" dxfId="6" priority="6">
      <formula>$B$44="NOT OK"</formula>
    </cfRule>
    <cfRule type="expression" dxfId="5" priority="7">
      <formula>$B$44="CHECK INPUTS"</formula>
    </cfRule>
  </conditionalFormatting>
  <conditionalFormatting sqref="B23:D23">
    <cfRule type="containsText" dxfId="4" priority="4" operator="containsText" text="CHECK"/>
  </conditionalFormatting>
  <conditionalFormatting sqref="G42">
    <cfRule type="expression" dxfId="3" priority="8">
      <formula>$G$42="OK"</formula>
    </cfRule>
    <cfRule type="expression" dxfId="2" priority="9">
      <formula>$G$42="NOT OK"</formula>
    </cfRule>
  </conditionalFormatting>
  <dataValidations count="5">
    <dataValidation type="list" sqref="B24" xr:uid="{D9C1963F-2155-4684-A021-8C3C294985B8}">
      <formula1>"C20,C25,C30,C35,C40,C45,C50,C55,C60,C65,C70,C75,C80,C85,C90,C95"</formula1>
    </dataValidation>
    <dataValidation type="list" allowBlank="1" showInputMessage="1" showErrorMessage="1" sqref="H19:I19 J19:K19" xr:uid="{57B7F083-E36A-4ED4-AD44-7B23F840A264}">
      <formula1>$G$68:$G$83</formula1>
    </dataValidation>
    <dataValidation type="list" allowBlank="1" showInputMessage="1" showErrorMessage="1" sqref="H20:I20 J20:K20" xr:uid="{0BDF5777-0D18-443D-A0CA-E0371B607C7C}">
      <formula1>"UNIFORM,LAYERED"</formula1>
    </dataValidation>
    <dataValidation type="list" allowBlank="1" showInputMessage="1" showErrorMessage="1" sqref="H23:K23" xr:uid="{B11D3765-2B6F-47DA-9C1E-6F5418D75E1B}">
      <formula1>"B,D"</formula1>
    </dataValidation>
    <dataValidation type="decimal" operator="greaterThan" allowBlank="1" showInputMessage="1" showErrorMessage="1" sqref="H16:I18 J16:K18" xr:uid="{0758C797-FD25-4725-8652-6BF4B25EC9DE}">
      <formula1>0</formula1>
    </dataValidation>
  </dataValidations>
  <hyperlinks>
    <hyperlink ref="F25" location="'Core Wall'!A54" tooltip="Core Wall inputs" display="Open Core Wall inputs" xr:uid="{E232CF48-DED3-454D-877D-C1DFA8ED50A0}"/>
  </hyperlink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E174E1-C2AE-4977-B4AE-92934E7241E6}">
  <sheetPr codeName="BCore">
    <tabColor rgb="FF1F4E78"/>
    <pageSetUpPr fitToPage="1"/>
  </sheetPr>
  <dimension ref="A1:AA159"/>
  <sheetViews>
    <sheetView showGridLines="0" zoomScale="85" zoomScaleNormal="85" workbookViewId="0">
      <selection activeCell="H1" sqref="H1"/>
    </sheetView>
  </sheetViews>
  <sheetFormatPr defaultRowHeight="13.8"/>
  <cols>
    <col min="1" max="1" width="10.7109375" customWidth="1"/>
    <col min="2" max="3" width="15.7109375" customWidth="1"/>
    <col min="4" max="4" width="13.7109375" customWidth="1"/>
    <col min="5" max="5" width="11.7109375" customWidth="1"/>
    <col min="6" max="6" width="12.7109375" customWidth="1"/>
    <col min="7" max="7" width="24.7109375" customWidth="1"/>
    <col min="8" max="8" width="3.7109375" customWidth="1"/>
    <col min="9" max="9" width="24.7109375" customWidth="1"/>
    <col min="10" max="10" width="17.7109375" customWidth="1"/>
    <col min="11" max="11" width="9.7109375" customWidth="1"/>
    <col min="12" max="16" width="7.7109375" customWidth="1"/>
    <col min="20" max="25" width="13.7109375" customWidth="1"/>
    <col min="27" max="27" width="22.7109375" customWidth="1"/>
  </cols>
  <sheetData>
    <row r="1" spans="1:27" ht="28.05" customHeight="1">
      <c r="A1" s="57"/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8"/>
      <c r="R1" s="58"/>
      <c r="S1" s="58"/>
      <c r="T1" s="58"/>
      <c r="U1" s="58"/>
      <c r="V1" s="58"/>
      <c r="W1" s="58"/>
      <c r="X1" s="58"/>
      <c r="Y1" s="58"/>
      <c r="Z1" s="58"/>
      <c r="AA1" s="58"/>
    </row>
    <row r="2" spans="1:27" ht="28.05" customHeight="1">
      <c r="A2" s="115" t="s">
        <v>285</v>
      </c>
      <c r="B2" s="115"/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58"/>
      <c r="R2" s="58"/>
      <c r="S2" s="58"/>
      <c r="T2" s="58"/>
      <c r="U2" s="58"/>
      <c r="V2" s="58"/>
      <c r="W2" s="58"/>
      <c r="X2" s="58"/>
      <c r="Y2" s="58"/>
      <c r="Z2" s="58"/>
      <c r="AA2" s="58"/>
    </row>
    <row r="3" spans="1:27" ht="22.05" customHeight="1">
      <c r="A3" s="116" t="s">
        <v>220</v>
      </c>
      <c r="B3" s="116"/>
      <c r="C3" s="116"/>
      <c r="D3" s="116"/>
      <c r="E3" s="116"/>
      <c r="F3" s="116"/>
      <c r="G3" s="116"/>
      <c r="H3" s="116"/>
      <c r="I3" s="116"/>
      <c r="J3" s="116"/>
      <c r="K3" s="116"/>
      <c r="L3" s="116"/>
      <c r="M3" s="116"/>
      <c r="N3" s="116"/>
      <c r="O3" s="116"/>
      <c r="P3" s="116"/>
      <c r="Q3" s="58"/>
      <c r="R3" s="58"/>
      <c r="S3" s="58"/>
      <c r="T3" s="58"/>
      <c r="U3" s="58"/>
      <c r="V3" s="58"/>
      <c r="W3" s="58"/>
      <c r="X3" s="58"/>
      <c r="Y3" s="58"/>
      <c r="Z3" s="58"/>
      <c r="AA3" s="58"/>
    </row>
    <row r="4" spans="1:27" ht="22.05" customHeight="1">
      <c r="A4" s="116" t="s">
        <v>183</v>
      </c>
      <c r="B4" s="116"/>
      <c r="C4" s="116"/>
      <c r="D4" s="116"/>
      <c r="E4" s="116"/>
      <c r="F4" s="116"/>
      <c r="G4" s="116"/>
      <c r="H4" s="116"/>
      <c r="I4" s="116"/>
      <c r="J4" s="116"/>
      <c r="K4" s="116"/>
      <c r="L4" s="116"/>
      <c r="M4" s="116"/>
      <c r="N4" s="116"/>
      <c r="O4" s="116"/>
      <c r="P4" s="116"/>
      <c r="Q4" s="58"/>
      <c r="R4" s="58"/>
      <c r="S4" s="58"/>
      <c r="T4" s="58"/>
      <c r="U4" s="58"/>
      <c r="V4" s="58"/>
      <c r="W4" s="58"/>
      <c r="X4" s="58"/>
      <c r="Y4" s="58"/>
      <c r="Z4" s="58"/>
      <c r="AA4" s="58"/>
    </row>
    <row r="5" spans="1:27" ht="22.05" customHeight="1">
      <c r="A5" s="116" t="s">
        <v>184</v>
      </c>
      <c r="B5" s="116"/>
      <c r="C5" s="116"/>
      <c r="D5" s="116"/>
      <c r="E5" s="116"/>
      <c r="F5" s="116"/>
      <c r="G5" s="116"/>
      <c r="H5" s="116"/>
      <c r="I5" s="116"/>
      <c r="J5" s="116"/>
      <c r="K5" s="116"/>
      <c r="L5" s="116"/>
      <c r="M5" s="116"/>
      <c r="N5" s="116"/>
      <c r="O5" s="116"/>
      <c r="P5" s="116"/>
      <c r="Q5" s="58"/>
      <c r="R5" s="58"/>
      <c r="S5" s="58"/>
      <c r="T5" s="58"/>
      <c r="U5" s="58"/>
      <c r="V5" s="58"/>
      <c r="W5" s="58"/>
      <c r="X5" s="58"/>
      <c r="Y5" s="58"/>
      <c r="Z5" s="58"/>
      <c r="AA5" s="58"/>
    </row>
    <row r="6" spans="1:27" ht="22.05" customHeight="1">
      <c r="A6" s="57" t="s">
        <v>185</v>
      </c>
      <c r="B6" s="60">
        <v>500</v>
      </c>
      <c r="C6" s="57" t="s">
        <v>33</v>
      </c>
      <c r="D6" s="117" t="s">
        <v>186</v>
      </c>
      <c r="E6" s="117"/>
      <c r="F6" s="117"/>
      <c r="G6" s="117"/>
      <c r="H6" s="117"/>
      <c r="I6" s="117"/>
      <c r="J6" s="117"/>
      <c r="K6" s="117"/>
      <c r="L6" s="117"/>
      <c r="M6" s="117"/>
      <c r="N6" s="117"/>
      <c r="O6" s="117"/>
      <c r="P6" s="117"/>
      <c r="Q6" s="58"/>
      <c r="R6" s="58"/>
      <c r="S6" s="58"/>
      <c r="T6" s="58"/>
      <c r="U6" s="58"/>
      <c r="V6" s="58"/>
      <c r="W6" s="58"/>
      <c r="X6" s="58"/>
      <c r="Y6" s="58"/>
      <c r="Z6" s="58"/>
      <c r="AA6" s="58"/>
    </row>
    <row r="7" spans="1:27" ht="7.05" customHeight="1">
      <c r="A7" s="57"/>
      <c r="B7" s="57"/>
      <c r="C7" s="57"/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8"/>
      <c r="R7" s="58"/>
      <c r="S7" s="58"/>
      <c r="T7" s="58"/>
      <c r="U7" s="58"/>
      <c r="V7" s="58"/>
      <c r="W7" s="58"/>
      <c r="X7" s="58"/>
      <c r="Y7" s="58"/>
      <c r="Z7" s="58"/>
      <c r="AA7" s="58"/>
    </row>
    <row r="8" spans="1:27" ht="28.05" customHeight="1">
      <c r="A8" s="116" t="s">
        <v>281</v>
      </c>
      <c r="B8" s="116"/>
      <c r="C8" s="116"/>
      <c r="D8" s="116"/>
      <c r="E8" s="116"/>
      <c r="F8" s="116"/>
      <c r="G8" s="116"/>
      <c r="H8" s="116"/>
      <c r="I8" s="116"/>
      <c r="J8" s="116"/>
      <c r="K8" s="116"/>
      <c r="L8" s="116"/>
      <c r="M8" s="116"/>
      <c r="N8" s="116"/>
      <c r="O8" s="116"/>
      <c r="P8" s="116"/>
      <c r="Q8" s="58"/>
      <c r="R8" s="58"/>
      <c r="S8" s="58"/>
      <c r="T8" s="58" t="s">
        <v>187</v>
      </c>
      <c r="U8" s="58"/>
      <c r="V8" s="58"/>
      <c r="W8" s="58"/>
      <c r="X8" s="58"/>
      <c r="Y8" s="58"/>
      <c r="Z8" s="58"/>
      <c r="AA8" s="58" t="s">
        <v>188</v>
      </c>
    </row>
    <row r="9" spans="1:27" ht="7.95" customHeight="1">
      <c r="A9" s="57"/>
      <c r="B9" s="57"/>
      <c r="C9" s="57"/>
      <c r="D9" s="57"/>
      <c r="E9" s="57"/>
      <c r="F9" s="57"/>
      <c r="G9" s="57"/>
      <c r="H9" s="57"/>
      <c r="I9" s="57"/>
      <c r="J9" s="57"/>
      <c r="K9" s="57"/>
      <c r="L9" s="57"/>
      <c r="M9" s="57"/>
      <c r="N9" s="57"/>
      <c r="O9" s="57"/>
      <c r="P9" s="57"/>
      <c r="Q9" s="58"/>
      <c r="R9" s="58"/>
      <c r="S9" s="58"/>
      <c r="T9" s="61" t="s">
        <v>181</v>
      </c>
      <c r="U9" s="61" t="s">
        <v>182</v>
      </c>
      <c r="V9" s="61" t="s">
        <v>55</v>
      </c>
      <c r="W9" s="61" t="s">
        <v>56</v>
      </c>
      <c r="X9" s="61" t="s">
        <v>57</v>
      </c>
      <c r="Y9" s="61" t="s">
        <v>58</v>
      </c>
      <c r="Z9" s="58"/>
      <c r="AA9" s="58"/>
    </row>
    <row r="10" spans="1:27" ht="7.95" customHeight="1">
      <c r="A10" s="57"/>
      <c r="B10" s="57"/>
      <c r="C10" s="57"/>
      <c r="D10" s="57"/>
      <c r="E10" s="57"/>
      <c r="F10" s="57"/>
      <c r="G10" s="57"/>
      <c r="H10" s="57"/>
      <c r="I10" s="57"/>
      <c r="J10" s="57"/>
      <c r="K10" s="57"/>
      <c r="L10" s="57"/>
      <c r="M10" s="57"/>
      <c r="N10" s="57"/>
      <c r="O10" s="57"/>
      <c r="P10" s="57"/>
      <c r="Q10" s="58"/>
      <c r="R10" s="58"/>
      <c r="S10" s="58"/>
      <c r="T10" s="62"/>
      <c r="U10" s="62"/>
      <c r="V10" s="63"/>
      <c r="W10" s="63"/>
      <c r="X10" s="63"/>
      <c r="Y10" s="63"/>
      <c r="Z10" s="58"/>
      <c r="AA10" s="64"/>
    </row>
    <row r="11" spans="1:27" ht="34.049999999999997" customHeight="1">
      <c r="A11" s="65" t="s">
        <v>172</v>
      </c>
      <c r="B11" s="65" t="s">
        <v>194</v>
      </c>
      <c r="C11" s="65" t="s">
        <v>195</v>
      </c>
      <c r="D11" s="65" t="s">
        <v>196</v>
      </c>
      <c r="E11" s="65" t="s">
        <v>197</v>
      </c>
      <c r="F11" s="65" t="s">
        <v>198</v>
      </c>
      <c r="G11" s="65" t="s">
        <v>199</v>
      </c>
      <c r="H11" s="57"/>
      <c r="I11" s="57"/>
      <c r="J11" s="57"/>
      <c r="K11" s="57"/>
      <c r="L11" s="57"/>
      <c r="M11" s="57"/>
      <c r="N11" s="57"/>
      <c r="O11" s="57"/>
      <c r="P11" s="57"/>
      <c r="Q11" s="58"/>
      <c r="R11" s="58"/>
      <c r="S11" s="58"/>
      <c r="T11" s="62"/>
      <c r="U11" s="62"/>
      <c r="V11" s="63"/>
      <c r="W11" s="63"/>
      <c r="X11" s="63"/>
      <c r="Y11" s="63"/>
      <c r="Z11" s="58"/>
      <c r="AA11" s="64"/>
    </row>
    <row r="12" spans="1:27" ht="22.05" customHeight="1">
      <c r="A12" s="57"/>
      <c r="B12" s="66"/>
      <c r="C12" s="66"/>
      <c r="D12" s="60"/>
      <c r="E12" s="57"/>
      <c r="F12" s="67"/>
      <c r="G12" s="59"/>
      <c r="H12" s="57"/>
      <c r="I12" s="57"/>
      <c r="J12" s="57"/>
      <c r="K12" s="57"/>
      <c r="L12" s="57"/>
      <c r="M12" s="57"/>
      <c r="N12" s="57"/>
      <c r="O12" s="57"/>
      <c r="P12" s="57"/>
      <c r="Q12" s="58"/>
      <c r="R12" s="58"/>
      <c r="S12" s="58"/>
      <c r="T12" s="62"/>
      <c r="U12" s="62"/>
      <c r="V12" s="63"/>
      <c r="W12" s="63"/>
      <c r="X12" s="63"/>
      <c r="Y12" s="63"/>
      <c r="Z12" s="58"/>
      <c r="AA12" s="64"/>
    </row>
    <row r="13" spans="1:27" ht="22.05" customHeight="1">
      <c r="A13" s="57"/>
      <c r="B13" s="66"/>
      <c r="C13" s="66"/>
      <c r="D13" s="60"/>
      <c r="E13" s="57"/>
      <c r="F13" s="67"/>
      <c r="G13" s="59"/>
      <c r="H13" s="57"/>
      <c r="I13" s="57"/>
      <c r="J13" s="57"/>
      <c r="K13" s="57"/>
      <c r="L13" s="57"/>
      <c r="M13" s="57"/>
      <c r="N13" s="57"/>
      <c r="O13" s="57"/>
      <c r="P13" s="57"/>
      <c r="Q13" s="58"/>
      <c r="R13" s="58"/>
      <c r="S13" s="58"/>
      <c r="T13" s="62"/>
      <c r="U13" s="62"/>
      <c r="V13" s="63"/>
      <c r="W13" s="63"/>
      <c r="X13" s="63"/>
      <c r="Y13" s="63"/>
      <c r="Z13" s="58"/>
      <c r="AA13" s="64"/>
    </row>
    <row r="14" spans="1:27" ht="22.05" customHeight="1">
      <c r="A14" s="57"/>
      <c r="B14" s="66"/>
      <c r="C14" s="66"/>
      <c r="D14" s="60"/>
      <c r="E14" s="57"/>
      <c r="F14" s="67"/>
      <c r="G14" s="59"/>
      <c r="H14" s="57"/>
      <c r="I14" s="57"/>
      <c r="J14" s="57"/>
      <c r="K14" s="57"/>
      <c r="L14" s="57"/>
      <c r="M14" s="57"/>
      <c r="N14" s="57"/>
      <c r="O14" s="57"/>
      <c r="P14" s="57"/>
      <c r="Q14" s="58"/>
      <c r="R14" s="58"/>
      <c r="S14" s="58"/>
      <c r="T14" s="62"/>
      <c r="U14" s="62"/>
      <c r="V14" s="63"/>
      <c r="W14" s="63"/>
      <c r="X14" s="63"/>
      <c r="Y14" s="63"/>
      <c r="Z14" s="58"/>
      <c r="AA14" s="64"/>
    </row>
    <row r="15" spans="1:27" ht="22.05" customHeight="1">
      <c r="A15" s="57"/>
      <c r="B15" s="66"/>
      <c r="C15" s="66"/>
      <c r="D15" s="60"/>
      <c r="E15" s="57"/>
      <c r="F15" s="67"/>
      <c r="G15" s="59"/>
      <c r="H15" s="57"/>
      <c r="I15" s="57"/>
      <c r="J15" s="57"/>
      <c r="K15" s="57"/>
      <c r="L15" s="57"/>
      <c r="M15" s="57"/>
      <c r="N15" s="57"/>
      <c r="O15" s="57"/>
      <c r="P15" s="57"/>
      <c r="Q15" s="58"/>
      <c r="R15" s="58"/>
      <c r="S15" s="58"/>
      <c r="T15" s="62"/>
      <c r="U15" s="62"/>
      <c r="V15" s="63"/>
      <c r="W15" s="63"/>
      <c r="X15" s="63"/>
      <c r="Y15" s="63"/>
      <c r="Z15" s="58"/>
      <c r="AA15" s="64"/>
    </row>
    <row r="16" spans="1:27" ht="22.05" customHeight="1">
      <c r="A16" s="57"/>
      <c r="B16" s="66"/>
      <c r="C16" s="66"/>
      <c r="D16" s="60"/>
      <c r="E16" s="57"/>
      <c r="F16" s="67"/>
      <c r="G16" s="59"/>
      <c r="H16" s="57"/>
      <c r="I16" s="57"/>
      <c r="J16" s="57"/>
      <c r="K16" s="57"/>
      <c r="L16" s="57"/>
      <c r="M16" s="57"/>
      <c r="N16" s="57"/>
      <c r="O16" s="57"/>
      <c r="P16" s="57"/>
      <c r="Q16" s="58"/>
      <c r="R16" s="58"/>
      <c r="S16" s="58"/>
      <c r="T16" s="62"/>
      <c r="U16" s="62"/>
      <c r="V16" s="63"/>
      <c r="W16" s="63"/>
      <c r="X16" s="63"/>
      <c r="Y16" s="63"/>
      <c r="Z16" s="58"/>
      <c r="AA16" s="64"/>
    </row>
    <row r="17" spans="1:27" ht="22.05" customHeight="1">
      <c r="A17" s="57"/>
      <c r="B17" s="66"/>
      <c r="C17" s="66"/>
      <c r="D17" s="60"/>
      <c r="E17" s="57"/>
      <c r="F17" s="67"/>
      <c r="G17" s="59"/>
      <c r="H17" s="57"/>
      <c r="I17" s="57"/>
      <c r="J17" s="57"/>
      <c r="K17" s="57"/>
      <c r="L17" s="57"/>
      <c r="M17" s="57"/>
      <c r="N17" s="57"/>
      <c r="O17" s="57"/>
      <c r="P17" s="57"/>
      <c r="Q17" s="58"/>
      <c r="R17" s="58"/>
      <c r="S17" s="58"/>
      <c r="T17" s="62"/>
      <c r="U17" s="62"/>
      <c r="V17" s="63"/>
      <c r="W17" s="63"/>
      <c r="X17" s="63"/>
      <c r="Y17" s="63"/>
      <c r="Z17" s="58"/>
      <c r="AA17" s="64"/>
    </row>
    <row r="18" spans="1:27" ht="22.05" customHeight="1">
      <c r="A18" s="57"/>
      <c r="B18" s="66"/>
      <c r="C18" s="66"/>
      <c r="D18" s="60"/>
      <c r="E18" s="57"/>
      <c r="F18" s="67"/>
      <c r="G18" s="59"/>
      <c r="H18" s="57"/>
      <c r="I18" s="57"/>
      <c r="J18" s="57"/>
      <c r="K18" s="57"/>
      <c r="L18" s="57"/>
      <c r="M18" s="57"/>
      <c r="N18" s="57"/>
      <c r="O18" s="57"/>
      <c r="P18" s="57"/>
      <c r="Q18" s="58"/>
      <c r="R18" s="58"/>
      <c r="S18" s="58"/>
      <c r="T18" s="62"/>
      <c r="U18" s="62"/>
      <c r="V18" s="63"/>
      <c r="W18" s="63"/>
      <c r="X18" s="63"/>
      <c r="Y18" s="63"/>
      <c r="Z18" s="58"/>
      <c r="AA18" s="64"/>
    </row>
    <row r="19" spans="1:27" ht="22.05" customHeight="1">
      <c r="A19" s="57"/>
      <c r="B19" s="66"/>
      <c r="C19" s="66"/>
      <c r="D19" s="60"/>
      <c r="E19" s="57"/>
      <c r="F19" s="67"/>
      <c r="G19" s="59"/>
      <c r="H19" s="57"/>
      <c r="I19" s="57"/>
      <c r="J19" s="57"/>
      <c r="K19" s="57"/>
      <c r="L19" s="57"/>
      <c r="M19" s="57"/>
      <c r="N19" s="57"/>
      <c r="O19" s="57"/>
      <c r="P19" s="57"/>
      <c r="Q19" s="58"/>
      <c r="R19" s="58"/>
      <c r="S19" s="58"/>
      <c r="T19" s="62"/>
      <c r="U19" s="62"/>
      <c r="V19" s="63"/>
      <c r="W19" s="63"/>
      <c r="X19" s="63"/>
      <c r="Y19" s="63"/>
      <c r="Z19" s="58"/>
      <c r="AA19" s="64"/>
    </row>
    <row r="20" spans="1:27" ht="22.05" customHeight="1">
      <c r="A20" s="57"/>
      <c r="B20" s="66"/>
      <c r="C20" s="66"/>
      <c r="D20" s="60"/>
      <c r="E20" s="57"/>
      <c r="F20" s="67"/>
      <c r="G20" s="59"/>
      <c r="H20" s="57"/>
      <c r="I20" s="57"/>
      <c r="J20" s="57"/>
      <c r="K20" s="57"/>
      <c r="L20" s="57"/>
      <c r="M20" s="57"/>
      <c r="N20" s="57"/>
      <c r="O20" s="57"/>
      <c r="P20" s="57"/>
      <c r="Q20" s="58"/>
      <c r="R20" s="58"/>
      <c r="S20" s="58"/>
      <c r="T20" s="62"/>
      <c r="U20" s="62"/>
      <c r="V20" s="63"/>
      <c r="W20" s="63"/>
      <c r="X20" s="63"/>
      <c r="Y20" s="63"/>
      <c r="Z20" s="58"/>
      <c r="AA20" s="64"/>
    </row>
    <row r="21" spans="1:27" ht="22.05" customHeight="1">
      <c r="A21" s="57"/>
      <c r="B21" s="66"/>
      <c r="C21" s="66"/>
      <c r="D21" s="60"/>
      <c r="E21" s="57"/>
      <c r="F21" s="67"/>
      <c r="G21" s="59"/>
      <c r="H21" s="57"/>
      <c r="I21" s="57"/>
      <c r="J21" s="57"/>
      <c r="K21" s="57"/>
      <c r="L21" s="57"/>
      <c r="M21" s="57"/>
      <c r="N21" s="57"/>
      <c r="O21" s="57"/>
      <c r="P21" s="57"/>
      <c r="Q21" s="58"/>
      <c r="R21" s="58"/>
      <c r="S21" s="58"/>
      <c r="T21" s="62"/>
      <c r="U21" s="62"/>
      <c r="V21" s="63"/>
      <c r="W21" s="63"/>
      <c r="X21" s="63"/>
      <c r="Y21" s="63"/>
      <c r="Z21" s="58"/>
      <c r="AA21" s="64"/>
    </row>
    <row r="22" spans="1:27" ht="22.05" customHeight="1">
      <c r="A22" s="57"/>
      <c r="B22" s="66"/>
      <c r="C22" s="66"/>
      <c r="D22" s="60"/>
      <c r="E22" s="57"/>
      <c r="F22" s="67"/>
      <c r="G22" s="59"/>
      <c r="H22" s="57"/>
      <c r="I22" s="57"/>
      <c r="J22" s="57"/>
      <c r="K22" s="57"/>
      <c r="L22" s="57"/>
      <c r="M22" s="57"/>
      <c r="N22" s="57"/>
      <c r="O22" s="57"/>
      <c r="P22" s="57"/>
      <c r="Q22" s="58"/>
      <c r="R22" s="58"/>
      <c r="S22" s="58"/>
      <c r="T22" s="63"/>
      <c r="U22" s="63"/>
      <c r="V22" s="63"/>
      <c r="W22" s="63"/>
      <c r="X22" s="63"/>
      <c r="Y22" s="63"/>
      <c r="Z22" s="58"/>
      <c r="AA22" s="64"/>
    </row>
    <row r="23" spans="1:27" ht="22.05" customHeight="1">
      <c r="A23" s="57"/>
      <c r="B23" s="66"/>
      <c r="C23" s="66"/>
      <c r="D23" s="60"/>
      <c r="E23" s="57"/>
      <c r="F23" s="67"/>
      <c r="G23" s="59"/>
      <c r="H23" s="57"/>
      <c r="I23" s="57"/>
      <c r="J23" s="57"/>
      <c r="K23" s="57"/>
      <c r="L23" s="57"/>
      <c r="M23" s="57"/>
      <c r="N23" s="57"/>
      <c r="O23" s="57"/>
      <c r="P23" s="57"/>
      <c r="Q23" s="58"/>
      <c r="R23" s="58"/>
      <c r="S23" s="58"/>
      <c r="T23" s="63"/>
      <c r="U23" s="63"/>
      <c r="V23" s="63"/>
      <c r="W23" s="63"/>
      <c r="X23" s="63"/>
      <c r="Y23" s="63"/>
      <c r="Z23" s="58"/>
      <c r="AA23" s="64"/>
    </row>
    <row r="24" spans="1:27" ht="22.05" customHeight="1">
      <c r="A24" s="57"/>
      <c r="B24" s="66"/>
      <c r="C24" s="66"/>
      <c r="D24" s="60"/>
      <c r="E24" s="57"/>
      <c r="F24" s="67"/>
      <c r="G24" s="59"/>
      <c r="H24" s="57"/>
      <c r="I24" s="57"/>
      <c r="J24" s="57"/>
      <c r="K24" s="57"/>
      <c r="L24" s="57"/>
      <c r="M24" s="57"/>
      <c r="N24" s="57"/>
      <c r="O24" s="57"/>
      <c r="P24" s="57"/>
      <c r="Q24" s="58"/>
      <c r="R24" s="58"/>
      <c r="S24" s="58"/>
      <c r="T24" s="63"/>
      <c r="U24" s="63"/>
      <c r="V24" s="63"/>
      <c r="W24" s="63"/>
      <c r="X24" s="63"/>
      <c r="Y24" s="63"/>
      <c r="Z24" s="58"/>
      <c r="AA24" s="64"/>
    </row>
    <row r="25" spans="1:27" ht="22.05" customHeight="1">
      <c r="A25" s="57"/>
      <c r="B25" s="66"/>
      <c r="C25" s="66"/>
      <c r="D25" s="60"/>
      <c r="E25" s="57"/>
      <c r="F25" s="67"/>
      <c r="G25" s="59"/>
      <c r="H25" s="57"/>
      <c r="I25" s="57"/>
      <c r="J25" s="57"/>
      <c r="K25" s="57"/>
      <c r="L25" s="57"/>
      <c r="M25" s="57"/>
      <c r="N25" s="57"/>
      <c r="O25" s="57"/>
      <c r="P25" s="57"/>
      <c r="Q25" s="58"/>
      <c r="R25" s="58"/>
      <c r="S25" s="58"/>
      <c r="T25" s="63"/>
      <c r="U25" s="63"/>
      <c r="V25" s="63"/>
      <c r="W25" s="63"/>
      <c r="X25" s="63"/>
      <c r="Y25" s="63"/>
      <c r="Z25" s="58"/>
      <c r="AA25" s="64"/>
    </row>
    <row r="26" spans="1:27" ht="22.05" customHeight="1">
      <c r="A26" s="57"/>
      <c r="B26" s="66"/>
      <c r="C26" s="66"/>
      <c r="D26" s="60"/>
      <c r="E26" s="57"/>
      <c r="F26" s="67"/>
      <c r="G26" s="59"/>
      <c r="H26" s="57"/>
      <c r="I26" s="57"/>
      <c r="J26" s="57"/>
      <c r="K26" s="57"/>
      <c r="L26" s="57"/>
      <c r="M26" s="57"/>
      <c r="N26" s="57"/>
      <c r="O26" s="57"/>
      <c r="P26" s="57"/>
      <c r="Q26" s="58"/>
      <c r="R26" s="58"/>
      <c r="S26" s="58"/>
      <c r="T26" s="63"/>
      <c r="U26" s="63"/>
      <c r="V26" s="63"/>
      <c r="W26" s="63"/>
      <c r="X26" s="63"/>
      <c r="Y26" s="63"/>
      <c r="Z26" s="58"/>
      <c r="AA26" s="64"/>
    </row>
    <row r="27" spans="1:27" ht="22.05" customHeight="1">
      <c r="A27" s="57"/>
      <c r="B27" s="66"/>
      <c r="C27" s="66"/>
      <c r="D27" s="60"/>
      <c r="E27" s="57"/>
      <c r="F27" s="67"/>
      <c r="G27" s="59"/>
      <c r="H27" s="57"/>
      <c r="I27" s="57"/>
      <c r="J27" s="57"/>
      <c r="K27" s="57"/>
      <c r="L27" s="57"/>
      <c r="M27" s="57"/>
      <c r="N27" s="57"/>
      <c r="O27" s="57"/>
      <c r="P27" s="57"/>
      <c r="Q27" s="58"/>
      <c r="R27" s="58"/>
      <c r="S27" s="58"/>
      <c r="T27" s="63"/>
      <c r="U27" s="63"/>
      <c r="V27" s="63"/>
      <c r="W27" s="63"/>
      <c r="X27" s="63"/>
      <c r="Y27" s="63"/>
      <c r="Z27" s="58"/>
      <c r="AA27" s="64"/>
    </row>
    <row r="28" spans="1:27" ht="22.05" customHeight="1">
      <c r="A28" s="57"/>
      <c r="B28" s="66"/>
      <c r="C28" s="66"/>
      <c r="D28" s="60"/>
      <c r="E28" s="57"/>
      <c r="F28" s="67"/>
      <c r="G28" s="59"/>
      <c r="H28" s="57"/>
      <c r="I28" s="57"/>
      <c r="J28" s="57"/>
      <c r="K28" s="57"/>
      <c r="L28" s="57"/>
      <c r="M28" s="57"/>
      <c r="N28" s="57"/>
      <c r="O28" s="57"/>
      <c r="P28" s="57"/>
      <c r="Q28" s="58"/>
      <c r="R28" s="58"/>
      <c r="S28" s="58"/>
      <c r="T28" s="63"/>
      <c r="U28" s="63"/>
      <c r="V28" s="63"/>
      <c r="W28" s="63"/>
      <c r="X28" s="63"/>
      <c r="Y28" s="63"/>
      <c r="Z28" s="58"/>
      <c r="AA28" s="64"/>
    </row>
    <row r="29" spans="1:27" ht="22.05" customHeight="1">
      <c r="A29" s="57"/>
      <c r="B29" s="66"/>
      <c r="C29" s="66"/>
      <c r="D29" s="60"/>
      <c r="E29" s="57"/>
      <c r="F29" s="67"/>
      <c r="G29" s="59"/>
      <c r="H29" s="57"/>
      <c r="I29" s="57"/>
      <c r="J29" s="57"/>
      <c r="K29" s="57"/>
      <c r="L29" s="57"/>
      <c r="M29" s="57"/>
      <c r="N29" s="57"/>
      <c r="O29" s="57"/>
      <c r="P29" s="57"/>
      <c r="Q29" s="58"/>
      <c r="R29" s="58"/>
      <c r="S29" s="58"/>
      <c r="T29" s="63"/>
      <c r="U29" s="63"/>
      <c r="V29" s="63"/>
      <c r="W29" s="63"/>
      <c r="X29" s="63"/>
      <c r="Y29" s="63"/>
      <c r="Z29" s="58"/>
      <c r="AA29" s="64"/>
    </row>
    <row r="30" spans="1:27" ht="22.05" customHeight="1">
      <c r="A30" s="57"/>
      <c r="B30" s="66"/>
      <c r="C30" s="66"/>
      <c r="D30" s="60"/>
      <c r="E30" s="57"/>
      <c r="F30" s="67"/>
      <c r="G30" s="59"/>
      <c r="H30" s="57"/>
      <c r="I30" s="57"/>
      <c r="J30" s="57"/>
      <c r="K30" s="57"/>
      <c r="L30" s="57"/>
      <c r="M30" s="57"/>
      <c r="N30" s="57"/>
      <c r="O30" s="57"/>
      <c r="P30" s="57"/>
      <c r="Q30" s="58"/>
      <c r="R30" s="58"/>
      <c r="S30" s="58"/>
      <c r="T30" s="58"/>
      <c r="U30" s="58"/>
      <c r="V30" s="58"/>
      <c r="W30" s="58"/>
      <c r="X30" s="58"/>
      <c r="Y30" s="58"/>
      <c r="Z30" s="58"/>
      <c r="AA30" s="64"/>
    </row>
    <row r="31" spans="1:27" ht="22.05" customHeight="1">
      <c r="A31" s="57"/>
      <c r="B31" s="66"/>
      <c r="C31" s="66"/>
      <c r="D31" s="60"/>
      <c r="E31" s="57"/>
      <c r="F31" s="67"/>
      <c r="G31" s="59"/>
      <c r="H31" s="57"/>
      <c r="I31" s="57"/>
      <c r="J31" s="57"/>
      <c r="K31" s="57"/>
      <c r="L31" s="57"/>
      <c r="M31" s="57"/>
      <c r="N31" s="57"/>
      <c r="O31" s="57"/>
      <c r="P31" s="57"/>
      <c r="Q31" s="58"/>
      <c r="R31" s="58"/>
      <c r="S31" s="58"/>
      <c r="T31" s="58"/>
      <c r="U31" s="58"/>
      <c r="V31" s="58"/>
      <c r="W31" s="58"/>
      <c r="X31" s="58"/>
      <c r="Y31" s="58"/>
      <c r="Z31" s="58"/>
      <c r="AA31" s="64"/>
    </row>
    <row r="32" spans="1:27" ht="7.95" customHeight="1">
      <c r="A32" s="57"/>
      <c r="B32" s="57"/>
      <c r="C32" s="57"/>
      <c r="D32" s="57"/>
      <c r="E32" s="57"/>
      <c r="F32" s="57"/>
      <c r="G32" s="57"/>
      <c r="H32" s="57"/>
      <c r="I32" s="57"/>
      <c r="J32" s="57"/>
      <c r="K32" s="57"/>
      <c r="L32" s="57"/>
      <c r="M32" s="57"/>
      <c r="N32" s="57"/>
      <c r="O32" s="57"/>
      <c r="P32" s="57"/>
      <c r="Q32" s="58"/>
      <c r="R32" s="58"/>
      <c r="S32" s="58"/>
      <c r="T32" s="58"/>
      <c r="U32" s="58"/>
      <c r="V32" s="58"/>
      <c r="W32" s="58"/>
      <c r="X32" s="58"/>
      <c r="Y32" s="58"/>
      <c r="Z32" s="58"/>
      <c r="AA32" s="64"/>
    </row>
    <row r="33" spans="1:27" ht="7.95" customHeight="1">
      <c r="A33" s="57"/>
      <c r="B33" s="57"/>
      <c r="C33" s="57"/>
      <c r="D33" s="57"/>
      <c r="E33" s="57"/>
      <c r="F33" s="57"/>
      <c r="G33" s="57"/>
      <c r="H33" s="57"/>
      <c r="I33" s="57"/>
      <c r="J33" s="57"/>
      <c r="K33" s="57"/>
      <c r="L33" s="57"/>
      <c r="M33" s="57"/>
      <c r="N33" s="57"/>
      <c r="O33" s="57"/>
      <c r="P33" s="57"/>
      <c r="Q33" s="58"/>
      <c r="R33" s="58"/>
      <c r="S33" s="58"/>
      <c r="T33" s="58"/>
      <c r="U33" s="58"/>
      <c r="V33" s="58"/>
      <c r="W33" s="58"/>
      <c r="X33" s="58"/>
      <c r="Y33" s="58"/>
      <c r="Z33" s="58"/>
      <c r="AA33" s="64"/>
    </row>
    <row r="34" spans="1:27" ht="22.05" customHeight="1">
      <c r="A34" s="57" t="s">
        <v>189</v>
      </c>
      <c r="B34" s="57"/>
      <c r="C34" s="57"/>
      <c r="D34" s="57"/>
      <c r="E34" s="57" t="s">
        <v>190</v>
      </c>
      <c r="F34" s="57"/>
      <c r="G34" s="57"/>
      <c r="H34" s="57"/>
      <c r="I34" s="57"/>
      <c r="J34" s="57"/>
      <c r="K34" s="57"/>
      <c r="L34" s="57"/>
      <c r="M34" s="57"/>
      <c r="N34" s="57"/>
      <c r="O34" s="57"/>
      <c r="P34" s="57"/>
      <c r="Q34" s="58"/>
      <c r="R34" s="58"/>
      <c r="S34" s="58"/>
      <c r="T34" s="58"/>
      <c r="U34" s="58"/>
      <c r="V34" s="58"/>
      <c r="W34" s="58"/>
      <c r="X34" s="58"/>
      <c r="Y34" s="58"/>
      <c r="Z34" s="58"/>
      <c r="AA34" s="64"/>
    </row>
    <row r="35" spans="1:27" ht="22.05" customHeight="1">
      <c r="A35" s="65" t="s">
        <v>200</v>
      </c>
      <c r="B35" s="65" t="s">
        <v>201</v>
      </c>
      <c r="C35" s="57"/>
      <c r="D35" s="57"/>
      <c r="E35" s="65" t="s">
        <v>200</v>
      </c>
      <c r="F35" s="65" t="s">
        <v>202</v>
      </c>
      <c r="G35" s="57"/>
      <c r="H35" s="57"/>
      <c r="I35" s="68" t="s">
        <v>164</v>
      </c>
      <c r="J35" s="33"/>
      <c r="K35" s="33"/>
      <c r="L35" s="33"/>
      <c r="M35" s="33"/>
      <c r="N35" s="33"/>
      <c r="O35" s="33"/>
      <c r="P35" s="57"/>
      <c r="Q35" s="58"/>
      <c r="R35" s="58"/>
      <c r="S35" s="58"/>
      <c r="T35" s="58"/>
      <c r="U35" s="58"/>
      <c r="V35" s="58"/>
      <c r="W35" s="58"/>
      <c r="X35" s="58"/>
      <c r="Y35" s="58"/>
      <c r="Z35" s="58"/>
      <c r="AA35" s="64"/>
    </row>
    <row r="36" spans="1:27" ht="22.05" customHeight="1">
      <c r="A36" s="66"/>
      <c r="B36" s="67"/>
      <c r="C36" s="57"/>
      <c r="D36" s="57"/>
      <c r="E36" s="66"/>
      <c r="F36" s="67"/>
      <c r="G36" s="57"/>
      <c r="H36" s="57"/>
      <c r="I36" s="69" t="s">
        <v>165</v>
      </c>
      <c r="J36" s="69" t="s">
        <v>0</v>
      </c>
      <c r="K36" s="69" t="s">
        <v>1</v>
      </c>
      <c r="L36" s="33"/>
      <c r="M36" s="33"/>
      <c r="N36" s="33"/>
      <c r="O36" s="33"/>
      <c r="P36" s="57"/>
      <c r="Q36" s="58"/>
      <c r="R36" s="58"/>
      <c r="S36" s="58"/>
      <c r="T36" s="58"/>
      <c r="U36" s="58"/>
      <c r="V36" s="58"/>
      <c r="W36" s="58"/>
      <c r="X36" s="58"/>
      <c r="Y36" s="58"/>
      <c r="Z36" s="58"/>
      <c r="AA36" s="64"/>
    </row>
    <row r="37" spans="1:27" ht="22.05" customHeight="1">
      <c r="A37" s="66"/>
      <c r="B37" s="67"/>
      <c r="C37" s="57"/>
      <c r="D37" s="57"/>
      <c r="E37" s="66"/>
      <c r="F37" s="67"/>
      <c r="G37" s="57"/>
      <c r="H37" s="57"/>
      <c r="I37" s="33" t="s">
        <v>75</v>
      </c>
      <c r="J37" s="70" t="str">
        <f>'Deflection Check'!Z35</f>
        <v>n.a.</v>
      </c>
      <c r="K37" s="33" t="s">
        <v>76</v>
      </c>
      <c r="L37" s="33"/>
      <c r="M37" s="33"/>
      <c r="N37" s="33"/>
      <c r="O37" s="33"/>
      <c r="P37" s="57"/>
      <c r="Q37" s="58"/>
      <c r="R37" s="58"/>
      <c r="S37" s="58"/>
      <c r="T37" s="58"/>
      <c r="U37" s="58"/>
      <c r="V37" s="58"/>
      <c r="W37" s="58"/>
      <c r="X37" s="58"/>
      <c r="Y37" s="58"/>
      <c r="Z37" s="58"/>
      <c r="AA37" s="64"/>
    </row>
    <row r="38" spans="1:27" ht="22.05" customHeight="1">
      <c r="A38" s="66"/>
      <c r="B38" s="67"/>
      <c r="C38" s="57"/>
      <c r="D38" s="57"/>
      <c r="E38" s="66"/>
      <c r="F38" s="67"/>
      <c r="G38" s="57"/>
      <c r="H38" s="57"/>
      <c r="I38" s="33" t="s">
        <v>78</v>
      </c>
      <c r="J38" s="70" t="str">
        <f>'Deflection Check'!Z36</f>
        <v>n.a.</v>
      </c>
      <c r="K38" s="33" t="s">
        <v>2</v>
      </c>
      <c r="L38" s="33"/>
      <c r="M38" s="33"/>
      <c r="N38" s="33"/>
      <c r="O38" s="33"/>
      <c r="P38" s="57"/>
      <c r="Q38" s="58"/>
      <c r="R38" s="58"/>
      <c r="S38" s="58"/>
      <c r="T38" s="58"/>
      <c r="U38" s="58"/>
      <c r="V38" s="58"/>
      <c r="W38" s="58"/>
      <c r="X38" s="58"/>
      <c r="Y38" s="58"/>
      <c r="Z38" s="58"/>
      <c r="AA38" s="64"/>
    </row>
    <row r="39" spans="1:27" ht="22.05" customHeight="1">
      <c r="A39" s="66"/>
      <c r="B39" s="67"/>
      <c r="C39" s="57"/>
      <c r="D39" s="57"/>
      <c r="E39" s="66"/>
      <c r="F39" s="67"/>
      <c r="G39" s="57"/>
      <c r="H39" s="57"/>
      <c r="I39" s="33" t="s">
        <v>80</v>
      </c>
      <c r="J39" s="70" t="str">
        <f>'Deflection Check'!Z37</f>
        <v>n.a.</v>
      </c>
      <c r="K39" s="33" t="s">
        <v>2</v>
      </c>
      <c r="L39" s="33"/>
      <c r="M39" s="33"/>
      <c r="N39" s="33"/>
      <c r="O39" s="33"/>
      <c r="P39" s="57"/>
      <c r="Q39" s="58"/>
      <c r="R39" s="58"/>
      <c r="S39" s="58"/>
      <c r="T39" s="58"/>
      <c r="U39" s="58"/>
      <c r="V39" s="58"/>
      <c r="W39" s="58"/>
      <c r="X39" s="58"/>
      <c r="Y39" s="58"/>
      <c r="Z39" s="58"/>
      <c r="AA39" s="64"/>
    </row>
    <row r="40" spans="1:27" ht="22.05" customHeight="1">
      <c r="A40" s="66"/>
      <c r="B40" s="67"/>
      <c r="C40" s="57"/>
      <c r="D40" s="57"/>
      <c r="E40" s="66"/>
      <c r="F40" s="67"/>
      <c r="G40" s="57"/>
      <c r="H40" s="57"/>
      <c r="I40" s="33" t="s">
        <v>166</v>
      </c>
      <c r="J40" s="70" t="str">
        <f>'Deflection Check'!Z38</f>
        <v>n.a.</v>
      </c>
      <c r="K40" s="33" t="s">
        <v>61</v>
      </c>
      <c r="L40" s="33"/>
      <c r="M40" s="33"/>
      <c r="N40" s="33"/>
      <c r="O40" s="33"/>
      <c r="P40" s="57"/>
      <c r="Q40" s="58"/>
      <c r="R40" s="58"/>
      <c r="S40" s="58"/>
      <c r="T40" s="58"/>
      <c r="U40" s="58"/>
      <c r="V40" s="58"/>
      <c r="W40" s="58"/>
      <c r="X40" s="58"/>
      <c r="Y40" s="58"/>
      <c r="Z40" s="58"/>
      <c r="AA40" s="64"/>
    </row>
    <row r="41" spans="1:27" ht="22.05" customHeight="1">
      <c r="A41" s="66"/>
      <c r="B41" s="67"/>
      <c r="C41" s="57"/>
      <c r="D41" s="57"/>
      <c r="E41" s="66"/>
      <c r="F41" s="67"/>
      <c r="G41" s="57"/>
      <c r="H41" s="57"/>
      <c r="I41" s="33" t="s">
        <v>167</v>
      </c>
      <c r="J41" s="70" t="str">
        <f>'Deflection Check'!Z39</f>
        <v>n.a.</v>
      </c>
      <c r="K41" s="33" t="s">
        <v>61</v>
      </c>
      <c r="L41" s="33"/>
      <c r="M41" s="33"/>
      <c r="N41" s="33"/>
      <c r="O41" s="33"/>
      <c r="P41" s="57"/>
      <c r="Q41" s="58"/>
      <c r="R41" s="58"/>
      <c r="S41" s="58"/>
      <c r="T41" s="58"/>
      <c r="U41" s="58"/>
      <c r="V41" s="58"/>
      <c r="W41" s="58"/>
      <c r="X41" s="58"/>
      <c r="Y41" s="58"/>
      <c r="Z41" s="58"/>
      <c r="AA41" s="64"/>
    </row>
    <row r="42" spans="1:27" ht="22.05" customHeight="1">
      <c r="A42" s="66"/>
      <c r="B42" s="67"/>
      <c r="C42" s="57"/>
      <c r="D42" s="57"/>
      <c r="E42" s="66"/>
      <c r="F42" s="67"/>
      <c r="G42" s="57"/>
      <c r="H42" s="57"/>
      <c r="I42" s="33" t="s">
        <v>168</v>
      </c>
      <c r="J42" s="70" t="str">
        <f>'Deflection Check'!Z40</f>
        <v>n.a.</v>
      </c>
      <c r="K42" s="33" t="s">
        <v>61</v>
      </c>
      <c r="L42" s="33"/>
      <c r="M42" s="33"/>
      <c r="N42" s="33"/>
      <c r="O42" s="33"/>
      <c r="P42" s="57"/>
      <c r="Q42" s="58"/>
      <c r="R42" s="58"/>
      <c r="S42" s="58"/>
      <c r="T42" s="58"/>
      <c r="U42" s="58"/>
      <c r="V42" s="58"/>
      <c r="W42" s="58"/>
      <c r="X42" s="58"/>
      <c r="Y42" s="58"/>
      <c r="Z42" s="58"/>
      <c r="AA42" s="64"/>
    </row>
    <row r="43" spans="1:27" ht="22.05" customHeight="1">
      <c r="A43" s="66"/>
      <c r="B43" s="67"/>
      <c r="C43" s="57"/>
      <c r="D43" s="57"/>
      <c r="E43" s="66"/>
      <c r="F43" s="67"/>
      <c r="G43" s="57"/>
      <c r="H43" s="57"/>
      <c r="I43" s="33" t="s">
        <v>169</v>
      </c>
      <c r="J43" s="70" t="str">
        <f>'Deflection Check'!Z41</f>
        <v>n.a.</v>
      </c>
      <c r="K43" s="33" t="s">
        <v>61</v>
      </c>
      <c r="L43" s="33"/>
      <c r="M43" s="33"/>
      <c r="N43" s="33"/>
      <c r="O43" s="33"/>
      <c r="P43" s="57"/>
      <c r="Q43" s="58"/>
      <c r="R43" s="58"/>
      <c r="S43" s="58"/>
      <c r="T43" s="58"/>
      <c r="U43" s="58"/>
      <c r="V43" s="58"/>
      <c r="W43" s="58"/>
      <c r="X43" s="58"/>
      <c r="Y43" s="58"/>
      <c r="Z43" s="58"/>
      <c r="AA43" s="64"/>
    </row>
    <row r="44" spans="1:27" ht="22.05" customHeight="1">
      <c r="A44" s="66"/>
      <c r="B44" s="67"/>
      <c r="C44" s="57"/>
      <c r="D44" s="57"/>
      <c r="E44" s="66"/>
      <c r="F44" s="67"/>
      <c r="G44" s="57"/>
      <c r="H44" s="57"/>
      <c r="I44" s="33" t="s">
        <v>170</v>
      </c>
      <c r="J44" s="70" t="str">
        <f>'Deflection Check'!Z42</f>
        <v>n.a.</v>
      </c>
      <c r="K44" s="33" t="s">
        <v>61</v>
      </c>
      <c r="L44" s="33"/>
      <c r="M44" s="33"/>
      <c r="N44" s="33"/>
      <c r="O44" s="33"/>
      <c r="P44" s="57"/>
      <c r="Q44" s="58"/>
      <c r="R44" s="58"/>
      <c r="S44" s="58"/>
      <c r="T44" s="58"/>
      <c r="U44" s="58"/>
      <c r="V44" s="58"/>
      <c r="W44" s="58"/>
      <c r="X44" s="58"/>
      <c r="Y44" s="58"/>
      <c r="Z44" s="58"/>
      <c r="AA44" s="64"/>
    </row>
    <row r="45" spans="1:27" ht="22.05" customHeight="1">
      <c r="A45" s="66"/>
      <c r="B45" s="67"/>
      <c r="C45" s="57"/>
      <c r="D45" s="57"/>
      <c r="E45" s="66"/>
      <c r="F45" s="67"/>
      <c r="G45" s="57"/>
      <c r="H45" s="57"/>
      <c r="I45" s="33" t="s">
        <v>8</v>
      </c>
      <c r="J45" s="78" t="str">
        <f>IF(A8="GENERATED",'Deflection Check'!Y5,A8)</f>
        <v>CHECK: Enter at least one enabled wall</v>
      </c>
      <c r="K45" s="78"/>
      <c r="L45" s="78"/>
      <c r="M45" s="78"/>
      <c r="N45" s="78"/>
      <c r="O45" s="78"/>
      <c r="P45" s="78"/>
      <c r="Q45" s="58"/>
      <c r="R45" s="58"/>
      <c r="S45" s="58"/>
      <c r="T45" s="58"/>
      <c r="U45" s="58"/>
      <c r="V45" s="58"/>
      <c r="W45" s="58"/>
      <c r="X45" s="58"/>
      <c r="Y45" s="58"/>
      <c r="Z45" s="58"/>
      <c r="AA45" s="64"/>
    </row>
    <row r="46" spans="1:27" ht="22.05" customHeight="1">
      <c r="A46" s="57"/>
      <c r="B46" s="57"/>
      <c r="C46" s="57"/>
      <c r="D46" s="57"/>
      <c r="E46" s="57"/>
      <c r="F46" s="57"/>
      <c r="G46" s="57"/>
      <c r="H46" s="57"/>
      <c r="I46" s="33" t="s">
        <v>13</v>
      </c>
      <c r="J46" s="33" t="s">
        <v>206</v>
      </c>
      <c r="K46" s="33" t="s">
        <v>171</v>
      </c>
      <c r="L46" s="33"/>
      <c r="M46" s="33"/>
      <c r="N46" s="33"/>
      <c r="O46" s="33"/>
      <c r="P46" s="57"/>
      <c r="Q46" s="58"/>
      <c r="R46" s="58"/>
      <c r="S46" s="58"/>
      <c r="T46" s="58"/>
      <c r="U46" s="58"/>
      <c r="V46" s="58"/>
      <c r="W46" s="58"/>
      <c r="X46" s="58"/>
      <c r="Y46" s="58"/>
      <c r="Z46" s="58"/>
      <c r="AA46" s="64"/>
    </row>
    <row r="47" spans="1:27" ht="22.05" customHeight="1">
      <c r="A47" s="57"/>
      <c r="B47" s="57"/>
      <c r="C47" s="57"/>
      <c r="D47" s="57"/>
      <c r="E47" s="57"/>
      <c r="F47" s="57"/>
      <c r="G47" s="57"/>
      <c r="H47" s="57"/>
      <c r="I47" s="33"/>
      <c r="J47" s="33"/>
      <c r="K47" s="33"/>
      <c r="L47" s="33"/>
      <c r="M47" s="33"/>
      <c r="N47" s="33"/>
      <c r="O47" s="33"/>
      <c r="P47" s="57"/>
      <c r="Q47" s="58"/>
      <c r="R47" s="58"/>
      <c r="S47" s="58"/>
      <c r="T47" s="58"/>
      <c r="U47" s="58"/>
      <c r="V47" s="58"/>
      <c r="W47" s="58"/>
      <c r="X47" s="58"/>
      <c r="Y47" s="58"/>
      <c r="Z47" s="58"/>
      <c r="AA47" s="64"/>
    </row>
    <row r="48" spans="1:27" ht="24" customHeight="1">
      <c r="A48" s="116" t="s">
        <v>249</v>
      </c>
      <c r="B48" s="116"/>
      <c r="C48" s="116"/>
      <c r="D48" s="116"/>
      <c r="E48" s="116"/>
      <c r="F48" s="116"/>
      <c r="G48" s="116"/>
      <c r="H48" s="116"/>
      <c r="I48" s="116"/>
      <c r="J48" s="116"/>
      <c r="K48" s="116"/>
      <c r="L48" s="116"/>
      <c r="M48" s="116"/>
      <c r="N48" s="116"/>
      <c r="O48" s="116"/>
      <c r="P48" s="116"/>
      <c r="Q48" s="58"/>
      <c r="R48" s="58"/>
      <c r="S48" s="58"/>
      <c r="T48" s="58"/>
      <c r="U48" s="58"/>
      <c r="V48" s="58"/>
      <c r="W48" s="58"/>
      <c r="X48" s="58"/>
      <c r="Y48" s="58"/>
      <c r="Z48" s="58"/>
      <c r="AA48" s="64"/>
    </row>
    <row r="49" spans="1:27" ht="24" customHeight="1">
      <c r="A49" s="116" t="s">
        <v>191</v>
      </c>
      <c r="B49" s="116"/>
      <c r="C49" s="116"/>
      <c r="D49" s="116"/>
      <c r="E49" s="116"/>
      <c r="F49" s="116"/>
      <c r="G49" s="116"/>
      <c r="H49" s="116"/>
      <c r="I49" s="116"/>
      <c r="J49" s="116"/>
      <c r="K49" s="116"/>
      <c r="L49" s="116"/>
      <c r="M49" s="116"/>
      <c r="N49" s="116"/>
      <c r="O49" s="116"/>
      <c r="P49" s="116"/>
      <c r="Q49" s="58"/>
      <c r="R49" s="58"/>
      <c r="S49" s="58"/>
      <c r="T49" s="58"/>
      <c r="U49" s="58"/>
      <c r="V49" s="58"/>
      <c r="W49" s="58"/>
      <c r="X49" s="58"/>
      <c r="Y49" s="58"/>
      <c r="Z49" s="58"/>
      <c r="AA49" s="64"/>
    </row>
    <row r="50" spans="1:27" ht="24" customHeight="1">
      <c r="A50" s="119" t="s">
        <v>223</v>
      </c>
      <c r="B50" s="116"/>
      <c r="C50" s="116"/>
      <c r="D50" s="116"/>
      <c r="E50" s="116"/>
      <c r="F50" s="116"/>
      <c r="G50" s="116"/>
      <c r="H50" s="116"/>
      <c r="I50" s="119"/>
      <c r="J50" s="116"/>
      <c r="K50" s="116"/>
      <c r="L50" s="116"/>
      <c r="M50" s="116"/>
      <c r="N50" s="116"/>
      <c r="O50" s="116"/>
      <c r="P50" s="116"/>
      <c r="Q50" s="58"/>
      <c r="R50" s="58"/>
      <c r="S50" s="58"/>
      <c r="T50" s="58"/>
      <c r="U50" s="58"/>
      <c r="V50" s="58"/>
      <c r="W50" s="58"/>
      <c r="X50" s="58"/>
      <c r="Y50" s="58"/>
      <c r="Z50" s="58"/>
      <c r="AA50" s="64"/>
    </row>
    <row r="51" spans="1:27" ht="24" customHeight="1">
      <c r="A51" s="116" t="s">
        <v>192</v>
      </c>
      <c r="B51" s="116"/>
      <c r="C51" s="116"/>
      <c r="D51" s="116"/>
      <c r="E51" s="116"/>
      <c r="F51" s="116"/>
      <c r="G51" s="116"/>
      <c r="H51" s="116"/>
      <c r="I51" s="116"/>
      <c r="J51" s="116"/>
      <c r="K51" s="116"/>
      <c r="L51" s="116"/>
      <c r="M51" s="116"/>
      <c r="N51" s="116"/>
      <c r="O51" s="116"/>
      <c r="P51" s="116"/>
      <c r="Q51" s="58"/>
      <c r="R51" s="58"/>
      <c r="S51" s="58"/>
      <c r="T51" s="58"/>
      <c r="U51" s="58"/>
      <c r="V51" s="58"/>
      <c r="W51" s="58"/>
      <c r="X51" s="58"/>
      <c r="Y51" s="58"/>
      <c r="Z51" s="58"/>
      <c r="AA51" s="64"/>
    </row>
    <row r="52" spans="1:27" ht="24" customHeight="1">
      <c r="A52" s="116" t="s">
        <v>193</v>
      </c>
      <c r="B52" s="116"/>
      <c r="C52" s="116"/>
      <c r="D52" s="116"/>
      <c r="E52" s="116"/>
      <c r="F52" s="116"/>
      <c r="G52" s="116"/>
      <c r="H52" s="116"/>
      <c r="I52" s="116"/>
      <c r="J52" s="116"/>
      <c r="K52" s="116"/>
      <c r="L52" s="116"/>
      <c r="M52" s="116"/>
      <c r="N52" s="116"/>
      <c r="O52" s="116"/>
      <c r="P52" s="116"/>
      <c r="Q52" s="58"/>
      <c r="R52" s="58"/>
      <c r="S52" s="58"/>
      <c r="T52" s="58"/>
      <c r="U52" s="58"/>
      <c r="V52" s="58"/>
      <c r="W52" s="58"/>
      <c r="X52" s="58"/>
      <c r="Y52" s="58"/>
      <c r="Z52" s="58"/>
      <c r="AA52" s="64"/>
    </row>
    <row r="53" spans="1:27" ht="23.1" customHeight="1">
      <c r="A53" s="58"/>
      <c r="B53" s="58"/>
      <c r="C53" s="58"/>
      <c r="D53" s="58"/>
      <c r="E53" s="58"/>
      <c r="F53" s="58"/>
      <c r="G53" s="58"/>
      <c r="H53" s="58"/>
      <c r="I53" s="58"/>
      <c r="J53" s="58"/>
      <c r="K53" s="58"/>
      <c r="L53" s="58"/>
      <c r="M53" s="58"/>
      <c r="N53" s="58"/>
      <c r="O53" s="58"/>
      <c r="P53" s="58"/>
      <c r="Q53" s="58"/>
      <c r="R53" s="58"/>
      <c r="S53" s="58"/>
      <c r="T53" s="58"/>
      <c r="U53" s="58"/>
      <c r="V53" s="58"/>
      <c r="W53" s="58"/>
      <c r="X53" s="58"/>
      <c r="Y53" s="58"/>
      <c r="Z53" s="58"/>
      <c r="AA53" s="64"/>
    </row>
    <row r="54" spans="1:27" ht="21" customHeight="1">
      <c r="A54" s="118" t="s">
        <v>208</v>
      </c>
      <c r="B54" s="118"/>
      <c r="C54" s="118"/>
      <c r="D54" s="118"/>
      <c r="E54" s="118"/>
      <c r="F54" s="58"/>
      <c r="G54" s="58"/>
      <c r="H54" s="58"/>
      <c r="I54" s="118" t="s">
        <v>219</v>
      </c>
      <c r="J54" s="118"/>
      <c r="K54" s="118"/>
      <c r="L54" s="118"/>
      <c r="M54" s="118"/>
      <c r="N54" s="58"/>
      <c r="O54" s="58"/>
      <c r="P54" s="58"/>
      <c r="Q54" s="58"/>
      <c r="R54" s="58"/>
      <c r="S54" s="58"/>
      <c r="T54" s="58"/>
      <c r="U54" s="58"/>
      <c r="V54" s="58"/>
      <c r="W54" s="58"/>
      <c r="X54" s="58"/>
      <c r="Y54" s="58"/>
      <c r="Z54" s="58"/>
      <c r="AA54" s="64"/>
    </row>
    <row r="55" spans="1:27" ht="21" customHeight="1">
      <c r="A55" s="71"/>
      <c r="B55" s="71"/>
      <c r="C55" s="71"/>
      <c r="D55" s="71"/>
      <c r="E55" s="71"/>
      <c r="F55" s="58"/>
      <c r="G55" s="58"/>
      <c r="H55" s="58"/>
      <c r="I55" s="71"/>
      <c r="J55" s="71"/>
      <c r="K55" s="71"/>
      <c r="L55" s="71"/>
      <c r="M55" s="71"/>
      <c r="N55" s="58"/>
      <c r="O55" s="58"/>
      <c r="P55" s="58"/>
      <c r="Q55" s="58"/>
      <c r="R55" s="58"/>
      <c r="S55" s="58"/>
      <c r="T55" s="58"/>
      <c r="U55" s="58"/>
      <c r="V55" s="58"/>
      <c r="W55" s="58"/>
      <c r="X55" s="58"/>
      <c r="Y55" s="58"/>
      <c r="Z55" s="58"/>
      <c r="AA55" s="64"/>
    </row>
    <row r="56" spans="1:27" ht="21" customHeight="1">
      <c r="A56" s="71" t="s">
        <v>209</v>
      </c>
      <c r="B56" s="5">
        <v>500</v>
      </c>
      <c r="C56" s="71"/>
      <c r="D56" s="71" t="s">
        <v>210</v>
      </c>
      <c r="E56" s="5" t="s">
        <v>279</v>
      </c>
      <c r="F56" s="58"/>
      <c r="G56" s="58"/>
      <c r="H56" s="58"/>
      <c r="I56" s="71" t="s">
        <v>209</v>
      </c>
      <c r="J56" s="5">
        <v>500</v>
      </c>
      <c r="K56" s="71"/>
      <c r="L56" s="71" t="s">
        <v>210</v>
      </c>
      <c r="M56" s="5" t="s">
        <v>280</v>
      </c>
      <c r="N56" s="58"/>
      <c r="O56" s="58"/>
      <c r="P56" s="58"/>
      <c r="Q56" s="58"/>
      <c r="R56" s="58"/>
      <c r="S56" s="58"/>
      <c r="T56" s="58"/>
      <c r="U56" s="58"/>
      <c r="V56" s="58"/>
      <c r="W56" s="58"/>
      <c r="X56" s="58"/>
      <c r="Y56" s="58"/>
      <c r="Z56" s="58"/>
      <c r="AA56" s="64"/>
    </row>
    <row r="57" spans="1:27" ht="21" customHeight="1">
      <c r="A57" s="71" t="s">
        <v>211</v>
      </c>
      <c r="B57" s="5">
        <v>500</v>
      </c>
      <c r="C57" s="71"/>
      <c r="D57" s="71"/>
      <c r="E57" s="71"/>
      <c r="F57" s="58"/>
      <c r="G57" s="58"/>
      <c r="H57" s="58"/>
      <c r="I57" s="71" t="s">
        <v>211</v>
      </c>
      <c r="J57" s="5">
        <v>500</v>
      </c>
      <c r="K57" s="71"/>
      <c r="L57" s="71"/>
      <c r="M57" s="71"/>
      <c r="N57" s="58"/>
      <c r="O57" s="58"/>
      <c r="P57" s="58"/>
      <c r="Q57" s="58"/>
      <c r="R57" s="58"/>
      <c r="S57" s="58"/>
      <c r="T57" s="58"/>
      <c r="U57" s="58"/>
      <c r="V57" s="58"/>
      <c r="W57" s="58"/>
      <c r="X57" s="58"/>
      <c r="Y57" s="58"/>
      <c r="Z57" s="58"/>
      <c r="AA57" s="64"/>
    </row>
    <row r="58" spans="1:27" ht="21" customHeight="1">
      <c r="A58" s="71"/>
      <c r="B58" s="71"/>
      <c r="C58" s="71"/>
      <c r="D58" s="71"/>
      <c r="E58" s="71"/>
      <c r="F58" s="58"/>
      <c r="G58" s="58"/>
      <c r="H58" s="58"/>
      <c r="I58" s="71"/>
      <c r="J58" s="71"/>
      <c r="K58" s="71"/>
      <c r="L58" s="71"/>
      <c r="M58" s="71"/>
      <c r="N58" s="58"/>
      <c r="O58" s="58"/>
      <c r="P58" s="58"/>
      <c r="Q58" s="58"/>
      <c r="R58" s="58"/>
      <c r="S58" s="58"/>
      <c r="T58" s="58"/>
      <c r="U58" s="58"/>
      <c r="V58" s="58"/>
      <c r="W58" s="58"/>
      <c r="X58" s="58"/>
      <c r="Y58" s="58"/>
      <c r="Z58" s="58"/>
      <c r="AA58" s="64"/>
    </row>
    <row r="59" spans="1:27" ht="31.95" customHeight="1">
      <c r="A59" s="72" t="s">
        <v>212</v>
      </c>
      <c r="B59" s="72" t="s">
        <v>213</v>
      </c>
      <c r="C59" s="72" t="s">
        <v>214</v>
      </c>
      <c r="D59" s="72" t="s">
        <v>215</v>
      </c>
      <c r="E59" s="72" t="s">
        <v>216</v>
      </c>
      <c r="F59" s="58"/>
      <c r="G59" s="58"/>
      <c r="H59" s="58"/>
      <c r="I59" s="72" t="s">
        <v>212</v>
      </c>
      <c r="J59" s="72" t="s">
        <v>213</v>
      </c>
      <c r="K59" s="72" t="s">
        <v>214</v>
      </c>
      <c r="L59" s="72" t="s">
        <v>215</v>
      </c>
      <c r="M59" s="72" t="s">
        <v>216</v>
      </c>
      <c r="N59" s="58"/>
      <c r="O59" s="58"/>
      <c r="P59" s="73" t="s">
        <v>221</v>
      </c>
      <c r="Q59" s="73" t="s">
        <v>222</v>
      </c>
      <c r="R59" s="58"/>
      <c r="S59" s="58"/>
      <c r="T59" s="58"/>
      <c r="U59" s="58"/>
      <c r="V59" s="58"/>
      <c r="W59" s="58"/>
      <c r="X59" s="58"/>
      <c r="Y59" s="58"/>
      <c r="Z59" s="58"/>
      <c r="AA59" s="64"/>
    </row>
    <row r="60" spans="1:27" ht="21" customHeight="1">
      <c r="A60" s="1"/>
      <c r="B60" s="2"/>
      <c r="C60" s="2"/>
      <c r="D60" s="3"/>
      <c r="E60" s="1"/>
      <c r="F60" s="58"/>
      <c r="G60" s="58"/>
      <c r="H60" s="58"/>
      <c r="I60" s="1"/>
      <c r="J60" s="2"/>
      <c r="K60" s="2"/>
      <c r="L60" s="3"/>
      <c r="M60" s="1"/>
      <c r="N60" s="58"/>
      <c r="O60" s="58"/>
      <c r="P60" s="73" t="s">
        <v>203</v>
      </c>
      <c r="Q60" s="73"/>
      <c r="R60" s="58"/>
      <c r="S60" s="58"/>
      <c r="T60" s="58"/>
      <c r="U60" s="58"/>
      <c r="V60" s="58"/>
      <c r="W60" s="58"/>
      <c r="X60" s="58"/>
      <c r="Y60" s="58"/>
      <c r="Z60" s="58"/>
      <c r="AA60" s="64"/>
    </row>
    <row r="61" spans="1:27" ht="21" customHeight="1">
      <c r="A61" s="1"/>
      <c r="B61" s="2"/>
      <c r="C61" s="2"/>
      <c r="D61" s="3"/>
      <c r="E61" s="1"/>
      <c r="F61" s="58"/>
      <c r="G61" s="58"/>
      <c r="H61" s="58"/>
      <c r="I61" s="1"/>
      <c r="J61" s="2"/>
      <c r="K61" s="2"/>
      <c r="L61" s="3"/>
      <c r="M61" s="1"/>
      <c r="N61" s="58"/>
      <c r="O61" s="58"/>
      <c r="P61" s="73" t="s">
        <v>175</v>
      </c>
      <c r="Q61" s="73"/>
      <c r="R61" s="58"/>
      <c r="S61" s="58"/>
      <c r="T61" s="58"/>
      <c r="U61" s="58"/>
      <c r="V61" s="58"/>
      <c r="W61" s="58"/>
      <c r="X61" s="58"/>
      <c r="Y61" s="58"/>
      <c r="Z61" s="58"/>
      <c r="AA61" s="64"/>
    </row>
    <row r="62" spans="1:27" ht="21" customHeight="1">
      <c r="A62" s="1"/>
      <c r="B62" s="2"/>
      <c r="C62" s="2"/>
      <c r="D62" s="3"/>
      <c r="E62" s="1"/>
      <c r="F62" s="58"/>
      <c r="G62" s="58"/>
      <c r="H62" s="58"/>
      <c r="I62" s="1"/>
      <c r="J62" s="2"/>
      <c r="K62" s="2"/>
      <c r="L62" s="3"/>
      <c r="M62" s="1"/>
      <c r="N62" s="58"/>
      <c r="O62" s="58"/>
      <c r="P62" s="73" t="s">
        <v>177</v>
      </c>
      <c r="Q62" s="73"/>
      <c r="R62" s="58"/>
      <c r="S62" s="58"/>
      <c r="T62" s="58"/>
      <c r="U62" s="58"/>
      <c r="V62" s="58"/>
      <c r="W62" s="58"/>
      <c r="X62" s="58"/>
      <c r="Y62" s="58"/>
      <c r="Z62" s="58"/>
      <c r="AA62" s="64"/>
    </row>
    <row r="63" spans="1:27" ht="21" customHeight="1">
      <c r="A63" s="1"/>
      <c r="B63" s="2"/>
      <c r="C63" s="2"/>
      <c r="D63" s="3"/>
      <c r="E63" s="1"/>
      <c r="F63" s="58"/>
      <c r="G63" s="58"/>
      <c r="H63" s="58"/>
      <c r="I63" s="1"/>
      <c r="J63" s="2"/>
      <c r="K63" s="2"/>
      <c r="L63" s="3"/>
      <c r="M63" s="1"/>
      <c r="N63" s="58"/>
      <c r="O63" s="58"/>
      <c r="P63" s="73" t="s">
        <v>179</v>
      </c>
      <c r="Q63" s="73"/>
      <c r="R63" s="58"/>
      <c r="S63" s="58"/>
      <c r="T63" s="58"/>
      <c r="U63" s="58"/>
      <c r="V63" s="58"/>
      <c r="W63" s="58"/>
      <c r="X63" s="58"/>
      <c r="Y63" s="58"/>
      <c r="Z63" s="58"/>
      <c r="AA63" s="64"/>
    </row>
    <row r="64" spans="1:27" ht="21" customHeight="1">
      <c r="A64" s="1"/>
      <c r="B64" s="2"/>
      <c r="C64" s="2"/>
      <c r="D64" s="3"/>
      <c r="E64" s="1"/>
      <c r="F64" s="58"/>
      <c r="G64" s="58"/>
      <c r="H64" s="58"/>
      <c r="I64" s="1"/>
      <c r="J64" s="2"/>
      <c r="K64" s="2"/>
      <c r="L64" s="3"/>
      <c r="M64" s="1"/>
      <c r="N64" s="58"/>
      <c r="O64" s="58"/>
      <c r="P64" s="73" t="s">
        <v>204</v>
      </c>
      <c r="Q64" s="73"/>
      <c r="R64" s="58"/>
      <c r="S64" s="58"/>
      <c r="T64" s="58"/>
      <c r="U64" s="58"/>
      <c r="V64" s="58"/>
      <c r="W64" s="58"/>
      <c r="X64" s="58"/>
      <c r="Y64" s="58"/>
      <c r="Z64" s="58"/>
      <c r="AA64" s="64"/>
    </row>
    <row r="65" spans="1:27" ht="21" customHeight="1">
      <c r="A65" s="1"/>
      <c r="B65" s="2"/>
      <c r="C65" s="2"/>
      <c r="D65" s="3"/>
      <c r="E65" s="1"/>
      <c r="F65" s="58"/>
      <c r="G65" s="58"/>
      <c r="H65" s="58"/>
      <c r="I65" s="1"/>
      <c r="J65" s="2"/>
      <c r="K65" s="2"/>
      <c r="L65" s="3"/>
      <c r="M65" s="1"/>
      <c r="N65" s="58"/>
      <c r="O65" s="58"/>
      <c r="P65" s="73" t="s">
        <v>173</v>
      </c>
      <c r="Q65" s="73"/>
      <c r="R65" s="58"/>
      <c r="S65" s="58"/>
      <c r="T65" s="58"/>
      <c r="U65" s="58"/>
      <c r="V65" s="58"/>
      <c r="W65" s="58"/>
      <c r="X65" s="58"/>
      <c r="Y65" s="58"/>
      <c r="Z65" s="58"/>
      <c r="AA65" s="64"/>
    </row>
    <row r="66" spans="1:27" ht="21" customHeight="1">
      <c r="A66" s="1"/>
      <c r="B66" s="2"/>
      <c r="C66" s="2"/>
      <c r="D66" s="3"/>
      <c r="E66" s="1"/>
      <c r="F66" s="58"/>
      <c r="G66" s="58"/>
      <c r="H66" s="58"/>
      <c r="I66" s="1"/>
      <c r="J66" s="2"/>
      <c r="K66" s="2"/>
      <c r="L66" s="3"/>
      <c r="M66" s="1"/>
      <c r="N66" s="58"/>
      <c r="O66" s="58"/>
      <c r="P66" s="73" t="s">
        <v>176</v>
      </c>
      <c r="Q66" s="73"/>
      <c r="R66" s="58"/>
      <c r="S66" s="58"/>
      <c r="T66" s="58"/>
      <c r="U66" s="58"/>
      <c r="V66" s="58"/>
      <c r="W66" s="58"/>
      <c r="X66" s="58"/>
      <c r="Y66" s="58"/>
      <c r="Z66" s="58"/>
      <c r="AA66" s="64"/>
    </row>
    <row r="67" spans="1:27" ht="21" customHeight="1">
      <c r="A67" s="1"/>
      <c r="B67" s="2"/>
      <c r="C67" s="2"/>
      <c r="D67" s="3"/>
      <c r="E67" s="1"/>
      <c r="F67" s="58"/>
      <c r="G67" s="58"/>
      <c r="H67" s="58"/>
      <c r="I67" s="1"/>
      <c r="J67" s="2"/>
      <c r="K67" s="2"/>
      <c r="L67" s="3"/>
      <c r="M67" s="1"/>
      <c r="N67" s="58"/>
      <c r="O67" s="58"/>
      <c r="P67" s="73" t="s">
        <v>178</v>
      </c>
      <c r="Q67" s="73"/>
      <c r="R67" s="58"/>
      <c r="S67" s="58"/>
      <c r="T67" s="58"/>
      <c r="U67" s="58"/>
      <c r="V67" s="58"/>
      <c r="W67" s="58"/>
      <c r="X67" s="58"/>
      <c r="Y67" s="58"/>
      <c r="Z67" s="58"/>
      <c r="AA67" s="64"/>
    </row>
    <row r="68" spans="1:27" ht="21" customHeight="1">
      <c r="A68" s="1"/>
      <c r="B68" s="2"/>
      <c r="C68" s="2"/>
      <c r="D68" s="3"/>
      <c r="E68" s="1"/>
      <c r="F68" s="58"/>
      <c r="G68" s="58"/>
      <c r="H68" s="58"/>
      <c r="I68" s="1"/>
      <c r="J68" s="2"/>
      <c r="K68" s="2"/>
      <c r="L68" s="3"/>
      <c r="M68" s="1"/>
      <c r="N68" s="58"/>
      <c r="O68" s="58"/>
      <c r="P68" s="73" t="s">
        <v>180</v>
      </c>
      <c r="Q68" s="73"/>
      <c r="R68" s="58"/>
      <c r="S68" s="58"/>
      <c r="T68" s="58"/>
      <c r="U68" s="58"/>
      <c r="V68" s="58"/>
      <c r="W68" s="58"/>
      <c r="X68" s="58"/>
      <c r="Y68" s="58"/>
      <c r="Z68" s="58"/>
      <c r="AA68" s="64"/>
    </row>
    <row r="69" spans="1:27" ht="21" customHeight="1">
      <c r="A69" s="1"/>
      <c r="B69" s="2"/>
      <c r="C69" s="2"/>
      <c r="D69" s="3"/>
      <c r="E69" s="1"/>
      <c r="F69" s="58"/>
      <c r="G69" s="58"/>
      <c r="H69" s="58"/>
      <c r="I69" s="1"/>
      <c r="J69" s="2"/>
      <c r="K69" s="2"/>
      <c r="L69" s="3"/>
      <c r="M69" s="1"/>
      <c r="N69" s="58"/>
      <c r="O69" s="58"/>
      <c r="P69" s="73" t="s">
        <v>174</v>
      </c>
      <c r="Q69" s="73"/>
      <c r="R69" s="58"/>
      <c r="S69" s="58"/>
      <c r="T69" s="58"/>
      <c r="U69" s="58"/>
      <c r="V69" s="58"/>
      <c r="W69" s="58"/>
      <c r="X69" s="58"/>
      <c r="Y69" s="58"/>
      <c r="Z69" s="58"/>
      <c r="AA69" s="64"/>
    </row>
    <row r="70" spans="1:27" ht="21" customHeight="1">
      <c r="A70" s="1"/>
      <c r="B70" s="2"/>
      <c r="C70" s="2"/>
      <c r="D70" s="3"/>
      <c r="E70" s="1"/>
      <c r="F70" s="58"/>
      <c r="G70" s="58"/>
      <c r="H70" s="58"/>
      <c r="I70" s="1"/>
      <c r="J70" s="2"/>
      <c r="K70" s="2"/>
      <c r="L70" s="3"/>
      <c r="M70" s="1"/>
      <c r="N70" s="58"/>
      <c r="O70" s="58"/>
      <c r="P70" s="73"/>
      <c r="Q70" s="73"/>
      <c r="R70" s="58"/>
      <c r="S70" s="58"/>
      <c r="T70" s="58"/>
      <c r="U70" s="58"/>
      <c r="V70" s="58"/>
      <c r="W70" s="58"/>
      <c r="X70" s="58"/>
      <c r="Y70" s="58"/>
      <c r="Z70" s="58"/>
      <c r="AA70" s="64"/>
    </row>
    <row r="71" spans="1:27" ht="21" customHeight="1">
      <c r="A71" s="1"/>
      <c r="B71" s="2"/>
      <c r="C71" s="2"/>
      <c r="D71" s="3"/>
      <c r="E71" s="1"/>
      <c r="F71" s="58"/>
      <c r="G71" s="58"/>
      <c r="H71" s="58"/>
      <c r="I71" s="1"/>
      <c r="J71" s="2"/>
      <c r="K71" s="2"/>
      <c r="L71" s="3"/>
      <c r="M71" s="1"/>
      <c r="N71" s="58"/>
      <c r="O71" s="58"/>
      <c r="P71" s="73"/>
      <c r="Q71" s="73"/>
      <c r="R71" s="58"/>
      <c r="S71" s="58"/>
      <c r="T71" s="58"/>
      <c r="U71" s="58"/>
      <c r="V71" s="58"/>
      <c r="W71" s="58"/>
      <c r="X71" s="58"/>
      <c r="Y71" s="58"/>
      <c r="Z71" s="58"/>
      <c r="AA71" s="64"/>
    </row>
    <row r="72" spans="1:27" ht="21" customHeight="1">
      <c r="A72" s="1"/>
      <c r="B72" s="2"/>
      <c r="C72" s="2"/>
      <c r="D72" s="3"/>
      <c r="E72" s="1"/>
      <c r="F72" s="58"/>
      <c r="G72" s="58"/>
      <c r="H72" s="58"/>
      <c r="I72" s="1"/>
      <c r="J72" s="2"/>
      <c r="K72" s="2"/>
      <c r="L72" s="3"/>
      <c r="M72" s="1"/>
      <c r="N72" s="58"/>
      <c r="O72" s="58"/>
      <c r="P72" s="73"/>
      <c r="Q72" s="73"/>
      <c r="R72" s="58"/>
      <c r="S72" s="58"/>
      <c r="T72" s="58"/>
      <c r="U72" s="58"/>
      <c r="V72" s="58"/>
      <c r="W72" s="58"/>
      <c r="X72" s="58"/>
      <c r="Y72" s="58"/>
      <c r="Z72" s="58"/>
      <c r="AA72" s="64"/>
    </row>
    <row r="73" spans="1:27" ht="21" customHeight="1">
      <c r="A73" s="1"/>
      <c r="B73" s="2"/>
      <c r="C73" s="2"/>
      <c r="D73" s="3"/>
      <c r="E73" s="1"/>
      <c r="F73" s="58"/>
      <c r="G73" s="58"/>
      <c r="H73" s="58"/>
      <c r="I73" s="1"/>
      <c r="J73" s="2"/>
      <c r="K73" s="2"/>
      <c r="L73" s="3"/>
      <c r="M73" s="1"/>
      <c r="N73" s="58"/>
      <c r="O73" s="58"/>
      <c r="P73" s="73"/>
      <c r="Q73" s="73"/>
      <c r="R73" s="58"/>
      <c r="S73" s="58"/>
      <c r="T73" s="58"/>
      <c r="U73" s="58"/>
      <c r="V73" s="58"/>
      <c r="W73" s="58"/>
      <c r="X73" s="58"/>
      <c r="Y73" s="58"/>
      <c r="Z73" s="58"/>
      <c r="AA73" s="64"/>
    </row>
    <row r="74" spans="1:27" ht="21" customHeight="1">
      <c r="A74" s="1"/>
      <c r="B74" s="2"/>
      <c r="C74" s="2"/>
      <c r="D74" s="3"/>
      <c r="E74" s="1"/>
      <c r="F74" s="58"/>
      <c r="G74" s="58"/>
      <c r="H74" s="58"/>
      <c r="I74" s="1"/>
      <c r="J74" s="2"/>
      <c r="K74" s="2"/>
      <c r="L74" s="3"/>
      <c r="M74" s="1"/>
      <c r="N74" s="58"/>
      <c r="O74" s="58"/>
      <c r="P74" s="73"/>
      <c r="Q74" s="73"/>
      <c r="R74" s="58"/>
      <c r="S74" s="58"/>
      <c r="T74" s="58"/>
      <c r="U74" s="58"/>
      <c r="V74" s="58"/>
      <c r="W74" s="58"/>
      <c r="X74" s="58"/>
      <c r="Y74" s="58"/>
      <c r="Z74" s="58"/>
      <c r="AA74" s="64"/>
    </row>
    <row r="75" spans="1:27" ht="21" customHeight="1">
      <c r="A75" s="1"/>
      <c r="B75" s="2"/>
      <c r="C75" s="2"/>
      <c r="D75" s="3"/>
      <c r="E75" s="1"/>
      <c r="F75" s="58"/>
      <c r="G75" s="58"/>
      <c r="H75" s="58"/>
      <c r="I75" s="1"/>
      <c r="J75" s="2"/>
      <c r="K75" s="2"/>
      <c r="L75" s="3"/>
      <c r="M75" s="1"/>
      <c r="N75" s="58"/>
      <c r="O75" s="58"/>
      <c r="P75" s="73"/>
      <c r="Q75" s="73"/>
      <c r="R75" s="58"/>
      <c r="S75" s="58"/>
      <c r="T75" s="58"/>
      <c r="U75" s="58"/>
      <c r="V75" s="58"/>
      <c r="W75" s="58"/>
      <c r="X75" s="58"/>
      <c r="Y75" s="58"/>
      <c r="Z75" s="58"/>
      <c r="AA75" s="64"/>
    </row>
    <row r="76" spans="1:27" ht="21" customHeight="1">
      <c r="A76" s="1"/>
      <c r="B76" s="2"/>
      <c r="C76" s="2"/>
      <c r="D76" s="3"/>
      <c r="E76" s="1"/>
      <c r="F76" s="58"/>
      <c r="G76" s="58"/>
      <c r="H76" s="58"/>
      <c r="I76" s="1"/>
      <c r="J76" s="2"/>
      <c r="K76" s="2"/>
      <c r="L76" s="3"/>
      <c r="M76" s="1"/>
      <c r="N76" s="58"/>
      <c r="O76" s="58"/>
      <c r="P76" s="73"/>
      <c r="Q76" s="73"/>
      <c r="R76" s="58"/>
      <c r="S76" s="58"/>
      <c r="T76" s="58"/>
      <c r="U76" s="58"/>
      <c r="V76" s="58"/>
      <c r="W76" s="58"/>
      <c r="X76" s="58"/>
      <c r="Y76" s="58"/>
      <c r="Z76" s="58"/>
      <c r="AA76" s="64"/>
    </row>
    <row r="77" spans="1:27" ht="21" customHeight="1">
      <c r="A77" s="1"/>
      <c r="B77" s="2"/>
      <c r="C77" s="2"/>
      <c r="D77" s="3"/>
      <c r="E77" s="1"/>
      <c r="F77" s="58"/>
      <c r="G77" s="58"/>
      <c r="H77" s="58"/>
      <c r="I77" s="1"/>
      <c r="J77" s="2"/>
      <c r="K77" s="2"/>
      <c r="L77" s="3"/>
      <c r="M77" s="1"/>
      <c r="N77" s="58"/>
      <c r="O77" s="58"/>
      <c r="P77" s="73"/>
      <c r="Q77" s="73"/>
      <c r="R77" s="58"/>
      <c r="S77" s="58"/>
      <c r="T77" s="58"/>
      <c r="U77" s="58"/>
      <c r="V77" s="58"/>
      <c r="W77" s="58"/>
      <c r="X77" s="58"/>
      <c r="Y77" s="58"/>
      <c r="Z77" s="58"/>
      <c r="AA77" s="64"/>
    </row>
    <row r="78" spans="1:27" ht="21" customHeight="1">
      <c r="A78" s="1"/>
      <c r="B78" s="2"/>
      <c r="C78" s="2"/>
      <c r="D78" s="3"/>
      <c r="E78" s="1"/>
      <c r="F78" s="58"/>
      <c r="G78" s="58"/>
      <c r="H78" s="58"/>
      <c r="I78" s="1"/>
      <c r="J78" s="2"/>
      <c r="K78" s="2"/>
      <c r="L78" s="3"/>
      <c r="M78" s="1"/>
      <c r="N78" s="58"/>
      <c r="O78" s="58"/>
      <c r="P78" s="73"/>
      <c r="Q78" s="73"/>
      <c r="R78" s="58"/>
      <c r="S78" s="58"/>
      <c r="T78" s="58"/>
      <c r="U78" s="58"/>
      <c r="V78" s="58"/>
      <c r="W78" s="58"/>
      <c r="X78" s="58"/>
      <c r="Y78" s="58"/>
      <c r="Z78" s="58"/>
      <c r="AA78" s="64"/>
    </row>
    <row r="79" spans="1:27" ht="21" customHeight="1">
      <c r="A79" s="1"/>
      <c r="B79" s="2"/>
      <c r="C79" s="2"/>
      <c r="D79" s="3"/>
      <c r="E79" s="1"/>
      <c r="F79" s="58"/>
      <c r="G79" s="58"/>
      <c r="H79" s="58"/>
      <c r="I79" s="1"/>
      <c r="J79" s="2"/>
      <c r="K79" s="2"/>
      <c r="L79" s="3"/>
      <c r="M79" s="1"/>
      <c r="N79" s="58"/>
      <c r="O79" s="58"/>
      <c r="P79" s="73"/>
      <c r="Q79" s="73"/>
      <c r="R79" s="58"/>
      <c r="S79" s="58"/>
      <c r="T79" s="58"/>
      <c r="U79" s="58"/>
      <c r="V79" s="58"/>
      <c r="W79" s="58"/>
      <c r="X79" s="58"/>
      <c r="Y79" s="58"/>
      <c r="Z79" s="58"/>
      <c r="AA79" s="64"/>
    </row>
    <row r="80" spans="1:27" ht="21" customHeight="1">
      <c r="A80" s="71"/>
      <c r="B80" s="71"/>
      <c r="C80" s="71"/>
      <c r="D80" s="71"/>
      <c r="E80" s="71"/>
      <c r="F80" s="58"/>
      <c r="G80" s="58"/>
      <c r="H80" s="58"/>
      <c r="I80" s="71"/>
      <c r="J80" s="71"/>
      <c r="K80" s="71"/>
      <c r="L80" s="71"/>
      <c r="M80" s="71"/>
      <c r="N80" s="58"/>
      <c r="O80" s="58"/>
      <c r="P80" s="73"/>
      <c r="Q80" s="73"/>
      <c r="R80" s="58"/>
      <c r="S80" s="58"/>
      <c r="T80" s="58"/>
      <c r="U80" s="58"/>
      <c r="V80" s="58"/>
      <c r="W80" s="58"/>
      <c r="X80" s="58"/>
      <c r="Y80" s="58"/>
      <c r="Z80" s="58"/>
      <c r="AA80" s="64"/>
    </row>
    <row r="81" spans="1:27" ht="21" customHeight="1">
      <c r="A81" s="71"/>
      <c r="B81" s="71"/>
      <c r="C81" s="71"/>
      <c r="D81" s="71"/>
      <c r="E81" s="71"/>
      <c r="F81" s="58"/>
      <c r="G81" s="58"/>
      <c r="H81" s="58"/>
      <c r="I81" s="71"/>
      <c r="J81" s="71"/>
      <c r="K81" s="71"/>
      <c r="L81" s="71"/>
      <c r="M81" s="71"/>
      <c r="N81" s="58"/>
      <c r="O81" s="58"/>
      <c r="P81" s="73"/>
      <c r="Q81" s="73"/>
      <c r="R81" s="58"/>
      <c r="S81" s="58"/>
      <c r="T81" s="58"/>
      <c r="U81" s="58"/>
      <c r="V81" s="58"/>
      <c r="W81" s="58"/>
      <c r="X81" s="58"/>
      <c r="Y81" s="58"/>
      <c r="Z81" s="58"/>
      <c r="AA81" s="64"/>
    </row>
    <row r="82" spans="1:27" ht="21" customHeight="1">
      <c r="A82" s="65" t="s">
        <v>200</v>
      </c>
      <c r="B82" s="65" t="s">
        <v>217</v>
      </c>
      <c r="C82" s="71"/>
      <c r="D82" s="65" t="s">
        <v>200</v>
      </c>
      <c r="E82" s="65" t="s">
        <v>218</v>
      </c>
      <c r="F82" s="58"/>
      <c r="G82" s="58"/>
      <c r="H82" s="58"/>
      <c r="I82" s="65" t="s">
        <v>200</v>
      </c>
      <c r="J82" s="65" t="s">
        <v>217</v>
      </c>
      <c r="K82" s="71"/>
      <c r="L82" s="65" t="s">
        <v>200</v>
      </c>
      <c r="M82" s="65" t="s">
        <v>218</v>
      </c>
      <c r="N82" s="58"/>
      <c r="O82" s="58"/>
      <c r="P82" s="73"/>
      <c r="Q82" s="73"/>
      <c r="R82" s="58"/>
      <c r="S82" s="58"/>
      <c r="T82" s="58"/>
      <c r="U82" s="58"/>
      <c r="V82" s="58"/>
      <c r="W82" s="58"/>
      <c r="X82" s="58"/>
      <c r="Y82" s="58"/>
      <c r="Z82" s="58"/>
      <c r="AA82" s="64"/>
    </row>
    <row r="83" spans="1:27" ht="21" customHeight="1">
      <c r="A83" s="2"/>
      <c r="B83" s="4"/>
      <c r="C83" s="71"/>
      <c r="D83" s="2"/>
      <c r="E83" s="4"/>
      <c r="F83" s="58"/>
      <c r="G83" s="58"/>
      <c r="H83" s="58"/>
      <c r="I83" s="2"/>
      <c r="J83" s="4"/>
      <c r="K83" s="71"/>
      <c r="L83" s="2"/>
      <c r="M83" s="4"/>
      <c r="N83" s="58"/>
      <c r="O83" s="58"/>
      <c r="P83" s="73"/>
      <c r="Q83" s="73"/>
      <c r="R83" s="58"/>
      <c r="S83" s="58"/>
      <c r="T83" s="58"/>
      <c r="U83" s="58"/>
      <c r="V83" s="58"/>
      <c r="W83" s="58"/>
      <c r="X83" s="58"/>
      <c r="Y83" s="58"/>
      <c r="Z83" s="58"/>
      <c r="AA83" s="64"/>
    </row>
    <row r="84" spans="1:27" ht="21" customHeight="1">
      <c r="A84" s="2"/>
      <c r="B84" s="4"/>
      <c r="C84" s="71"/>
      <c r="D84" s="2"/>
      <c r="E84" s="4"/>
      <c r="F84" s="58"/>
      <c r="G84" s="58"/>
      <c r="H84" s="58"/>
      <c r="I84" s="2"/>
      <c r="J84" s="4"/>
      <c r="K84" s="71"/>
      <c r="L84" s="2"/>
      <c r="M84" s="4"/>
      <c r="N84" s="58"/>
      <c r="O84" s="58"/>
      <c r="P84" s="73"/>
      <c r="Q84" s="73"/>
      <c r="R84" s="58"/>
      <c r="S84" s="58"/>
      <c r="T84" s="58"/>
      <c r="U84" s="58"/>
      <c r="V84" s="58"/>
      <c r="W84" s="58"/>
      <c r="X84" s="58"/>
      <c r="Y84" s="58"/>
      <c r="Z84" s="58"/>
      <c r="AA84" s="64"/>
    </row>
    <row r="85" spans="1:27" ht="21" customHeight="1">
      <c r="A85" s="2"/>
      <c r="B85" s="4"/>
      <c r="C85" s="71"/>
      <c r="D85" s="2"/>
      <c r="E85" s="4"/>
      <c r="F85" s="58"/>
      <c r="G85" s="58"/>
      <c r="H85" s="58"/>
      <c r="I85" s="2"/>
      <c r="J85" s="4"/>
      <c r="K85" s="71"/>
      <c r="L85" s="2"/>
      <c r="M85" s="4"/>
      <c r="N85" s="58"/>
      <c r="O85" s="58"/>
      <c r="P85" s="73"/>
      <c r="Q85" s="73"/>
      <c r="R85" s="58"/>
      <c r="S85" s="58"/>
      <c r="T85" s="58"/>
      <c r="U85" s="58"/>
      <c r="V85" s="58"/>
      <c r="W85" s="58"/>
      <c r="X85" s="58"/>
      <c r="Y85" s="58"/>
      <c r="Z85" s="58"/>
      <c r="AA85" s="64"/>
    </row>
    <row r="86" spans="1:27" ht="21" customHeight="1">
      <c r="A86" s="2"/>
      <c r="B86" s="4"/>
      <c r="C86" s="71"/>
      <c r="D86" s="2"/>
      <c r="E86" s="4"/>
      <c r="F86" s="58"/>
      <c r="G86" s="58"/>
      <c r="H86" s="58"/>
      <c r="I86" s="2"/>
      <c r="J86" s="4"/>
      <c r="K86" s="71"/>
      <c r="L86" s="2"/>
      <c r="M86" s="4"/>
      <c r="N86" s="58"/>
      <c r="O86" s="58"/>
      <c r="P86" s="73"/>
      <c r="Q86" s="73"/>
      <c r="R86" s="58"/>
      <c r="S86" s="58"/>
      <c r="T86" s="58"/>
      <c r="U86" s="58"/>
      <c r="V86" s="58"/>
      <c r="W86" s="58"/>
      <c r="X86" s="58"/>
      <c r="Y86" s="58"/>
      <c r="Z86" s="58"/>
      <c r="AA86" s="64"/>
    </row>
    <row r="87" spans="1:27" ht="21" customHeight="1">
      <c r="A87" s="2"/>
      <c r="B87" s="4"/>
      <c r="C87" s="71"/>
      <c r="D87" s="2"/>
      <c r="E87" s="4"/>
      <c r="F87" s="58"/>
      <c r="G87" s="58"/>
      <c r="H87" s="58"/>
      <c r="I87" s="2"/>
      <c r="J87" s="4"/>
      <c r="K87" s="71"/>
      <c r="L87" s="2"/>
      <c r="M87" s="4"/>
      <c r="N87" s="58"/>
      <c r="O87" s="58"/>
      <c r="P87" s="73"/>
      <c r="Q87" s="73"/>
      <c r="R87" s="58"/>
      <c r="S87" s="58"/>
      <c r="T87" s="58"/>
      <c r="U87" s="58"/>
      <c r="V87" s="58"/>
      <c r="W87" s="58"/>
      <c r="X87" s="58"/>
      <c r="Y87" s="58"/>
      <c r="Z87" s="58"/>
      <c r="AA87" s="64"/>
    </row>
    <row r="88" spans="1:27" ht="21" customHeight="1">
      <c r="A88" s="2"/>
      <c r="B88" s="4"/>
      <c r="C88" s="71"/>
      <c r="D88" s="2"/>
      <c r="E88" s="4"/>
      <c r="F88" s="58"/>
      <c r="G88" s="58"/>
      <c r="H88" s="58"/>
      <c r="I88" s="2"/>
      <c r="J88" s="4"/>
      <c r="K88" s="71"/>
      <c r="L88" s="2"/>
      <c r="M88" s="4"/>
      <c r="N88" s="58"/>
      <c r="O88" s="58"/>
      <c r="P88" s="73"/>
      <c r="Q88" s="73"/>
      <c r="R88" s="58"/>
      <c r="S88" s="58"/>
      <c r="T88" s="58"/>
      <c r="U88" s="58"/>
      <c r="V88" s="58"/>
      <c r="W88" s="58"/>
      <c r="X88" s="58"/>
      <c r="Y88" s="58"/>
      <c r="Z88" s="58"/>
      <c r="AA88" s="64"/>
    </row>
    <row r="89" spans="1:27" ht="21" customHeight="1">
      <c r="A89" s="2"/>
      <c r="B89" s="4"/>
      <c r="C89" s="71"/>
      <c r="D89" s="2"/>
      <c r="E89" s="4"/>
      <c r="F89" s="58"/>
      <c r="G89" s="58"/>
      <c r="H89" s="58"/>
      <c r="I89" s="2"/>
      <c r="J89" s="4"/>
      <c r="K89" s="71"/>
      <c r="L89" s="2"/>
      <c r="M89" s="4"/>
      <c r="N89" s="58"/>
      <c r="O89" s="58"/>
      <c r="P89" s="73"/>
      <c r="Q89" s="73"/>
      <c r="R89" s="58"/>
      <c r="S89" s="58"/>
      <c r="T89" s="58"/>
      <c r="U89" s="58"/>
      <c r="V89" s="58"/>
      <c r="W89" s="58"/>
      <c r="X89" s="58"/>
      <c r="Y89" s="58"/>
      <c r="Z89" s="58"/>
      <c r="AA89" s="64"/>
    </row>
    <row r="90" spans="1:27" ht="21" customHeight="1">
      <c r="A90" s="2"/>
      <c r="B90" s="4"/>
      <c r="C90" s="71"/>
      <c r="D90" s="2"/>
      <c r="E90" s="4"/>
      <c r="F90" s="58"/>
      <c r="G90" s="58"/>
      <c r="H90" s="58"/>
      <c r="I90" s="2"/>
      <c r="J90" s="4"/>
      <c r="K90" s="71"/>
      <c r="L90" s="2"/>
      <c r="M90" s="4"/>
      <c r="N90" s="58"/>
      <c r="O90" s="58"/>
      <c r="P90" s="73"/>
      <c r="Q90" s="73"/>
      <c r="R90" s="58"/>
      <c r="S90" s="58"/>
      <c r="T90" s="58"/>
      <c r="U90" s="58"/>
      <c r="V90" s="58"/>
      <c r="W90" s="58"/>
      <c r="X90" s="58"/>
      <c r="Y90" s="58"/>
      <c r="Z90" s="58"/>
      <c r="AA90" s="64"/>
    </row>
    <row r="91" spans="1:27" ht="21" customHeight="1">
      <c r="A91" s="2"/>
      <c r="B91" s="4"/>
      <c r="C91" s="71"/>
      <c r="D91" s="2"/>
      <c r="E91" s="4"/>
      <c r="F91" s="58"/>
      <c r="G91" s="58"/>
      <c r="H91" s="58"/>
      <c r="I91" s="2"/>
      <c r="J91" s="4"/>
      <c r="K91" s="71"/>
      <c r="L91" s="2"/>
      <c r="M91" s="4"/>
      <c r="N91" s="58"/>
      <c r="O91" s="58"/>
      <c r="P91" s="73"/>
      <c r="Q91" s="73"/>
      <c r="R91" s="58"/>
      <c r="S91" s="58"/>
      <c r="T91" s="58"/>
      <c r="U91" s="58"/>
      <c r="V91" s="58"/>
      <c r="W91" s="58"/>
      <c r="X91" s="58"/>
      <c r="Y91" s="58"/>
      <c r="Z91" s="58"/>
      <c r="AA91" s="64"/>
    </row>
    <row r="92" spans="1:27" ht="21" customHeight="1">
      <c r="A92" s="2"/>
      <c r="B92" s="4"/>
      <c r="C92" s="71"/>
      <c r="D92" s="2"/>
      <c r="E92" s="4"/>
      <c r="F92" s="58"/>
      <c r="G92" s="58"/>
      <c r="H92" s="58"/>
      <c r="I92" s="2"/>
      <c r="J92" s="4"/>
      <c r="K92" s="71"/>
      <c r="L92" s="2"/>
      <c r="M92" s="4"/>
      <c r="N92" s="58"/>
      <c r="O92" s="58"/>
      <c r="P92" s="73"/>
      <c r="Q92" s="73"/>
      <c r="R92" s="58"/>
      <c r="S92" s="58"/>
      <c r="T92" s="58"/>
      <c r="U92" s="58"/>
      <c r="V92" s="58"/>
      <c r="W92" s="58"/>
      <c r="X92" s="58"/>
      <c r="Y92" s="58"/>
      <c r="Z92" s="58"/>
      <c r="AA92" s="64"/>
    </row>
    <row r="93" spans="1:27" ht="21" customHeight="1">
      <c r="A93" s="71"/>
      <c r="B93" s="71"/>
      <c r="C93" s="71"/>
      <c r="D93" s="71"/>
      <c r="E93" s="71"/>
      <c r="F93" s="58"/>
      <c r="G93" s="58"/>
      <c r="H93" s="58"/>
      <c r="I93" s="71"/>
      <c r="J93" s="71"/>
      <c r="K93" s="71"/>
      <c r="L93" s="71"/>
      <c r="M93" s="71"/>
      <c r="N93" s="58"/>
      <c r="O93" s="58"/>
      <c r="P93" s="73"/>
      <c r="Q93" s="73"/>
      <c r="R93" s="58"/>
      <c r="S93" s="58"/>
      <c r="T93" s="58"/>
      <c r="U93" s="58"/>
      <c r="V93" s="58"/>
      <c r="W93" s="58"/>
      <c r="X93" s="58"/>
      <c r="Y93" s="58"/>
      <c r="Z93" s="58"/>
      <c r="AA93" s="64"/>
    </row>
    <row r="94" spans="1:27" ht="21" customHeight="1">
      <c r="A94" s="71"/>
      <c r="B94" s="71"/>
      <c r="C94" s="71"/>
      <c r="D94" s="71"/>
      <c r="E94" s="71"/>
      <c r="F94" s="58"/>
      <c r="G94" s="58"/>
      <c r="H94" s="58"/>
      <c r="I94" s="71"/>
      <c r="J94" s="71"/>
      <c r="K94" s="71"/>
      <c r="L94" s="71"/>
      <c r="M94" s="71"/>
      <c r="N94" s="58"/>
      <c r="O94" s="58"/>
      <c r="P94" s="73"/>
      <c r="Q94" s="73"/>
      <c r="R94" s="58"/>
      <c r="S94" s="58"/>
      <c r="T94" s="58"/>
      <c r="U94" s="58"/>
      <c r="V94" s="58"/>
      <c r="W94" s="58"/>
      <c r="X94" s="58"/>
      <c r="Y94" s="58"/>
      <c r="Z94" s="58"/>
      <c r="AA94" s="64"/>
    </row>
    <row r="95" spans="1:27">
      <c r="A95" s="58"/>
      <c r="B95" s="58"/>
      <c r="C95" s="58"/>
      <c r="D95" s="58"/>
      <c r="E95" s="58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73"/>
      <c r="Q95" s="73"/>
      <c r="R95" s="58"/>
      <c r="S95" s="58"/>
      <c r="T95" s="58"/>
      <c r="U95" s="58"/>
      <c r="V95" s="58"/>
      <c r="W95" s="58"/>
      <c r="X95" s="58"/>
      <c r="Y95" s="58"/>
      <c r="Z95" s="58"/>
      <c r="AA95" s="64"/>
    </row>
    <row r="96" spans="1:27">
      <c r="A96" s="58"/>
      <c r="B96" s="58"/>
      <c r="C96" s="58"/>
      <c r="D96" s="58"/>
      <c r="E96" s="58"/>
      <c r="F96" s="58"/>
      <c r="G96" s="58"/>
      <c r="H96" s="58"/>
      <c r="I96" s="58"/>
      <c r="J96" s="58"/>
      <c r="K96" s="58"/>
      <c r="L96" s="58"/>
      <c r="M96" s="58"/>
      <c r="N96" s="58"/>
      <c r="O96" s="58"/>
      <c r="P96" s="73"/>
      <c r="Q96" s="73"/>
      <c r="R96" s="58"/>
      <c r="S96" s="58"/>
      <c r="T96" s="58"/>
      <c r="U96" s="58"/>
      <c r="V96" s="58"/>
      <c r="W96" s="58"/>
      <c r="X96" s="58"/>
      <c r="Y96" s="58"/>
      <c r="Z96" s="58"/>
      <c r="AA96" s="64"/>
    </row>
    <row r="97" spans="1:27">
      <c r="A97" s="58"/>
      <c r="B97" s="58"/>
      <c r="C97" s="58"/>
      <c r="D97" s="58"/>
      <c r="E97" s="58"/>
      <c r="F97" s="58"/>
      <c r="G97" s="58"/>
      <c r="H97" s="58"/>
      <c r="I97" s="58"/>
      <c r="J97" s="58"/>
      <c r="K97" s="58"/>
      <c r="L97" s="58"/>
      <c r="M97" s="58"/>
      <c r="N97" s="58"/>
      <c r="O97" s="58"/>
      <c r="P97" s="73"/>
      <c r="Q97" s="73"/>
      <c r="R97" s="58"/>
      <c r="S97" s="58"/>
      <c r="T97" s="58"/>
      <c r="U97" s="58"/>
      <c r="V97" s="58"/>
      <c r="W97" s="58"/>
      <c r="X97" s="58"/>
      <c r="Y97" s="58"/>
      <c r="Z97" s="58"/>
      <c r="AA97" s="64"/>
    </row>
    <row r="98" spans="1:27">
      <c r="A98" s="58"/>
      <c r="B98" s="58"/>
      <c r="C98" s="58"/>
      <c r="D98" s="58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58"/>
      <c r="P98" s="73"/>
      <c r="Q98" s="73"/>
      <c r="R98" s="58"/>
      <c r="S98" s="58"/>
      <c r="T98" s="58"/>
      <c r="U98" s="58"/>
      <c r="V98" s="58"/>
      <c r="W98" s="58"/>
      <c r="X98" s="58"/>
      <c r="Y98" s="58"/>
      <c r="Z98" s="58"/>
      <c r="AA98" s="64"/>
    </row>
    <row r="99" spans="1:27">
      <c r="A99" s="58"/>
      <c r="B99" s="58"/>
      <c r="C99" s="58"/>
      <c r="D99" s="58"/>
      <c r="E99" s="58"/>
      <c r="F99" s="58"/>
      <c r="G99" s="58"/>
      <c r="H99" s="58"/>
      <c r="I99" s="58"/>
      <c r="J99" s="58"/>
      <c r="K99" s="58"/>
      <c r="L99" s="58"/>
      <c r="M99" s="58"/>
      <c r="N99" s="58"/>
      <c r="O99" s="58"/>
      <c r="P99" s="73"/>
      <c r="Q99" s="73"/>
      <c r="R99" s="58"/>
      <c r="S99" s="58"/>
      <c r="T99" s="58"/>
      <c r="U99" s="58"/>
      <c r="V99" s="58"/>
      <c r="W99" s="58"/>
      <c r="X99" s="58"/>
      <c r="Y99" s="58"/>
      <c r="Z99" s="58"/>
      <c r="AA99" s="64"/>
    </row>
    <row r="100" spans="1:27">
      <c r="A100" s="58"/>
      <c r="B100" s="58"/>
      <c r="C100" s="58"/>
      <c r="D100" s="58"/>
      <c r="E100" s="58"/>
      <c r="F100" s="58"/>
      <c r="G100" s="58"/>
      <c r="H100" s="58"/>
      <c r="I100" s="58"/>
      <c r="J100" s="58"/>
      <c r="K100" s="58"/>
      <c r="L100" s="58"/>
      <c r="M100" s="58"/>
      <c r="N100" s="58"/>
      <c r="O100" s="58"/>
      <c r="P100" s="73"/>
      <c r="Q100" s="73"/>
      <c r="R100" s="58"/>
      <c r="S100" s="58"/>
      <c r="T100" s="58"/>
      <c r="U100" s="58"/>
      <c r="V100" s="58"/>
      <c r="W100" s="58"/>
      <c r="X100" s="58"/>
      <c r="Y100" s="58"/>
      <c r="Z100" s="58"/>
      <c r="AA100" s="64"/>
    </row>
    <row r="101" spans="1:27">
      <c r="A101" s="58"/>
      <c r="B101" s="58"/>
      <c r="C101" s="58"/>
      <c r="D101" s="58"/>
      <c r="E101" s="58"/>
      <c r="F101" s="58"/>
      <c r="G101" s="58"/>
      <c r="H101" s="58"/>
      <c r="I101" s="58"/>
      <c r="J101" s="58"/>
      <c r="K101" s="58"/>
      <c r="L101" s="58"/>
      <c r="M101" s="58"/>
      <c r="N101" s="58"/>
      <c r="O101" s="58"/>
      <c r="P101" s="73"/>
      <c r="Q101" s="73"/>
      <c r="R101" s="58"/>
      <c r="S101" s="58"/>
      <c r="T101" s="58"/>
      <c r="U101" s="58"/>
      <c r="V101" s="58"/>
      <c r="W101" s="58"/>
      <c r="X101" s="58"/>
      <c r="Y101" s="58"/>
      <c r="Z101" s="58"/>
      <c r="AA101" s="64"/>
    </row>
    <row r="102" spans="1:27">
      <c r="A102" s="58"/>
      <c r="B102" s="58"/>
      <c r="C102" s="58"/>
      <c r="D102" s="58"/>
      <c r="E102" s="58"/>
      <c r="F102" s="58"/>
      <c r="G102" s="58"/>
      <c r="H102" s="58"/>
      <c r="I102" s="58"/>
      <c r="J102" s="58"/>
      <c r="K102" s="58"/>
      <c r="L102" s="58"/>
      <c r="M102" s="58"/>
      <c r="N102" s="58"/>
      <c r="O102" s="58"/>
      <c r="P102" s="73"/>
      <c r="Q102" s="73"/>
      <c r="R102" s="58"/>
      <c r="S102" s="58"/>
      <c r="T102" s="58"/>
      <c r="U102" s="58"/>
      <c r="V102" s="58"/>
      <c r="W102" s="58"/>
      <c r="X102" s="58"/>
      <c r="Y102" s="58"/>
      <c r="Z102" s="58"/>
      <c r="AA102" s="64"/>
    </row>
    <row r="103" spans="1:27">
      <c r="A103" s="58"/>
      <c r="B103" s="58"/>
      <c r="C103" s="58"/>
      <c r="D103" s="58"/>
      <c r="E103" s="58"/>
      <c r="F103" s="58"/>
      <c r="G103" s="58"/>
      <c r="H103" s="58"/>
      <c r="I103" s="58"/>
      <c r="J103" s="58"/>
      <c r="K103" s="58"/>
      <c r="L103" s="58"/>
      <c r="M103" s="58"/>
      <c r="N103" s="58"/>
      <c r="O103" s="58"/>
      <c r="P103" s="73"/>
      <c r="Q103" s="73"/>
      <c r="R103" s="58"/>
      <c r="S103" s="58"/>
      <c r="T103" s="58"/>
      <c r="U103" s="58"/>
      <c r="V103" s="58"/>
      <c r="W103" s="58"/>
      <c r="X103" s="58"/>
      <c r="Y103" s="58"/>
      <c r="Z103" s="58"/>
      <c r="AA103" s="64"/>
    </row>
    <row r="104" spans="1:27">
      <c r="A104" s="58"/>
      <c r="B104" s="58"/>
      <c r="C104" s="58"/>
      <c r="D104" s="58"/>
      <c r="E104" s="58"/>
      <c r="F104" s="58"/>
      <c r="G104" s="58"/>
      <c r="H104" s="58"/>
      <c r="I104" s="58"/>
      <c r="J104" s="58"/>
      <c r="K104" s="58"/>
      <c r="L104" s="58"/>
      <c r="M104" s="58"/>
      <c r="N104" s="58"/>
      <c r="O104" s="58"/>
      <c r="P104" s="73"/>
      <c r="Q104" s="73"/>
      <c r="R104" s="58"/>
      <c r="S104" s="58"/>
      <c r="T104" s="58"/>
      <c r="U104" s="58"/>
      <c r="V104" s="58"/>
      <c r="W104" s="58"/>
      <c r="X104" s="58"/>
      <c r="Y104" s="58"/>
      <c r="Z104" s="58"/>
      <c r="AA104" s="64"/>
    </row>
    <row r="105" spans="1:27">
      <c r="A105" s="58"/>
      <c r="B105" s="58"/>
      <c r="C105" s="58"/>
      <c r="D105" s="58"/>
      <c r="E105" s="58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73"/>
      <c r="Q105" s="73"/>
      <c r="R105" s="58"/>
      <c r="S105" s="58"/>
      <c r="T105" s="58"/>
      <c r="U105" s="58"/>
      <c r="V105" s="58"/>
      <c r="W105" s="58"/>
      <c r="X105" s="58"/>
      <c r="Y105" s="58"/>
      <c r="Z105" s="58"/>
      <c r="AA105" s="64"/>
    </row>
    <row r="106" spans="1:27">
      <c r="A106" s="58"/>
      <c r="B106" s="58"/>
      <c r="C106" s="58"/>
      <c r="D106" s="58"/>
      <c r="E106" s="58"/>
      <c r="F106" s="58"/>
      <c r="G106" s="58"/>
      <c r="H106" s="58"/>
      <c r="I106" s="58"/>
      <c r="J106" s="58"/>
      <c r="K106" s="58"/>
      <c r="L106" s="58"/>
      <c r="M106" s="58"/>
      <c r="N106" s="58"/>
      <c r="O106" s="58"/>
      <c r="P106" s="73"/>
      <c r="Q106" s="73"/>
      <c r="R106" s="58"/>
      <c r="S106" s="58"/>
      <c r="T106" s="58"/>
      <c r="U106" s="58"/>
      <c r="V106" s="58"/>
      <c r="W106" s="58"/>
      <c r="X106" s="58"/>
      <c r="Y106" s="58"/>
      <c r="Z106" s="58"/>
      <c r="AA106" s="64"/>
    </row>
    <row r="107" spans="1:27">
      <c r="A107" s="58"/>
      <c r="B107" s="58"/>
      <c r="C107" s="58"/>
      <c r="D107" s="58"/>
      <c r="E107" s="58"/>
      <c r="F107" s="58"/>
      <c r="G107" s="58"/>
      <c r="H107" s="58"/>
      <c r="I107" s="58"/>
      <c r="J107" s="58"/>
      <c r="K107" s="58"/>
      <c r="L107" s="58"/>
      <c r="M107" s="58"/>
      <c r="N107" s="58"/>
      <c r="O107" s="58"/>
      <c r="P107" s="73"/>
      <c r="Q107" s="73"/>
      <c r="R107" s="58"/>
      <c r="S107" s="58"/>
      <c r="T107" s="58"/>
      <c r="U107" s="58"/>
      <c r="V107" s="58"/>
      <c r="W107" s="58"/>
      <c r="X107" s="58"/>
      <c r="Y107" s="58"/>
      <c r="Z107" s="58"/>
      <c r="AA107" s="64"/>
    </row>
    <row r="108" spans="1:27">
      <c r="A108" s="58"/>
      <c r="B108" s="58"/>
      <c r="C108" s="58"/>
      <c r="D108" s="58"/>
      <c r="E108" s="58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73"/>
      <c r="Q108" s="73"/>
      <c r="R108" s="58"/>
      <c r="S108" s="58"/>
      <c r="T108" s="58"/>
      <c r="U108" s="58"/>
      <c r="V108" s="58"/>
      <c r="W108" s="58"/>
      <c r="X108" s="58"/>
      <c r="Y108" s="58"/>
      <c r="Z108" s="58"/>
      <c r="AA108" s="64"/>
    </row>
    <row r="109" spans="1:27">
      <c r="A109" s="58"/>
      <c r="B109" s="58"/>
      <c r="C109" s="58"/>
      <c r="D109" s="58"/>
      <c r="E109" s="58"/>
      <c r="F109" s="58"/>
      <c r="G109" s="58"/>
      <c r="H109" s="58"/>
      <c r="I109" s="58"/>
      <c r="J109" s="58"/>
      <c r="K109" s="58"/>
      <c r="L109" s="58"/>
      <c r="M109" s="58"/>
      <c r="N109" s="58"/>
      <c r="O109" s="58"/>
      <c r="P109" s="73"/>
      <c r="Q109" s="73"/>
      <c r="R109" s="58"/>
      <c r="S109" s="58"/>
      <c r="T109" s="58"/>
      <c r="U109" s="58"/>
      <c r="V109" s="58"/>
      <c r="W109" s="58"/>
      <c r="X109" s="58"/>
      <c r="Y109" s="58"/>
      <c r="Z109" s="58"/>
      <c r="AA109" s="64"/>
    </row>
    <row r="110" spans="1:27">
      <c r="P110" s="74"/>
      <c r="Q110" s="74"/>
    </row>
    <row r="111" spans="1:27">
      <c r="P111" s="74"/>
      <c r="Q111" s="74"/>
    </row>
    <row r="112" spans="1:27">
      <c r="P112" s="74"/>
      <c r="Q112" s="74"/>
    </row>
    <row r="113" spans="16:17">
      <c r="P113" s="74"/>
      <c r="Q113" s="74"/>
    </row>
    <row r="114" spans="16:17">
      <c r="P114" s="74"/>
      <c r="Q114" s="74"/>
    </row>
    <row r="115" spans="16:17">
      <c r="P115" s="74"/>
      <c r="Q115" s="74"/>
    </row>
    <row r="116" spans="16:17">
      <c r="P116" s="74"/>
      <c r="Q116" s="74"/>
    </row>
    <row r="117" spans="16:17">
      <c r="P117" s="74"/>
      <c r="Q117" s="74"/>
    </row>
    <row r="118" spans="16:17">
      <c r="P118" s="74"/>
      <c r="Q118" s="74"/>
    </row>
    <row r="119" spans="16:17">
      <c r="P119" s="74"/>
      <c r="Q119" s="74"/>
    </row>
    <row r="120" spans="16:17">
      <c r="P120" s="74"/>
      <c r="Q120" s="74"/>
    </row>
    <row r="121" spans="16:17">
      <c r="P121" s="74"/>
      <c r="Q121" s="74"/>
    </row>
    <row r="122" spans="16:17">
      <c r="P122" s="74"/>
      <c r="Q122" s="74"/>
    </row>
    <row r="123" spans="16:17">
      <c r="P123" s="74"/>
      <c r="Q123" s="74"/>
    </row>
    <row r="124" spans="16:17">
      <c r="P124" s="74"/>
      <c r="Q124" s="74"/>
    </row>
    <row r="125" spans="16:17">
      <c r="P125" s="74"/>
      <c r="Q125" s="74"/>
    </row>
    <row r="126" spans="16:17">
      <c r="P126" s="74"/>
      <c r="Q126" s="74"/>
    </row>
    <row r="127" spans="16:17">
      <c r="P127" s="74"/>
      <c r="Q127" s="74"/>
    </row>
    <row r="128" spans="16:17">
      <c r="P128" s="74"/>
      <c r="Q128" s="74"/>
    </row>
    <row r="129" spans="16:17">
      <c r="P129" s="74"/>
      <c r="Q129" s="74"/>
    </row>
    <row r="130" spans="16:17">
      <c r="P130" s="74"/>
      <c r="Q130" s="74"/>
    </row>
    <row r="131" spans="16:17">
      <c r="P131" s="74"/>
      <c r="Q131" s="74"/>
    </row>
    <row r="132" spans="16:17">
      <c r="P132" s="74"/>
      <c r="Q132" s="74"/>
    </row>
    <row r="133" spans="16:17">
      <c r="P133" s="74"/>
      <c r="Q133" s="74"/>
    </row>
    <row r="134" spans="16:17">
      <c r="P134" s="74"/>
      <c r="Q134" s="74"/>
    </row>
    <row r="135" spans="16:17">
      <c r="P135" s="74"/>
      <c r="Q135" s="74"/>
    </row>
    <row r="136" spans="16:17">
      <c r="P136" s="74"/>
      <c r="Q136" s="74"/>
    </row>
    <row r="137" spans="16:17">
      <c r="P137" s="74"/>
      <c r="Q137" s="74"/>
    </row>
    <row r="138" spans="16:17">
      <c r="P138" s="74"/>
      <c r="Q138" s="74"/>
    </row>
    <row r="139" spans="16:17">
      <c r="P139" s="74"/>
      <c r="Q139" s="74"/>
    </row>
    <row r="140" spans="16:17">
      <c r="P140" s="74"/>
      <c r="Q140" s="74"/>
    </row>
    <row r="141" spans="16:17">
      <c r="P141" s="74"/>
      <c r="Q141" s="74"/>
    </row>
    <row r="142" spans="16:17">
      <c r="P142" s="74"/>
      <c r="Q142" s="74"/>
    </row>
    <row r="143" spans="16:17">
      <c r="P143" s="74"/>
      <c r="Q143" s="74"/>
    </row>
    <row r="144" spans="16:17">
      <c r="P144" s="74"/>
      <c r="Q144" s="74"/>
    </row>
    <row r="145" spans="16:17">
      <c r="P145" s="74"/>
      <c r="Q145" s="74"/>
    </row>
    <row r="146" spans="16:17">
      <c r="P146" s="74"/>
      <c r="Q146" s="74"/>
    </row>
    <row r="147" spans="16:17">
      <c r="P147" s="74"/>
      <c r="Q147" s="74"/>
    </row>
    <row r="148" spans="16:17">
      <c r="P148" s="74"/>
      <c r="Q148" s="74"/>
    </row>
    <row r="149" spans="16:17">
      <c r="P149" s="74"/>
      <c r="Q149" s="74"/>
    </row>
    <row r="150" spans="16:17">
      <c r="P150" s="74"/>
      <c r="Q150" s="74"/>
    </row>
    <row r="151" spans="16:17">
      <c r="P151" s="74"/>
      <c r="Q151" s="74"/>
    </row>
    <row r="152" spans="16:17">
      <c r="P152" s="74"/>
      <c r="Q152" s="74"/>
    </row>
    <row r="153" spans="16:17">
      <c r="P153" s="74"/>
      <c r="Q153" s="74"/>
    </row>
    <row r="154" spans="16:17">
      <c r="P154" s="74"/>
      <c r="Q154" s="74"/>
    </row>
    <row r="155" spans="16:17">
      <c r="P155" s="74"/>
      <c r="Q155" s="74"/>
    </row>
    <row r="156" spans="16:17">
      <c r="P156" s="74"/>
      <c r="Q156" s="74"/>
    </row>
    <row r="157" spans="16:17">
      <c r="P157" s="74"/>
      <c r="Q157" s="74"/>
    </row>
    <row r="158" spans="16:17">
      <c r="P158" s="74"/>
      <c r="Q158" s="74"/>
    </row>
    <row r="159" spans="16:17">
      <c r="P159" s="74"/>
      <c r="Q159" s="74"/>
    </row>
  </sheetData>
  <mergeCells count="14">
    <mergeCell ref="A54:E54"/>
    <mergeCell ref="I54:M54"/>
    <mergeCell ref="A48:P48"/>
    <mergeCell ref="A49:P49"/>
    <mergeCell ref="A50:P50"/>
    <mergeCell ref="A51:P51"/>
    <mergeCell ref="A52:P52"/>
    <mergeCell ref="J45:P45"/>
    <mergeCell ref="A2:P2"/>
    <mergeCell ref="A3:P3"/>
    <mergeCell ref="A4:P4"/>
    <mergeCell ref="A5:P5"/>
    <mergeCell ref="D6:P6"/>
    <mergeCell ref="A8:P8"/>
  </mergeCells>
  <phoneticPr fontId="5" type="noConversion"/>
  <conditionalFormatting sqref="A8:P8">
    <cfRule type="expression" dxfId="1" priority="1" stopIfTrue="1">
      <formula>$A$8&lt;&gt;"GENERATED"</formula>
    </cfRule>
  </conditionalFormatting>
  <conditionalFormatting sqref="G12:G31">
    <cfRule type="expression" dxfId="0" priority="2" stopIfTrue="1">
      <formula>AND($G12&lt;&gt;"",$G12&lt;&gt;"OK",$G12&lt;&gt;"OFF")</formula>
    </cfRule>
  </conditionalFormatting>
  <dataValidations count="4">
    <dataValidation type="list" allowBlank="1" showInputMessage="1" showErrorMessage="1" sqref="J46 E56 M56" xr:uid="{D91B1380-5E37-405B-A3C9-AF9750F50F16}">
      <formula1>"X,Y"</formula1>
    </dataValidation>
    <dataValidation type="list" allowBlank="1" showInputMessage="1" showErrorMessage="1" sqref="E12:E31 E60:E79 M60:M79" xr:uid="{0271ABDF-032C-4B53-9D86-A58CC4F07CB8}">
      <formula1>"1,0"</formula1>
    </dataValidation>
    <dataValidation type="decimal" operator="greaterThan" allowBlank="1" showInputMessage="1" showErrorMessage="1" sqref="D12:D31 D60:D79 L60:L79" xr:uid="{3584C138-96F6-4716-91C7-77C1634CFE0D}">
      <formula1>0</formula1>
    </dataValidation>
    <dataValidation type="list" allowBlank="1" showInputMessage="1" showErrorMessage="1" sqref="B60:C79" xr:uid="{065495B0-F610-4886-94F4-60F4DB3499B2}">
      <formula1>$P$60:$P$69</formula1>
    </dataValidation>
  </dataValidations>
  <hyperlinks>
    <hyperlink ref="A50" location="'Core Wall'!A54" display="B 输入 ↓" xr:uid="{1A28E518-3153-4548-96F0-41C628B45921}"/>
    <hyperlink ref="I50" location="'Core Wall'!I54" display="D 输入 ↓" xr:uid="{EC6DD483-363E-4BE9-8C72-2C4221316F19}"/>
  </hyperlinks>
  <pageMargins left="0.7" right="0.7" top="0.75" bottom="0.75" header="0.3" footer="0.3"/>
  <pageSetup scale="25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F2872-9BF4-4506-A6EC-DAE0F386F261}">
  <sheetPr>
    <pageSetUpPr fitToPage="1"/>
  </sheetPr>
  <dimension ref="A1:P120"/>
  <sheetViews>
    <sheetView tabSelected="1" workbookViewId="0"/>
  </sheetViews>
  <sheetFormatPr defaultRowHeight="13.8"/>
  <cols>
    <col min="1" max="12" width="6.90234375" customWidth="1"/>
  </cols>
  <sheetData>
    <row r="1" spans="1:16" ht="12" customHeight="1">
      <c r="A1" s="127"/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P1" t="s">
        <v>288</v>
      </c>
    </row>
    <row r="2" spans="1:16" ht="12" customHeight="1">
      <c r="A2" s="128" t="s">
        <v>286</v>
      </c>
      <c r="B2" s="128"/>
      <c r="C2" s="128"/>
      <c r="D2" s="128"/>
      <c r="E2" s="128"/>
      <c r="F2" s="128"/>
      <c r="G2" s="128"/>
      <c r="H2" s="128"/>
      <c r="I2" s="128"/>
      <c r="J2" s="128"/>
      <c r="K2" s="128"/>
      <c r="L2" s="128"/>
    </row>
    <row r="3" spans="1:16" ht="12" customHeight="1">
      <c r="A3" s="128"/>
      <c r="B3" s="128"/>
      <c r="C3" s="128"/>
      <c r="D3" s="128"/>
      <c r="E3" s="128"/>
      <c r="F3" s="128"/>
      <c r="G3" s="128"/>
      <c r="H3" s="128"/>
      <c r="I3" s="128"/>
      <c r="J3" s="128"/>
      <c r="K3" s="128"/>
      <c r="L3" s="128"/>
    </row>
    <row r="4" spans="1:16" ht="12" customHeight="1">
      <c r="A4" s="127"/>
      <c r="B4" s="127"/>
      <c r="C4" s="127"/>
      <c r="D4" s="127"/>
      <c r="E4" s="127"/>
      <c r="F4" s="127"/>
      <c r="G4" s="127"/>
      <c r="H4" s="127"/>
      <c r="I4" s="127"/>
      <c r="J4" s="127"/>
      <c r="K4" s="127"/>
      <c r="L4" s="127"/>
    </row>
    <row r="5" spans="1:16" ht="12" customHeight="1">
      <c r="A5" s="127"/>
      <c r="B5" s="127"/>
      <c r="C5" s="127"/>
      <c r="D5" s="127"/>
      <c r="E5" s="127"/>
      <c r="F5" s="127"/>
      <c r="G5" s="127"/>
      <c r="H5" s="127"/>
      <c r="I5" s="127"/>
      <c r="J5" s="127"/>
      <c r="K5" s="127"/>
      <c r="L5" s="127"/>
    </row>
    <row r="6" spans="1:16" ht="12" customHeight="1">
      <c r="A6" s="128" t="s">
        <v>287</v>
      </c>
      <c r="B6" s="128"/>
      <c r="C6" s="128"/>
      <c r="D6" s="128"/>
      <c r="E6" s="128"/>
      <c r="F6" s="128"/>
      <c r="G6" s="128"/>
      <c r="H6" s="128"/>
      <c r="I6" s="128"/>
      <c r="J6" s="128"/>
      <c r="K6" s="128"/>
      <c r="L6" s="128"/>
    </row>
    <row r="7" spans="1:16" ht="12" customHeight="1">
      <c r="A7" s="128"/>
      <c r="B7" s="128"/>
      <c r="C7" s="128"/>
      <c r="D7" s="128"/>
      <c r="E7" s="128"/>
      <c r="F7" s="128"/>
      <c r="G7" s="128"/>
      <c r="H7" s="128"/>
      <c r="I7" s="128"/>
      <c r="J7" s="128"/>
      <c r="K7" s="128"/>
      <c r="L7" s="128"/>
    </row>
    <row r="8" spans="1:16" ht="12" customHeight="1">
      <c r="A8" s="128"/>
      <c r="B8" s="128"/>
      <c r="C8" s="128"/>
      <c r="D8" s="128"/>
      <c r="E8" s="128"/>
      <c r="F8" s="128"/>
      <c r="G8" s="128"/>
      <c r="H8" s="128"/>
      <c r="I8" s="128"/>
      <c r="J8" s="128"/>
      <c r="K8" s="128"/>
      <c r="L8" s="128"/>
    </row>
    <row r="9" spans="1:16" ht="12" customHeight="1">
      <c r="A9" s="127"/>
      <c r="B9" s="127"/>
      <c r="C9" s="127"/>
      <c r="D9" s="127"/>
      <c r="E9" s="127"/>
      <c r="F9" s="127"/>
      <c r="G9" s="127"/>
      <c r="H9" s="127"/>
      <c r="I9" s="127"/>
      <c r="J9" s="127"/>
      <c r="K9" s="127"/>
      <c r="L9" s="127"/>
    </row>
    <row r="10" spans="1:16" ht="12" customHeight="1">
      <c r="A10" s="127"/>
      <c r="B10" s="127"/>
      <c r="C10" s="127"/>
      <c r="D10" s="127"/>
      <c r="E10" s="127"/>
      <c r="F10" s="127"/>
      <c r="G10" s="127"/>
      <c r="H10" s="127"/>
      <c r="I10" s="127"/>
      <c r="J10" s="127"/>
      <c r="K10" s="127"/>
      <c r="L10" s="127"/>
    </row>
    <row r="11" spans="1:16" ht="12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</row>
    <row r="12" spans="1:16" ht="12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</row>
    <row r="13" spans="1:16" ht="12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</row>
    <row r="14" spans="1:16" ht="12" customHeight="1">
      <c r="A14" s="127"/>
      <c r="B14" s="127"/>
      <c r="C14" s="127"/>
      <c r="D14" s="127"/>
      <c r="E14" s="127"/>
      <c r="F14" s="127"/>
      <c r="G14" s="127"/>
      <c r="H14" s="127"/>
      <c r="I14" s="127"/>
      <c r="J14" s="127"/>
      <c r="K14" s="127"/>
      <c r="L14" s="127"/>
    </row>
    <row r="15" spans="1:16" ht="12" customHeight="1">
      <c r="A15" s="127"/>
      <c r="B15" s="127"/>
      <c r="C15" s="127"/>
      <c r="D15" s="127"/>
      <c r="E15" s="127"/>
      <c r="F15" s="127"/>
      <c r="G15" s="127"/>
      <c r="H15" s="127"/>
      <c r="I15" s="127"/>
      <c r="J15" s="127"/>
      <c r="K15" s="127"/>
      <c r="L15" s="127"/>
    </row>
    <row r="16" spans="1:16" ht="12" customHeight="1">
      <c r="A16" s="127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</row>
    <row r="17" spans="1:12" ht="12" customHeight="1">
      <c r="A17" s="127"/>
      <c r="B17" s="127"/>
      <c r="C17" s="127"/>
      <c r="D17" s="127"/>
      <c r="E17" s="127"/>
      <c r="F17" s="127"/>
      <c r="G17" s="127"/>
      <c r="H17" s="127"/>
      <c r="I17" s="127"/>
      <c r="J17" s="127"/>
      <c r="K17" s="127"/>
      <c r="L17" s="127"/>
    </row>
    <row r="18" spans="1:12" ht="12" customHeight="1">
      <c r="A18" s="127"/>
      <c r="B18" s="127"/>
      <c r="C18" s="127"/>
      <c r="D18" s="127"/>
      <c r="E18" s="127"/>
      <c r="F18" s="127"/>
      <c r="G18" s="127"/>
      <c r="H18" s="127"/>
      <c r="I18" s="127"/>
      <c r="J18" s="127"/>
      <c r="K18" s="127"/>
      <c r="L18" s="127"/>
    </row>
    <row r="19" spans="1:12" ht="12" customHeight="1">
      <c r="A19" s="127"/>
      <c r="B19" s="127"/>
      <c r="C19" s="127"/>
      <c r="D19" s="127"/>
      <c r="E19" s="127"/>
      <c r="F19" s="127"/>
      <c r="G19" s="127"/>
      <c r="H19" s="127"/>
      <c r="I19" s="127"/>
      <c r="J19" s="127"/>
      <c r="K19" s="127"/>
      <c r="L19" s="127"/>
    </row>
    <row r="20" spans="1:12" ht="12" customHeight="1">
      <c r="A20" s="127"/>
      <c r="B20" s="127"/>
      <c r="C20" s="127"/>
      <c r="D20" s="127"/>
      <c r="E20" s="127"/>
      <c r="F20" s="127"/>
      <c r="G20" s="127"/>
      <c r="H20" s="127"/>
      <c r="I20" s="127"/>
      <c r="J20" s="127"/>
      <c r="K20" s="127"/>
      <c r="L20" s="127"/>
    </row>
    <row r="21" spans="1:12" ht="12" customHeight="1">
      <c r="A21" s="127"/>
      <c r="B21" s="127"/>
      <c r="C21" s="127"/>
      <c r="D21" s="127"/>
      <c r="E21" s="127"/>
      <c r="F21" s="127"/>
      <c r="G21" s="127"/>
      <c r="H21" s="127"/>
      <c r="I21" s="127"/>
      <c r="J21" s="127"/>
      <c r="K21" s="127"/>
      <c r="L21" s="127"/>
    </row>
    <row r="22" spans="1:12" ht="12" customHeight="1">
      <c r="A22" s="127"/>
      <c r="B22" s="127"/>
      <c r="C22" s="127"/>
      <c r="D22" s="127"/>
      <c r="E22" s="127"/>
      <c r="F22" s="127"/>
      <c r="G22" s="127"/>
      <c r="H22" s="127"/>
      <c r="I22" s="127"/>
      <c r="J22" s="127"/>
      <c r="K22" s="127"/>
      <c r="L22" s="127"/>
    </row>
    <row r="23" spans="1:12" ht="12" customHeight="1">
      <c r="A23" s="127"/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</row>
    <row r="24" spans="1:12" ht="12" customHeight="1">
      <c r="A24" s="127"/>
      <c r="B24" s="127"/>
      <c r="C24" s="127"/>
      <c r="D24" s="127"/>
      <c r="E24" s="127"/>
      <c r="F24" s="127"/>
      <c r="G24" s="127"/>
      <c r="H24" s="127"/>
      <c r="I24" s="127"/>
      <c r="J24" s="127"/>
      <c r="K24" s="127"/>
      <c r="L24" s="127"/>
    </row>
    <row r="25" spans="1:12" ht="12" customHeight="1">
      <c r="A25" s="127"/>
      <c r="B25" s="127"/>
      <c r="C25" s="127"/>
      <c r="D25" s="127"/>
      <c r="E25" s="127"/>
      <c r="F25" s="127"/>
      <c r="G25" s="127"/>
      <c r="H25" s="127"/>
      <c r="I25" s="127"/>
      <c r="J25" s="127"/>
      <c r="K25" s="127"/>
      <c r="L25" s="127"/>
    </row>
    <row r="26" spans="1:12" ht="12" customHeight="1">
      <c r="A26" s="127"/>
      <c r="B26" s="127"/>
      <c r="C26" s="127"/>
      <c r="D26" s="127"/>
      <c r="E26" s="127"/>
      <c r="F26" s="127"/>
      <c r="G26" s="127"/>
      <c r="H26" s="127"/>
      <c r="I26" s="127"/>
      <c r="J26" s="127"/>
      <c r="K26" s="127"/>
      <c r="L26" s="127"/>
    </row>
    <row r="27" spans="1:12" ht="12" customHeight="1">
      <c r="A27" s="127"/>
      <c r="B27" s="127"/>
      <c r="C27" s="127"/>
      <c r="D27" s="127"/>
      <c r="E27" s="127"/>
      <c r="F27" s="127"/>
      <c r="G27" s="127"/>
      <c r="H27" s="127"/>
      <c r="I27" s="127"/>
      <c r="J27" s="127"/>
      <c r="K27" s="127"/>
      <c r="L27" s="127"/>
    </row>
    <row r="28" spans="1:12" ht="12" customHeight="1">
      <c r="A28" s="127"/>
      <c r="B28" s="127"/>
      <c r="C28" s="127"/>
      <c r="D28" s="127"/>
      <c r="E28" s="127"/>
      <c r="F28" s="127"/>
      <c r="G28" s="127"/>
      <c r="H28" s="127"/>
      <c r="I28" s="127"/>
      <c r="J28" s="127"/>
      <c r="K28" s="127"/>
      <c r="L28" s="127"/>
    </row>
    <row r="29" spans="1:12" ht="12" customHeight="1">
      <c r="A29" s="127"/>
      <c r="B29" s="127"/>
      <c r="C29" s="127"/>
      <c r="D29" s="127"/>
      <c r="E29" s="127"/>
      <c r="F29" s="127"/>
      <c r="G29" s="127"/>
      <c r="H29" s="127"/>
      <c r="I29" s="127"/>
      <c r="J29" s="127"/>
      <c r="K29" s="127"/>
      <c r="L29" s="127"/>
    </row>
    <row r="30" spans="1:12" ht="12" customHeight="1">
      <c r="A30" s="127"/>
      <c r="B30" s="127"/>
      <c r="C30" s="127"/>
      <c r="D30" s="127"/>
      <c r="E30" s="127"/>
      <c r="F30" s="127"/>
      <c r="G30" s="127"/>
      <c r="H30" s="127"/>
      <c r="I30" s="127"/>
      <c r="J30" s="127"/>
      <c r="K30" s="127"/>
      <c r="L30" s="127"/>
    </row>
    <row r="31" spans="1:12" ht="12" customHeight="1">
      <c r="A31" s="127"/>
      <c r="B31" s="127"/>
      <c r="C31" s="127"/>
      <c r="D31" s="127"/>
      <c r="E31" s="127"/>
      <c r="F31" s="127"/>
      <c r="G31" s="127"/>
      <c r="H31" s="127"/>
      <c r="I31" s="127"/>
      <c r="J31" s="127"/>
      <c r="K31" s="127"/>
      <c r="L31" s="127"/>
    </row>
    <row r="32" spans="1:12" ht="12" customHeight="1">
      <c r="A32" s="127"/>
      <c r="B32" s="127"/>
      <c r="C32" s="127"/>
      <c r="D32" s="127"/>
      <c r="E32" s="127"/>
      <c r="F32" s="127"/>
      <c r="G32" s="127"/>
      <c r="H32" s="127"/>
      <c r="I32" s="127"/>
      <c r="J32" s="127"/>
      <c r="K32" s="127"/>
      <c r="L32" s="127"/>
    </row>
    <row r="33" spans="1:12" ht="12" customHeight="1">
      <c r="A33" s="127"/>
      <c r="B33" s="127"/>
      <c r="C33" s="127"/>
      <c r="D33" s="127"/>
      <c r="E33" s="127"/>
      <c r="F33" s="127"/>
      <c r="G33" s="127"/>
      <c r="H33" s="127"/>
      <c r="I33" s="127"/>
      <c r="J33" s="127"/>
      <c r="K33" s="127"/>
      <c r="L33" s="127"/>
    </row>
    <row r="34" spans="1:12" ht="12" customHeight="1">
      <c r="A34" s="127"/>
      <c r="B34" s="127"/>
      <c r="C34" s="127"/>
      <c r="D34" s="127"/>
      <c r="E34" s="127"/>
      <c r="F34" s="127"/>
      <c r="G34" s="127"/>
      <c r="H34" s="127"/>
      <c r="I34" s="127"/>
      <c r="J34" s="127"/>
      <c r="K34" s="127"/>
      <c r="L34" s="127"/>
    </row>
    <row r="35" spans="1:12" ht="12" customHeight="1">
      <c r="A35" s="127"/>
      <c r="B35" s="127"/>
      <c r="C35" s="127"/>
      <c r="D35" s="127"/>
      <c r="E35" s="127"/>
      <c r="F35" s="127"/>
      <c r="G35" s="127"/>
      <c r="H35" s="127"/>
      <c r="I35" s="127"/>
      <c r="J35" s="127"/>
      <c r="K35" s="127"/>
      <c r="L35" s="127"/>
    </row>
    <row r="36" spans="1:12" ht="12" customHeight="1">
      <c r="A36" s="127"/>
      <c r="B36" s="127"/>
      <c r="C36" s="127"/>
      <c r="D36" s="127"/>
      <c r="E36" s="127"/>
      <c r="F36" s="127"/>
      <c r="G36" s="127"/>
      <c r="H36" s="127"/>
      <c r="I36" s="127"/>
      <c r="J36" s="127"/>
      <c r="K36" s="127"/>
      <c r="L36" s="127"/>
    </row>
    <row r="37" spans="1:12" ht="12" customHeight="1">
      <c r="A37" s="127"/>
      <c r="B37" s="127"/>
      <c r="C37" s="127"/>
      <c r="D37" s="127"/>
      <c r="E37" s="127"/>
      <c r="F37" s="127"/>
      <c r="G37" s="127"/>
      <c r="H37" s="127"/>
      <c r="I37" s="127"/>
      <c r="J37" s="127"/>
      <c r="K37" s="127"/>
      <c r="L37" s="127"/>
    </row>
    <row r="38" spans="1:12" ht="12" customHeight="1">
      <c r="A38" s="127"/>
      <c r="B38" s="127"/>
      <c r="C38" s="127"/>
      <c r="D38" s="127"/>
      <c r="E38" s="127"/>
      <c r="F38" s="127"/>
      <c r="G38" s="127"/>
      <c r="H38" s="127"/>
      <c r="I38" s="127"/>
      <c r="J38" s="127"/>
      <c r="K38" s="127"/>
      <c r="L38" s="127"/>
    </row>
    <row r="39" spans="1:12" ht="12" customHeight="1">
      <c r="A39" s="127"/>
      <c r="B39" s="127"/>
      <c r="C39" s="127"/>
      <c r="D39" s="127"/>
      <c r="E39" s="127"/>
      <c r="F39" s="127"/>
      <c r="G39" s="127"/>
      <c r="H39" s="127"/>
      <c r="I39" s="127"/>
      <c r="J39" s="127"/>
      <c r="K39" s="127"/>
      <c r="L39" s="127"/>
    </row>
    <row r="40" spans="1:12" ht="12" customHeight="1">
      <c r="A40" s="127"/>
      <c r="B40" s="127"/>
      <c r="C40" s="127"/>
      <c r="D40" s="127"/>
      <c r="E40" s="127"/>
      <c r="F40" s="127"/>
      <c r="G40" s="127"/>
      <c r="H40" s="127"/>
      <c r="I40" s="127"/>
      <c r="J40" s="127"/>
      <c r="K40" s="127"/>
      <c r="L40" s="127"/>
    </row>
    <row r="41" spans="1:12" ht="12" customHeight="1">
      <c r="A41" s="127"/>
      <c r="B41" s="127"/>
      <c r="C41" s="127"/>
      <c r="D41" s="127"/>
      <c r="E41" s="127"/>
      <c r="F41" s="127"/>
      <c r="G41" s="127"/>
      <c r="H41" s="127"/>
      <c r="I41" s="127"/>
      <c r="J41" s="127"/>
      <c r="K41" s="127"/>
      <c r="L41" s="127"/>
    </row>
    <row r="42" spans="1:12" ht="12" customHeight="1">
      <c r="A42" s="127"/>
      <c r="B42" s="127"/>
      <c r="C42" s="127"/>
      <c r="D42" s="127"/>
      <c r="E42" s="127"/>
      <c r="F42" s="127"/>
      <c r="G42" s="127"/>
      <c r="H42" s="127"/>
      <c r="I42" s="127"/>
      <c r="J42" s="127"/>
      <c r="K42" s="127"/>
      <c r="L42" s="127"/>
    </row>
    <row r="43" spans="1:12" ht="12" customHeight="1">
      <c r="A43" s="127"/>
      <c r="B43" s="127"/>
      <c r="C43" s="127"/>
      <c r="D43" s="127"/>
      <c r="E43" s="127"/>
      <c r="F43" s="127"/>
      <c r="G43" s="127"/>
      <c r="H43" s="127"/>
      <c r="I43" s="127"/>
      <c r="J43" s="127"/>
      <c r="K43" s="127"/>
      <c r="L43" s="127"/>
    </row>
    <row r="44" spans="1:12" ht="12" customHeight="1">
      <c r="A44" s="127"/>
      <c r="B44" s="127"/>
      <c r="C44" s="127"/>
      <c r="D44" s="127"/>
      <c r="E44" s="127"/>
      <c r="F44" s="127"/>
      <c r="G44" s="127"/>
      <c r="H44" s="127"/>
      <c r="I44" s="127"/>
      <c r="J44" s="127"/>
      <c r="K44" s="127"/>
      <c r="L44" s="127"/>
    </row>
    <row r="45" spans="1:12" ht="12" customHeight="1">
      <c r="A45" s="127"/>
      <c r="B45" s="127"/>
      <c r="C45" s="127"/>
      <c r="D45" s="127"/>
      <c r="E45" s="127"/>
      <c r="F45" s="127"/>
      <c r="G45" s="127"/>
      <c r="H45" s="127"/>
      <c r="I45" s="127"/>
      <c r="J45" s="127"/>
      <c r="K45" s="127"/>
      <c r="L45" s="127"/>
    </row>
    <row r="46" spans="1:12" ht="12" customHeight="1">
      <c r="A46" s="127"/>
      <c r="B46" s="127"/>
      <c r="C46" s="127"/>
      <c r="D46" s="127"/>
      <c r="E46" s="127"/>
      <c r="F46" s="127"/>
      <c r="G46" s="127"/>
      <c r="H46" s="127"/>
      <c r="I46" s="127"/>
      <c r="J46" s="127"/>
      <c r="K46" s="127"/>
      <c r="L46" s="127"/>
    </row>
    <row r="47" spans="1:12" ht="12" customHeight="1">
      <c r="A47" s="127"/>
      <c r="B47" s="127"/>
      <c r="C47" s="127"/>
      <c r="D47" s="127"/>
      <c r="E47" s="127"/>
      <c r="F47" s="127"/>
      <c r="G47" s="127"/>
      <c r="H47" s="127"/>
      <c r="I47" s="127"/>
      <c r="J47" s="127"/>
      <c r="K47" s="127"/>
      <c r="L47" s="127"/>
    </row>
    <row r="48" spans="1:12" ht="12" customHeight="1">
      <c r="A48" s="127"/>
      <c r="B48" s="127"/>
      <c r="C48" s="127"/>
      <c r="D48" s="127"/>
      <c r="E48" s="127"/>
      <c r="F48" s="127"/>
      <c r="G48" s="127"/>
      <c r="H48" s="127"/>
      <c r="I48" s="127"/>
      <c r="J48" s="127"/>
      <c r="K48" s="127"/>
      <c r="L48" s="127"/>
    </row>
    <row r="49" spans="1:12" ht="12" customHeight="1">
      <c r="A49" s="127"/>
      <c r="B49" s="127"/>
      <c r="C49" s="127"/>
      <c r="D49" s="127"/>
      <c r="E49" s="127"/>
      <c r="F49" s="127"/>
      <c r="G49" s="127"/>
      <c r="H49" s="127"/>
      <c r="I49" s="127"/>
      <c r="J49" s="127"/>
      <c r="K49" s="127"/>
      <c r="L49" s="127"/>
    </row>
    <row r="50" spans="1:12" ht="12" customHeight="1">
      <c r="A50" s="127"/>
      <c r="B50" s="127"/>
      <c r="C50" s="127"/>
      <c r="D50" s="127"/>
      <c r="E50" s="127"/>
      <c r="F50" s="127"/>
      <c r="G50" s="127"/>
      <c r="H50" s="127"/>
      <c r="I50" s="127"/>
      <c r="J50" s="127"/>
      <c r="K50" s="127"/>
      <c r="L50" s="127"/>
    </row>
    <row r="51" spans="1:12" ht="12" customHeight="1">
      <c r="A51" s="127"/>
      <c r="B51" s="127"/>
      <c r="C51" s="127"/>
      <c r="D51" s="127"/>
      <c r="E51" s="127"/>
      <c r="F51" s="127"/>
      <c r="G51" s="127"/>
      <c r="H51" s="127"/>
      <c r="I51" s="127"/>
      <c r="J51" s="127"/>
      <c r="K51" s="127"/>
      <c r="L51" s="127"/>
    </row>
    <row r="52" spans="1:12" ht="12" customHeight="1">
      <c r="A52" s="127"/>
      <c r="B52" s="127"/>
      <c r="C52" s="127"/>
      <c r="D52" s="127"/>
      <c r="E52" s="127"/>
      <c r="F52" s="127"/>
      <c r="G52" s="127"/>
      <c r="H52" s="127"/>
      <c r="I52" s="127"/>
      <c r="J52" s="127"/>
      <c r="K52" s="127"/>
      <c r="L52" s="127"/>
    </row>
    <row r="53" spans="1:12" ht="12" customHeight="1">
      <c r="A53" s="127"/>
      <c r="B53" s="127"/>
      <c r="C53" s="127"/>
      <c r="D53" s="127"/>
      <c r="E53" s="127"/>
      <c r="F53" s="127"/>
      <c r="G53" s="127"/>
      <c r="H53" s="127"/>
      <c r="I53" s="127"/>
      <c r="J53" s="127"/>
      <c r="K53" s="127"/>
      <c r="L53" s="127"/>
    </row>
    <row r="54" spans="1:12" ht="12" customHeight="1">
      <c r="A54" s="127"/>
      <c r="B54" s="127"/>
      <c r="C54" s="127"/>
      <c r="D54" s="127"/>
      <c r="E54" s="127"/>
      <c r="F54" s="127"/>
      <c r="G54" s="127"/>
      <c r="H54" s="127"/>
      <c r="I54" s="127"/>
      <c r="J54" s="127"/>
      <c r="K54" s="127"/>
      <c r="L54" s="127"/>
    </row>
    <row r="55" spans="1:12" ht="12" customHeight="1">
      <c r="A55" s="127"/>
      <c r="B55" s="127"/>
      <c r="C55" s="127"/>
      <c r="D55" s="127"/>
      <c r="E55" s="127"/>
      <c r="F55" s="127"/>
      <c r="G55" s="127"/>
      <c r="H55" s="127"/>
      <c r="I55" s="127"/>
      <c r="J55" s="127"/>
      <c r="K55" s="127"/>
      <c r="L55" s="127"/>
    </row>
    <row r="56" spans="1:12" ht="12" customHeight="1">
      <c r="A56" s="127"/>
      <c r="B56" s="127"/>
      <c r="C56" s="127"/>
      <c r="D56" s="127"/>
      <c r="E56" s="127"/>
      <c r="F56" s="127"/>
      <c r="G56" s="127"/>
      <c r="H56" s="127"/>
      <c r="I56" s="127"/>
      <c r="J56" s="127"/>
      <c r="K56" s="127"/>
      <c r="L56" s="127"/>
    </row>
    <row r="57" spans="1:12" ht="12" customHeight="1">
      <c r="A57" s="127"/>
      <c r="B57" s="127"/>
      <c r="C57" s="127"/>
      <c r="D57" s="127"/>
      <c r="E57" s="127"/>
      <c r="F57" s="127"/>
      <c r="G57" s="127"/>
      <c r="H57" s="127"/>
      <c r="I57" s="127"/>
      <c r="J57" s="127"/>
      <c r="K57" s="127"/>
      <c r="L57" s="127"/>
    </row>
    <row r="58" spans="1:12" ht="12" customHeight="1">
      <c r="A58" s="127"/>
      <c r="B58" s="127"/>
      <c r="C58" s="127"/>
      <c r="D58" s="127"/>
      <c r="E58" s="127"/>
      <c r="F58" s="127"/>
      <c r="G58" s="127"/>
      <c r="H58" s="127"/>
      <c r="I58" s="127"/>
      <c r="J58" s="127"/>
      <c r="K58" s="127"/>
      <c r="L58" s="127"/>
    </row>
    <row r="59" spans="1:12" ht="12" customHeight="1">
      <c r="A59" s="127"/>
      <c r="B59" s="127"/>
      <c r="C59" s="127"/>
      <c r="D59" s="127"/>
      <c r="E59" s="127"/>
      <c r="F59" s="127"/>
      <c r="G59" s="127"/>
      <c r="H59" s="127"/>
      <c r="I59" s="127"/>
      <c r="J59" s="127"/>
      <c r="K59" s="127"/>
      <c r="L59" s="127"/>
    </row>
    <row r="60" spans="1:12" ht="12" customHeight="1">
      <c r="A60" s="127"/>
      <c r="B60" s="127"/>
      <c r="C60" s="127"/>
      <c r="D60" s="127"/>
      <c r="E60" s="127"/>
      <c r="F60" s="127"/>
      <c r="G60" s="127"/>
      <c r="H60" s="127"/>
      <c r="I60" s="127"/>
      <c r="J60" s="127"/>
      <c r="K60" s="127"/>
      <c r="L60" s="127"/>
    </row>
    <row r="61" spans="1:12" ht="12" customHeight="1">
      <c r="A61" s="127"/>
      <c r="B61" s="127"/>
      <c r="C61" s="127"/>
      <c r="D61" s="127"/>
      <c r="E61" s="127"/>
      <c r="F61" s="127"/>
      <c r="G61" s="127"/>
      <c r="H61" s="127"/>
      <c r="I61" s="127"/>
      <c r="J61" s="127"/>
      <c r="K61" s="127"/>
      <c r="L61" s="127"/>
    </row>
    <row r="62" spans="1:12" ht="12" customHeight="1">
      <c r="A62" s="127"/>
      <c r="B62" s="127"/>
      <c r="C62" s="127"/>
      <c r="D62" s="127"/>
      <c r="E62" s="127"/>
      <c r="F62" s="127"/>
      <c r="G62" s="127"/>
      <c r="H62" s="127"/>
      <c r="I62" s="127"/>
      <c r="J62" s="127"/>
      <c r="K62" s="127"/>
      <c r="L62" s="127"/>
    </row>
    <row r="63" spans="1:12" ht="12" customHeight="1">
      <c r="A63" s="127"/>
      <c r="B63" s="127"/>
      <c r="C63" s="127"/>
      <c r="D63" s="127"/>
      <c r="E63" s="127"/>
      <c r="F63" s="127"/>
      <c r="G63" s="127"/>
      <c r="H63" s="127"/>
      <c r="I63" s="127"/>
      <c r="J63" s="127"/>
      <c r="K63" s="127"/>
      <c r="L63" s="127"/>
    </row>
    <row r="64" spans="1:12" ht="12" customHeight="1">
      <c r="A64" s="127"/>
      <c r="B64" s="127"/>
      <c r="C64" s="127"/>
      <c r="D64" s="127"/>
      <c r="E64" s="127"/>
      <c r="F64" s="127"/>
      <c r="G64" s="127"/>
      <c r="H64" s="127"/>
      <c r="I64" s="127"/>
      <c r="J64" s="127"/>
      <c r="K64" s="127"/>
      <c r="L64" s="127"/>
    </row>
    <row r="65" spans="1:12" ht="12" customHeight="1">
      <c r="A65" s="127"/>
      <c r="B65" s="127"/>
      <c r="C65" s="127"/>
      <c r="D65" s="127"/>
      <c r="E65" s="127"/>
      <c r="F65" s="127"/>
      <c r="G65" s="127"/>
      <c r="H65" s="127"/>
      <c r="I65" s="127"/>
      <c r="J65" s="127"/>
      <c r="K65" s="127"/>
      <c r="L65" s="127"/>
    </row>
    <row r="66" spans="1:12" ht="12" customHeight="1">
      <c r="A66" s="127"/>
      <c r="B66" s="127"/>
      <c r="C66" s="127"/>
      <c r="D66" s="127"/>
      <c r="E66" s="127"/>
      <c r="F66" s="127"/>
      <c r="G66" s="127"/>
      <c r="H66" s="127"/>
      <c r="I66" s="127"/>
      <c r="J66" s="127"/>
      <c r="K66" s="127"/>
      <c r="L66" s="127"/>
    </row>
    <row r="67" spans="1:12" ht="12" customHeight="1">
      <c r="A67" s="127"/>
      <c r="B67" s="127"/>
      <c r="C67" s="127"/>
      <c r="D67" s="127"/>
      <c r="E67" s="127"/>
      <c r="F67" s="127"/>
      <c r="G67" s="127"/>
      <c r="H67" s="127"/>
      <c r="I67" s="127"/>
      <c r="J67" s="127"/>
      <c r="K67" s="127"/>
      <c r="L67" s="127"/>
    </row>
    <row r="68" spans="1:12" ht="12" customHeight="1">
      <c r="A68" s="127"/>
      <c r="B68" s="127"/>
      <c r="C68" s="127"/>
      <c r="D68" s="127"/>
      <c r="E68" s="127"/>
      <c r="F68" s="127"/>
      <c r="G68" s="127"/>
      <c r="H68" s="127"/>
      <c r="I68" s="127"/>
      <c r="J68" s="127"/>
      <c r="K68" s="127"/>
      <c r="L68" s="127"/>
    </row>
    <row r="69" spans="1:12" ht="12" customHeight="1">
      <c r="A69" s="127"/>
      <c r="B69" s="127"/>
      <c r="C69" s="127"/>
      <c r="D69" s="127"/>
      <c r="E69" s="127"/>
      <c r="F69" s="127"/>
      <c r="G69" s="127"/>
      <c r="H69" s="127"/>
      <c r="I69" s="127"/>
      <c r="J69" s="127"/>
      <c r="K69" s="127"/>
      <c r="L69" s="127"/>
    </row>
    <row r="70" spans="1:12" ht="12" customHeight="1">
      <c r="A70" s="127"/>
      <c r="B70" s="127"/>
      <c r="C70" s="127"/>
      <c r="D70" s="127"/>
      <c r="E70" s="127"/>
      <c r="F70" s="127"/>
      <c r="G70" s="127"/>
      <c r="H70" s="127"/>
      <c r="I70" s="127"/>
      <c r="J70" s="127"/>
      <c r="K70" s="127"/>
      <c r="L70" s="127"/>
    </row>
    <row r="71" spans="1:12" ht="12" customHeight="1">
      <c r="A71" s="127"/>
      <c r="B71" s="127"/>
      <c r="C71" s="127"/>
      <c r="D71" s="127"/>
      <c r="E71" s="127"/>
      <c r="F71" s="127"/>
      <c r="G71" s="127"/>
      <c r="H71" s="127"/>
      <c r="I71" s="127"/>
      <c r="J71" s="127"/>
      <c r="K71" s="127"/>
      <c r="L71" s="127"/>
    </row>
    <row r="72" spans="1:12" ht="12" customHeight="1">
      <c r="A72" s="127"/>
      <c r="B72" s="127"/>
      <c r="C72" s="127"/>
      <c r="D72" s="127"/>
      <c r="E72" s="127"/>
      <c r="F72" s="127"/>
      <c r="G72" s="127"/>
      <c r="H72" s="127"/>
      <c r="I72" s="127"/>
      <c r="J72" s="127"/>
      <c r="K72" s="127"/>
      <c r="L72" s="127"/>
    </row>
    <row r="73" spans="1:12" ht="12" customHeight="1">
      <c r="A73" s="127"/>
      <c r="B73" s="127"/>
      <c r="C73" s="127"/>
      <c r="D73" s="127"/>
      <c r="E73" s="127"/>
      <c r="F73" s="127"/>
      <c r="G73" s="127"/>
      <c r="H73" s="127"/>
      <c r="I73" s="127"/>
      <c r="J73" s="127"/>
      <c r="K73" s="127"/>
      <c r="L73" s="127"/>
    </row>
    <row r="74" spans="1:12" ht="12" customHeight="1">
      <c r="A74" s="127"/>
      <c r="B74" s="127"/>
      <c r="C74" s="127"/>
      <c r="D74" s="127"/>
      <c r="E74" s="127"/>
      <c r="F74" s="127"/>
      <c r="G74" s="127"/>
      <c r="H74" s="127"/>
      <c r="I74" s="127"/>
      <c r="J74" s="127"/>
      <c r="K74" s="127"/>
      <c r="L74" s="127"/>
    </row>
    <row r="75" spans="1:12" ht="12" customHeight="1">
      <c r="A75" s="127"/>
      <c r="B75" s="127"/>
      <c r="C75" s="127"/>
      <c r="D75" s="127"/>
      <c r="E75" s="127"/>
      <c r="F75" s="127"/>
      <c r="G75" s="127"/>
      <c r="H75" s="127"/>
      <c r="I75" s="127"/>
      <c r="J75" s="127"/>
      <c r="K75" s="127"/>
      <c r="L75" s="127"/>
    </row>
    <row r="76" spans="1:12" ht="12" customHeight="1">
      <c r="A76" s="127"/>
      <c r="B76" s="127"/>
      <c r="C76" s="127"/>
      <c r="D76" s="127"/>
      <c r="E76" s="127"/>
      <c r="F76" s="127"/>
      <c r="G76" s="127"/>
      <c r="H76" s="127"/>
      <c r="I76" s="127"/>
      <c r="J76" s="127"/>
      <c r="K76" s="127"/>
      <c r="L76" s="127"/>
    </row>
    <row r="77" spans="1:12" ht="12" customHeight="1">
      <c r="A77" s="127"/>
      <c r="B77" s="127"/>
      <c r="C77" s="127"/>
      <c r="D77" s="127"/>
      <c r="E77" s="127"/>
      <c r="F77" s="127"/>
      <c r="G77" s="127"/>
      <c r="H77" s="127"/>
      <c r="I77" s="127"/>
      <c r="J77" s="127"/>
      <c r="K77" s="127"/>
      <c r="L77" s="127"/>
    </row>
    <row r="78" spans="1:12" ht="12" customHeight="1">
      <c r="A78" s="127"/>
      <c r="B78" s="127"/>
      <c r="C78" s="127"/>
      <c r="D78" s="127"/>
      <c r="E78" s="127"/>
      <c r="F78" s="127"/>
      <c r="G78" s="127"/>
      <c r="H78" s="127"/>
      <c r="I78" s="127"/>
      <c r="J78" s="127"/>
      <c r="K78" s="127"/>
      <c r="L78" s="127"/>
    </row>
    <row r="79" spans="1:12" ht="12" customHeight="1">
      <c r="A79" s="127"/>
      <c r="B79" s="127"/>
      <c r="C79" s="127"/>
      <c r="D79" s="127"/>
      <c r="E79" s="127"/>
      <c r="F79" s="127"/>
      <c r="G79" s="127"/>
      <c r="H79" s="127"/>
      <c r="I79" s="127"/>
      <c r="J79" s="127"/>
      <c r="K79" s="127"/>
      <c r="L79" s="127"/>
    </row>
    <row r="80" spans="1:12" ht="12" customHeight="1">
      <c r="A80" s="127"/>
      <c r="B80" s="127"/>
      <c r="C80" s="127"/>
      <c r="D80" s="127"/>
      <c r="E80" s="127"/>
      <c r="F80" s="127"/>
      <c r="G80" s="127"/>
      <c r="H80" s="127"/>
      <c r="I80" s="127"/>
      <c r="J80" s="127"/>
      <c r="K80" s="127"/>
      <c r="L80" s="127"/>
    </row>
    <row r="81" spans="1:12" ht="12" customHeight="1">
      <c r="A81" s="127"/>
      <c r="B81" s="127"/>
      <c r="C81" s="127"/>
      <c r="D81" s="127"/>
      <c r="E81" s="127"/>
      <c r="F81" s="127"/>
      <c r="G81" s="127"/>
      <c r="H81" s="127"/>
      <c r="I81" s="127"/>
      <c r="J81" s="127"/>
      <c r="K81" s="127"/>
      <c r="L81" s="127"/>
    </row>
    <row r="82" spans="1:12" ht="12" customHeight="1">
      <c r="A82" s="127"/>
      <c r="B82" s="127"/>
      <c r="C82" s="127"/>
      <c r="D82" s="127"/>
      <c r="E82" s="127"/>
      <c r="F82" s="127"/>
      <c r="G82" s="127"/>
      <c r="H82" s="127"/>
      <c r="I82" s="127"/>
      <c r="J82" s="127"/>
      <c r="K82" s="127"/>
      <c r="L82" s="127"/>
    </row>
    <row r="83" spans="1:12" ht="12" customHeight="1">
      <c r="A83" s="127"/>
      <c r="B83" s="127"/>
      <c r="C83" s="127"/>
      <c r="D83" s="127"/>
      <c r="E83" s="127"/>
      <c r="F83" s="127"/>
      <c r="G83" s="127"/>
      <c r="H83" s="127"/>
      <c r="I83" s="127"/>
      <c r="J83" s="127"/>
      <c r="K83" s="127"/>
      <c r="L83" s="127"/>
    </row>
    <row r="84" spans="1:12" ht="12" customHeight="1">
      <c r="A84" s="127"/>
      <c r="B84" s="127"/>
      <c r="C84" s="127"/>
      <c r="D84" s="127"/>
      <c r="E84" s="127"/>
      <c r="F84" s="127"/>
      <c r="G84" s="127"/>
      <c r="H84" s="127"/>
      <c r="I84" s="127"/>
      <c r="J84" s="127"/>
      <c r="K84" s="127"/>
      <c r="L84" s="127"/>
    </row>
    <row r="85" spans="1:12" ht="12" customHeight="1">
      <c r="A85" s="127"/>
      <c r="B85" s="127"/>
      <c r="C85" s="127"/>
      <c r="D85" s="127"/>
      <c r="E85" s="127"/>
      <c r="F85" s="127"/>
      <c r="G85" s="127"/>
      <c r="H85" s="127"/>
      <c r="I85" s="127"/>
      <c r="J85" s="127"/>
      <c r="K85" s="127"/>
      <c r="L85" s="127"/>
    </row>
    <row r="86" spans="1:12" ht="12" customHeight="1">
      <c r="A86" s="127"/>
      <c r="B86" s="127"/>
      <c r="C86" s="127"/>
      <c r="D86" s="127"/>
      <c r="E86" s="127"/>
      <c r="F86" s="127"/>
      <c r="G86" s="127"/>
      <c r="H86" s="127"/>
      <c r="I86" s="127"/>
      <c r="J86" s="127"/>
      <c r="K86" s="127"/>
      <c r="L86" s="127"/>
    </row>
    <row r="87" spans="1:12" ht="12" customHeight="1">
      <c r="A87" s="127"/>
      <c r="B87" s="127"/>
      <c r="C87" s="127"/>
      <c r="D87" s="127"/>
      <c r="E87" s="127"/>
      <c r="F87" s="127"/>
      <c r="G87" s="127"/>
      <c r="H87" s="127"/>
      <c r="I87" s="127"/>
      <c r="J87" s="127"/>
      <c r="K87" s="127"/>
      <c r="L87" s="127"/>
    </row>
    <row r="88" spans="1:12" ht="12" customHeight="1">
      <c r="A88" s="127"/>
      <c r="B88" s="127"/>
      <c r="C88" s="127"/>
      <c r="D88" s="127"/>
      <c r="E88" s="127"/>
      <c r="F88" s="127"/>
      <c r="G88" s="127"/>
      <c r="H88" s="127"/>
      <c r="I88" s="127"/>
      <c r="J88" s="127"/>
      <c r="K88" s="127"/>
      <c r="L88" s="127"/>
    </row>
    <row r="89" spans="1:12" ht="12" customHeight="1">
      <c r="A89" s="127"/>
      <c r="B89" s="127"/>
      <c r="C89" s="127"/>
      <c r="D89" s="127"/>
      <c r="E89" s="127"/>
      <c r="F89" s="127"/>
      <c r="G89" s="127"/>
      <c r="H89" s="127"/>
      <c r="I89" s="127"/>
      <c r="J89" s="127"/>
      <c r="K89" s="127"/>
      <c r="L89" s="127"/>
    </row>
    <row r="90" spans="1:12" ht="12" customHeight="1">
      <c r="A90" s="127"/>
      <c r="B90" s="127"/>
      <c r="C90" s="127"/>
      <c r="D90" s="127"/>
      <c r="E90" s="127"/>
      <c r="F90" s="127"/>
      <c r="G90" s="127"/>
      <c r="H90" s="127"/>
      <c r="I90" s="127"/>
      <c r="J90" s="127"/>
      <c r="K90" s="127"/>
      <c r="L90" s="127"/>
    </row>
    <row r="91" spans="1:12" ht="12" customHeight="1">
      <c r="A91" s="127"/>
      <c r="B91" s="127"/>
      <c r="C91" s="127"/>
      <c r="D91" s="127"/>
      <c r="E91" s="127"/>
      <c r="F91" s="127"/>
      <c r="G91" s="127"/>
      <c r="H91" s="127"/>
      <c r="I91" s="127"/>
      <c r="J91" s="127"/>
      <c r="K91" s="127"/>
      <c r="L91" s="127"/>
    </row>
    <row r="92" spans="1:12" ht="12" customHeight="1">
      <c r="A92" s="127"/>
      <c r="B92" s="127"/>
      <c r="C92" s="127"/>
      <c r="D92" s="127"/>
      <c r="E92" s="127"/>
      <c r="F92" s="127"/>
      <c r="G92" s="127"/>
      <c r="H92" s="127"/>
      <c r="I92" s="127"/>
      <c r="J92" s="127"/>
      <c r="K92" s="127"/>
      <c r="L92" s="127"/>
    </row>
    <row r="93" spans="1:12" ht="12" customHeight="1">
      <c r="A93" s="127"/>
      <c r="B93" s="127"/>
      <c r="C93" s="127"/>
      <c r="D93" s="127"/>
      <c r="E93" s="127"/>
      <c r="F93" s="127"/>
      <c r="G93" s="127"/>
      <c r="H93" s="127"/>
      <c r="I93" s="127"/>
      <c r="J93" s="127"/>
      <c r="K93" s="127"/>
      <c r="L93" s="127"/>
    </row>
    <row r="94" spans="1:12" ht="12" customHeight="1">
      <c r="A94" s="127"/>
      <c r="B94" s="127"/>
      <c r="C94" s="127"/>
      <c r="D94" s="127"/>
      <c r="E94" s="127"/>
      <c r="F94" s="127"/>
      <c r="G94" s="127"/>
      <c r="H94" s="127"/>
      <c r="I94" s="127"/>
      <c r="J94" s="127"/>
      <c r="K94" s="127"/>
      <c r="L94" s="127"/>
    </row>
    <row r="95" spans="1:12" ht="12" customHeight="1">
      <c r="A95" s="127"/>
      <c r="B95" s="127"/>
      <c r="C95" s="127"/>
      <c r="D95" s="127"/>
      <c r="E95" s="127"/>
      <c r="F95" s="127"/>
      <c r="G95" s="127"/>
      <c r="H95" s="127"/>
      <c r="I95" s="127"/>
      <c r="J95" s="127"/>
      <c r="K95" s="127"/>
      <c r="L95" s="127"/>
    </row>
    <row r="96" spans="1:12" ht="12" customHeight="1">
      <c r="A96" s="127"/>
      <c r="B96" s="127"/>
      <c r="C96" s="127"/>
      <c r="D96" s="127"/>
      <c r="E96" s="127"/>
      <c r="F96" s="127"/>
      <c r="G96" s="127"/>
      <c r="H96" s="127"/>
      <c r="I96" s="127"/>
      <c r="J96" s="127"/>
      <c r="K96" s="127"/>
      <c r="L96" s="127"/>
    </row>
    <row r="97" spans="1:12" ht="12" customHeight="1">
      <c r="A97" s="127"/>
      <c r="B97" s="127"/>
      <c r="C97" s="127"/>
      <c r="D97" s="127"/>
      <c r="E97" s="127"/>
      <c r="F97" s="127"/>
      <c r="G97" s="127"/>
      <c r="H97" s="127"/>
      <c r="I97" s="127"/>
      <c r="J97" s="127"/>
      <c r="K97" s="127"/>
      <c r="L97" s="127"/>
    </row>
    <row r="98" spans="1:12" ht="12" customHeight="1">
      <c r="A98" s="127"/>
      <c r="B98" s="127"/>
      <c r="C98" s="127"/>
      <c r="D98" s="127"/>
      <c r="E98" s="127"/>
      <c r="F98" s="127"/>
      <c r="G98" s="127"/>
      <c r="H98" s="127"/>
      <c r="I98" s="127"/>
      <c r="J98" s="127"/>
      <c r="K98" s="127"/>
      <c r="L98" s="127"/>
    </row>
    <row r="99" spans="1:12" ht="12" customHeight="1">
      <c r="A99" s="127"/>
      <c r="B99" s="127"/>
      <c r="C99" s="127"/>
      <c r="D99" s="127"/>
      <c r="E99" s="127"/>
      <c r="F99" s="127"/>
      <c r="G99" s="127"/>
      <c r="H99" s="127"/>
      <c r="I99" s="127"/>
      <c r="J99" s="127"/>
      <c r="K99" s="127"/>
      <c r="L99" s="127"/>
    </row>
    <row r="100" spans="1:12" ht="12" customHeight="1">
      <c r="A100" s="127"/>
      <c r="B100" s="127"/>
      <c r="C100" s="127"/>
      <c r="D100" s="127"/>
      <c r="E100" s="127"/>
      <c r="F100" s="127"/>
      <c r="G100" s="127"/>
      <c r="H100" s="127"/>
      <c r="I100" s="127"/>
      <c r="J100" s="127"/>
      <c r="K100" s="127"/>
      <c r="L100" s="127"/>
    </row>
    <row r="101" spans="1:12" ht="12" customHeight="1">
      <c r="A101" s="127"/>
      <c r="B101" s="127"/>
      <c r="C101" s="127"/>
      <c r="D101" s="127"/>
      <c r="E101" s="127"/>
      <c r="F101" s="127"/>
      <c r="G101" s="127"/>
      <c r="H101" s="127"/>
      <c r="I101" s="127"/>
      <c r="J101" s="127"/>
      <c r="K101" s="127"/>
      <c r="L101" s="127"/>
    </row>
    <row r="102" spans="1:12" ht="12" customHeight="1">
      <c r="A102" s="127"/>
      <c r="B102" s="127"/>
      <c r="C102" s="127"/>
      <c r="D102" s="127"/>
      <c r="E102" s="127"/>
      <c r="F102" s="127"/>
      <c r="G102" s="127"/>
      <c r="H102" s="127"/>
      <c r="I102" s="127"/>
      <c r="J102" s="127"/>
      <c r="K102" s="127"/>
      <c r="L102" s="127"/>
    </row>
    <row r="103" spans="1:12" ht="12" customHeight="1">
      <c r="A103" s="127"/>
      <c r="B103" s="127"/>
      <c r="C103" s="127"/>
      <c r="D103" s="127"/>
      <c r="E103" s="127"/>
      <c r="F103" s="127"/>
      <c r="G103" s="127"/>
      <c r="H103" s="127"/>
      <c r="I103" s="127"/>
      <c r="J103" s="127"/>
      <c r="K103" s="127"/>
      <c r="L103" s="127"/>
    </row>
    <row r="104" spans="1:12" ht="12" customHeight="1">
      <c r="A104" s="127"/>
      <c r="B104" s="127"/>
      <c r="C104" s="127"/>
      <c r="D104" s="127"/>
      <c r="E104" s="127"/>
      <c r="F104" s="127"/>
      <c r="G104" s="127"/>
      <c r="H104" s="127"/>
      <c r="I104" s="127"/>
      <c r="J104" s="127"/>
      <c r="K104" s="127"/>
      <c r="L104" s="127"/>
    </row>
    <row r="105" spans="1:12" ht="12" customHeight="1">
      <c r="A105" s="127"/>
      <c r="B105" s="127"/>
      <c r="C105" s="127"/>
      <c r="D105" s="127"/>
      <c r="E105" s="127"/>
      <c r="F105" s="127"/>
      <c r="G105" s="127"/>
      <c r="H105" s="127"/>
      <c r="I105" s="127"/>
      <c r="J105" s="127"/>
      <c r="K105" s="127"/>
      <c r="L105" s="127"/>
    </row>
    <row r="106" spans="1:12" ht="12" customHeight="1">
      <c r="A106" s="127"/>
      <c r="B106" s="127"/>
      <c r="C106" s="127"/>
      <c r="D106" s="127"/>
      <c r="E106" s="127"/>
      <c r="F106" s="127"/>
      <c r="G106" s="127"/>
      <c r="H106" s="127"/>
      <c r="I106" s="127"/>
      <c r="J106" s="127"/>
      <c r="K106" s="127"/>
      <c r="L106" s="127"/>
    </row>
    <row r="107" spans="1:12" ht="12" customHeight="1">
      <c r="A107" s="127"/>
      <c r="B107" s="127"/>
      <c r="C107" s="127"/>
      <c r="D107" s="127"/>
      <c r="E107" s="127"/>
      <c r="F107" s="127"/>
      <c r="G107" s="127"/>
      <c r="H107" s="127"/>
      <c r="I107" s="127"/>
      <c r="J107" s="127"/>
      <c r="K107" s="127"/>
      <c r="L107" s="127"/>
    </row>
    <row r="108" spans="1:12" ht="12" customHeight="1">
      <c r="A108" s="127"/>
      <c r="B108" s="127"/>
      <c r="C108" s="127"/>
      <c r="D108" s="127"/>
      <c r="E108" s="127"/>
      <c r="F108" s="127"/>
      <c r="G108" s="127"/>
      <c r="H108" s="127"/>
      <c r="I108" s="127"/>
      <c r="J108" s="127"/>
      <c r="K108" s="127"/>
      <c r="L108" s="127"/>
    </row>
    <row r="109" spans="1:12" ht="12" customHeight="1">
      <c r="A109" s="127"/>
      <c r="B109" s="127"/>
      <c r="C109" s="127"/>
      <c r="D109" s="127"/>
      <c r="E109" s="127"/>
      <c r="F109" s="127"/>
      <c r="G109" s="127"/>
      <c r="H109" s="127"/>
      <c r="I109" s="127"/>
      <c r="J109" s="127"/>
      <c r="K109" s="127"/>
      <c r="L109" s="127"/>
    </row>
    <row r="110" spans="1:12" ht="12" customHeight="1">
      <c r="A110" s="127"/>
      <c r="B110" s="127"/>
      <c r="C110" s="127"/>
      <c r="D110" s="127"/>
      <c r="E110" s="127"/>
      <c r="F110" s="127"/>
      <c r="G110" s="127"/>
      <c r="H110" s="127"/>
      <c r="I110" s="127"/>
      <c r="J110" s="127"/>
      <c r="K110" s="127"/>
      <c r="L110" s="127"/>
    </row>
    <row r="111" spans="1:12" ht="12" customHeight="1">
      <c r="A111" s="127"/>
      <c r="B111" s="127"/>
      <c r="C111" s="127"/>
      <c r="D111" s="127"/>
      <c r="E111" s="127"/>
      <c r="F111" s="127"/>
      <c r="G111" s="127"/>
      <c r="H111" s="127"/>
      <c r="I111" s="127"/>
      <c r="J111" s="127"/>
      <c r="K111" s="127"/>
      <c r="L111" s="127"/>
    </row>
    <row r="112" spans="1:12" ht="12" customHeight="1">
      <c r="A112" s="127"/>
      <c r="B112" s="127"/>
      <c r="C112" s="127"/>
      <c r="D112" s="127"/>
      <c r="E112" s="127"/>
      <c r="F112" s="127"/>
      <c r="G112" s="127"/>
      <c r="H112" s="127"/>
      <c r="I112" s="127"/>
      <c r="J112" s="127"/>
      <c r="K112" s="127"/>
      <c r="L112" s="127"/>
    </row>
    <row r="113" spans="1:12" ht="12" customHeight="1">
      <c r="A113" s="127"/>
      <c r="B113" s="127"/>
      <c r="C113" s="127"/>
      <c r="D113" s="127"/>
      <c r="E113" s="127"/>
      <c r="F113" s="127"/>
      <c r="G113" s="127"/>
      <c r="H113" s="127"/>
      <c r="I113" s="127"/>
      <c r="J113" s="127"/>
      <c r="K113" s="127"/>
      <c r="L113" s="127"/>
    </row>
    <row r="114" spans="1:12" ht="12" customHeight="1">
      <c r="A114" s="127"/>
      <c r="B114" s="127"/>
      <c r="C114" s="127"/>
      <c r="D114" s="127"/>
      <c r="E114" s="127"/>
      <c r="F114" s="127"/>
      <c r="G114" s="127"/>
      <c r="H114" s="127"/>
      <c r="I114" s="127"/>
      <c r="J114" s="127"/>
      <c r="K114" s="127"/>
      <c r="L114" s="127"/>
    </row>
    <row r="115" spans="1:12" ht="12" customHeight="1">
      <c r="A115" s="127"/>
      <c r="B115" s="127"/>
      <c r="C115" s="127"/>
      <c r="D115" s="127"/>
      <c r="E115" s="127"/>
      <c r="F115" s="127"/>
      <c r="G115" s="127"/>
      <c r="H115" s="127"/>
      <c r="I115" s="127"/>
      <c r="J115" s="127"/>
      <c r="K115" s="127"/>
      <c r="L115" s="127"/>
    </row>
    <row r="116" spans="1:12" ht="12" customHeight="1">
      <c r="A116" s="127"/>
      <c r="B116" s="127"/>
      <c r="C116" s="127"/>
      <c r="D116" s="127"/>
      <c r="E116" s="127"/>
      <c r="F116" s="127"/>
      <c r="G116" s="127"/>
      <c r="H116" s="127"/>
      <c r="I116" s="127"/>
      <c r="J116" s="127"/>
      <c r="K116" s="127"/>
      <c r="L116" s="127"/>
    </row>
    <row r="117" spans="1:12" ht="12" customHeight="1">
      <c r="A117" s="127"/>
      <c r="B117" s="127"/>
      <c r="C117" s="127"/>
      <c r="D117" s="127"/>
      <c r="E117" s="127"/>
      <c r="F117" s="127"/>
      <c r="G117" s="127"/>
      <c r="H117" s="127"/>
      <c r="I117" s="127"/>
      <c r="J117" s="127"/>
      <c r="K117" s="127"/>
      <c r="L117" s="127"/>
    </row>
    <row r="118" spans="1:12" ht="12" customHeight="1">
      <c r="A118" s="127"/>
      <c r="B118" s="127"/>
      <c r="C118" s="127"/>
      <c r="D118" s="127"/>
      <c r="E118" s="127"/>
      <c r="F118" s="127"/>
      <c r="G118" s="127"/>
      <c r="H118" s="127"/>
      <c r="I118" s="127"/>
      <c r="J118" s="127"/>
      <c r="K118" s="127"/>
      <c r="L118" s="127"/>
    </row>
    <row r="119" spans="1:12" ht="12" customHeight="1">
      <c r="A119" s="127"/>
      <c r="B119" s="127"/>
      <c r="C119" s="127"/>
      <c r="D119" s="127"/>
      <c r="E119" s="127"/>
      <c r="F119" s="127"/>
      <c r="G119" s="127"/>
      <c r="H119" s="127"/>
      <c r="I119" s="127"/>
      <c r="J119" s="127"/>
      <c r="K119" s="127"/>
      <c r="L119" s="127"/>
    </row>
    <row r="120" spans="1:12" ht="12" customHeight="1">
      <c r="A120" s="127"/>
      <c r="B120" s="127"/>
      <c r="C120" s="127"/>
      <c r="D120" s="127"/>
      <c r="E120" s="127"/>
      <c r="F120" s="127"/>
      <c r="G120" s="127"/>
      <c r="H120" s="127"/>
      <c r="I120" s="127"/>
      <c r="J120" s="127"/>
      <c r="K120" s="127"/>
      <c r="L120" s="127"/>
    </row>
  </sheetData>
  <mergeCells count="2">
    <mergeCell ref="A2:L3"/>
    <mergeCell ref="A6:L8"/>
  </mergeCells>
  <phoneticPr fontId="5" type="noConversion"/>
  <printOptions horizontalCentered="1"/>
  <pageMargins left="0.3888888888888889" right="0.3888888888888889" top="0.3888888888888889" bottom="0.3888888888888889" header="0.1388888888888889" footer="0.1388888888888889"/>
  <pageSetup paperSize="9" fitToHeight="0" orientation="portrait" r:id="rId1"/>
  <headerFooter>
    <oddFooter>&amp;CSection A - Scheme 1 | &amp;P / &amp;N</oddFooter>
  </headerFooter>
  <rowBreaks count="1" manualBreakCount="1">
    <brk id="60" max="16383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336C2-1607-4B09-B040-D08C44939608}">
  <sheetPr>
    <pageSetUpPr fitToPage="1"/>
  </sheetPr>
  <dimension ref="A1:AW512"/>
  <sheetViews>
    <sheetView workbookViewId="0"/>
  </sheetViews>
  <sheetFormatPr defaultRowHeight="14.4"/>
  <cols>
    <col min="1" max="23" width="14.6171875" style="120" customWidth="1"/>
    <col min="24" max="26" width="8.76171875" style="120"/>
    <col min="27" max="49" width="0" style="120" hidden="1" customWidth="1"/>
    <col min="50" max="16384" width="8.76171875" style="120"/>
  </cols>
  <sheetData>
    <row r="1" spans="1:49" ht="18.3">
      <c r="A1" s="122" t="s">
        <v>256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  <c r="S1" s="121"/>
      <c r="T1" s="121"/>
      <c r="U1" s="121"/>
      <c r="V1" s="121"/>
      <c r="W1" s="121"/>
    </row>
    <row r="2" spans="1:49">
      <c r="A2" s="121" t="s">
        <v>257</v>
      </c>
      <c r="B2" s="121"/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  <c r="S2" s="121"/>
      <c r="T2" s="121"/>
      <c r="U2" s="121"/>
      <c r="V2" s="121"/>
      <c r="W2" s="121"/>
    </row>
    <row r="3" spans="1:49">
      <c r="A3" s="120" t="s">
        <v>258</v>
      </c>
      <c r="B3" s="120" t="str">
        <f>IFERROR(VLOOKUP('Deflection Check'!H19,'Deflection Check'!$G$68:$H$83,2,FALSE),"")</f>
        <v/>
      </c>
      <c r="M3" s="120" t="s">
        <v>274</v>
      </c>
      <c r="N3" s="120" t="str">
        <f>IFERROR(VLOOKUP('Deflection Check'!J19,'Deflection Check'!$G$68:$H$83,2,FALSE),"")</f>
        <v/>
      </c>
    </row>
    <row r="4" spans="1:49">
      <c r="A4" s="120" t="s">
        <v>259</v>
      </c>
      <c r="B4" s="120" t="str">
        <f>IF(ISNUMBER('Deflection Check'!H18),'Deflection Check'!H18,"")</f>
        <v/>
      </c>
      <c r="M4" s="120" t="s">
        <v>259</v>
      </c>
      <c r="N4" s="120" t="str">
        <f>IF(ISNUMBER('Deflection Check'!J18),'Deflection Check'!J18,"")</f>
        <v/>
      </c>
    </row>
    <row r="5" spans="1:49">
      <c r="A5" s="120" t="s">
        <v>260</v>
      </c>
      <c r="M5" s="120" t="s">
        <v>260</v>
      </c>
    </row>
    <row r="6" spans="1:49">
      <c r="A6" s="120" t="s">
        <v>261</v>
      </c>
      <c r="B6" s="120">
        <f>SUM($G$13:$G$512)</f>
        <v>0</v>
      </c>
      <c r="M6" s="120" t="s">
        <v>261</v>
      </c>
      <c r="N6" s="120">
        <f>SUM($S$13:$S$512)</f>
        <v>0</v>
      </c>
    </row>
    <row r="7" spans="1:49">
      <c r="A7" s="120" t="s">
        <v>262</v>
      </c>
      <c r="B7" s="120">
        <f>SUM($H$13:$H$512)</f>
        <v>0</v>
      </c>
      <c r="M7" s="120" t="s">
        <v>262</v>
      </c>
      <c r="N7" s="120">
        <f>SUM($T$13:$T$512)</f>
        <v>0</v>
      </c>
    </row>
    <row r="8" spans="1:49">
      <c r="A8" s="120" t="s">
        <v>263</v>
      </c>
      <c r="B8" s="120" t="str">
        <f>IF(B10="Inputs complete",SUM($I$13:$I$512),"n.a.")</f>
        <v>n.a.</v>
      </c>
      <c r="M8" s="120" t="s">
        <v>263</v>
      </c>
      <c r="N8" s="120" t="str">
        <f>IF(N10="Inputs complete",SUM($U$13:$U$512),"n.a.")</f>
        <v>n.a.</v>
      </c>
      <c r="AA8" s="120">
        <f>SUM($AA$13:$AA$512)</f>
        <v>0</v>
      </c>
      <c r="AB8" s="120">
        <f>SUM($AB$13:$AB$512)</f>
        <v>0</v>
      </c>
      <c r="AC8" s="120">
        <f>SUM($AC$13:$AC$512)</f>
        <v>0</v>
      </c>
      <c r="AD8" s="120">
        <f>SUM($AD$13:$AD$512)</f>
        <v>0</v>
      </c>
      <c r="AE8" s="120">
        <f>SUM($AE$13:$AE$512)</f>
        <v>0</v>
      </c>
      <c r="AF8" s="120">
        <f>SUM($AF$13:$AF$512)</f>
        <v>0</v>
      </c>
      <c r="AG8" s="120">
        <f>SUM($AG$13:$AG$512)</f>
        <v>0</v>
      </c>
      <c r="AH8" s="120">
        <f>SUM($AH$13:$AH$512)</f>
        <v>0</v>
      </c>
      <c r="AI8" s="120">
        <f>SUM($AI$13:$AI$512)</f>
        <v>0</v>
      </c>
      <c r="AJ8" s="120">
        <f>SUM($AJ$13:$AJ$512)</f>
        <v>0</v>
      </c>
      <c r="AK8" s="120">
        <f>SUM($AK$13:$AK$512)</f>
        <v>0</v>
      </c>
      <c r="AM8" s="120">
        <f>SUM($AM$13:$AM$512)</f>
        <v>0</v>
      </c>
      <c r="AN8" s="120">
        <f>SUM($AN$13:$AN$512)</f>
        <v>0</v>
      </c>
      <c r="AO8" s="120">
        <f>SUM($AO$13:$AO$512)</f>
        <v>0</v>
      </c>
      <c r="AP8" s="120">
        <f>SUM($AP$13:$AP$512)</f>
        <v>0</v>
      </c>
      <c r="AQ8" s="120">
        <f>SUM($AQ$13:$AQ$512)</f>
        <v>0</v>
      </c>
      <c r="AR8" s="120">
        <f>SUM($AR$13:$AR$512)</f>
        <v>0</v>
      </c>
      <c r="AS8" s="120">
        <f>SUM($AS$13:$AS$512)</f>
        <v>0</v>
      </c>
      <c r="AT8" s="120">
        <f>SUM($AT$13:$AT$512)</f>
        <v>0</v>
      </c>
      <c r="AU8" s="120">
        <f>SUM($AU$13:$AU$512)</f>
        <v>0</v>
      </c>
      <c r="AV8" s="120">
        <f>SUM($AV$13:$AV$512)</f>
        <v>0</v>
      </c>
      <c r="AW8" s="120">
        <f>SUM($AW$13:$AW$512)</f>
        <v>0</v>
      </c>
    </row>
    <row r="9" spans="1:49">
      <c r="A9" s="120" t="s">
        <v>264</v>
      </c>
      <c r="B9" s="120">
        <f>COUNTIF($J$13:$J$512,"OK")</f>
        <v>0</v>
      </c>
      <c r="M9" s="120" t="s">
        <v>264</v>
      </c>
      <c r="N9" s="120">
        <f>COUNTIF($V$13:$V$512,"OK")</f>
        <v>0</v>
      </c>
    </row>
    <row r="10" spans="1:49">
      <c r="A10" s="120" t="s">
        <v>5</v>
      </c>
      <c r="B10" s="120" t="str">
        <f>IF(AND(ISNUMBER(B4),B4&gt;0,COUNTIF($J$13:$J$512,"OK")&gt;0,COUNTIF($J$13:$J$512,"CHECK INPUTS")+COUNTIF($J$13:$J$512,"OVERLAP")=0),"Inputs complete","CHECK LAYER INPUTS")</f>
        <v>CHECK LAYER INPUTS</v>
      </c>
      <c r="M10" s="120" t="s">
        <v>5</v>
      </c>
      <c r="N10" s="120" t="str">
        <f>IF(AND(ISNUMBER(N4),N4&gt;0,COUNTIF($V$13:$V$512,"OK")&gt;0,COUNTIF($V$13:$V$512,"CHECK INPUTS")+COUNTIF($V$13:$V$512,"OVERLAP")=0),"Inputs complete","CHECK LAYER INPUTS")</f>
        <v>CHECK LAYER INPUTS</v>
      </c>
    </row>
    <row r="12" spans="1:49" ht="35.049999999999997" customHeight="1">
      <c r="A12" s="123" t="s">
        <v>265</v>
      </c>
      <c r="B12" s="123" t="s">
        <v>266</v>
      </c>
      <c r="C12" s="123" t="s">
        <v>267</v>
      </c>
      <c r="D12" s="123" t="s">
        <v>268</v>
      </c>
      <c r="E12" s="123" t="s">
        <v>269</v>
      </c>
      <c r="F12" s="123" t="s">
        <v>270</v>
      </c>
      <c r="G12" s="123" t="s">
        <v>271</v>
      </c>
      <c r="H12" s="123" t="s">
        <v>272</v>
      </c>
      <c r="I12" s="123" t="s">
        <v>273</v>
      </c>
      <c r="J12" s="123" t="s">
        <v>11</v>
      </c>
      <c r="M12" s="123" t="s">
        <v>275</v>
      </c>
      <c r="N12" s="123" t="s">
        <v>266</v>
      </c>
      <c r="O12" s="123" t="s">
        <v>267</v>
      </c>
      <c r="P12" s="123" t="s">
        <v>268</v>
      </c>
      <c r="Q12" s="123" t="s">
        <v>269</v>
      </c>
      <c r="R12" s="123" t="s">
        <v>270</v>
      </c>
      <c r="S12" s="123" t="s">
        <v>271</v>
      </c>
      <c r="T12" s="123" t="s">
        <v>272</v>
      </c>
      <c r="U12" s="123" t="s">
        <v>273</v>
      </c>
      <c r="V12" s="123" t="s">
        <v>11</v>
      </c>
    </row>
    <row r="13" spans="1:49">
      <c r="A13" s="124"/>
      <c r="B13" s="125"/>
      <c r="C13" s="125"/>
      <c r="D13" s="125"/>
      <c r="E13" s="125"/>
      <c r="F13" s="126" t="str">
        <f>IF(J13="OK",D13*E13,"")</f>
        <v/>
      </c>
      <c r="G13" s="126" t="str">
        <f>IF(J13="OK",F13*(C13-B13),"")</f>
        <v/>
      </c>
      <c r="H13" s="126" t="str">
        <f>IF(J13="OK",G13*(C13+B13)/2,"")</f>
        <v/>
      </c>
      <c r="I13" s="126" t="str">
        <f>IF(AND(J13="OK",ISNUMBER($B$5),$B$5&gt;0,ISNUMBER($B$3),$B$3&gt;0),F13*(4*$B$4*(C13^3-B13^3)-(C13^4-B13^4))/(24*$B$3*1000000*$B$5)*1000,"")</f>
        <v/>
      </c>
      <c r="J13" s="120" t="str">
        <f>IF(COUNTA(A13:E13)=0,"",IF(AND(COUNT(B13:E13)=4,B13&gt;=0,C13&gt;B13,C13&lt;=$B$4,D13&gt;=0,E13&gt;0),"OK","CHECK INPUTS"))</f>
        <v/>
      </c>
      <c r="M13" s="124"/>
      <c r="N13" s="125"/>
      <c r="O13" s="125"/>
      <c r="P13" s="125"/>
      <c r="Q13" s="125"/>
      <c r="R13" s="126" t="str">
        <f>IF(V13="OK",P13*Q13,"")</f>
        <v/>
      </c>
      <c r="S13" s="126" t="str">
        <f>IF(V13="OK",R13*(O13-N13),"")</f>
        <v/>
      </c>
      <c r="T13" s="126" t="str">
        <f>IF(V13="OK",S13*(O13+N13)/2,"")</f>
        <v/>
      </c>
      <c r="U13" s="126" t="str">
        <f>IF(AND(V13="OK",ISNUMBER($N$5),$N$5&gt;0,ISNUMBER($N$3),$N$3&gt;0),R13*(4*$N$4*(O13^3-N13^3)-(O13^4-N13^4))/(24*$N$3*1000000*$N$5)*1000,"")</f>
        <v/>
      </c>
      <c r="V13" s="120" t="str">
        <f>IF(COUNTA(M13:Q13)=0,"",IF(AND(COUNT(N13:Q13)=4,N13&gt;=0,O13&gt;N13,O13&lt;=$N$4,P13&gt;=0,Q13&gt;0),"OK","CHECK INPUTS"))</f>
        <v/>
      </c>
      <c r="AA13" s="120">
        <f>IF(AND(J13="OK",ISNUMBER($B$5),$B$5&gt;0,ISNUMBER($B$3),$B$3&gt;0),F13/(6*$B$3*1000000*$B$5)*(IF(B13&lt;($B$4*0/10),($B$4*0/10)*(MIN(C13,($B$4*0/10))^3-B13^3)-(MIN(C13,($B$4*0/10))^4-B13^4)/4,0)+IF(C13&gt;($B$4*0/10),($B$4*0/10)^2*(1.5*(C13^2-MAX(B13,($B$4*0/10))^2)-($B$4*0/10)*(C13-MAX(B13,($B$4*0/10)))),0))*1000,0)</f>
        <v>0</v>
      </c>
      <c r="AB13" s="120">
        <f>IF(AND(J13="OK",ISNUMBER($B$5),$B$5&gt;0,ISNUMBER($B$3),$B$3&gt;0),F13/(6*$B$3*1000000*$B$5)*(IF(B13&lt;($B$4*1/10),($B$4*1/10)*(MIN(C13,($B$4*1/10))^3-B13^3)-(MIN(C13,($B$4*1/10))^4-B13^4)/4,0)+IF(C13&gt;($B$4*1/10),($B$4*1/10)^2*(1.5*(C13^2-MAX(B13,($B$4*1/10))^2)-($B$4*1/10)*(C13-MAX(B13,($B$4*1/10)))),0))*1000,0)</f>
        <v>0</v>
      </c>
      <c r="AC13" s="120">
        <f>IF(AND(J13="OK",ISNUMBER($B$5),$B$5&gt;0,ISNUMBER($B$3),$B$3&gt;0),F13/(6*$B$3*1000000*$B$5)*(IF(B13&lt;($B$4*2/10),($B$4*2/10)*(MIN(C13,($B$4*2/10))^3-B13^3)-(MIN(C13,($B$4*2/10))^4-B13^4)/4,0)+IF(C13&gt;($B$4*2/10),($B$4*2/10)^2*(1.5*(C13^2-MAX(B13,($B$4*2/10))^2)-($B$4*2/10)*(C13-MAX(B13,($B$4*2/10)))),0))*1000,0)</f>
        <v>0</v>
      </c>
      <c r="AD13" s="120">
        <f>IF(AND(J13="OK",ISNUMBER($B$5),$B$5&gt;0,ISNUMBER($B$3),$B$3&gt;0),F13/(6*$B$3*1000000*$B$5)*(IF(B13&lt;($B$4*3/10),($B$4*3/10)*(MIN(C13,($B$4*3/10))^3-B13^3)-(MIN(C13,($B$4*3/10))^4-B13^4)/4,0)+IF(C13&gt;($B$4*3/10),($B$4*3/10)^2*(1.5*(C13^2-MAX(B13,($B$4*3/10))^2)-($B$4*3/10)*(C13-MAX(B13,($B$4*3/10)))),0))*1000,0)</f>
        <v>0</v>
      </c>
      <c r="AE13" s="120">
        <f>IF(AND(J13="OK",ISNUMBER($B$5),$B$5&gt;0,ISNUMBER($B$3),$B$3&gt;0),F13/(6*$B$3*1000000*$B$5)*(IF(B13&lt;($B$4*4/10),($B$4*4/10)*(MIN(C13,($B$4*4/10))^3-B13^3)-(MIN(C13,($B$4*4/10))^4-B13^4)/4,0)+IF(C13&gt;($B$4*4/10),($B$4*4/10)^2*(1.5*(C13^2-MAX(B13,($B$4*4/10))^2)-($B$4*4/10)*(C13-MAX(B13,($B$4*4/10)))),0))*1000,0)</f>
        <v>0</v>
      </c>
      <c r="AF13" s="120">
        <f>IF(AND(J13="OK",ISNUMBER($B$5),$B$5&gt;0,ISNUMBER($B$3),$B$3&gt;0),F13/(6*$B$3*1000000*$B$5)*(IF(B13&lt;($B$4*5/10),($B$4*5/10)*(MIN(C13,($B$4*5/10))^3-B13^3)-(MIN(C13,($B$4*5/10))^4-B13^4)/4,0)+IF(C13&gt;($B$4*5/10),($B$4*5/10)^2*(1.5*(C13^2-MAX(B13,($B$4*5/10))^2)-($B$4*5/10)*(C13-MAX(B13,($B$4*5/10)))),0))*1000,0)</f>
        <v>0</v>
      </c>
      <c r="AG13" s="120">
        <f>IF(AND(J13="OK",ISNUMBER($B$5),$B$5&gt;0,ISNUMBER($B$3),$B$3&gt;0),F13/(6*$B$3*1000000*$B$5)*(IF(B13&lt;($B$4*6/10),($B$4*6/10)*(MIN(C13,($B$4*6/10))^3-B13^3)-(MIN(C13,($B$4*6/10))^4-B13^4)/4,0)+IF(C13&gt;($B$4*6/10),($B$4*6/10)^2*(1.5*(C13^2-MAX(B13,($B$4*6/10))^2)-($B$4*6/10)*(C13-MAX(B13,($B$4*6/10)))),0))*1000,0)</f>
        <v>0</v>
      </c>
      <c r="AH13" s="120">
        <f>IF(AND(J13="OK",ISNUMBER($B$5),$B$5&gt;0,ISNUMBER($B$3),$B$3&gt;0),F13/(6*$B$3*1000000*$B$5)*(IF(B13&lt;($B$4*7/10),($B$4*7/10)*(MIN(C13,($B$4*7/10))^3-B13^3)-(MIN(C13,($B$4*7/10))^4-B13^4)/4,0)+IF(C13&gt;($B$4*7/10),($B$4*7/10)^2*(1.5*(C13^2-MAX(B13,($B$4*7/10))^2)-($B$4*7/10)*(C13-MAX(B13,($B$4*7/10)))),0))*1000,0)</f>
        <v>0</v>
      </c>
      <c r="AI13" s="120">
        <f>IF(AND(J13="OK",ISNUMBER($B$5),$B$5&gt;0,ISNUMBER($B$3),$B$3&gt;0),F13/(6*$B$3*1000000*$B$5)*(IF(B13&lt;($B$4*8/10),($B$4*8/10)*(MIN(C13,($B$4*8/10))^3-B13^3)-(MIN(C13,($B$4*8/10))^4-B13^4)/4,0)+IF(C13&gt;($B$4*8/10),($B$4*8/10)^2*(1.5*(C13^2-MAX(B13,($B$4*8/10))^2)-($B$4*8/10)*(C13-MAX(B13,($B$4*8/10)))),0))*1000,0)</f>
        <v>0</v>
      </c>
      <c r="AJ13" s="120">
        <f>IF(AND(J13="OK",ISNUMBER($B$5),$B$5&gt;0,ISNUMBER($B$3),$B$3&gt;0),F13/(6*$B$3*1000000*$B$5)*(IF(B13&lt;($B$4*9/10),($B$4*9/10)*(MIN(C13,($B$4*9/10))^3-B13^3)-(MIN(C13,($B$4*9/10))^4-B13^4)/4,0)+IF(C13&gt;($B$4*9/10),($B$4*9/10)^2*(1.5*(C13^2-MAX(B13,($B$4*9/10))^2)-($B$4*9/10)*(C13-MAX(B13,($B$4*9/10)))),0))*1000,0)</f>
        <v>0</v>
      </c>
      <c r="AK13" s="120">
        <f>IF(AND(J13="OK",ISNUMBER($B$5),$B$5&gt;0,ISNUMBER($B$3),$B$3&gt;0),F13/(6*$B$3*1000000*$B$5)*(IF(B13&lt;($B$4*10/10),($B$4*10/10)*(MIN(C13,($B$4*10/10))^3-B13^3)-(MIN(C13,($B$4*10/10))^4-B13^4)/4,0)+IF(C13&gt;($B$4*10/10),($B$4*10/10)^2*(1.5*(C13^2-MAX(B13,($B$4*10/10))^2)-($B$4*10/10)*(C13-MAX(B13,($B$4*10/10)))),0))*1000,0)</f>
        <v>0</v>
      </c>
      <c r="AM13" s="120">
        <f>IF(AND(V13="OK",ISNUMBER($N$5),$N$5&gt;0,ISNUMBER($N$3),$N$3&gt;0),R13/(6*$N$3*1000000*$N$5)*(IF(N13&lt;($N$4*0/10),($N$4*0/10)*(MIN(O13,($N$4*0/10))^3-N13^3)-(MIN(O13,($N$4*0/10))^4-N13^4)/4,0)+IF(O13&gt;($N$4*0/10),($N$4*0/10)^2*(1.5*(O13^2-MAX(N13,($N$4*0/10))^2)-($N$4*0/10)*(O13-MAX(N13,($N$4*0/10)))),0))*1000,0)</f>
        <v>0</v>
      </c>
      <c r="AN13" s="120">
        <f>IF(AND(V13="OK",ISNUMBER($N$5),$N$5&gt;0,ISNUMBER($N$3),$N$3&gt;0),R13/(6*$N$3*1000000*$N$5)*(IF(N13&lt;($N$4*1/10),($N$4*1/10)*(MIN(O13,($N$4*1/10))^3-N13^3)-(MIN(O13,($N$4*1/10))^4-N13^4)/4,0)+IF(O13&gt;($N$4*1/10),($N$4*1/10)^2*(1.5*(O13^2-MAX(N13,($N$4*1/10))^2)-($N$4*1/10)*(O13-MAX(N13,($N$4*1/10)))),0))*1000,0)</f>
        <v>0</v>
      </c>
      <c r="AO13" s="120">
        <f>IF(AND(V13="OK",ISNUMBER($N$5),$N$5&gt;0,ISNUMBER($N$3),$N$3&gt;0),R13/(6*$N$3*1000000*$N$5)*(IF(N13&lt;($N$4*2/10),($N$4*2/10)*(MIN(O13,($N$4*2/10))^3-N13^3)-(MIN(O13,($N$4*2/10))^4-N13^4)/4,0)+IF(O13&gt;($N$4*2/10),($N$4*2/10)^2*(1.5*(O13^2-MAX(N13,($N$4*2/10))^2)-($N$4*2/10)*(O13-MAX(N13,($N$4*2/10)))),0))*1000,0)</f>
        <v>0</v>
      </c>
      <c r="AP13" s="120">
        <f>IF(AND(V13="OK",ISNUMBER($N$5),$N$5&gt;0,ISNUMBER($N$3),$N$3&gt;0),R13/(6*$N$3*1000000*$N$5)*(IF(N13&lt;($N$4*3/10),($N$4*3/10)*(MIN(O13,($N$4*3/10))^3-N13^3)-(MIN(O13,($N$4*3/10))^4-N13^4)/4,0)+IF(O13&gt;($N$4*3/10),($N$4*3/10)^2*(1.5*(O13^2-MAX(N13,($N$4*3/10))^2)-($N$4*3/10)*(O13-MAX(N13,($N$4*3/10)))),0))*1000,0)</f>
        <v>0</v>
      </c>
      <c r="AQ13" s="120">
        <f>IF(AND(V13="OK",ISNUMBER($N$5),$N$5&gt;0,ISNUMBER($N$3),$N$3&gt;0),R13/(6*$N$3*1000000*$N$5)*(IF(N13&lt;($N$4*4/10),($N$4*4/10)*(MIN(O13,($N$4*4/10))^3-N13^3)-(MIN(O13,($N$4*4/10))^4-N13^4)/4,0)+IF(O13&gt;($N$4*4/10),($N$4*4/10)^2*(1.5*(O13^2-MAX(N13,($N$4*4/10))^2)-($N$4*4/10)*(O13-MAX(N13,($N$4*4/10)))),0))*1000,0)</f>
        <v>0</v>
      </c>
      <c r="AR13" s="120">
        <f>IF(AND(V13="OK",ISNUMBER($N$5),$N$5&gt;0,ISNUMBER($N$3),$N$3&gt;0),R13/(6*$N$3*1000000*$N$5)*(IF(N13&lt;($N$4*5/10),($N$4*5/10)*(MIN(O13,($N$4*5/10))^3-N13^3)-(MIN(O13,($N$4*5/10))^4-N13^4)/4,0)+IF(O13&gt;($N$4*5/10),($N$4*5/10)^2*(1.5*(O13^2-MAX(N13,($N$4*5/10))^2)-($N$4*5/10)*(O13-MAX(N13,($N$4*5/10)))),0))*1000,0)</f>
        <v>0</v>
      </c>
      <c r="AS13" s="120">
        <f>IF(AND(V13="OK",ISNUMBER($N$5),$N$5&gt;0,ISNUMBER($N$3),$N$3&gt;0),R13/(6*$N$3*1000000*$N$5)*(IF(N13&lt;($N$4*6/10),($N$4*6/10)*(MIN(O13,($N$4*6/10))^3-N13^3)-(MIN(O13,($N$4*6/10))^4-N13^4)/4,0)+IF(O13&gt;($N$4*6/10),($N$4*6/10)^2*(1.5*(O13^2-MAX(N13,($N$4*6/10))^2)-($N$4*6/10)*(O13-MAX(N13,($N$4*6/10)))),0))*1000,0)</f>
        <v>0</v>
      </c>
      <c r="AT13" s="120">
        <f>IF(AND(V13="OK",ISNUMBER($N$5),$N$5&gt;0,ISNUMBER($N$3),$N$3&gt;0),R13/(6*$N$3*1000000*$N$5)*(IF(N13&lt;($N$4*7/10),($N$4*7/10)*(MIN(O13,($N$4*7/10))^3-N13^3)-(MIN(O13,($N$4*7/10))^4-N13^4)/4,0)+IF(O13&gt;($N$4*7/10),($N$4*7/10)^2*(1.5*(O13^2-MAX(N13,($N$4*7/10))^2)-($N$4*7/10)*(O13-MAX(N13,($N$4*7/10)))),0))*1000,0)</f>
        <v>0</v>
      </c>
      <c r="AU13" s="120">
        <f>IF(AND(V13="OK",ISNUMBER($N$5),$N$5&gt;0,ISNUMBER($N$3),$N$3&gt;0),R13/(6*$N$3*1000000*$N$5)*(IF(N13&lt;($N$4*8/10),($N$4*8/10)*(MIN(O13,($N$4*8/10))^3-N13^3)-(MIN(O13,($N$4*8/10))^4-N13^4)/4,0)+IF(O13&gt;($N$4*8/10),($N$4*8/10)^2*(1.5*(O13^2-MAX(N13,($N$4*8/10))^2)-($N$4*8/10)*(O13-MAX(N13,($N$4*8/10)))),0))*1000,0)</f>
        <v>0</v>
      </c>
      <c r="AV13" s="120">
        <f>IF(AND(V13="OK",ISNUMBER($N$5),$N$5&gt;0,ISNUMBER($N$3),$N$3&gt;0),R13/(6*$N$3*1000000*$N$5)*(IF(N13&lt;($N$4*9/10),($N$4*9/10)*(MIN(O13,($N$4*9/10))^3-N13^3)-(MIN(O13,($N$4*9/10))^4-N13^4)/4,0)+IF(O13&gt;($N$4*9/10),($N$4*9/10)^2*(1.5*(O13^2-MAX(N13,($N$4*9/10))^2)-($N$4*9/10)*(O13-MAX(N13,($N$4*9/10)))),0))*1000,0)</f>
        <v>0</v>
      </c>
      <c r="AW13" s="120">
        <f>IF(AND(V13="OK",ISNUMBER($N$5),$N$5&gt;0,ISNUMBER($N$3),$N$3&gt;0),R13/(6*$N$3*1000000*$N$5)*(IF(N13&lt;($N$4*10/10),($N$4*10/10)*(MIN(O13,($N$4*10/10))^3-N13^3)-(MIN(O13,($N$4*10/10))^4-N13^4)/4,0)+IF(O13&gt;($N$4*10/10),($N$4*10/10)^2*(1.5*(O13^2-MAX(N13,($N$4*10/10))^2)-($N$4*10/10)*(O13-MAX(N13,($N$4*10/10)))),0))*1000,0)</f>
        <v>0</v>
      </c>
    </row>
    <row r="14" spans="1:49">
      <c r="A14" s="124"/>
      <c r="B14" s="125"/>
      <c r="C14" s="125"/>
      <c r="D14" s="125"/>
      <c r="E14" s="125"/>
      <c r="F14" s="126" t="str">
        <f>IF(J14="OK",D14*E14,"")</f>
        <v/>
      </c>
      <c r="G14" s="126" t="str">
        <f>IF(J14="OK",F14*(C14-B14),"")</f>
        <v/>
      </c>
      <c r="H14" s="126" t="str">
        <f>IF(J14="OK",G14*(C14+B14)/2,"")</f>
        <v/>
      </c>
      <c r="I14" s="126" t="str">
        <f>IF(AND(J14="OK",ISNUMBER($B$5),$B$5&gt;0,ISNUMBER($B$3),$B$3&gt;0),F14*(4*$B$4*(C14^3-B14^3)-(C14^4-B14^4))/(24*$B$3*1000000*$B$5)*1000,"")</f>
        <v/>
      </c>
      <c r="J14" s="120" t="str">
        <f>IF(COUNTA(A14:E14)=0,"",IF(AND(COUNT(B14:E14)=4,B14&gt;=0,C14&gt;B14,C14&lt;=$B$4,D14&gt;=0,E14&gt;0),IF(COUNTIFS($B$13,"&lt;"&amp;C14,$C$13,"&gt;"&amp;B14)&gt;0,"OVERLAP","OK"),"CHECK INPUTS"))</f>
        <v/>
      </c>
      <c r="M14" s="124"/>
      <c r="N14" s="125"/>
      <c r="O14" s="125"/>
      <c r="P14" s="125"/>
      <c r="Q14" s="125"/>
      <c r="R14" s="126" t="str">
        <f>IF(V14="OK",P14*Q14,"")</f>
        <v/>
      </c>
      <c r="S14" s="126" t="str">
        <f>IF(V14="OK",R14*(O14-N14),"")</f>
        <v/>
      </c>
      <c r="T14" s="126" t="str">
        <f>IF(V14="OK",S14*(O14+N14)/2,"")</f>
        <v/>
      </c>
      <c r="U14" s="126" t="str">
        <f>IF(AND(V14="OK",ISNUMBER($N$5),$N$5&gt;0,ISNUMBER($N$3),$N$3&gt;0),R14*(4*$N$4*(O14^3-N14^3)-(O14^4-N14^4))/(24*$N$3*1000000*$N$5)*1000,"")</f>
        <v/>
      </c>
      <c r="V14" s="120" t="str">
        <f>IF(COUNTA(M14:Q14)=0,"",IF(AND(COUNT(N14:Q14)=4,N14&gt;=0,O14&gt;N14,O14&lt;=$N$4,P14&gt;=0,Q14&gt;0),IF(COUNTIFS($N$13,"&lt;"&amp;O14,$O$13,"&gt;"&amp;N14)&gt;0,"OVERLAP","OK"),"CHECK INPUTS"))</f>
        <v/>
      </c>
      <c r="AA14" s="120">
        <f>IF(AND(J14="OK",ISNUMBER($B$5),$B$5&gt;0,ISNUMBER($B$3),$B$3&gt;0),F14/(6*$B$3*1000000*$B$5)*(IF(B14&lt;($B$4*0/10),($B$4*0/10)*(MIN(C14,($B$4*0/10))^3-B14^3)-(MIN(C14,($B$4*0/10))^4-B14^4)/4,0)+IF(C14&gt;($B$4*0/10),($B$4*0/10)^2*(1.5*(C14^2-MAX(B14,($B$4*0/10))^2)-($B$4*0/10)*(C14-MAX(B14,($B$4*0/10)))),0))*1000,0)</f>
        <v>0</v>
      </c>
      <c r="AB14" s="120">
        <f>IF(AND(J14="OK",ISNUMBER($B$5),$B$5&gt;0,ISNUMBER($B$3),$B$3&gt;0),F14/(6*$B$3*1000000*$B$5)*(IF(B14&lt;($B$4*1/10),($B$4*1/10)*(MIN(C14,($B$4*1/10))^3-B14^3)-(MIN(C14,($B$4*1/10))^4-B14^4)/4,0)+IF(C14&gt;($B$4*1/10),($B$4*1/10)^2*(1.5*(C14^2-MAX(B14,($B$4*1/10))^2)-($B$4*1/10)*(C14-MAX(B14,($B$4*1/10)))),0))*1000,0)</f>
        <v>0</v>
      </c>
      <c r="AC14" s="120">
        <f>IF(AND(J14="OK",ISNUMBER($B$5),$B$5&gt;0,ISNUMBER($B$3),$B$3&gt;0),F14/(6*$B$3*1000000*$B$5)*(IF(B14&lt;($B$4*2/10),($B$4*2/10)*(MIN(C14,($B$4*2/10))^3-B14^3)-(MIN(C14,($B$4*2/10))^4-B14^4)/4,0)+IF(C14&gt;($B$4*2/10),($B$4*2/10)^2*(1.5*(C14^2-MAX(B14,($B$4*2/10))^2)-($B$4*2/10)*(C14-MAX(B14,($B$4*2/10)))),0))*1000,0)</f>
        <v>0</v>
      </c>
      <c r="AD14" s="120">
        <f>IF(AND(J14="OK",ISNUMBER($B$5),$B$5&gt;0,ISNUMBER($B$3),$B$3&gt;0),F14/(6*$B$3*1000000*$B$5)*(IF(B14&lt;($B$4*3/10),($B$4*3/10)*(MIN(C14,($B$4*3/10))^3-B14^3)-(MIN(C14,($B$4*3/10))^4-B14^4)/4,0)+IF(C14&gt;($B$4*3/10),($B$4*3/10)^2*(1.5*(C14^2-MAX(B14,($B$4*3/10))^2)-($B$4*3/10)*(C14-MAX(B14,($B$4*3/10)))),0))*1000,0)</f>
        <v>0</v>
      </c>
      <c r="AE14" s="120">
        <f>IF(AND(J14="OK",ISNUMBER($B$5),$B$5&gt;0,ISNUMBER($B$3),$B$3&gt;0),F14/(6*$B$3*1000000*$B$5)*(IF(B14&lt;($B$4*4/10),($B$4*4/10)*(MIN(C14,($B$4*4/10))^3-B14^3)-(MIN(C14,($B$4*4/10))^4-B14^4)/4,0)+IF(C14&gt;($B$4*4/10),($B$4*4/10)^2*(1.5*(C14^2-MAX(B14,($B$4*4/10))^2)-($B$4*4/10)*(C14-MAX(B14,($B$4*4/10)))),0))*1000,0)</f>
        <v>0</v>
      </c>
      <c r="AF14" s="120">
        <f>IF(AND(J14="OK",ISNUMBER($B$5),$B$5&gt;0,ISNUMBER($B$3),$B$3&gt;0),F14/(6*$B$3*1000000*$B$5)*(IF(B14&lt;($B$4*5/10),($B$4*5/10)*(MIN(C14,($B$4*5/10))^3-B14^3)-(MIN(C14,($B$4*5/10))^4-B14^4)/4,0)+IF(C14&gt;($B$4*5/10),($B$4*5/10)^2*(1.5*(C14^2-MAX(B14,($B$4*5/10))^2)-($B$4*5/10)*(C14-MAX(B14,($B$4*5/10)))),0))*1000,0)</f>
        <v>0</v>
      </c>
      <c r="AG14" s="120">
        <f>IF(AND(J14="OK",ISNUMBER($B$5),$B$5&gt;0,ISNUMBER($B$3),$B$3&gt;0),F14/(6*$B$3*1000000*$B$5)*(IF(B14&lt;($B$4*6/10),($B$4*6/10)*(MIN(C14,($B$4*6/10))^3-B14^3)-(MIN(C14,($B$4*6/10))^4-B14^4)/4,0)+IF(C14&gt;($B$4*6/10),($B$4*6/10)^2*(1.5*(C14^2-MAX(B14,($B$4*6/10))^2)-($B$4*6/10)*(C14-MAX(B14,($B$4*6/10)))),0))*1000,0)</f>
        <v>0</v>
      </c>
      <c r="AH14" s="120">
        <f>IF(AND(J14="OK",ISNUMBER($B$5),$B$5&gt;0,ISNUMBER($B$3),$B$3&gt;0),F14/(6*$B$3*1000000*$B$5)*(IF(B14&lt;($B$4*7/10),($B$4*7/10)*(MIN(C14,($B$4*7/10))^3-B14^3)-(MIN(C14,($B$4*7/10))^4-B14^4)/4,0)+IF(C14&gt;($B$4*7/10),($B$4*7/10)^2*(1.5*(C14^2-MAX(B14,($B$4*7/10))^2)-($B$4*7/10)*(C14-MAX(B14,($B$4*7/10)))),0))*1000,0)</f>
        <v>0</v>
      </c>
      <c r="AI14" s="120">
        <f>IF(AND(J14="OK",ISNUMBER($B$5),$B$5&gt;0,ISNUMBER($B$3),$B$3&gt;0),F14/(6*$B$3*1000000*$B$5)*(IF(B14&lt;($B$4*8/10),($B$4*8/10)*(MIN(C14,($B$4*8/10))^3-B14^3)-(MIN(C14,($B$4*8/10))^4-B14^4)/4,0)+IF(C14&gt;($B$4*8/10),($B$4*8/10)^2*(1.5*(C14^2-MAX(B14,($B$4*8/10))^2)-($B$4*8/10)*(C14-MAX(B14,($B$4*8/10)))),0))*1000,0)</f>
        <v>0</v>
      </c>
      <c r="AJ14" s="120">
        <f>IF(AND(J14="OK",ISNUMBER($B$5),$B$5&gt;0,ISNUMBER($B$3),$B$3&gt;0),F14/(6*$B$3*1000000*$B$5)*(IF(B14&lt;($B$4*9/10),($B$4*9/10)*(MIN(C14,($B$4*9/10))^3-B14^3)-(MIN(C14,($B$4*9/10))^4-B14^4)/4,0)+IF(C14&gt;($B$4*9/10),($B$4*9/10)^2*(1.5*(C14^2-MAX(B14,($B$4*9/10))^2)-($B$4*9/10)*(C14-MAX(B14,($B$4*9/10)))),0))*1000,0)</f>
        <v>0</v>
      </c>
      <c r="AK14" s="120">
        <f>IF(AND(J14="OK",ISNUMBER($B$5),$B$5&gt;0,ISNUMBER($B$3),$B$3&gt;0),F14/(6*$B$3*1000000*$B$5)*(IF(B14&lt;($B$4*10/10),($B$4*10/10)*(MIN(C14,($B$4*10/10))^3-B14^3)-(MIN(C14,($B$4*10/10))^4-B14^4)/4,0)+IF(C14&gt;($B$4*10/10),($B$4*10/10)^2*(1.5*(C14^2-MAX(B14,($B$4*10/10))^2)-($B$4*10/10)*(C14-MAX(B14,($B$4*10/10)))),0))*1000,0)</f>
        <v>0</v>
      </c>
      <c r="AM14" s="120">
        <f>IF(AND(V14="OK",ISNUMBER($N$5),$N$5&gt;0,ISNUMBER($N$3),$N$3&gt;0),R14/(6*$N$3*1000000*$N$5)*(IF(N14&lt;($N$4*0/10),($N$4*0/10)*(MIN(O14,($N$4*0/10))^3-N14^3)-(MIN(O14,($N$4*0/10))^4-N14^4)/4,0)+IF(O14&gt;($N$4*0/10),($N$4*0/10)^2*(1.5*(O14^2-MAX(N14,($N$4*0/10))^2)-($N$4*0/10)*(O14-MAX(N14,($N$4*0/10)))),0))*1000,0)</f>
        <v>0</v>
      </c>
      <c r="AN14" s="120">
        <f>IF(AND(V14="OK",ISNUMBER($N$5),$N$5&gt;0,ISNUMBER($N$3),$N$3&gt;0),R14/(6*$N$3*1000000*$N$5)*(IF(N14&lt;($N$4*1/10),($N$4*1/10)*(MIN(O14,($N$4*1/10))^3-N14^3)-(MIN(O14,($N$4*1/10))^4-N14^4)/4,0)+IF(O14&gt;($N$4*1/10),($N$4*1/10)^2*(1.5*(O14^2-MAX(N14,($N$4*1/10))^2)-($N$4*1/10)*(O14-MAX(N14,($N$4*1/10)))),0))*1000,0)</f>
        <v>0</v>
      </c>
      <c r="AO14" s="120">
        <f>IF(AND(V14="OK",ISNUMBER($N$5),$N$5&gt;0,ISNUMBER($N$3),$N$3&gt;0),R14/(6*$N$3*1000000*$N$5)*(IF(N14&lt;($N$4*2/10),($N$4*2/10)*(MIN(O14,($N$4*2/10))^3-N14^3)-(MIN(O14,($N$4*2/10))^4-N14^4)/4,0)+IF(O14&gt;($N$4*2/10),($N$4*2/10)^2*(1.5*(O14^2-MAX(N14,($N$4*2/10))^2)-($N$4*2/10)*(O14-MAX(N14,($N$4*2/10)))),0))*1000,0)</f>
        <v>0</v>
      </c>
      <c r="AP14" s="120">
        <f>IF(AND(V14="OK",ISNUMBER($N$5),$N$5&gt;0,ISNUMBER($N$3),$N$3&gt;0),R14/(6*$N$3*1000000*$N$5)*(IF(N14&lt;($N$4*3/10),($N$4*3/10)*(MIN(O14,($N$4*3/10))^3-N14^3)-(MIN(O14,($N$4*3/10))^4-N14^4)/4,0)+IF(O14&gt;($N$4*3/10),($N$4*3/10)^2*(1.5*(O14^2-MAX(N14,($N$4*3/10))^2)-($N$4*3/10)*(O14-MAX(N14,($N$4*3/10)))),0))*1000,0)</f>
        <v>0</v>
      </c>
      <c r="AQ14" s="120">
        <f>IF(AND(V14="OK",ISNUMBER($N$5),$N$5&gt;0,ISNUMBER($N$3),$N$3&gt;0),R14/(6*$N$3*1000000*$N$5)*(IF(N14&lt;($N$4*4/10),($N$4*4/10)*(MIN(O14,($N$4*4/10))^3-N14^3)-(MIN(O14,($N$4*4/10))^4-N14^4)/4,0)+IF(O14&gt;($N$4*4/10),($N$4*4/10)^2*(1.5*(O14^2-MAX(N14,($N$4*4/10))^2)-($N$4*4/10)*(O14-MAX(N14,($N$4*4/10)))),0))*1000,0)</f>
        <v>0</v>
      </c>
      <c r="AR14" s="120">
        <f>IF(AND(V14="OK",ISNUMBER($N$5),$N$5&gt;0,ISNUMBER($N$3),$N$3&gt;0),R14/(6*$N$3*1000000*$N$5)*(IF(N14&lt;($N$4*5/10),($N$4*5/10)*(MIN(O14,($N$4*5/10))^3-N14^3)-(MIN(O14,($N$4*5/10))^4-N14^4)/4,0)+IF(O14&gt;($N$4*5/10),($N$4*5/10)^2*(1.5*(O14^2-MAX(N14,($N$4*5/10))^2)-($N$4*5/10)*(O14-MAX(N14,($N$4*5/10)))),0))*1000,0)</f>
        <v>0</v>
      </c>
      <c r="AS14" s="120">
        <f>IF(AND(V14="OK",ISNUMBER($N$5),$N$5&gt;0,ISNUMBER($N$3),$N$3&gt;0),R14/(6*$N$3*1000000*$N$5)*(IF(N14&lt;($N$4*6/10),($N$4*6/10)*(MIN(O14,($N$4*6/10))^3-N14^3)-(MIN(O14,($N$4*6/10))^4-N14^4)/4,0)+IF(O14&gt;($N$4*6/10),($N$4*6/10)^2*(1.5*(O14^2-MAX(N14,($N$4*6/10))^2)-($N$4*6/10)*(O14-MAX(N14,($N$4*6/10)))),0))*1000,0)</f>
        <v>0</v>
      </c>
      <c r="AT14" s="120">
        <f>IF(AND(V14="OK",ISNUMBER($N$5),$N$5&gt;0,ISNUMBER($N$3),$N$3&gt;0),R14/(6*$N$3*1000000*$N$5)*(IF(N14&lt;($N$4*7/10),($N$4*7/10)*(MIN(O14,($N$4*7/10))^3-N14^3)-(MIN(O14,($N$4*7/10))^4-N14^4)/4,0)+IF(O14&gt;($N$4*7/10),($N$4*7/10)^2*(1.5*(O14^2-MAX(N14,($N$4*7/10))^2)-($N$4*7/10)*(O14-MAX(N14,($N$4*7/10)))),0))*1000,0)</f>
        <v>0</v>
      </c>
      <c r="AU14" s="120">
        <f>IF(AND(V14="OK",ISNUMBER($N$5),$N$5&gt;0,ISNUMBER($N$3),$N$3&gt;0),R14/(6*$N$3*1000000*$N$5)*(IF(N14&lt;($N$4*8/10),($N$4*8/10)*(MIN(O14,($N$4*8/10))^3-N14^3)-(MIN(O14,($N$4*8/10))^4-N14^4)/4,0)+IF(O14&gt;($N$4*8/10),($N$4*8/10)^2*(1.5*(O14^2-MAX(N14,($N$4*8/10))^2)-($N$4*8/10)*(O14-MAX(N14,($N$4*8/10)))),0))*1000,0)</f>
        <v>0</v>
      </c>
      <c r="AV14" s="120">
        <f>IF(AND(V14="OK",ISNUMBER($N$5),$N$5&gt;0,ISNUMBER($N$3),$N$3&gt;0),R14/(6*$N$3*1000000*$N$5)*(IF(N14&lt;($N$4*9/10),($N$4*9/10)*(MIN(O14,($N$4*9/10))^3-N14^3)-(MIN(O14,($N$4*9/10))^4-N14^4)/4,0)+IF(O14&gt;($N$4*9/10),($N$4*9/10)^2*(1.5*(O14^2-MAX(N14,($N$4*9/10))^2)-($N$4*9/10)*(O14-MAX(N14,($N$4*9/10)))),0))*1000,0)</f>
        <v>0</v>
      </c>
      <c r="AW14" s="120">
        <f>IF(AND(V14="OK",ISNUMBER($N$5),$N$5&gt;0,ISNUMBER($N$3),$N$3&gt;0),R14/(6*$N$3*1000000*$N$5)*(IF(N14&lt;($N$4*10/10),($N$4*10/10)*(MIN(O14,($N$4*10/10))^3-N14^3)-(MIN(O14,($N$4*10/10))^4-N14^4)/4,0)+IF(O14&gt;($N$4*10/10),($N$4*10/10)^2*(1.5*(O14^2-MAX(N14,($N$4*10/10))^2)-($N$4*10/10)*(O14-MAX(N14,($N$4*10/10)))),0))*1000,0)</f>
        <v>0</v>
      </c>
    </row>
    <row r="15" spans="1:49">
      <c r="A15" s="124"/>
      <c r="B15" s="125"/>
      <c r="C15" s="125"/>
      <c r="D15" s="125"/>
      <c r="E15" s="125"/>
      <c r="F15" s="126" t="str">
        <f>IF(J15="OK",D15*E15,"")</f>
        <v/>
      </c>
      <c r="G15" s="126" t="str">
        <f>IF(J15="OK",F15*(C15-B15),"")</f>
        <v/>
      </c>
      <c r="H15" s="126" t="str">
        <f>IF(J15="OK",G15*(C15+B15)/2,"")</f>
        <v/>
      </c>
      <c r="I15" s="126" t="str">
        <f>IF(AND(J15="OK",ISNUMBER($B$5),$B$5&gt;0,ISNUMBER($B$3),$B$3&gt;0),F15*(4*$B$4*(C15^3-B15^3)-(C15^4-B15^4))/(24*$B$3*1000000*$B$5)*1000,"")</f>
        <v/>
      </c>
      <c r="J15" s="120" t="str">
        <f>IF(COUNTA(A15:E15)=0,"",IF(AND(COUNT(B15:E15)=4,B15&gt;=0,C15&gt;B15,C15&lt;=$B$4,D15&gt;=0,E15&gt;0),IF(COUNTIFS($B$13:$B$14,"&lt;"&amp;C15,$C$13:$C$14,"&gt;"&amp;B15)&gt;0,"OVERLAP","OK"),"CHECK INPUTS"))</f>
        <v/>
      </c>
      <c r="M15" s="124"/>
      <c r="N15" s="125"/>
      <c r="O15" s="125"/>
      <c r="P15" s="125"/>
      <c r="Q15" s="125"/>
      <c r="R15" s="126" t="str">
        <f>IF(V15="OK",P15*Q15,"")</f>
        <v/>
      </c>
      <c r="S15" s="126" t="str">
        <f>IF(V15="OK",R15*(O15-N15),"")</f>
        <v/>
      </c>
      <c r="T15" s="126" t="str">
        <f>IF(V15="OK",S15*(O15+N15)/2,"")</f>
        <v/>
      </c>
      <c r="U15" s="126" t="str">
        <f>IF(AND(V15="OK",ISNUMBER($N$5),$N$5&gt;0,ISNUMBER($N$3),$N$3&gt;0),R15*(4*$N$4*(O15^3-N15^3)-(O15^4-N15^4))/(24*$N$3*1000000*$N$5)*1000,"")</f>
        <v/>
      </c>
      <c r="V15" s="120" t="str">
        <f>IF(COUNTA(M15:Q15)=0,"",IF(AND(COUNT(N15:Q15)=4,N15&gt;=0,O15&gt;N15,O15&lt;=$N$4,P15&gt;=0,Q15&gt;0),IF(COUNTIFS($N$13:$N$14,"&lt;"&amp;O15,$O$13:$O$14,"&gt;"&amp;N15)&gt;0,"OVERLAP","OK"),"CHECK INPUTS"))</f>
        <v/>
      </c>
      <c r="AA15" s="120">
        <f>IF(AND(J15="OK",ISNUMBER($B$5),$B$5&gt;0,ISNUMBER($B$3),$B$3&gt;0),F15/(6*$B$3*1000000*$B$5)*(IF(B15&lt;($B$4*0/10),($B$4*0/10)*(MIN(C15,($B$4*0/10))^3-B15^3)-(MIN(C15,($B$4*0/10))^4-B15^4)/4,0)+IF(C15&gt;($B$4*0/10),($B$4*0/10)^2*(1.5*(C15^2-MAX(B15,($B$4*0/10))^2)-($B$4*0/10)*(C15-MAX(B15,($B$4*0/10)))),0))*1000,0)</f>
        <v>0</v>
      </c>
      <c r="AB15" s="120">
        <f>IF(AND(J15="OK",ISNUMBER($B$5),$B$5&gt;0,ISNUMBER($B$3),$B$3&gt;0),F15/(6*$B$3*1000000*$B$5)*(IF(B15&lt;($B$4*1/10),($B$4*1/10)*(MIN(C15,($B$4*1/10))^3-B15^3)-(MIN(C15,($B$4*1/10))^4-B15^4)/4,0)+IF(C15&gt;($B$4*1/10),($B$4*1/10)^2*(1.5*(C15^2-MAX(B15,($B$4*1/10))^2)-($B$4*1/10)*(C15-MAX(B15,($B$4*1/10)))),0))*1000,0)</f>
        <v>0</v>
      </c>
      <c r="AC15" s="120">
        <f>IF(AND(J15="OK",ISNUMBER($B$5),$B$5&gt;0,ISNUMBER($B$3),$B$3&gt;0),F15/(6*$B$3*1000000*$B$5)*(IF(B15&lt;($B$4*2/10),($B$4*2/10)*(MIN(C15,($B$4*2/10))^3-B15^3)-(MIN(C15,($B$4*2/10))^4-B15^4)/4,0)+IF(C15&gt;($B$4*2/10),($B$4*2/10)^2*(1.5*(C15^2-MAX(B15,($B$4*2/10))^2)-($B$4*2/10)*(C15-MAX(B15,($B$4*2/10)))),0))*1000,0)</f>
        <v>0</v>
      </c>
      <c r="AD15" s="120">
        <f>IF(AND(J15="OK",ISNUMBER($B$5),$B$5&gt;0,ISNUMBER($B$3),$B$3&gt;0),F15/(6*$B$3*1000000*$B$5)*(IF(B15&lt;($B$4*3/10),($B$4*3/10)*(MIN(C15,($B$4*3/10))^3-B15^3)-(MIN(C15,($B$4*3/10))^4-B15^4)/4,0)+IF(C15&gt;($B$4*3/10),($B$4*3/10)^2*(1.5*(C15^2-MAX(B15,($B$4*3/10))^2)-($B$4*3/10)*(C15-MAX(B15,($B$4*3/10)))),0))*1000,0)</f>
        <v>0</v>
      </c>
      <c r="AE15" s="120">
        <f>IF(AND(J15="OK",ISNUMBER($B$5),$B$5&gt;0,ISNUMBER($B$3),$B$3&gt;0),F15/(6*$B$3*1000000*$B$5)*(IF(B15&lt;($B$4*4/10),($B$4*4/10)*(MIN(C15,($B$4*4/10))^3-B15^3)-(MIN(C15,($B$4*4/10))^4-B15^4)/4,0)+IF(C15&gt;($B$4*4/10),($B$4*4/10)^2*(1.5*(C15^2-MAX(B15,($B$4*4/10))^2)-($B$4*4/10)*(C15-MAX(B15,($B$4*4/10)))),0))*1000,0)</f>
        <v>0</v>
      </c>
      <c r="AF15" s="120">
        <f>IF(AND(J15="OK",ISNUMBER($B$5),$B$5&gt;0,ISNUMBER($B$3),$B$3&gt;0),F15/(6*$B$3*1000000*$B$5)*(IF(B15&lt;($B$4*5/10),($B$4*5/10)*(MIN(C15,($B$4*5/10))^3-B15^3)-(MIN(C15,($B$4*5/10))^4-B15^4)/4,0)+IF(C15&gt;($B$4*5/10),($B$4*5/10)^2*(1.5*(C15^2-MAX(B15,($B$4*5/10))^2)-($B$4*5/10)*(C15-MAX(B15,($B$4*5/10)))),0))*1000,0)</f>
        <v>0</v>
      </c>
      <c r="AG15" s="120">
        <f>IF(AND(J15="OK",ISNUMBER($B$5),$B$5&gt;0,ISNUMBER($B$3),$B$3&gt;0),F15/(6*$B$3*1000000*$B$5)*(IF(B15&lt;($B$4*6/10),($B$4*6/10)*(MIN(C15,($B$4*6/10))^3-B15^3)-(MIN(C15,($B$4*6/10))^4-B15^4)/4,0)+IF(C15&gt;($B$4*6/10),($B$4*6/10)^2*(1.5*(C15^2-MAX(B15,($B$4*6/10))^2)-($B$4*6/10)*(C15-MAX(B15,($B$4*6/10)))),0))*1000,0)</f>
        <v>0</v>
      </c>
      <c r="AH15" s="120">
        <f>IF(AND(J15="OK",ISNUMBER($B$5),$B$5&gt;0,ISNUMBER($B$3),$B$3&gt;0),F15/(6*$B$3*1000000*$B$5)*(IF(B15&lt;($B$4*7/10),($B$4*7/10)*(MIN(C15,($B$4*7/10))^3-B15^3)-(MIN(C15,($B$4*7/10))^4-B15^4)/4,0)+IF(C15&gt;($B$4*7/10),($B$4*7/10)^2*(1.5*(C15^2-MAX(B15,($B$4*7/10))^2)-($B$4*7/10)*(C15-MAX(B15,($B$4*7/10)))),0))*1000,0)</f>
        <v>0</v>
      </c>
      <c r="AI15" s="120">
        <f>IF(AND(J15="OK",ISNUMBER($B$5),$B$5&gt;0,ISNUMBER($B$3),$B$3&gt;0),F15/(6*$B$3*1000000*$B$5)*(IF(B15&lt;($B$4*8/10),($B$4*8/10)*(MIN(C15,($B$4*8/10))^3-B15^3)-(MIN(C15,($B$4*8/10))^4-B15^4)/4,0)+IF(C15&gt;($B$4*8/10),($B$4*8/10)^2*(1.5*(C15^2-MAX(B15,($B$4*8/10))^2)-($B$4*8/10)*(C15-MAX(B15,($B$4*8/10)))),0))*1000,0)</f>
        <v>0</v>
      </c>
      <c r="AJ15" s="120">
        <f>IF(AND(J15="OK",ISNUMBER($B$5),$B$5&gt;0,ISNUMBER($B$3),$B$3&gt;0),F15/(6*$B$3*1000000*$B$5)*(IF(B15&lt;($B$4*9/10),($B$4*9/10)*(MIN(C15,($B$4*9/10))^3-B15^3)-(MIN(C15,($B$4*9/10))^4-B15^4)/4,0)+IF(C15&gt;($B$4*9/10),($B$4*9/10)^2*(1.5*(C15^2-MAX(B15,($B$4*9/10))^2)-($B$4*9/10)*(C15-MAX(B15,($B$4*9/10)))),0))*1000,0)</f>
        <v>0</v>
      </c>
      <c r="AK15" s="120">
        <f>IF(AND(J15="OK",ISNUMBER($B$5),$B$5&gt;0,ISNUMBER($B$3),$B$3&gt;0),F15/(6*$B$3*1000000*$B$5)*(IF(B15&lt;($B$4*10/10),($B$4*10/10)*(MIN(C15,($B$4*10/10))^3-B15^3)-(MIN(C15,($B$4*10/10))^4-B15^4)/4,0)+IF(C15&gt;($B$4*10/10),($B$4*10/10)^2*(1.5*(C15^2-MAX(B15,($B$4*10/10))^2)-($B$4*10/10)*(C15-MAX(B15,($B$4*10/10)))),0))*1000,0)</f>
        <v>0</v>
      </c>
      <c r="AM15" s="120">
        <f>IF(AND(V15="OK",ISNUMBER($N$5),$N$5&gt;0,ISNUMBER($N$3),$N$3&gt;0),R15/(6*$N$3*1000000*$N$5)*(IF(N15&lt;($N$4*0/10),($N$4*0/10)*(MIN(O15,($N$4*0/10))^3-N15^3)-(MIN(O15,($N$4*0/10))^4-N15^4)/4,0)+IF(O15&gt;($N$4*0/10),($N$4*0/10)^2*(1.5*(O15^2-MAX(N15,($N$4*0/10))^2)-($N$4*0/10)*(O15-MAX(N15,($N$4*0/10)))),0))*1000,0)</f>
        <v>0</v>
      </c>
      <c r="AN15" s="120">
        <f>IF(AND(V15="OK",ISNUMBER($N$5),$N$5&gt;0,ISNUMBER($N$3),$N$3&gt;0),R15/(6*$N$3*1000000*$N$5)*(IF(N15&lt;($N$4*1/10),($N$4*1/10)*(MIN(O15,($N$4*1/10))^3-N15^3)-(MIN(O15,($N$4*1/10))^4-N15^4)/4,0)+IF(O15&gt;($N$4*1/10),($N$4*1/10)^2*(1.5*(O15^2-MAX(N15,($N$4*1/10))^2)-($N$4*1/10)*(O15-MAX(N15,($N$4*1/10)))),0))*1000,0)</f>
        <v>0</v>
      </c>
      <c r="AO15" s="120">
        <f>IF(AND(V15="OK",ISNUMBER($N$5),$N$5&gt;0,ISNUMBER($N$3),$N$3&gt;0),R15/(6*$N$3*1000000*$N$5)*(IF(N15&lt;($N$4*2/10),($N$4*2/10)*(MIN(O15,($N$4*2/10))^3-N15^3)-(MIN(O15,($N$4*2/10))^4-N15^4)/4,0)+IF(O15&gt;($N$4*2/10),($N$4*2/10)^2*(1.5*(O15^2-MAX(N15,($N$4*2/10))^2)-($N$4*2/10)*(O15-MAX(N15,($N$4*2/10)))),0))*1000,0)</f>
        <v>0</v>
      </c>
      <c r="AP15" s="120">
        <f>IF(AND(V15="OK",ISNUMBER($N$5),$N$5&gt;0,ISNUMBER($N$3),$N$3&gt;0),R15/(6*$N$3*1000000*$N$5)*(IF(N15&lt;($N$4*3/10),($N$4*3/10)*(MIN(O15,($N$4*3/10))^3-N15^3)-(MIN(O15,($N$4*3/10))^4-N15^4)/4,0)+IF(O15&gt;($N$4*3/10),($N$4*3/10)^2*(1.5*(O15^2-MAX(N15,($N$4*3/10))^2)-($N$4*3/10)*(O15-MAX(N15,($N$4*3/10)))),0))*1000,0)</f>
        <v>0</v>
      </c>
      <c r="AQ15" s="120">
        <f>IF(AND(V15="OK",ISNUMBER($N$5),$N$5&gt;0,ISNUMBER($N$3),$N$3&gt;0),R15/(6*$N$3*1000000*$N$5)*(IF(N15&lt;($N$4*4/10),($N$4*4/10)*(MIN(O15,($N$4*4/10))^3-N15^3)-(MIN(O15,($N$4*4/10))^4-N15^4)/4,0)+IF(O15&gt;($N$4*4/10),($N$4*4/10)^2*(1.5*(O15^2-MAX(N15,($N$4*4/10))^2)-($N$4*4/10)*(O15-MAX(N15,($N$4*4/10)))),0))*1000,0)</f>
        <v>0</v>
      </c>
      <c r="AR15" s="120">
        <f>IF(AND(V15="OK",ISNUMBER($N$5),$N$5&gt;0,ISNUMBER($N$3),$N$3&gt;0),R15/(6*$N$3*1000000*$N$5)*(IF(N15&lt;($N$4*5/10),($N$4*5/10)*(MIN(O15,($N$4*5/10))^3-N15^3)-(MIN(O15,($N$4*5/10))^4-N15^4)/4,0)+IF(O15&gt;($N$4*5/10),($N$4*5/10)^2*(1.5*(O15^2-MAX(N15,($N$4*5/10))^2)-($N$4*5/10)*(O15-MAX(N15,($N$4*5/10)))),0))*1000,0)</f>
        <v>0</v>
      </c>
      <c r="AS15" s="120">
        <f>IF(AND(V15="OK",ISNUMBER($N$5),$N$5&gt;0,ISNUMBER($N$3),$N$3&gt;0),R15/(6*$N$3*1000000*$N$5)*(IF(N15&lt;($N$4*6/10),($N$4*6/10)*(MIN(O15,($N$4*6/10))^3-N15^3)-(MIN(O15,($N$4*6/10))^4-N15^4)/4,0)+IF(O15&gt;($N$4*6/10),($N$4*6/10)^2*(1.5*(O15^2-MAX(N15,($N$4*6/10))^2)-($N$4*6/10)*(O15-MAX(N15,($N$4*6/10)))),0))*1000,0)</f>
        <v>0</v>
      </c>
      <c r="AT15" s="120">
        <f>IF(AND(V15="OK",ISNUMBER($N$5),$N$5&gt;0,ISNUMBER($N$3),$N$3&gt;0),R15/(6*$N$3*1000000*$N$5)*(IF(N15&lt;($N$4*7/10),($N$4*7/10)*(MIN(O15,($N$4*7/10))^3-N15^3)-(MIN(O15,($N$4*7/10))^4-N15^4)/4,0)+IF(O15&gt;($N$4*7/10),($N$4*7/10)^2*(1.5*(O15^2-MAX(N15,($N$4*7/10))^2)-($N$4*7/10)*(O15-MAX(N15,($N$4*7/10)))),0))*1000,0)</f>
        <v>0</v>
      </c>
      <c r="AU15" s="120">
        <f>IF(AND(V15="OK",ISNUMBER($N$5),$N$5&gt;0,ISNUMBER($N$3),$N$3&gt;0),R15/(6*$N$3*1000000*$N$5)*(IF(N15&lt;($N$4*8/10),($N$4*8/10)*(MIN(O15,($N$4*8/10))^3-N15^3)-(MIN(O15,($N$4*8/10))^4-N15^4)/4,0)+IF(O15&gt;($N$4*8/10),($N$4*8/10)^2*(1.5*(O15^2-MAX(N15,($N$4*8/10))^2)-($N$4*8/10)*(O15-MAX(N15,($N$4*8/10)))),0))*1000,0)</f>
        <v>0</v>
      </c>
      <c r="AV15" s="120">
        <f>IF(AND(V15="OK",ISNUMBER($N$5),$N$5&gt;0,ISNUMBER($N$3),$N$3&gt;0),R15/(6*$N$3*1000000*$N$5)*(IF(N15&lt;($N$4*9/10),($N$4*9/10)*(MIN(O15,($N$4*9/10))^3-N15^3)-(MIN(O15,($N$4*9/10))^4-N15^4)/4,0)+IF(O15&gt;($N$4*9/10),($N$4*9/10)^2*(1.5*(O15^2-MAX(N15,($N$4*9/10))^2)-($N$4*9/10)*(O15-MAX(N15,($N$4*9/10)))),0))*1000,0)</f>
        <v>0</v>
      </c>
      <c r="AW15" s="120">
        <f>IF(AND(V15="OK",ISNUMBER($N$5),$N$5&gt;0,ISNUMBER($N$3),$N$3&gt;0),R15/(6*$N$3*1000000*$N$5)*(IF(N15&lt;($N$4*10/10),($N$4*10/10)*(MIN(O15,($N$4*10/10))^3-N15^3)-(MIN(O15,($N$4*10/10))^4-N15^4)/4,0)+IF(O15&gt;($N$4*10/10),($N$4*10/10)^2*(1.5*(O15^2-MAX(N15,($N$4*10/10))^2)-($N$4*10/10)*(O15-MAX(N15,($N$4*10/10)))),0))*1000,0)</f>
        <v>0</v>
      </c>
    </row>
    <row r="16" spans="1:49">
      <c r="A16" s="124"/>
      <c r="B16" s="125"/>
      <c r="C16" s="125"/>
      <c r="D16" s="125"/>
      <c r="E16" s="125"/>
      <c r="F16" s="126" t="str">
        <f>IF(J16="OK",D16*E16,"")</f>
        <v/>
      </c>
      <c r="G16" s="126" t="str">
        <f>IF(J16="OK",F16*(C16-B16),"")</f>
        <v/>
      </c>
      <c r="H16" s="126" t="str">
        <f>IF(J16="OK",G16*(C16+B16)/2,"")</f>
        <v/>
      </c>
      <c r="I16" s="126" t="str">
        <f>IF(AND(J16="OK",ISNUMBER($B$5),$B$5&gt;0,ISNUMBER($B$3),$B$3&gt;0),F16*(4*$B$4*(C16^3-B16^3)-(C16^4-B16^4))/(24*$B$3*1000000*$B$5)*1000,"")</f>
        <v/>
      </c>
      <c r="J16" s="120" t="str">
        <f>IF(COUNTA(A16:E16)=0,"",IF(AND(COUNT(B16:E16)=4,B16&gt;=0,C16&gt;B16,C16&lt;=$B$4,D16&gt;=0,E16&gt;0),IF(COUNTIFS($B$13:$B$15,"&lt;"&amp;C16,$C$13:$C$15,"&gt;"&amp;B16)&gt;0,"OVERLAP","OK"),"CHECK INPUTS"))</f>
        <v/>
      </c>
      <c r="M16" s="124"/>
      <c r="N16" s="125"/>
      <c r="O16" s="125"/>
      <c r="P16" s="125"/>
      <c r="Q16" s="125"/>
      <c r="R16" s="126" t="str">
        <f>IF(V16="OK",P16*Q16,"")</f>
        <v/>
      </c>
      <c r="S16" s="126" t="str">
        <f>IF(V16="OK",R16*(O16-N16),"")</f>
        <v/>
      </c>
      <c r="T16" s="126" t="str">
        <f>IF(V16="OK",S16*(O16+N16)/2,"")</f>
        <v/>
      </c>
      <c r="U16" s="126" t="str">
        <f>IF(AND(V16="OK",ISNUMBER($N$5),$N$5&gt;0,ISNUMBER($N$3),$N$3&gt;0),R16*(4*$N$4*(O16^3-N16^3)-(O16^4-N16^4))/(24*$N$3*1000000*$N$5)*1000,"")</f>
        <v/>
      </c>
      <c r="V16" s="120" t="str">
        <f>IF(COUNTA(M16:Q16)=0,"",IF(AND(COUNT(N16:Q16)=4,N16&gt;=0,O16&gt;N16,O16&lt;=$N$4,P16&gt;=0,Q16&gt;0),IF(COUNTIFS($N$13:$N$15,"&lt;"&amp;O16,$O$13:$O$15,"&gt;"&amp;N16)&gt;0,"OVERLAP","OK"),"CHECK INPUTS"))</f>
        <v/>
      </c>
      <c r="AA16" s="120">
        <f>IF(AND(J16="OK",ISNUMBER($B$5),$B$5&gt;0,ISNUMBER($B$3),$B$3&gt;0),F16/(6*$B$3*1000000*$B$5)*(IF(B16&lt;($B$4*0/10),($B$4*0/10)*(MIN(C16,($B$4*0/10))^3-B16^3)-(MIN(C16,($B$4*0/10))^4-B16^4)/4,0)+IF(C16&gt;($B$4*0/10),($B$4*0/10)^2*(1.5*(C16^2-MAX(B16,($B$4*0/10))^2)-($B$4*0/10)*(C16-MAX(B16,($B$4*0/10)))),0))*1000,0)</f>
        <v>0</v>
      </c>
      <c r="AB16" s="120">
        <f>IF(AND(J16="OK",ISNUMBER($B$5),$B$5&gt;0,ISNUMBER($B$3),$B$3&gt;0),F16/(6*$B$3*1000000*$B$5)*(IF(B16&lt;($B$4*1/10),($B$4*1/10)*(MIN(C16,($B$4*1/10))^3-B16^3)-(MIN(C16,($B$4*1/10))^4-B16^4)/4,0)+IF(C16&gt;($B$4*1/10),($B$4*1/10)^2*(1.5*(C16^2-MAX(B16,($B$4*1/10))^2)-($B$4*1/10)*(C16-MAX(B16,($B$4*1/10)))),0))*1000,0)</f>
        <v>0</v>
      </c>
      <c r="AC16" s="120">
        <f>IF(AND(J16="OK",ISNUMBER($B$5),$B$5&gt;0,ISNUMBER($B$3),$B$3&gt;0),F16/(6*$B$3*1000000*$B$5)*(IF(B16&lt;($B$4*2/10),($B$4*2/10)*(MIN(C16,($B$4*2/10))^3-B16^3)-(MIN(C16,($B$4*2/10))^4-B16^4)/4,0)+IF(C16&gt;($B$4*2/10),($B$4*2/10)^2*(1.5*(C16^2-MAX(B16,($B$4*2/10))^2)-($B$4*2/10)*(C16-MAX(B16,($B$4*2/10)))),0))*1000,0)</f>
        <v>0</v>
      </c>
      <c r="AD16" s="120">
        <f>IF(AND(J16="OK",ISNUMBER($B$5),$B$5&gt;0,ISNUMBER($B$3),$B$3&gt;0),F16/(6*$B$3*1000000*$B$5)*(IF(B16&lt;($B$4*3/10),($B$4*3/10)*(MIN(C16,($B$4*3/10))^3-B16^3)-(MIN(C16,($B$4*3/10))^4-B16^4)/4,0)+IF(C16&gt;($B$4*3/10),($B$4*3/10)^2*(1.5*(C16^2-MAX(B16,($B$4*3/10))^2)-($B$4*3/10)*(C16-MAX(B16,($B$4*3/10)))),0))*1000,0)</f>
        <v>0</v>
      </c>
      <c r="AE16" s="120">
        <f>IF(AND(J16="OK",ISNUMBER($B$5),$B$5&gt;0,ISNUMBER($B$3),$B$3&gt;0),F16/(6*$B$3*1000000*$B$5)*(IF(B16&lt;($B$4*4/10),($B$4*4/10)*(MIN(C16,($B$4*4/10))^3-B16^3)-(MIN(C16,($B$4*4/10))^4-B16^4)/4,0)+IF(C16&gt;($B$4*4/10),($B$4*4/10)^2*(1.5*(C16^2-MAX(B16,($B$4*4/10))^2)-($B$4*4/10)*(C16-MAX(B16,($B$4*4/10)))),0))*1000,0)</f>
        <v>0</v>
      </c>
      <c r="AF16" s="120">
        <f>IF(AND(J16="OK",ISNUMBER($B$5),$B$5&gt;0,ISNUMBER($B$3),$B$3&gt;0),F16/(6*$B$3*1000000*$B$5)*(IF(B16&lt;($B$4*5/10),($B$4*5/10)*(MIN(C16,($B$4*5/10))^3-B16^3)-(MIN(C16,($B$4*5/10))^4-B16^4)/4,0)+IF(C16&gt;($B$4*5/10),($B$4*5/10)^2*(1.5*(C16^2-MAX(B16,($B$4*5/10))^2)-($B$4*5/10)*(C16-MAX(B16,($B$4*5/10)))),0))*1000,0)</f>
        <v>0</v>
      </c>
      <c r="AG16" s="120">
        <f>IF(AND(J16="OK",ISNUMBER($B$5),$B$5&gt;0,ISNUMBER($B$3),$B$3&gt;0),F16/(6*$B$3*1000000*$B$5)*(IF(B16&lt;($B$4*6/10),($B$4*6/10)*(MIN(C16,($B$4*6/10))^3-B16^3)-(MIN(C16,($B$4*6/10))^4-B16^4)/4,0)+IF(C16&gt;($B$4*6/10),($B$4*6/10)^2*(1.5*(C16^2-MAX(B16,($B$4*6/10))^2)-($B$4*6/10)*(C16-MAX(B16,($B$4*6/10)))),0))*1000,0)</f>
        <v>0</v>
      </c>
      <c r="AH16" s="120">
        <f>IF(AND(J16="OK",ISNUMBER($B$5),$B$5&gt;0,ISNUMBER($B$3),$B$3&gt;0),F16/(6*$B$3*1000000*$B$5)*(IF(B16&lt;($B$4*7/10),($B$4*7/10)*(MIN(C16,($B$4*7/10))^3-B16^3)-(MIN(C16,($B$4*7/10))^4-B16^4)/4,0)+IF(C16&gt;($B$4*7/10),($B$4*7/10)^2*(1.5*(C16^2-MAX(B16,($B$4*7/10))^2)-($B$4*7/10)*(C16-MAX(B16,($B$4*7/10)))),0))*1000,0)</f>
        <v>0</v>
      </c>
      <c r="AI16" s="120">
        <f>IF(AND(J16="OK",ISNUMBER($B$5),$B$5&gt;0,ISNUMBER($B$3),$B$3&gt;0),F16/(6*$B$3*1000000*$B$5)*(IF(B16&lt;($B$4*8/10),($B$4*8/10)*(MIN(C16,($B$4*8/10))^3-B16^3)-(MIN(C16,($B$4*8/10))^4-B16^4)/4,0)+IF(C16&gt;($B$4*8/10),($B$4*8/10)^2*(1.5*(C16^2-MAX(B16,($B$4*8/10))^2)-($B$4*8/10)*(C16-MAX(B16,($B$4*8/10)))),0))*1000,0)</f>
        <v>0</v>
      </c>
      <c r="AJ16" s="120">
        <f>IF(AND(J16="OK",ISNUMBER($B$5),$B$5&gt;0,ISNUMBER($B$3),$B$3&gt;0),F16/(6*$B$3*1000000*$B$5)*(IF(B16&lt;($B$4*9/10),($B$4*9/10)*(MIN(C16,($B$4*9/10))^3-B16^3)-(MIN(C16,($B$4*9/10))^4-B16^4)/4,0)+IF(C16&gt;($B$4*9/10),($B$4*9/10)^2*(1.5*(C16^2-MAX(B16,($B$4*9/10))^2)-($B$4*9/10)*(C16-MAX(B16,($B$4*9/10)))),0))*1000,0)</f>
        <v>0</v>
      </c>
      <c r="AK16" s="120">
        <f>IF(AND(J16="OK",ISNUMBER($B$5),$B$5&gt;0,ISNUMBER($B$3),$B$3&gt;0),F16/(6*$B$3*1000000*$B$5)*(IF(B16&lt;($B$4*10/10),($B$4*10/10)*(MIN(C16,($B$4*10/10))^3-B16^3)-(MIN(C16,($B$4*10/10))^4-B16^4)/4,0)+IF(C16&gt;($B$4*10/10),($B$4*10/10)^2*(1.5*(C16^2-MAX(B16,($B$4*10/10))^2)-($B$4*10/10)*(C16-MAX(B16,($B$4*10/10)))),0))*1000,0)</f>
        <v>0</v>
      </c>
      <c r="AM16" s="120">
        <f>IF(AND(V16="OK",ISNUMBER($N$5),$N$5&gt;0,ISNUMBER($N$3),$N$3&gt;0),R16/(6*$N$3*1000000*$N$5)*(IF(N16&lt;($N$4*0/10),($N$4*0/10)*(MIN(O16,($N$4*0/10))^3-N16^3)-(MIN(O16,($N$4*0/10))^4-N16^4)/4,0)+IF(O16&gt;($N$4*0/10),($N$4*0/10)^2*(1.5*(O16^2-MAX(N16,($N$4*0/10))^2)-($N$4*0/10)*(O16-MAX(N16,($N$4*0/10)))),0))*1000,0)</f>
        <v>0</v>
      </c>
      <c r="AN16" s="120">
        <f>IF(AND(V16="OK",ISNUMBER($N$5),$N$5&gt;0,ISNUMBER($N$3),$N$3&gt;0),R16/(6*$N$3*1000000*$N$5)*(IF(N16&lt;($N$4*1/10),($N$4*1/10)*(MIN(O16,($N$4*1/10))^3-N16^3)-(MIN(O16,($N$4*1/10))^4-N16^4)/4,0)+IF(O16&gt;($N$4*1/10),($N$4*1/10)^2*(1.5*(O16^2-MAX(N16,($N$4*1/10))^2)-($N$4*1/10)*(O16-MAX(N16,($N$4*1/10)))),0))*1000,0)</f>
        <v>0</v>
      </c>
      <c r="AO16" s="120">
        <f>IF(AND(V16="OK",ISNUMBER($N$5),$N$5&gt;0,ISNUMBER($N$3),$N$3&gt;0),R16/(6*$N$3*1000000*$N$5)*(IF(N16&lt;($N$4*2/10),($N$4*2/10)*(MIN(O16,($N$4*2/10))^3-N16^3)-(MIN(O16,($N$4*2/10))^4-N16^4)/4,0)+IF(O16&gt;($N$4*2/10),($N$4*2/10)^2*(1.5*(O16^2-MAX(N16,($N$4*2/10))^2)-($N$4*2/10)*(O16-MAX(N16,($N$4*2/10)))),0))*1000,0)</f>
        <v>0</v>
      </c>
      <c r="AP16" s="120">
        <f>IF(AND(V16="OK",ISNUMBER($N$5),$N$5&gt;0,ISNUMBER($N$3),$N$3&gt;0),R16/(6*$N$3*1000000*$N$5)*(IF(N16&lt;($N$4*3/10),($N$4*3/10)*(MIN(O16,($N$4*3/10))^3-N16^3)-(MIN(O16,($N$4*3/10))^4-N16^4)/4,0)+IF(O16&gt;($N$4*3/10),($N$4*3/10)^2*(1.5*(O16^2-MAX(N16,($N$4*3/10))^2)-($N$4*3/10)*(O16-MAX(N16,($N$4*3/10)))),0))*1000,0)</f>
        <v>0</v>
      </c>
      <c r="AQ16" s="120">
        <f>IF(AND(V16="OK",ISNUMBER($N$5),$N$5&gt;0,ISNUMBER($N$3),$N$3&gt;0),R16/(6*$N$3*1000000*$N$5)*(IF(N16&lt;($N$4*4/10),($N$4*4/10)*(MIN(O16,($N$4*4/10))^3-N16^3)-(MIN(O16,($N$4*4/10))^4-N16^4)/4,0)+IF(O16&gt;($N$4*4/10),($N$4*4/10)^2*(1.5*(O16^2-MAX(N16,($N$4*4/10))^2)-($N$4*4/10)*(O16-MAX(N16,($N$4*4/10)))),0))*1000,0)</f>
        <v>0</v>
      </c>
      <c r="AR16" s="120">
        <f>IF(AND(V16="OK",ISNUMBER($N$5),$N$5&gt;0,ISNUMBER($N$3),$N$3&gt;0),R16/(6*$N$3*1000000*$N$5)*(IF(N16&lt;($N$4*5/10),($N$4*5/10)*(MIN(O16,($N$4*5/10))^3-N16^3)-(MIN(O16,($N$4*5/10))^4-N16^4)/4,0)+IF(O16&gt;($N$4*5/10),($N$4*5/10)^2*(1.5*(O16^2-MAX(N16,($N$4*5/10))^2)-($N$4*5/10)*(O16-MAX(N16,($N$4*5/10)))),0))*1000,0)</f>
        <v>0</v>
      </c>
      <c r="AS16" s="120">
        <f>IF(AND(V16="OK",ISNUMBER($N$5),$N$5&gt;0,ISNUMBER($N$3),$N$3&gt;0),R16/(6*$N$3*1000000*$N$5)*(IF(N16&lt;($N$4*6/10),($N$4*6/10)*(MIN(O16,($N$4*6/10))^3-N16^3)-(MIN(O16,($N$4*6/10))^4-N16^4)/4,0)+IF(O16&gt;($N$4*6/10),($N$4*6/10)^2*(1.5*(O16^2-MAX(N16,($N$4*6/10))^2)-($N$4*6/10)*(O16-MAX(N16,($N$4*6/10)))),0))*1000,0)</f>
        <v>0</v>
      </c>
      <c r="AT16" s="120">
        <f>IF(AND(V16="OK",ISNUMBER($N$5),$N$5&gt;0,ISNUMBER($N$3),$N$3&gt;0),R16/(6*$N$3*1000000*$N$5)*(IF(N16&lt;($N$4*7/10),($N$4*7/10)*(MIN(O16,($N$4*7/10))^3-N16^3)-(MIN(O16,($N$4*7/10))^4-N16^4)/4,0)+IF(O16&gt;($N$4*7/10),($N$4*7/10)^2*(1.5*(O16^2-MAX(N16,($N$4*7/10))^2)-($N$4*7/10)*(O16-MAX(N16,($N$4*7/10)))),0))*1000,0)</f>
        <v>0</v>
      </c>
      <c r="AU16" s="120">
        <f>IF(AND(V16="OK",ISNUMBER($N$5),$N$5&gt;0,ISNUMBER($N$3),$N$3&gt;0),R16/(6*$N$3*1000000*$N$5)*(IF(N16&lt;($N$4*8/10),($N$4*8/10)*(MIN(O16,($N$4*8/10))^3-N16^3)-(MIN(O16,($N$4*8/10))^4-N16^4)/4,0)+IF(O16&gt;($N$4*8/10),($N$4*8/10)^2*(1.5*(O16^2-MAX(N16,($N$4*8/10))^2)-($N$4*8/10)*(O16-MAX(N16,($N$4*8/10)))),0))*1000,0)</f>
        <v>0</v>
      </c>
      <c r="AV16" s="120">
        <f>IF(AND(V16="OK",ISNUMBER($N$5),$N$5&gt;0,ISNUMBER($N$3),$N$3&gt;0),R16/(6*$N$3*1000000*$N$5)*(IF(N16&lt;($N$4*9/10),($N$4*9/10)*(MIN(O16,($N$4*9/10))^3-N16^3)-(MIN(O16,($N$4*9/10))^4-N16^4)/4,0)+IF(O16&gt;($N$4*9/10),($N$4*9/10)^2*(1.5*(O16^2-MAX(N16,($N$4*9/10))^2)-($N$4*9/10)*(O16-MAX(N16,($N$4*9/10)))),0))*1000,0)</f>
        <v>0</v>
      </c>
      <c r="AW16" s="120">
        <f>IF(AND(V16="OK",ISNUMBER($N$5),$N$5&gt;0,ISNUMBER($N$3),$N$3&gt;0),R16/(6*$N$3*1000000*$N$5)*(IF(N16&lt;($N$4*10/10),($N$4*10/10)*(MIN(O16,($N$4*10/10))^3-N16^3)-(MIN(O16,($N$4*10/10))^4-N16^4)/4,0)+IF(O16&gt;($N$4*10/10),($N$4*10/10)^2*(1.5*(O16^2-MAX(N16,($N$4*10/10))^2)-($N$4*10/10)*(O16-MAX(N16,($N$4*10/10)))),0))*1000,0)</f>
        <v>0</v>
      </c>
    </row>
    <row r="17" spans="1:49">
      <c r="A17" s="124"/>
      <c r="B17" s="125"/>
      <c r="C17" s="125"/>
      <c r="D17" s="125"/>
      <c r="E17" s="125"/>
      <c r="F17" s="126" t="str">
        <f>IF(J17="OK",D17*E17,"")</f>
        <v/>
      </c>
      <c r="G17" s="126" t="str">
        <f>IF(J17="OK",F17*(C17-B17),"")</f>
        <v/>
      </c>
      <c r="H17" s="126" t="str">
        <f>IF(J17="OK",G17*(C17+B17)/2,"")</f>
        <v/>
      </c>
      <c r="I17" s="126" t="str">
        <f>IF(AND(J17="OK",ISNUMBER($B$5),$B$5&gt;0,ISNUMBER($B$3),$B$3&gt;0),F17*(4*$B$4*(C17^3-B17^3)-(C17^4-B17^4))/(24*$B$3*1000000*$B$5)*1000,"")</f>
        <v/>
      </c>
      <c r="J17" s="120" t="str">
        <f>IF(COUNTA(A17:E17)=0,"",IF(AND(COUNT(B17:E17)=4,B17&gt;=0,C17&gt;B17,C17&lt;=$B$4,D17&gt;=0,E17&gt;0),IF(COUNTIFS($B$13:$B$16,"&lt;"&amp;C17,$C$13:$C$16,"&gt;"&amp;B17)&gt;0,"OVERLAP","OK"),"CHECK INPUTS"))</f>
        <v/>
      </c>
      <c r="M17" s="124"/>
      <c r="N17" s="125"/>
      <c r="O17" s="125"/>
      <c r="P17" s="125"/>
      <c r="Q17" s="125"/>
      <c r="R17" s="126" t="str">
        <f>IF(V17="OK",P17*Q17,"")</f>
        <v/>
      </c>
      <c r="S17" s="126" t="str">
        <f>IF(V17="OK",R17*(O17-N17),"")</f>
        <v/>
      </c>
      <c r="T17" s="126" t="str">
        <f>IF(V17="OK",S17*(O17+N17)/2,"")</f>
        <v/>
      </c>
      <c r="U17" s="126" t="str">
        <f>IF(AND(V17="OK",ISNUMBER($N$5),$N$5&gt;0,ISNUMBER($N$3),$N$3&gt;0),R17*(4*$N$4*(O17^3-N17^3)-(O17^4-N17^4))/(24*$N$3*1000000*$N$5)*1000,"")</f>
        <v/>
      </c>
      <c r="V17" s="120" t="str">
        <f>IF(COUNTA(M17:Q17)=0,"",IF(AND(COUNT(N17:Q17)=4,N17&gt;=0,O17&gt;N17,O17&lt;=$N$4,P17&gt;=0,Q17&gt;0),IF(COUNTIFS($N$13:$N$16,"&lt;"&amp;O17,$O$13:$O$16,"&gt;"&amp;N17)&gt;0,"OVERLAP","OK"),"CHECK INPUTS"))</f>
        <v/>
      </c>
      <c r="AA17" s="120">
        <f>IF(AND(J17="OK",ISNUMBER($B$5),$B$5&gt;0,ISNUMBER($B$3),$B$3&gt;0),F17/(6*$B$3*1000000*$B$5)*(IF(B17&lt;($B$4*0/10),($B$4*0/10)*(MIN(C17,($B$4*0/10))^3-B17^3)-(MIN(C17,($B$4*0/10))^4-B17^4)/4,0)+IF(C17&gt;($B$4*0/10),($B$4*0/10)^2*(1.5*(C17^2-MAX(B17,($B$4*0/10))^2)-($B$4*0/10)*(C17-MAX(B17,($B$4*0/10)))),0))*1000,0)</f>
        <v>0</v>
      </c>
      <c r="AB17" s="120">
        <f>IF(AND(J17="OK",ISNUMBER($B$5),$B$5&gt;0,ISNUMBER($B$3),$B$3&gt;0),F17/(6*$B$3*1000000*$B$5)*(IF(B17&lt;($B$4*1/10),($B$4*1/10)*(MIN(C17,($B$4*1/10))^3-B17^3)-(MIN(C17,($B$4*1/10))^4-B17^4)/4,0)+IF(C17&gt;($B$4*1/10),($B$4*1/10)^2*(1.5*(C17^2-MAX(B17,($B$4*1/10))^2)-($B$4*1/10)*(C17-MAX(B17,($B$4*1/10)))),0))*1000,0)</f>
        <v>0</v>
      </c>
      <c r="AC17" s="120">
        <f>IF(AND(J17="OK",ISNUMBER($B$5),$B$5&gt;0,ISNUMBER($B$3),$B$3&gt;0),F17/(6*$B$3*1000000*$B$5)*(IF(B17&lt;($B$4*2/10),($B$4*2/10)*(MIN(C17,($B$4*2/10))^3-B17^3)-(MIN(C17,($B$4*2/10))^4-B17^4)/4,0)+IF(C17&gt;($B$4*2/10),($B$4*2/10)^2*(1.5*(C17^2-MAX(B17,($B$4*2/10))^2)-($B$4*2/10)*(C17-MAX(B17,($B$4*2/10)))),0))*1000,0)</f>
        <v>0</v>
      </c>
      <c r="AD17" s="120">
        <f>IF(AND(J17="OK",ISNUMBER($B$5),$B$5&gt;0,ISNUMBER($B$3),$B$3&gt;0),F17/(6*$B$3*1000000*$B$5)*(IF(B17&lt;($B$4*3/10),($B$4*3/10)*(MIN(C17,($B$4*3/10))^3-B17^3)-(MIN(C17,($B$4*3/10))^4-B17^4)/4,0)+IF(C17&gt;($B$4*3/10),($B$4*3/10)^2*(1.5*(C17^2-MAX(B17,($B$4*3/10))^2)-($B$4*3/10)*(C17-MAX(B17,($B$4*3/10)))),0))*1000,0)</f>
        <v>0</v>
      </c>
      <c r="AE17" s="120">
        <f>IF(AND(J17="OK",ISNUMBER($B$5),$B$5&gt;0,ISNUMBER($B$3),$B$3&gt;0),F17/(6*$B$3*1000000*$B$5)*(IF(B17&lt;($B$4*4/10),($B$4*4/10)*(MIN(C17,($B$4*4/10))^3-B17^3)-(MIN(C17,($B$4*4/10))^4-B17^4)/4,0)+IF(C17&gt;($B$4*4/10),($B$4*4/10)^2*(1.5*(C17^2-MAX(B17,($B$4*4/10))^2)-($B$4*4/10)*(C17-MAX(B17,($B$4*4/10)))),0))*1000,0)</f>
        <v>0</v>
      </c>
      <c r="AF17" s="120">
        <f>IF(AND(J17="OK",ISNUMBER($B$5),$B$5&gt;0,ISNUMBER($B$3),$B$3&gt;0),F17/(6*$B$3*1000000*$B$5)*(IF(B17&lt;($B$4*5/10),($B$4*5/10)*(MIN(C17,($B$4*5/10))^3-B17^3)-(MIN(C17,($B$4*5/10))^4-B17^4)/4,0)+IF(C17&gt;($B$4*5/10),($B$4*5/10)^2*(1.5*(C17^2-MAX(B17,($B$4*5/10))^2)-($B$4*5/10)*(C17-MAX(B17,($B$4*5/10)))),0))*1000,0)</f>
        <v>0</v>
      </c>
      <c r="AG17" s="120">
        <f>IF(AND(J17="OK",ISNUMBER($B$5),$B$5&gt;0,ISNUMBER($B$3),$B$3&gt;0),F17/(6*$B$3*1000000*$B$5)*(IF(B17&lt;($B$4*6/10),($B$4*6/10)*(MIN(C17,($B$4*6/10))^3-B17^3)-(MIN(C17,($B$4*6/10))^4-B17^4)/4,0)+IF(C17&gt;($B$4*6/10),($B$4*6/10)^2*(1.5*(C17^2-MAX(B17,($B$4*6/10))^2)-($B$4*6/10)*(C17-MAX(B17,($B$4*6/10)))),0))*1000,0)</f>
        <v>0</v>
      </c>
      <c r="AH17" s="120">
        <f>IF(AND(J17="OK",ISNUMBER($B$5),$B$5&gt;0,ISNUMBER($B$3),$B$3&gt;0),F17/(6*$B$3*1000000*$B$5)*(IF(B17&lt;($B$4*7/10),($B$4*7/10)*(MIN(C17,($B$4*7/10))^3-B17^3)-(MIN(C17,($B$4*7/10))^4-B17^4)/4,0)+IF(C17&gt;($B$4*7/10),($B$4*7/10)^2*(1.5*(C17^2-MAX(B17,($B$4*7/10))^2)-($B$4*7/10)*(C17-MAX(B17,($B$4*7/10)))),0))*1000,0)</f>
        <v>0</v>
      </c>
      <c r="AI17" s="120">
        <f>IF(AND(J17="OK",ISNUMBER($B$5),$B$5&gt;0,ISNUMBER($B$3),$B$3&gt;0),F17/(6*$B$3*1000000*$B$5)*(IF(B17&lt;($B$4*8/10),($B$4*8/10)*(MIN(C17,($B$4*8/10))^3-B17^3)-(MIN(C17,($B$4*8/10))^4-B17^4)/4,0)+IF(C17&gt;($B$4*8/10),($B$4*8/10)^2*(1.5*(C17^2-MAX(B17,($B$4*8/10))^2)-($B$4*8/10)*(C17-MAX(B17,($B$4*8/10)))),0))*1000,0)</f>
        <v>0</v>
      </c>
      <c r="AJ17" s="120">
        <f>IF(AND(J17="OK",ISNUMBER($B$5),$B$5&gt;0,ISNUMBER($B$3),$B$3&gt;0),F17/(6*$B$3*1000000*$B$5)*(IF(B17&lt;($B$4*9/10),($B$4*9/10)*(MIN(C17,($B$4*9/10))^3-B17^3)-(MIN(C17,($B$4*9/10))^4-B17^4)/4,0)+IF(C17&gt;($B$4*9/10),($B$4*9/10)^2*(1.5*(C17^2-MAX(B17,($B$4*9/10))^2)-($B$4*9/10)*(C17-MAX(B17,($B$4*9/10)))),0))*1000,0)</f>
        <v>0</v>
      </c>
      <c r="AK17" s="120">
        <f>IF(AND(J17="OK",ISNUMBER($B$5),$B$5&gt;0,ISNUMBER($B$3),$B$3&gt;0),F17/(6*$B$3*1000000*$B$5)*(IF(B17&lt;($B$4*10/10),($B$4*10/10)*(MIN(C17,($B$4*10/10))^3-B17^3)-(MIN(C17,($B$4*10/10))^4-B17^4)/4,0)+IF(C17&gt;($B$4*10/10),($B$4*10/10)^2*(1.5*(C17^2-MAX(B17,($B$4*10/10))^2)-($B$4*10/10)*(C17-MAX(B17,($B$4*10/10)))),0))*1000,0)</f>
        <v>0</v>
      </c>
      <c r="AM17" s="120">
        <f>IF(AND(V17="OK",ISNUMBER($N$5),$N$5&gt;0,ISNUMBER($N$3),$N$3&gt;0),R17/(6*$N$3*1000000*$N$5)*(IF(N17&lt;($N$4*0/10),($N$4*0/10)*(MIN(O17,($N$4*0/10))^3-N17^3)-(MIN(O17,($N$4*0/10))^4-N17^4)/4,0)+IF(O17&gt;($N$4*0/10),($N$4*0/10)^2*(1.5*(O17^2-MAX(N17,($N$4*0/10))^2)-($N$4*0/10)*(O17-MAX(N17,($N$4*0/10)))),0))*1000,0)</f>
        <v>0</v>
      </c>
      <c r="AN17" s="120">
        <f>IF(AND(V17="OK",ISNUMBER($N$5),$N$5&gt;0,ISNUMBER($N$3),$N$3&gt;0),R17/(6*$N$3*1000000*$N$5)*(IF(N17&lt;($N$4*1/10),($N$4*1/10)*(MIN(O17,($N$4*1/10))^3-N17^3)-(MIN(O17,($N$4*1/10))^4-N17^4)/4,0)+IF(O17&gt;($N$4*1/10),($N$4*1/10)^2*(1.5*(O17^2-MAX(N17,($N$4*1/10))^2)-($N$4*1/10)*(O17-MAX(N17,($N$4*1/10)))),0))*1000,0)</f>
        <v>0</v>
      </c>
      <c r="AO17" s="120">
        <f>IF(AND(V17="OK",ISNUMBER($N$5),$N$5&gt;0,ISNUMBER($N$3),$N$3&gt;0),R17/(6*$N$3*1000000*$N$5)*(IF(N17&lt;($N$4*2/10),($N$4*2/10)*(MIN(O17,($N$4*2/10))^3-N17^3)-(MIN(O17,($N$4*2/10))^4-N17^4)/4,0)+IF(O17&gt;($N$4*2/10),($N$4*2/10)^2*(1.5*(O17^2-MAX(N17,($N$4*2/10))^2)-($N$4*2/10)*(O17-MAX(N17,($N$4*2/10)))),0))*1000,0)</f>
        <v>0</v>
      </c>
      <c r="AP17" s="120">
        <f>IF(AND(V17="OK",ISNUMBER($N$5),$N$5&gt;0,ISNUMBER($N$3),$N$3&gt;0),R17/(6*$N$3*1000000*$N$5)*(IF(N17&lt;($N$4*3/10),($N$4*3/10)*(MIN(O17,($N$4*3/10))^3-N17^3)-(MIN(O17,($N$4*3/10))^4-N17^4)/4,0)+IF(O17&gt;($N$4*3/10),($N$4*3/10)^2*(1.5*(O17^2-MAX(N17,($N$4*3/10))^2)-($N$4*3/10)*(O17-MAX(N17,($N$4*3/10)))),0))*1000,0)</f>
        <v>0</v>
      </c>
      <c r="AQ17" s="120">
        <f>IF(AND(V17="OK",ISNUMBER($N$5),$N$5&gt;0,ISNUMBER($N$3),$N$3&gt;0),R17/(6*$N$3*1000000*$N$5)*(IF(N17&lt;($N$4*4/10),($N$4*4/10)*(MIN(O17,($N$4*4/10))^3-N17^3)-(MIN(O17,($N$4*4/10))^4-N17^4)/4,0)+IF(O17&gt;($N$4*4/10),($N$4*4/10)^2*(1.5*(O17^2-MAX(N17,($N$4*4/10))^2)-($N$4*4/10)*(O17-MAX(N17,($N$4*4/10)))),0))*1000,0)</f>
        <v>0</v>
      </c>
      <c r="AR17" s="120">
        <f>IF(AND(V17="OK",ISNUMBER($N$5),$N$5&gt;0,ISNUMBER($N$3),$N$3&gt;0),R17/(6*$N$3*1000000*$N$5)*(IF(N17&lt;($N$4*5/10),($N$4*5/10)*(MIN(O17,($N$4*5/10))^3-N17^3)-(MIN(O17,($N$4*5/10))^4-N17^4)/4,0)+IF(O17&gt;($N$4*5/10),($N$4*5/10)^2*(1.5*(O17^2-MAX(N17,($N$4*5/10))^2)-($N$4*5/10)*(O17-MAX(N17,($N$4*5/10)))),0))*1000,0)</f>
        <v>0</v>
      </c>
      <c r="AS17" s="120">
        <f>IF(AND(V17="OK",ISNUMBER($N$5),$N$5&gt;0,ISNUMBER($N$3),$N$3&gt;0),R17/(6*$N$3*1000000*$N$5)*(IF(N17&lt;($N$4*6/10),($N$4*6/10)*(MIN(O17,($N$4*6/10))^3-N17^3)-(MIN(O17,($N$4*6/10))^4-N17^4)/4,0)+IF(O17&gt;($N$4*6/10),($N$4*6/10)^2*(1.5*(O17^2-MAX(N17,($N$4*6/10))^2)-($N$4*6/10)*(O17-MAX(N17,($N$4*6/10)))),0))*1000,0)</f>
        <v>0</v>
      </c>
      <c r="AT17" s="120">
        <f>IF(AND(V17="OK",ISNUMBER($N$5),$N$5&gt;0,ISNUMBER($N$3),$N$3&gt;0),R17/(6*$N$3*1000000*$N$5)*(IF(N17&lt;($N$4*7/10),($N$4*7/10)*(MIN(O17,($N$4*7/10))^3-N17^3)-(MIN(O17,($N$4*7/10))^4-N17^4)/4,0)+IF(O17&gt;($N$4*7/10),($N$4*7/10)^2*(1.5*(O17^2-MAX(N17,($N$4*7/10))^2)-($N$4*7/10)*(O17-MAX(N17,($N$4*7/10)))),0))*1000,0)</f>
        <v>0</v>
      </c>
      <c r="AU17" s="120">
        <f>IF(AND(V17="OK",ISNUMBER($N$5),$N$5&gt;0,ISNUMBER($N$3),$N$3&gt;0),R17/(6*$N$3*1000000*$N$5)*(IF(N17&lt;($N$4*8/10),($N$4*8/10)*(MIN(O17,($N$4*8/10))^3-N17^3)-(MIN(O17,($N$4*8/10))^4-N17^4)/4,0)+IF(O17&gt;($N$4*8/10),($N$4*8/10)^2*(1.5*(O17^2-MAX(N17,($N$4*8/10))^2)-($N$4*8/10)*(O17-MAX(N17,($N$4*8/10)))),0))*1000,0)</f>
        <v>0</v>
      </c>
      <c r="AV17" s="120">
        <f>IF(AND(V17="OK",ISNUMBER($N$5),$N$5&gt;0,ISNUMBER($N$3),$N$3&gt;0),R17/(6*$N$3*1000000*$N$5)*(IF(N17&lt;($N$4*9/10),($N$4*9/10)*(MIN(O17,($N$4*9/10))^3-N17^3)-(MIN(O17,($N$4*9/10))^4-N17^4)/4,0)+IF(O17&gt;($N$4*9/10),($N$4*9/10)^2*(1.5*(O17^2-MAX(N17,($N$4*9/10))^2)-($N$4*9/10)*(O17-MAX(N17,($N$4*9/10)))),0))*1000,0)</f>
        <v>0</v>
      </c>
      <c r="AW17" s="120">
        <f>IF(AND(V17="OK",ISNUMBER($N$5),$N$5&gt;0,ISNUMBER($N$3),$N$3&gt;0),R17/(6*$N$3*1000000*$N$5)*(IF(N17&lt;($N$4*10/10),($N$4*10/10)*(MIN(O17,($N$4*10/10))^3-N17^3)-(MIN(O17,($N$4*10/10))^4-N17^4)/4,0)+IF(O17&gt;($N$4*10/10),($N$4*10/10)^2*(1.5*(O17^2-MAX(N17,($N$4*10/10))^2)-($N$4*10/10)*(O17-MAX(N17,($N$4*10/10)))),0))*1000,0)</f>
        <v>0</v>
      </c>
    </row>
    <row r="18" spans="1:49">
      <c r="A18" s="124"/>
      <c r="B18" s="125"/>
      <c r="C18" s="125"/>
      <c r="D18" s="125"/>
      <c r="E18" s="125"/>
      <c r="F18" s="126" t="str">
        <f>IF(J18="OK",D18*E18,"")</f>
        <v/>
      </c>
      <c r="G18" s="126" t="str">
        <f>IF(J18="OK",F18*(C18-B18),"")</f>
        <v/>
      </c>
      <c r="H18" s="126" t="str">
        <f>IF(J18="OK",G18*(C18+B18)/2,"")</f>
        <v/>
      </c>
      <c r="I18" s="126" t="str">
        <f>IF(AND(J18="OK",ISNUMBER($B$5),$B$5&gt;0,ISNUMBER($B$3),$B$3&gt;0),F18*(4*$B$4*(C18^3-B18^3)-(C18^4-B18^4))/(24*$B$3*1000000*$B$5)*1000,"")</f>
        <v/>
      </c>
      <c r="J18" s="120" t="str">
        <f>IF(COUNTA(A18:E18)=0,"",IF(AND(COUNT(B18:E18)=4,B18&gt;=0,C18&gt;B18,C18&lt;=$B$4,D18&gt;=0,E18&gt;0),IF(COUNTIFS($B$13:$B$17,"&lt;"&amp;C18,$C$13:$C$17,"&gt;"&amp;B18)&gt;0,"OVERLAP","OK"),"CHECK INPUTS"))</f>
        <v/>
      </c>
      <c r="M18" s="124"/>
      <c r="N18" s="125"/>
      <c r="O18" s="125"/>
      <c r="P18" s="125"/>
      <c r="Q18" s="125"/>
      <c r="R18" s="126" t="str">
        <f>IF(V18="OK",P18*Q18,"")</f>
        <v/>
      </c>
      <c r="S18" s="126" t="str">
        <f>IF(V18="OK",R18*(O18-N18),"")</f>
        <v/>
      </c>
      <c r="T18" s="126" t="str">
        <f>IF(V18="OK",S18*(O18+N18)/2,"")</f>
        <v/>
      </c>
      <c r="U18" s="126" t="str">
        <f>IF(AND(V18="OK",ISNUMBER($N$5),$N$5&gt;0,ISNUMBER($N$3),$N$3&gt;0),R18*(4*$N$4*(O18^3-N18^3)-(O18^4-N18^4))/(24*$N$3*1000000*$N$5)*1000,"")</f>
        <v/>
      </c>
      <c r="V18" s="120" t="str">
        <f>IF(COUNTA(M18:Q18)=0,"",IF(AND(COUNT(N18:Q18)=4,N18&gt;=0,O18&gt;N18,O18&lt;=$N$4,P18&gt;=0,Q18&gt;0),IF(COUNTIFS($N$13:$N$17,"&lt;"&amp;O18,$O$13:$O$17,"&gt;"&amp;N18)&gt;0,"OVERLAP","OK"),"CHECK INPUTS"))</f>
        <v/>
      </c>
      <c r="AA18" s="120">
        <f>IF(AND(J18="OK",ISNUMBER($B$5),$B$5&gt;0,ISNUMBER($B$3),$B$3&gt;0),F18/(6*$B$3*1000000*$B$5)*(IF(B18&lt;($B$4*0/10),($B$4*0/10)*(MIN(C18,($B$4*0/10))^3-B18^3)-(MIN(C18,($B$4*0/10))^4-B18^4)/4,0)+IF(C18&gt;($B$4*0/10),($B$4*0/10)^2*(1.5*(C18^2-MAX(B18,($B$4*0/10))^2)-($B$4*0/10)*(C18-MAX(B18,($B$4*0/10)))),0))*1000,0)</f>
        <v>0</v>
      </c>
      <c r="AB18" s="120">
        <f>IF(AND(J18="OK",ISNUMBER($B$5),$B$5&gt;0,ISNUMBER($B$3),$B$3&gt;0),F18/(6*$B$3*1000000*$B$5)*(IF(B18&lt;($B$4*1/10),($B$4*1/10)*(MIN(C18,($B$4*1/10))^3-B18^3)-(MIN(C18,($B$4*1/10))^4-B18^4)/4,0)+IF(C18&gt;($B$4*1/10),($B$4*1/10)^2*(1.5*(C18^2-MAX(B18,($B$4*1/10))^2)-($B$4*1/10)*(C18-MAX(B18,($B$4*1/10)))),0))*1000,0)</f>
        <v>0</v>
      </c>
      <c r="AC18" s="120">
        <f>IF(AND(J18="OK",ISNUMBER($B$5),$B$5&gt;0,ISNUMBER($B$3),$B$3&gt;0),F18/(6*$B$3*1000000*$B$5)*(IF(B18&lt;($B$4*2/10),($B$4*2/10)*(MIN(C18,($B$4*2/10))^3-B18^3)-(MIN(C18,($B$4*2/10))^4-B18^4)/4,0)+IF(C18&gt;($B$4*2/10),($B$4*2/10)^2*(1.5*(C18^2-MAX(B18,($B$4*2/10))^2)-($B$4*2/10)*(C18-MAX(B18,($B$4*2/10)))),0))*1000,0)</f>
        <v>0</v>
      </c>
      <c r="AD18" s="120">
        <f>IF(AND(J18="OK",ISNUMBER($B$5),$B$5&gt;0,ISNUMBER($B$3),$B$3&gt;0),F18/(6*$B$3*1000000*$B$5)*(IF(B18&lt;($B$4*3/10),($B$4*3/10)*(MIN(C18,($B$4*3/10))^3-B18^3)-(MIN(C18,($B$4*3/10))^4-B18^4)/4,0)+IF(C18&gt;($B$4*3/10),($B$4*3/10)^2*(1.5*(C18^2-MAX(B18,($B$4*3/10))^2)-($B$4*3/10)*(C18-MAX(B18,($B$4*3/10)))),0))*1000,0)</f>
        <v>0</v>
      </c>
      <c r="AE18" s="120">
        <f>IF(AND(J18="OK",ISNUMBER($B$5),$B$5&gt;0,ISNUMBER($B$3),$B$3&gt;0),F18/(6*$B$3*1000000*$B$5)*(IF(B18&lt;($B$4*4/10),($B$4*4/10)*(MIN(C18,($B$4*4/10))^3-B18^3)-(MIN(C18,($B$4*4/10))^4-B18^4)/4,0)+IF(C18&gt;($B$4*4/10),($B$4*4/10)^2*(1.5*(C18^2-MAX(B18,($B$4*4/10))^2)-($B$4*4/10)*(C18-MAX(B18,($B$4*4/10)))),0))*1000,0)</f>
        <v>0</v>
      </c>
      <c r="AF18" s="120">
        <f>IF(AND(J18="OK",ISNUMBER($B$5),$B$5&gt;0,ISNUMBER($B$3),$B$3&gt;0),F18/(6*$B$3*1000000*$B$5)*(IF(B18&lt;($B$4*5/10),($B$4*5/10)*(MIN(C18,($B$4*5/10))^3-B18^3)-(MIN(C18,($B$4*5/10))^4-B18^4)/4,0)+IF(C18&gt;($B$4*5/10),($B$4*5/10)^2*(1.5*(C18^2-MAX(B18,($B$4*5/10))^2)-($B$4*5/10)*(C18-MAX(B18,($B$4*5/10)))),0))*1000,0)</f>
        <v>0</v>
      </c>
      <c r="AG18" s="120">
        <f>IF(AND(J18="OK",ISNUMBER($B$5),$B$5&gt;0,ISNUMBER($B$3),$B$3&gt;0),F18/(6*$B$3*1000000*$B$5)*(IF(B18&lt;($B$4*6/10),($B$4*6/10)*(MIN(C18,($B$4*6/10))^3-B18^3)-(MIN(C18,($B$4*6/10))^4-B18^4)/4,0)+IF(C18&gt;($B$4*6/10),($B$4*6/10)^2*(1.5*(C18^2-MAX(B18,($B$4*6/10))^2)-($B$4*6/10)*(C18-MAX(B18,($B$4*6/10)))),0))*1000,0)</f>
        <v>0</v>
      </c>
      <c r="AH18" s="120">
        <f>IF(AND(J18="OK",ISNUMBER($B$5),$B$5&gt;0,ISNUMBER($B$3),$B$3&gt;0),F18/(6*$B$3*1000000*$B$5)*(IF(B18&lt;($B$4*7/10),($B$4*7/10)*(MIN(C18,($B$4*7/10))^3-B18^3)-(MIN(C18,($B$4*7/10))^4-B18^4)/4,0)+IF(C18&gt;($B$4*7/10),($B$4*7/10)^2*(1.5*(C18^2-MAX(B18,($B$4*7/10))^2)-($B$4*7/10)*(C18-MAX(B18,($B$4*7/10)))),0))*1000,0)</f>
        <v>0</v>
      </c>
      <c r="AI18" s="120">
        <f>IF(AND(J18="OK",ISNUMBER($B$5),$B$5&gt;0,ISNUMBER($B$3),$B$3&gt;0),F18/(6*$B$3*1000000*$B$5)*(IF(B18&lt;($B$4*8/10),($B$4*8/10)*(MIN(C18,($B$4*8/10))^3-B18^3)-(MIN(C18,($B$4*8/10))^4-B18^4)/4,0)+IF(C18&gt;($B$4*8/10),($B$4*8/10)^2*(1.5*(C18^2-MAX(B18,($B$4*8/10))^2)-($B$4*8/10)*(C18-MAX(B18,($B$4*8/10)))),0))*1000,0)</f>
        <v>0</v>
      </c>
      <c r="AJ18" s="120">
        <f>IF(AND(J18="OK",ISNUMBER($B$5),$B$5&gt;0,ISNUMBER($B$3),$B$3&gt;0),F18/(6*$B$3*1000000*$B$5)*(IF(B18&lt;($B$4*9/10),($B$4*9/10)*(MIN(C18,($B$4*9/10))^3-B18^3)-(MIN(C18,($B$4*9/10))^4-B18^4)/4,0)+IF(C18&gt;($B$4*9/10),($B$4*9/10)^2*(1.5*(C18^2-MAX(B18,($B$4*9/10))^2)-($B$4*9/10)*(C18-MAX(B18,($B$4*9/10)))),0))*1000,0)</f>
        <v>0</v>
      </c>
      <c r="AK18" s="120">
        <f>IF(AND(J18="OK",ISNUMBER($B$5),$B$5&gt;0,ISNUMBER($B$3),$B$3&gt;0),F18/(6*$B$3*1000000*$B$5)*(IF(B18&lt;($B$4*10/10),($B$4*10/10)*(MIN(C18,($B$4*10/10))^3-B18^3)-(MIN(C18,($B$4*10/10))^4-B18^4)/4,0)+IF(C18&gt;($B$4*10/10),($B$4*10/10)^2*(1.5*(C18^2-MAX(B18,($B$4*10/10))^2)-($B$4*10/10)*(C18-MAX(B18,($B$4*10/10)))),0))*1000,0)</f>
        <v>0</v>
      </c>
      <c r="AM18" s="120">
        <f>IF(AND(V18="OK",ISNUMBER($N$5),$N$5&gt;0,ISNUMBER($N$3),$N$3&gt;0),R18/(6*$N$3*1000000*$N$5)*(IF(N18&lt;($N$4*0/10),($N$4*0/10)*(MIN(O18,($N$4*0/10))^3-N18^3)-(MIN(O18,($N$4*0/10))^4-N18^4)/4,0)+IF(O18&gt;($N$4*0/10),($N$4*0/10)^2*(1.5*(O18^2-MAX(N18,($N$4*0/10))^2)-($N$4*0/10)*(O18-MAX(N18,($N$4*0/10)))),0))*1000,0)</f>
        <v>0</v>
      </c>
      <c r="AN18" s="120">
        <f>IF(AND(V18="OK",ISNUMBER($N$5),$N$5&gt;0,ISNUMBER($N$3),$N$3&gt;0),R18/(6*$N$3*1000000*$N$5)*(IF(N18&lt;($N$4*1/10),($N$4*1/10)*(MIN(O18,($N$4*1/10))^3-N18^3)-(MIN(O18,($N$4*1/10))^4-N18^4)/4,0)+IF(O18&gt;($N$4*1/10),($N$4*1/10)^2*(1.5*(O18^2-MAX(N18,($N$4*1/10))^2)-($N$4*1/10)*(O18-MAX(N18,($N$4*1/10)))),0))*1000,0)</f>
        <v>0</v>
      </c>
      <c r="AO18" s="120">
        <f>IF(AND(V18="OK",ISNUMBER($N$5),$N$5&gt;0,ISNUMBER($N$3),$N$3&gt;0),R18/(6*$N$3*1000000*$N$5)*(IF(N18&lt;($N$4*2/10),($N$4*2/10)*(MIN(O18,($N$4*2/10))^3-N18^3)-(MIN(O18,($N$4*2/10))^4-N18^4)/4,0)+IF(O18&gt;($N$4*2/10),($N$4*2/10)^2*(1.5*(O18^2-MAX(N18,($N$4*2/10))^2)-($N$4*2/10)*(O18-MAX(N18,($N$4*2/10)))),0))*1000,0)</f>
        <v>0</v>
      </c>
      <c r="AP18" s="120">
        <f>IF(AND(V18="OK",ISNUMBER($N$5),$N$5&gt;0,ISNUMBER($N$3),$N$3&gt;0),R18/(6*$N$3*1000000*$N$5)*(IF(N18&lt;($N$4*3/10),($N$4*3/10)*(MIN(O18,($N$4*3/10))^3-N18^3)-(MIN(O18,($N$4*3/10))^4-N18^4)/4,0)+IF(O18&gt;($N$4*3/10),($N$4*3/10)^2*(1.5*(O18^2-MAX(N18,($N$4*3/10))^2)-($N$4*3/10)*(O18-MAX(N18,($N$4*3/10)))),0))*1000,0)</f>
        <v>0</v>
      </c>
      <c r="AQ18" s="120">
        <f>IF(AND(V18="OK",ISNUMBER($N$5),$N$5&gt;0,ISNUMBER($N$3),$N$3&gt;0),R18/(6*$N$3*1000000*$N$5)*(IF(N18&lt;($N$4*4/10),($N$4*4/10)*(MIN(O18,($N$4*4/10))^3-N18^3)-(MIN(O18,($N$4*4/10))^4-N18^4)/4,0)+IF(O18&gt;($N$4*4/10),($N$4*4/10)^2*(1.5*(O18^2-MAX(N18,($N$4*4/10))^2)-($N$4*4/10)*(O18-MAX(N18,($N$4*4/10)))),0))*1000,0)</f>
        <v>0</v>
      </c>
      <c r="AR18" s="120">
        <f>IF(AND(V18="OK",ISNUMBER($N$5),$N$5&gt;0,ISNUMBER($N$3),$N$3&gt;0),R18/(6*$N$3*1000000*$N$5)*(IF(N18&lt;($N$4*5/10),($N$4*5/10)*(MIN(O18,($N$4*5/10))^3-N18^3)-(MIN(O18,($N$4*5/10))^4-N18^4)/4,0)+IF(O18&gt;($N$4*5/10),($N$4*5/10)^2*(1.5*(O18^2-MAX(N18,($N$4*5/10))^2)-($N$4*5/10)*(O18-MAX(N18,($N$4*5/10)))),0))*1000,0)</f>
        <v>0</v>
      </c>
      <c r="AS18" s="120">
        <f>IF(AND(V18="OK",ISNUMBER($N$5),$N$5&gt;0,ISNUMBER($N$3),$N$3&gt;0),R18/(6*$N$3*1000000*$N$5)*(IF(N18&lt;($N$4*6/10),($N$4*6/10)*(MIN(O18,($N$4*6/10))^3-N18^3)-(MIN(O18,($N$4*6/10))^4-N18^4)/4,0)+IF(O18&gt;($N$4*6/10),($N$4*6/10)^2*(1.5*(O18^2-MAX(N18,($N$4*6/10))^2)-($N$4*6/10)*(O18-MAX(N18,($N$4*6/10)))),0))*1000,0)</f>
        <v>0</v>
      </c>
      <c r="AT18" s="120">
        <f>IF(AND(V18="OK",ISNUMBER($N$5),$N$5&gt;0,ISNUMBER($N$3),$N$3&gt;0),R18/(6*$N$3*1000000*$N$5)*(IF(N18&lt;($N$4*7/10),($N$4*7/10)*(MIN(O18,($N$4*7/10))^3-N18^3)-(MIN(O18,($N$4*7/10))^4-N18^4)/4,0)+IF(O18&gt;($N$4*7/10),($N$4*7/10)^2*(1.5*(O18^2-MAX(N18,($N$4*7/10))^2)-($N$4*7/10)*(O18-MAX(N18,($N$4*7/10)))),0))*1000,0)</f>
        <v>0</v>
      </c>
      <c r="AU18" s="120">
        <f>IF(AND(V18="OK",ISNUMBER($N$5),$N$5&gt;0,ISNUMBER($N$3),$N$3&gt;0),R18/(6*$N$3*1000000*$N$5)*(IF(N18&lt;($N$4*8/10),($N$4*8/10)*(MIN(O18,($N$4*8/10))^3-N18^3)-(MIN(O18,($N$4*8/10))^4-N18^4)/4,0)+IF(O18&gt;($N$4*8/10),($N$4*8/10)^2*(1.5*(O18^2-MAX(N18,($N$4*8/10))^2)-($N$4*8/10)*(O18-MAX(N18,($N$4*8/10)))),0))*1000,0)</f>
        <v>0</v>
      </c>
      <c r="AV18" s="120">
        <f>IF(AND(V18="OK",ISNUMBER($N$5),$N$5&gt;0,ISNUMBER($N$3),$N$3&gt;0),R18/(6*$N$3*1000000*$N$5)*(IF(N18&lt;($N$4*9/10),($N$4*9/10)*(MIN(O18,($N$4*9/10))^3-N18^3)-(MIN(O18,($N$4*9/10))^4-N18^4)/4,0)+IF(O18&gt;($N$4*9/10),($N$4*9/10)^2*(1.5*(O18^2-MAX(N18,($N$4*9/10))^2)-($N$4*9/10)*(O18-MAX(N18,($N$4*9/10)))),0))*1000,0)</f>
        <v>0</v>
      </c>
      <c r="AW18" s="120">
        <f>IF(AND(V18="OK",ISNUMBER($N$5),$N$5&gt;0,ISNUMBER($N$3),$N$3&gt;0),R18/(6*$N$3*1000000*$N$5)*(IF(N18&lt;($N$4*10/10),($N$4*10/10)*(MIN(O18,($N$4*10/10))^3-N18^3)-(MIN(O18,($N$4*10/10))^4-N18^4)/4,0)+IF(O18&gt;($N$4*10/10),($N$4*10/10)^2*(1.5*(O18^2-MAX(N18,($N$4*10/10))^2)-($N$4*10/10)*(O18-MAX(N18,($N$4*10/10)))),0))*1000,0)</f>
        <v>0</v>
      </c>
    </row>
    <row r="19" spans="1:49">
      <c r="A19" s="124"/>
      <c r="B19" s="125"/>
      <c r="C19" s="125"/>
      <c r="D19" s="125"/>
      <c r="E19" s="125"/>
      <c r="F19" s="126" t="str">
        <f>IF(J19="OK",D19*E19,"")</f>
        <v/>
      </c>
      <c r="G19" s="126" t="str">
        <f>IF(J19="OK",F19*(C19-B19),"")</f>
        <v/>
      </c>
      <c r="H19" s="126" t="str">
        <f>IF(J19="OK",G19*(C19+B19)/2,"")</f>
        <v/>
      </c>
      <c r="I19" s="126" t="str">
        <f>IF(AND(J19="OK",ISNUMBER($B$5),$B$5&gt;0,ISNUMBER($B$3),$B$3&gt;0),F19*(4*$B$4*(C19^3-B19^3)-(C19^4-B19^4))/(24*$B$3*1000000*$B$5)*1000,"")</f>
        <v/>
      </c>
      <c r="J19" s="120" t="str">
        <f>IF(COUNTA(A19:E19)=0,"",IF(AND(COUNT(B19:E19)=4,B19&gt;=0,C19&gt;B19,C19&lt;=$B$4,D19&gt;=0,E19&gt;0),IF(COUNTIFS($B$13:$B$18,"&lt;"&amp;C19,$C$13:$C$18,"&gt;"&amp;B19)&gt;0,"OVERLAP","OK"),"CHECK INPUTS"))</f>
        <v/>
      </c>
      <c r="M19" s="124"/>
      <c r="N19" s="125"/>
      <c r="O19" s="125"/>
      <c r="P19" s="125"/>
      <c r="Q19" s="125"/>
      <c r="R19" s="126" t="str">
        <f>IF(V19="OK",P19*Q19,"")</f>
        <v/>
      </c>
      <c r="S19" s="126" t="str">
        <f>IF(V19="OK",R19*(O19-N19),"")</f>
        <v/>
      </c>
      <c r="T19" s="126" t="str">
        <f>IF(V19="OK",S19*(O19+N19)/2,"")</f>
        <v/>
      </c>
      <c r="U19" s="126" t="str">
        <f>IF(AND(V19="OK",ISNUMBER($N$5),$N$5&gt;0,ISNUMBER($N$3),$N$3&gt;0),R19*(4*$N$4*(O19^3-N19^3)-(O19^4-N19^4))/(24*$N$3*1000000*$N$5)*1000,"")</f>
        <v/>
      </c>
      <c r="V19" s="120" t="str">
        <f>IF(COUNTA(M19:Q19)=0,"",IF(AND(COUNT(N19:Q19)=4,N19&gt;=0,O19&gt;N19,O19&lt;=$N$4,P19&gt;=0,Q19&gt;0),IF(COUNTIFS($N$13:$N$18,"&lt;"&amp;O19,$O$13:$O$18,"&gt;"&amp;N19)&gt;0,"OVERLAP","OK"),"CHECK INPUTS"))</f>
        <v/>
      </c>
      <c r="AA19" s="120">
        <f>IF(AND(J19="OK",ISNUMBER($B$5),$B$5&gt;0,ISNUMBER($B$3),$B$3&gt;0),F19/(6*$B$3*1000000*$B$5)*(IF(B19&lt;($B$4*0/10),($B$4*0/10)*(MIN(C19,($B$4*0/10))^3-B19^3)-(MIN(C19,($B$4*0/10))^4-B19^4)/4,0)+IF(C19&gt;($B$4*0/10),($B$4*0/10)^2*(1.5*(C19^2-MAX(B19,($B$4*0/10))^2)-($B$4*0/10)*(C19-MAX(B19,($B$4*0/10)))),0))*1000,0)</f>
        <v>0</v>
      </c>
      <c r="AB19" s="120">
        <f>IF(AND(J19="OK",ISNUMBER($B$5),$B$5&gt;0,ISNUMBER($B$3),$B$3&gt;0),F19/(6*$B$3*1000000*$B$5)*(IF(B19&lt;($B$4*1/10),($B$4*1/10)*(MIN(C19,($B$4*1/10))^3-B19^3)-(MIN(C19,($B$4*1/10))^4-B19^4)/4,0)+IF(C19&gt;($B$4*1/10),($B$4*1/10)^2*(1.5*(C19^2-MAX(B19,($B$4*1/10))^2)-($B$4*1/10)*(C19-MAX(B19,($B$4*1/10)))),0))*1000,0)</f>
        <v>0</v>
      </c>
      <c r="AC19" s="120">
        <f>IF(AND(J19="OK",ISNUMBER($B$5),$B$5&gt;0,ISNUMBER($B$3),$B$3&gt;0),F19/(6*$B$3*1000000*$B$5)*(IF(B19&lt;($B$4*2/10),($B$4*2/10)*(MIN(C19,($B$4*2/10))^3-B19^3)-(MIN(C19,($B$4*2/10))^4-B19^4)/4,0)+IF(C19&gt;($B$4*2/10),($B$4*2/10)^2*(1.5*(C19^2-MAX(B19,($B$4*2/10))^2)-($B$4*2/10)*(C19-MAX(B19,($B$4*2/10)))),0))*1000,0)</f>
        <v>0</v>
      </c>
      <c r="AD19" s="120">
        <f>IF(AND(J19="OK",ISNUMBER($B$5),$B$5&gt;0,ISNUMBER($B$3),$B$3&gt;0),F19/(6*$B$3*1000000*$B$5)*(IF(B19&lt;($B$4*3/10),($B$4*3/10)*(MIN(C19,($B$4*3/10))^3-B19^3)-(MIN(C19,($B$4*3/10))^4-B19^4)/4,0)+IF(C19&gt;($B$4*3/10),($B$4*3/10)^2*(1.5*(C19^2-MAX(B19,($B$4*3/10))^2)-($B$4*3/10)*(C19-MAX(B19,($B$4*3/10)))),0))*1000,0)</f>
        <v>0</v>
      </c>
      <c r="AE19" s="120">
        <f>IF(AND(J19="OK",ISNUMBER($B$5),$B$5&gt;0,ISNUMBER($B$3),$B$3&gt;0),F19/(6*$B$3*1000000*$B$5)*(IF(B19&lt;($B$4*4/10),($B$4*4/10)*(MIN(C19,($B$4*4/10))^3-B19^3)-(MIN(C19,($B$4*4/10))^4-B19^4)/4,0)+IF(C19&gt;($B$4*4/10),($B$4*4/10)^2*(1.5*(C19^2-MAX(B19,($B$4*4/10))^2)-($B$4*4/10)*(C19-MAX(B19,($B$4*4/10)))),0))*1000,0)</f>
        <v>0</v>
      </c>
      <c r="AF19" s="120">
        <f>IF(AND(J19="OK",ISNUMBER($B$5),$B$5&gt;0,ISNUMBER($B$3),$B$3&gt;0),F19/(6*$B$3*1000000*$B$5)*(IF(B19&lt;($B$4*5/10),($B$4*5/10)*(MIN(C19,($B$4*5/10))^3-B19^3)-(MIN(C19,($B$4*5/10))^4-B19^4)/4,0)+IF(C19&gt;($B$4*5/10),($B$4*5/10)^2*(1.5*(C19^2-MAX(B19,($B$4*5/10))^2)-($B$4*5/10)*(C19-MAX(B19,($B$4*5/10)))),0))*1000,0)</f>
        <v>0</v>
      </c>
      <c r="AG19" s="120">
        <f>IF(AND(J19="OK",ISNUMBER($B$5),$B$5&gt;0,ISNUMBER($B$3),$B$3&gt;0),F19/(6*$B$3*1000000*$B$5)*(IF(B19&lt;($B$4*6/10),($B$4*6/10)*(MIN(C19,($B$4*6/10))^3-B19^3)-(MIN(C19,($B$4*6/10))^4-B19^4)/4,0)+IF(C19&gt;($B$4*6/10),($B$4*6/10)^2*(1.5*(C19^2-MAX(B19,($B$4*6/10))^2)-($B$4*6/10)*(C19-MAX(B19,($B$4*6/10)))),0))*1000,0)</f>
        <v>0</v>
      </c>
      <c r="AH19" s="120">
        <f>IF(AND(J19="OK",ISNUMBER($B$5),$B$5&gt;0,ISNUMBER($B$3),$B$3&gt;0),F19/(6*$B$3*1000000*$B$5)*(IF(B19&lt;($B$4*7/10),($B$4*7/10)*(MIN(C19,($B$4*7/10))^3-B19^3)-(MIN(C19,($B$4*7/10))^4-B19^4)/4,0)+IF(C19&gt;($B$4*7/10),($B$4*7/10)^2*(1.5*(C19^2-MAX(B19,($B$4*7/10))^2)-($B$4*7/10)*(C19-MAX(B19,($B$4*7/10)))),0))*1000,0)</f>
        <v>0</v>
      </c>
      <c r="AI19" s="120">
        <f>IF(AND(J19="OK",ISNUMBER($B$5),$B$5&gt;0,ISNUMBER($B$3),$B$3&gt;0),F19/(6*$B$3*1000000*$B$5)*(IF(B19&lt;($B$4*8/10),($B$4*8/10)*(MIN(C19,($B$4*8/10))^3-B19^3)-(MIN(C19,($B$4*8/10))^4-B19^4)/4,0)+IF(C19&gt;($B$4*8/10),($B$4*8/10)^2*(1.5*(C19^2-MAX(B19,($B$4*8/10))^2)-($B$4*8/10)*(C19-MAX(B19,($B$4*8/10)))),0))*1000,0)</f>
        <v>0</v>
      </c>
      <c r="AJ19" s="120">
        <f>IF(AND(J19="OK",ISNUMBER($B$5),$B$5&gt;0,ISNUMBER($B$3),$B$3&gt;0),F19/(6*$B$3*1000000*$B$5)*(IF(B19&lt;($B$4*9/10),($B$4*9/10)*(MIN(C19,($B$4*9/10))^3-B19^3)-(MIN(C19,($B$4*9/10))^4-B19^4)/4,0)+IF(C19&gt;($B$4*9/10),($B$4*9/10)^2*(1.5*(C19^2-MAX(B19,($B$4*9/10))^2)-($B$4*9/10)*(C19-MAX(B19,($B$4*9/10)))),0))*1000,0)</f>
        <v>0</v>
      </c>
      <c r="AK19" s="120">
        <f>IF(AND(J19="OK",ISNUMBER($B$5),$B$5&gt;0,ISNUMBER($B$3),$B$3&gt;0),F19/(6*$B$3*1000000*$B$5)*(IF(B19&lt;($B$4*10/10),($B$4*10/10)*(MIN(C19,($B$4*10/10))^3-B19^3)-(MIN(C19,($B$4*10/10))^4-B19^4)/4,0)+IF(C19&gt;($B$4*10/10),($B$4*10/10)^2*(1.5*(C19^2-MAX(B19,($B$4*10/10))^2)-($B$4*10/10)*(C19-MAX(B19,($B$4*10/10)))),0))*1000,0)</f>
        <v>0</v>
      </c>
      <c r="AM19" s="120">
        <f>IF(AND(V19="OK",ISNUMBER($N$5),$N$5&gt;0,ISNUMBER($N$3),$N$3&gt;0),R19/(6*$N$3*1000000*$N$5)*(IF(N19&lt;($N$4*0/10),($N$4*0/10)*(MIN(O19,($N$4*0/10))^3-N19^3)-(MIN(O19,($N$4*0/10))^4-N19^4)/4,0)+IF(O19&gt;($N$4*0/10),($N$4*0/10)^2*(1.5*(O19^2-MAX(N19,($N$4*0/10))^2)-($N$4*0/10)*(O19-MAX(N19,($N$4*0/10)))),0))*1000,0)</f>
        <v>0</v>
      </c>
      <c r="AN19" s="120">
        <f>IF(AND(V19="OK",ISNUMBER($N$5),$N$5&gt;0,ISNUMBER($N$3),$N$3&gt;0),R19/(6*$N$3*1000000*$N$5)*(IF(N19&lt;($N$4*1/10),($N$4*1/10)*(MIN(O19,($N$4*1/10))^3-N19^3)-(MIN(O19,($N$4*1/10))^4-N19^4)/4,0)+IF(O19&gt;($N$4*1/10),($N$4*1/10)^2*(1.5*(O19^2-MAX(N19,($N$4*1/10))^2)-($N$4*1/10)*(O19-MAX(N19,($N$4*1/10)))),0))*1000,0)</f>
        <v>0</v>
      </c>
      <c r="AO19" s="120">
        <f>IF(AND(V19="OK",ISNUMBER($N$5),$N$5&gt;0,ISNUMBER($N$3),$N$3&gt;0),R19/(6*$N$3*1000000*$N$5)*(IF(N19&lt;($N$4*2/10),($N$4*2/10)*(MIN(O19,($N$4*2/10))^3-N19^3)-(MIN(O19,($N$4*2/10))^4-N19^4)/4,0)+IF(O19&gt;($N$4*2/10),($N$4*2/10)^2*(1.5*(O19^2-MAX(N19,($N$4*2/10))^2)-($N$4*2/10)*(O19-MAX(N19,($N$4*2/10)))),0))*1000,0)</f>
        <v>0</v>
      </c>
      <c r="AP19" s="120">
        <f>IF(AND(V19="OK",ISNUMBER($N$5),$N$5&gt;0,ISNUMBER($N$3),$N$3&gt;0),R19/(6*$N$3*1000000*$N$5)*(IF(N19&lt;($N$4*3/10),($N$4*3/10)*(MIN(O19,($N$4*3/10))^3-N19^3)-(MIN(O19,($N$4*3/10))^4-N19^4)/4,0)+IF(O19&gt;($N$4*3/10),($N$4*3/10)^2*(1.5*(O19^2-MAX(N19,($N$4*3/10))^2)-($N$4*3/10)*(O19-MAX(N19,($N$4*3/10)))),0))*1000,0)</f>
        <v>0</v>
      </c>
      <c r="AQ19" s="120">
        <f>IF(AND(V19="OK",ISNUMBER($N$5),$N$5&gt;0,ISNUMBER($N$3),$N$3&gt;0),R19/(6*$N$3*1000000*$N$5)*(IF(N19&lt;($N$4*4/10),($N$4*4/10)*(MIN(O19,($N$4*4/10))^3-N19^3)-(MIN(O19,($N$4*4/10))^4-N19^4)/4,0)+IF(O19&gt;($N$4*4/10),($N$4*4/10)^2*(1.5*(O19^2-MAX(N19,($N$4*4/10))^2)-($N$4*4/10)*(O19-MAX(N19,($N$4*4/10)))),0))*1000,0)</f>
        <v>0</v>
      </c>
      <c r="AR19" s="120">
        <f>IF(AND(V19="OK",ISNUMBER($N$5),$N$5&gt;0,ISNUMBER($N$3),$N$3&gt;0),R19/(6*$N$3*1000000*$N$5)*(IF(N19&lt;($N$4*5/10),($N$4*5/10)*(MIN(O19,($N$4*5/10))^3-N19^3)-(MIN(O19,($N$4*5/10))^4-N19^4)/4,0)+IF(O19&gt;($N$4*5/10),($N$4*5/10)^2*(1.5*(O19^2-MAX(N19,($N$4*5/10))^2)-($N$4*5/10)*(O19-MAX(N19,($N$4*5/10)))),0))*1000,0)</f>
        <v>0</v>
      </c>
      <c r="AS19" s="120">
        <f>IF(AND(V19="OK",ISNUMBER($N$5),$N$5&gt;0,ISNUMBER($N$3),$N$3&gt;0),R19/(6*$N$3*1000000*$N$5)*(IF(N19&lt;($N$4*6/10),($N$4*6/10)*(MIN(O19,($N$4*6/10))^3-N19^3)-(MIN(O19,($N$4*6/10))^4-N19^4)/4,0)+IF(O19&gt;($N$4*6/10),($N$4*6/10)^2*(1.5*(O19^2-MAX(N19,($N$4*6/10))^2)-($N$4*6/10)*(O19-MAX(N19,($N$4*6/10)))),0))*1000,0)</f>
        <v>0</v>
      </c>
      <c r="AT19" s="120">
        <f>IF(AND(V19="OK",ISNUMBER($N$5),$N$5&gt;0,ISNUMBER($N$3),$N$3&gt;0),R19/(6*$N$3*1000000*$N$5)*(IF(N19&lt;($N$4*7/10),($N$4*7/10)*(MIN(O19,($N$4*7/10))^3-N19^3)-(MIN(O19,($N$4*7/10))^4-N19^4)/4,0)+IF(O19&gt;($N$4*7/10),($N$4*7/10)^2*(1.5*(O19^2-MAX(N19,($N$4*7/10))^2)-($N$4*7/10)*(O19-MAX(N19,($N$4*7/10)))),0))*1000,0)</f>
        <v>0</v>
      </c>
      <c r="AU19" s="120">
        <f>IF(AND(V19="OK",ISNUMBER($N$5),$N$5&gt;0,ISNUMBER($N$3),$N$3&gt;0),R19/(6*$N$3*1000000*$N$5)*(IF(N19&lt;($N$4*8/10),($N$4*8/10)*(MIN(O19,($N$4*8/10))^3-N19^3)-(MIN(O19,($N$4*8/10))^4-N19^4)/4,0)+IF(O19&gt;($N$4*8/10),($N$4*8/10)^2*(1.5*(O19^2-MAX(N19,($N$4*8/10))^2)-($N$4*8/10)*(O19-MAX(N19,($N$4*8/10)))),0))*1000,0)</f>
        <v>0</v>
      </c>
      <c r="AV19" s="120">
        <f>IF(AND(V19="OK",ISNUMBER($N$5),$N$5&gt;0,ISNUMBER($N$3),$N$3&gt;0),R19/(6*$N$3*1000000*$N$5)*(IF(N19&lt;($N$4*9/10),($N$4*9/10)*(MIN(O19,($N$4*9/10))^3-N19^3)-(MIN(O19,($N$4*9/10))^4-N19^4)/4,0)+IF(O19&gt;($N$4*9/10),($N$4*9/10)^2*(1.5*(O19^2-MAX(N19,($N$4*9/10))^2)-($N$4*9/10)*(O19-MAX(N19,($N$4*9/10)))),0))*1000,0)</f>
        <v>0</v>
      </c>
      <c r="AW19" s="120">
        <f>IF(AND(V19="OK",ISNUMBER($N$5),$N$5&gt;0,ISNUMBER($N$3),$N$3&gt;0),R19/(6*$N$3*1000000*$N$5)*(IF(N19&lt;($N$4*10/10),($N$4*10/10)*(MIN(O19,($N$4*10/10))^3-N19^3)-(MIN(O19,($N$4*10/10))^4-N19^4)/4,0)+IF(O19&gt;($N$4*10/10),($N$4*10/10)^2*(1.5*(O19^2-MAX(N19,($N$4*10/10))^2)-($N$4*10/10)*(O19-MAX(N19,($N$4*10/10)))),0))*1000,0)</f>
        <v>0</v>
      </c>
    </row>
    <row r="20" spans="1:49">
      <c r="A20" s="124"/>
      <c r="B20" s="125"/>
      <c r="C20" s="125"/>
      <c r="D20" s="125"/>
      <c r="E20" s="125"/>
      <c r="F20" s="126" t="str">
        <f>IF(J20="OK",D20*E20,"")</f>
        <v/>
      </c>
      <c r="G20" s="126" t="str">
        <f>IF(J20="OK",F20*(C20-B20),"")</f>
        <v/>
      </c>
      <c r="H20" s="126" t="str">
        <f>IF(J20="OK",G20*(C20+B20)/2,"")</f>
        <v/>
      </c>
      <c r="I20" s="126" t="str">
        <f>IF(AND(J20="OK",ISNUMBER($B$5),$B$5&gt;0,ISNUMBER($B$3),$B$3&gt;0),F20*(4*$B$4*(C20^3-B20^3)-(C20^4-B20^4))/(24*$B$3*1000000*$B$5)*1000,"")</f>
        <v/>
      </c>
      <c r="J20" s="120" t="str">
        <f>IF(COUNTA(A20:E20)=0,"",IF(AND(COUNT(B20:E20)=4,B20&gt;=0,C20&gt;B20,C20&lt;=$B$4,D20&gt;=0,E20&gt;0),IF(COUNTIFS($B$13:$B$19,"&lt;"&amp;C20,$C$13:$C$19,"&gt;"&amp;B20)&gt;0,"OVERLAP","OK"),"CHECK INPUTS"))</f>
        <v/>
      </c>
      <c r="M20" s="124"/>
      <c r="N20" s="125"/>
      <c r="O20" s="125"/>
      <c r="P20" s="125"/>
      <c r="Q20" s="125"/>
      <c r="R20" s="126" t="str">
        <f>IF(V20="OK",P20*Q20,"")</f>
        <v/>
      </c>
      <c r="S20" s="126" t="str">
        <f>IF(V20="OK",R20*(O20-N20),"")</f>
        <v/>
      </c>
      <c r="T20" s="126" t="str">
        <f>IF(V20="OK",S20*(O20+N20)/2,"")</f>
        <v/>
      </c>
      <c r="U20" s="126" t="str">
        <f>IF(AND(V20="OK",ISNUMBER($N$5),$N$5&gt;0,ISNUMBER($N$3),$N$3&gt;0),R20*(4*$N$4*(O20^3-N20^3)-(O20^4-N20^4))/(24*$N$3*1000000*$N$5)*1000,"")</f>
        <v/>
      </c>
      <c r="V20" s="120" t="str">
        <f>IF(COUNTA(M20:Q20)=0,"",IF(AND(COUNT(N20:Q20)=4,N20&gt;=0,O20&gt;N20,O20&lt;=$N$4,P20&gt;=0,Q20&gt;0),IF(COUNTIFS($N$13:$N$19,"&lt;"&amp;O20,$O$13:$O$19,"&gt;"&amp;N20)&gt;0,"OVERLAP","OK"),"CHECK INPUTS"))</f>
        <v/>
      </c>
      <c r="AA20" s="120">
        <f>IF(AND(J20="OK",ISNUMBER($B$5),$B$5&gt;0,ISNUMBER($B$3),$B$3&gt;0),F20/(6*$B$3*1000000*$B$5)*(IF(B20&lt;($B$4*0/10),($B$4*0/10)*(MIN(C20,($B$4*0/10))^3-B20^3)-(MIN(C20,($B$4*0/10))^4-B20^4)/4,0)+IF(C20&gt;($B$4*0/10),($B$4*0/10)^2*(1.5*(C20^2-MAX(B20,($B$4*0/10))^2)-($B$4*0/10)*(C20-MAX(B20,($B$4*0/10)))),0))*1000,0)</f>
        <v>0</v>
      </c>
      <c r="AB20" s="120">
        <f>IF(AND(J20="OK",ISNUMBER($B$5),$B$5&gt;0,ISNUMBER($B$3),$B$3&gt;0),F20/(6*$B$3*1000000*$B$5)*(IF(B20&lt;($B$4*1/10),($B$4*1/10)*(MIN(C20,($B$4*1/10))^3-B20^3)-(MIN(C20,($B$4*1/10))^4-B20^4)/4,0)+IF(C20&gt;($B$4*1/10),($B$4*1/10)^2*(1.5*(C20^2-MAX(B20,($B$4*1/10))^2)-($B$4*1/10)*(C20-MAX(B20,($B$4*1/10)))),0))*1000,0)</f>
        <v>0</v>
      </c>
      <c r="AC20" s="120">
        <f>IF(AND(J20="OK",ISNUMBER($B$5),$B$5&gt;0,ISNUMBER($B$3),$B$3&gt;0),F20/(6*$B$3*1000000*$B$5)*(IF(B20&lt;($B$4*2/10),($B$4*2/10)*(MIN(C20,($B$4*2/10))^3-B20^3)-(MIN(C20,($B$4*2/10))^4-B20^4)/4,0)+IF(C20&gt;($B$4*2/10),($B$4*2/10)^2*(1.5*(C20^2-MAX(B20,($B$4*2/10))^2)-($B$4*2/10)*(C20-MAX(B20,($B$4*2/10)))),0))*1000,0)</f>
        <v>0</v>
      </c>
      <c r="AD20" s="120">
        <f>IF(AND(J20="OK",ISNUMBER($B$5),$B$5&gt;0,ISNUMBER($B$3),$B$3&gt;0),F20/(6*$B$3*1000000*$B$5)*(IF(B20&lt;($B$4*3/10),($B$4*3/10)*(MIN(C20,($B$4*3/10))^3-B20^3)-(MIN(C20,($B$4*3/10))^4-B20^4)/4,0)+IF(C20&gt;($B$4*3/10),($B$4*3/10)^2*(1.5*(C20^2-MAX(B20,($B$4*3/10))^2)-($B$4*3/10)*(C20-MAX(B20,($B$4*3/10)))),0))*1000,0)</f>
        <v>0</v>
      </c>
      <c r="AE20" s="120">
        <f>IF(AND(J20="OK",ISNUMBER($B$5),$B$5&gt;0,ISNUMBER($B$3),$B$3&gt;0),F20/(6*$B$3*1000000*$B$5)*(IF(B20&lt;($B$4*4/10),($B$4*4/10)*(MIN(C20,($B$4*4/10))^3-B20^3)-(MIN(C20,($B$4*4/10))^4-B20^4)/4,0)+IF(C20&gt;($B$4*4/10),($B$4*4/10)^2*(1.5*(C20^2-MAX(B20,($B$4*4/10))^2)-($B$4*4/10)*(C20-MAX(B20,($B$4*4/10)))),0))*1000,0)</f>
        <v>0</v>
      </c>
      <c r="AF20" s="120">
        <f>IF(AND(J20="OK",ISNUMBER($B$5),$B$5&gt;0,ISNUMBER($B$3),$B$3&gt;0),F20/(6*$B$3*1000000*$B$5)*(IF(B20&lt;($B$4*5/10),($B$4*5/10)*(MIN(C20,($B$4*5/10))^3-B20^3)-(MIN(C20,($B$4*5/10))^4-B20^4)/4,0)+IF(C20&gt;($B$4*5/10),($B$4*5/10)^2*(1.5*(C20^2-MAX(B20,($B$4*5/10))^2)-($B$4*5/10)*(C20-MAX(B20,($B$4*5/10)))),0))*1000,0)</f>
        <v>0</v>
      </c>
      <c r="AG20" s="120">
        <f>IF(AND(J20="OK",ISNUMBER($B$5),$B$5&gt;0,ISNUMBER($B$3),$B$3&gt;0),F20/(6*$B$3*1000000*$B$5)*(IF(B20&lt;($B$4*6/10),($B$4*6/10)*(MIN(C20,($B$4*6/10))^3-B20^3)-(MIN(C20,($B$4*6/10))^4-B20^4)/4,0)+IF(C20&gt;($B$4*6/10),($B$4*6/10)^2*(1.5*(C20^2-MAX(B20,($B$4*6/10))^2)-($B$4*6/10)*(C20-MAX(B20,($B$4*6/10)))),0))*1000,0)</f>
        <v>0</v>
      </c>
      <c r="AH20" s="120">
        <f>IF(AND(J20="OK",ISNUMBER($B$5),$B$5&gt;0,ISNUMBER($B$3),$B$3&gt;0),F20/(6*$B$3*1000000*$B$5)*(IF(B20&lt;($B$4*7/10),($B$4*7/10)*(MIN(C20,($B$4*7/10))^3-B20^3)-(MIN(C20,($B$4*7/10))^4-B20^4)/4,0)+IF(C20&gt;($B$4*7/10),($B$4*7/10)^2*(1.5*(C20^2-MAX(B20,($B$4*7/10))^2)-($B$4*7/10)*(C20-MAX(B20,($B$4*7/10)))),0))*1000,0)</f>
        <v>0</v>
      </c>
      <c r="AI20" s="120">
        <f>IF(AND(J20="OK",ISNUMBER($B$5),$B$5&gt;0,ISNUMBER($B$3),$B$3&gt;0),F20/(6*$B$3*1000000*$B$5)*(IF(B20&lt;($B$4*8/10),($B$4*8/10)*(MIN(C20,($B$4*8/10))^3-B20^3)-(MIN(C20,($B$4*8/10))^4-B20^4)/4,0)+IF(C20&gt;($B$4*8/10),($B$4*8/10)^2*(1.5*(C20^2-MAX(B20,($B$4*8/10))^2)-($B$4*8/10)*(C20-MAX(B20,($B$4*8/10)))),0))*1000,0)</f>
        <v>0</v>
      </c>
      <c r="AJ20" s="120">
        <f>IF(AND(J20="OK",ISNUMBER($B$5),$B$5&gt;0,ISNUMBER($B$3),$B$3&gt;0),F20/(6*$B$3*1000000*$B$5)*(IF(B20&lt;($B$4*9/10),($B$4*9/10)*(MIN(C20,($B$4*9/10))^3-B20^3)-(MIN(C20,($B$4*9/10))^4-B20^4)/4,0)+IF(C20&gt;($B$4*9/10),($B$4*9/10)^2*(1.5*(C20^2-MAX(B20,($B$4*9/10))^2)-($B$4*9/10)*(C20-MAX(B20,($B$4*9/10)))),0))*1000,0)</f>
        <v>0</v>
      </c>
      <c r="AK20" s="120">
        <f>IF(AND(J20="OK",ISNUMBER($B$5),$B$5&gt;0,ISNUMBER($B$3),$B$3&gt;0),F20/(6*$B$3*1000000*$B$5)*(IF(B20&lt;($B$4*10/10),($B$4*10/10)*(MIN(C20,($B$4*10/10))^3-B20^3)-(MIN(C20,($B$4*10/10))^4-B20^4)/4,0)+IF(C20&gt;($B$4*10/10),($B$4*10/10)^2*(1.5*(C20^2-MAX(B20,($B$4*10/10))^2)-($B$4*10/10)*(C20-MAX(B20,($B$4*10/10)))),0))*1000,0)</f>
        <v>0</v>
      </c>
      <c r="AM20" s="120">
        <f>IF(AND(V20="OK",ISNUMBER($N$5),$N$5&gt;0,ISNUMBER($N$3),$N$3&gt;0),R20/(6*$N$3*1000000*$N$5)*(IF(N20&lt;($N$4*0/10),($N$4*0/10)*(MIN(O20,($N$4*0/10))^3-N20^3)-(MIN(O20,($N$4*0/10))^4-N20^4)/4,0)+IF(O20&gt;($N$4*0/10),($N$4*0/10)^2*(1.5*(O20^2-MAX(N20,($N$4*0/10))^2)-($N$4*0/10)*(O20-MAX(N20,($N$4*0/10)))),0))*1000,0)</f>
        <v>0</v>
      </c>
      <c r="AN20" s="120">
        <f>IF(AND(V20="OK",ISNUMBER($N$5),$N$5&gt;0,ISNUMBER($N$3),$N$3&gt;0),R20/(6*$N$3*1000000*$N$5)*(IF(N20&lt;($N$4*1/10),($N$4*1/10)*(MIN(O20,($N$4*1/10))^3-N20^3)-(MIN(O20,($N$4*1/10))^4-N20^4)/4,0)+IF(O20&gt;($N$4*1/10),($N$4*1/10)^2*(1.5*(O20^2-MAX(N20,($N$4*1/10))^2)-($N$4*1/10)*(O20-MAX(N20,($N$4*1/10)))),0))*1000,0)</f>
        <v>0</v>
      </c>
      <c r="AO20" s="120">
        <f>IF(AND(V20="OK",ISNUMBER($N$5),$N$5&gt;0,ISNUMBER($N$3),$N$3&gt;0),R20/(6*$N$3*1000000*$N$5)*(IF(N20&lt;($N$4*2/10),($N$4*2/10)*(MIN(O20,($N$4*2/10))^3-N20^3)-(MIN(O20,($N$4*2/10))^4-N20^4)/4,0)+IF(O20&gt;($N$4*2/10),($N$4*2/10)^2*(1.5*(O20^2-MAX(N20,($N$4*2/10))^2)-($N$4*2/10)*(O20-MAX(N20,($N$4*2/10)))),0))*1000,0)</f>
        <v>0</v>
      </c>
      <c r="AP20" s="120">
        <f>IF(AND(V20="OK",ISNUMBER($N$5),$N$5&gt;0,ISNUMBER($N$3),$N$3&gt;0),R20/(6*$N$3*1000000*$N$5)*(IF(N20&lt;($N$4*3/10),($N$4*3/10)*(MIN(O20,($N$4*3/10))^3-N20^3)-(MIN(O20,($N$4*3/10))^4-N20^4)/4,0)+IF(O20&gt;($N$4*3/10),($N$4*3/10)^2*(1.5*(O20^2-MAX(N20,($N$4*3/10))^2)-($N$4*3/10)*(O20-MAX(N20,($N$4*3/10)))),0))*1000,0)</f>
        <v>0</v>
      </c>
      <c r="AQ20" s="120">
        <f>IF(AND(V20="OK",ISNUMBER($N$5),$N$5&gt;0,ISNUMBER($N$3),$N$3&gt;0),R20/(6*$N$3*1000000*$N$5)*(IF(N20&lt;($N$4*4/10),($N$4*4/10)*(MIN(O20,($N$4*4/10))^3-N20^3)-(MIN(O20,($N$4*4/10))^4-N20^4)/4,0)+IF(O20&gt;($N$4*4/10),($N$4*4/10)^2*(1.5*(O20^2-MAX(N20,($N$4*4/10))^2)-($N$4*4/10)*(O20-MAX(N20,($N$4*4/10)))),0))*1000,0)</f>
        <v>0</v>
      </c>
      <c r="AR20" s="120">
        <f>IF(AND(V20="OK",ISNUMBER($N$5),$N$5&gt;0,ISNUMBER($N$3),$N$3&gt;0),R20/(6*$N$3*1000000*$N$5)*(IF(N20&lt;($N$4*5/10),($N$4*5/10)*(MIN(O20,($N$4*5/10))^3-N20^3)-(MIN(O20,($N$4*5/10))^4-N20^4)/4,0)+IF(O20&gt;($N$4*5/10),($N$4*5/10)^2*(1.5*(O20^2-MAX(N20,($N$4*5/10))^2)-($N$4*5/10)*(O20-MAX(N20,($N$4*5/10)))),0))*1000,0)</f>
        <v>0</v>
      </c>
      <c r="AS20" s="120">
        <f>IF(AND(V20="OK",ISNUMBER($N$5),$N$5&gt;0,ISNUMBER($N$3),$N$3&gt;0),R20/(6*$N$3*1000000*$N$5)*(IF(N20&lt;($N$4*6/10),($N$4*6/10)*(MIN(O20,($N$4*6/10))^3-N20^3)-(MIN(O20,($N$4*6/10))^4-N20^4)/4,0)+IF(O20&gt;($N$4*6/10),($N$4*6/10)^2*(1.5*(O20^2-MAX(N20,($N$4*6/10))^2)-($N$4*6/10)*(O20-MAX(N20,($N$4*6/10)))),0))*1000,0)</f>
        <v>0</v>
      </c>
      <c r="AT20" s="120">
        <f>IF(AND(V20="OK",ISNUMBER($N$5),$N$5&gt;0,ISNUMBER($N$3),$N$3&gt;0),R20/(6*$N$3*1000000*$N$5)*(IF(N20&lt;($N$4*7/10),($N$4*7/10)*(MIN(O20,($N$4*7/10))^3-N20^3)-(MIN(O20,($N$4*7/10))^4-N20^4)/4,0)+IF(O20&gt;($N$4*7/10),($N$4*7/10)^2*(1.5*(O20^2-MAX(N20,($N$4*7/10))^2)-($N$4*7/10)*(O20-MAX(N20,($N$4*7/10)))),0))*1000,0)</f>
        <v>0</v>
      </c>
      <c r="AU20" s="120">
        <f>IF(AND(V20="OK",ISNUMBER($N$5),$N$5&gt;0,ISNUMBER($N$3),$N$3&gt;0),R20/(6*$N$3*1000000*$N$5)*(IF(N20&lt;($N$4*8/10),($N$4*8/10)*(MIN(O20,($N$4*8/10))^3-N20^3)-(MIN(O20,($N$4*8/10))^4-N20^4)/4,0)+IF(O20&gt;($N$4*8/10),($N$4*8/10)^2*(1.5*(O20^2-MAX(N20,($N$4*8/10))^2)-($N$4*8/10)*(O20-MAX(N20,($N$4*8/10)))),0))*1000,0)</f>
        <v>0</v>
      </c>
      <c r="AV20" s="120">
        <f>IF(AND(V20="OK",ISNUMBER($N$5),$N$5&gt;0,ISNUMBER($N$3),$N$3&gt;0),R20/(6*$N$3*1000000*$N$5)*(IF(N20&lt;($N$4*9/10),($N$4*9/10)*(MIN(O20,($N$4*9/10))^3-N20^3)-(MIN(O20,($N$4*9/10))^4-N20^4)/4,0)+IF(O20&gt;($N$4*9/10),($N$4*9/10)^2*(1.5*(O20^2-MAX(N20,($N$4*9/10))^2)-($N$4*9/10)*(O20-MAX(N20,($N$4*9/10)))),0))*1000,0)</f>
        <v>0</v>
      </c>
      <c r="AW20" s="120">
        <f>IF(AND(V20="OK",ISNUMBER($N$5),$N$5&gt;0,ISNUMBER($N$3),$N$3&gt;0),R20/(6*$N$3*1000000*$N$5)*(IF(N20&lt;($N$4*10/10),($N$4*10/10)*(MIN(O20,($N$4*10/10))^3-N20^3)-(MIN(O20,($N$4*10/10))^4-N20^4)/4,0)+IF(O20&gt;($N$4*10/10),($N$4*10/10)^2*(1.5*(O20^2-MAX(N20,($N$4*10/10))^2)-($N$4*10/10)*(O20-MAX(N20,($N$4*10/10)))),0))*1000,0)</f>
        <v>0</v>
      </c>
    </row>
    <row r="21" spans="1:49">
      <c r="A21" s="124"/>
      <c r="B21" s="125"/>
      <c r="C21" s="125"/>
      <c r="D21" s="125"/>
      <c r="E21" s="125"/>
      <c r="F21" s="126" t="str">
        <f>IF(J21="OK",D21*E21,"")</f>
        <v/>
      </c>
      <c r="G21" s="126" t="str">
        <f>IF(J21="OK",F21*(C21-B21),"")</f>
        <v/>
      </c>
      <c r="H21" s="126" t="str">
        <f>IF(J21="OK",G21*(C21+B21)/2,"")</f>
        <v/>
      </c>
      <c r="I21" s="126" t="str">
        <f>IF(AND(J21="OK",ISNUMBER($B$5),$B$5&gt;0,ISNUMBER($B$3),$B$3&gt;0),F21*(4*$B$4*(C21^3-B21^3)-(C21^4-B21^4))/(24*$B$3*1000000*$B$5)*1000,"")</f>
        <v/>
      </c>
      <c r="J21" s="120" t="str">
        <f>IF(COUNTA(A21:E21)=0,"",IF(AND(COUNT(B21:E21)=4,B21&gt;=0,C21&gt;B21,C21&lt;=$B$4,D21&gt;=0,E21&gt;0),IF(COUNTIFS($B$13:$B$20,"&lt;"&amp;C21,$C$13:$C$20,"&gt;"&amp;B21)&gt;0,"OVERLAP","OK"),"CHECK INPUTS"))</f>
        <v/>
      </c>
      <c r="M21" s="124"/>
      <c r="N21" s="125"/>
      <c r="O21" s="125"/>
      <c r="P21" s="125"/>
      <c r="Q21" s="125"/>
      <c r="R21" s="126" t="str">
        <f>IF(V21="OK",P21*Q21,"")</f>
        <v/>
      </c>
      <c r="S21" s="126" t="str">
        <f>IF(V21="OK",R21*(O21-N21),"")</f>
        <v/>
      </c>
      <c r="T21" s="126" t="str">
        <f>IF(V21="OK",S21*(O21+N21)/2,"")</f>
        <v/>
      </c>
      <c r="U21" s="126" t="str">
        <f>IF(AND(V21="OK",ISNUMBER($N$5),$N$5&gt;0,ISNUMBER($N$3),$N$3&gt;0),R21*(4*$N$4*(O21^3-N21^3)-(O21^4-N21^4))/(24*$N$3*1000000*$N$5)*1000,"")</f>
        <v/>
      </c>
      <c r="V21" s="120" t="str">
        <f>IF(COUNTA(M21:Q21)=0,"",IF(AND(COUNT(N21:Q21)=4,N21&gt;=0,O21&gt;N21,O21&lt;=$N$4,P21&gt;=0,Q21&gt;0),IF(COUNTIFS($N$13:$N$20,"&lt;"&amp;O21,$O$13:$O$20,"&gt;"&amp;N21)&gt;0,"OVERLAP","OK"),"CHECK INPUTS"))</f>
        <v/>
      </c>
      <c r="AA21" s="120">
        <f>IF(AND(J21="OK",ISNUMBER($B$5),$B$5&gt;0,ISNUMBER($B$3),$B$3&gt;0),F21/(6*$B$3*1000000*$B$5)*(IF(B21&lt;($B$4*0/10),($B$4*0/10)*(MIN(C21,($B$4*0/10))^3-B21^3)-(MIN(C21,($B$4*0/10))^4-B21^4)/4,0)+IF(C21&gt;($B$4*0/10),($B$4*0/10)^2*(1.5*(C21^2-MAX(B21,($B$4*0/10))^2)-($B$4*0/10)*(C21-MAX(B21,($B$4*0/10)))),0))*1000,0)</f>
        <v>0</v>
      </c>
      <c r="AB21" s="120">
        <f>IF(AND(J21="OK",ISNUMBER($B$5),$B$5&gt;0,ISNUMBER($B$3),$B$3&gt;0),F21/(6*$B$3*1000000*$B$5)*(IF(B21&lt;($B$4*1/10),($B$4*1/10)*(MIN(C21,($B$4*1/10))^3-B21^3)-(MIN(C21,($B$4*1/10))^4-B21^4)/4,0)+IF(C21&gt;($B$4*1/10),($B$4*1/10)^2*(1.5*(C21^2-MAX(B21,($B$4*1/10))^2)-($B$4*1/10)*(C21-MAX(B21,($B$4*1/10)))),0))*1000,0)</f>
        <v>0</v>
      </c>
      <c r="AC21" s="120">
        <f>IF(AND(J21="OK",ISNUMBER($B$5),$B$5&gt;0,ISNUMBER($B$3),$B$3&gt;0),F21/(6*$B$3*1000000*$B$5)*(IF(B21&lt;($B$4*2/10),($B$4*2/10)*(MIN(C21,($B$4*2/10))^3-B21^3)-(MIN(C21,($B$4*2/10))^4-B21^4)/4,0)+IF(C21&gt;($B$4*2/10),($B$4*2/10)^2*(1.5*(C21^2-MAX(B21,($B$4*2/10))^2)-($B$4*2/10)*(C21-MAX(B21,($B$4*2/10)))),0))*1000,0)</f>
        <v>0</v>
      </c>
      <c r="AD21" s="120">
        <f>IF(AND(J21="OK",ISNUMBER($B$5),$B$5&gt;0,ISNUMBER($B$3),$B$3&gt;0),F21/(6*$B$3*1000000*$B$5)*(IF(B21&lt;($B$4*3/10),($B$4*3/10)*(MIN(C21,($B$4*3/10))^3-B21^3)-(MIN(C21,($B$4*3/10))^4-B21^4)/4,0)+IF(C21&gt;($B$4*3/10),($B$4*3/10)^2*(1.5*(C21^2-MAX(B21,($B$4*3/10))^2)-($B$4*3/10)*(C21-MAX(B21,($B$4*3/10)))),0))*1000,0)</f>
        <v>0</v>
      </c>
      <c r="AE21" s="120">
        <f>IF(AND(J21="OK",ISNUMBER($B$5),$B$5&gt;0,ISNUMBER($B$3),$B$3&gt;0),F21/(6*$B$3*1000000*$B$5)*(IF(B21&lt;($B$4*4/10),($B$4*4/10)*(MIN(C21,($B$4*4/10))^3-B21^3)-(MIN(C21,($B$4*4/10))^4-B21^4)/4,0)+IF(C21&gt;($B$4*4/10),($B$4*4/10)^2*(1.5*(C21^2-MAX(B21,($B$4*4/10))^2)-($B$4*4/10)*(C21-MAX(B21,($B$4*4/10)))),0))*1000,0)</f>
        <v>0</v>
      </c>
      <c r="AF21" s="120">
        <f>IF(AND(J21="OK",ISNUMBER($B$5),$B$5&gt;0,ISNUMBER($B$3),$B$3&gt;0),F21/(6*$B$3*1000000*$B$5)*(IF(B21&lt;($B$4*5/10),($B$4*5/10)*(MIN(C21,($B$4*5/10))^3-B21^3)-(MIN(C21,($B$4*5/10))^4-B21^4)/4,0)+IF(C21&gt;($B$4*5/10),($B$4*5/10)^2*(1.5*(C21^2-MAX(B21,($B$4*5/10))^2)-($B$4*5/10)*(C21-MAX(B21,($B$4*5/10)))),0))*1000,0)</f>
        <v>0</v>
      </c>
      <c r="AG21" s="120">
        <f>IF(AND(J21="OK",ISNUMBER($B$5),$B$5&gt;0,ISNUMBER($B$3),$B$3&gt;0),F21/(6*$B$3*1000000*$B$5)*(IF(B21&lt;($B$4*6/10),($B$4*6/10)*(MIN(C21,($B$4*6/10))^3-B21^3)-(MIN(C21,($B$4*6/10))^4-B21^4)/4,0)+IF(C21&gt;($B$4*6/10),($B$4*6/10)^2*(1.5*(C21^2-MAX(B21,($B$4*6/10))^2)-($B$4*6/10)*(C21-MAX(B21,($B$4*6/10)))),0))*1000,0)</f>
        <v>0</v>
      </c>
      <c r="AH21" s="120">
        <f>IF(AND(J21="OK",ISNUMBER($B$5),$B$5&gt;0,ISNUMBER($B$3),$B$3&gt;0),F21/(6*$B$3*1000000*$B$5)*(IF(B21&lt;($B$4*7/10),($B$4*7/10)*(MIN(C21,($B$4*7/10))^3-B21^3)-(MIN(C21,($B$4*7/10))^4-B21^4)/4,0)+IF(C21&gt;($B$4*7/10),($B$4*7/10)^2*(1.5*(C21^2-MAX(B21,($B$4*7/10))^2)-($B$4*7/10)*(C21-MAX(B21,($B$4*7/10)))),0))*1000,0)</f>
        <v>0</v>
      </c>
      <c r="AI21" s="120">
        <f>IF(AND(J21="OK",ISNUMBER($B$5),$B$5&gt;0,ISNUMBER($B$3),$B$3&gt;0),F21/(6*$B$3*1000000*$B$5)*(IF(B21&lt;($B$4*8/10),($B$4*8/10)*(MIN(C21,($B$4*8/10))^3-B21^3)-(MIN(C21,($B$4*8/10))^4-B21^4)/4,0)+IF(C21&gt;($B$4*8/10),($B$4*8/10)^2*(1.5*(C21^2-MAX(B21,($B$4*8/10))^2)-($B$4*8/10)*(C21-MAX(B21,($B$4*8/10)))),0))*1000,0)</f>
        <v>0</v>
      </c>
      <c r="AJ21" s="120">
        <f>IF(AND(J21="OK",ISNUMBER($B$5),$B$5&gt;0,ISNUMBER($B$3),$B$3&gt;0),F21/(6*$B$3*1000000*$B$5)*(IF(B21&lt;($B$4*9/10),($B$4*9/10)*(MIN(C21,($B$4*9/10))^3-B21^3)-(MIN(C21,($B$4*9/10))^4-B21^4)/4,0)+IF(C21&gt;($B$4*9/10),($B$4*9/10)^2*(1.5*(C21^2-MAX(B21,($B$4*9/10))^2)-($B$4*9/10)*(C21-MAX(B21,($B$4*9/10)))),0))*1000,0)</f>
        <v>0</v>
      </c>
      <c r="AK21" s="120">
        <f>IF(AND(J21="OK",ISNUMBER($B$5),$B$5&gt;0,ISNUMBER($B$3),$B$3&gt;0),F21/(6*$B$3*1000000*$B$5)*(IF(B21&lt;($B$4*10/10),($B$4*10/10)*(MIN(C21,($B$4*10/10))^3-B21^3)-(MIN(C21,($B$4*10/10))^4-B21^4)/4,0)+IF(C21&gt;($B$4*10/10),($B$4*10/10)^2*(1.5*(C21^2-MAX(B21,($B$4*10/10))^2)-($B$4*10/10)*(C21-MAX(B21,($B$4*10/10)))),0))*1000,0)</f>
        <v>0</v>
      </c>
      <c r="AM21" s="120">
        <f>IF(AND(V21="OK",ISNUMBER($N$5),$N$5&gt;0,ISNUMBER($N$3),$N$3&gt;0),R21/(6*$N$3*1000000*$N$5)*(IF(N21&lt;($N$4*0/10),($N$4*0/10)*(MIN(O21,($N$4*0/10))^3-N21^3)-(MIN(O21,($N$4*0/10))^4-N21^4)/4,0)+IF(O21&gt;($N$4*0/10),($N$4*0/10)^2*(1.5*(O21^2-MAX(N21,($N$4*0/10))^2)-($N$4*0/10)*(O21-MAX(N21,($N$4*0/10)))),0))*1000,0)</f>
        <v>0</v>
      </c>
      <c r="AN21" s="120">
        <f>IF(AND(V21="OK",ISNUMBER($N$5),$N$5&gt;0,ISNUMBER($N$3),$N$3&gt;0),R21/(6*$N$3*1000000*$N$5)*(IF(N21&lt;($N$4*1/10),($N$4*1/10)*(MIN(O21,($N$4*1/10))^3-N21^3)-(MIN(O21,($N$4*1/10))^4-N21^4)/4,0)+IF(O21&gt;($N$4*1/10),($N$4*1/10)^2*(1.5*(O21^2-MAX(N21,($N$4*1/10))^2)-($N$4*1/10)*(O21-MAX(N21,($N$4*1/10)))),0))*1000,0)</f>
        <v>0</v>
      </c>
      <c r="AO21" s="120">
        <f>IF(AND(V21="OK",ISNUMBER($N$5),$N$5&gt;0,ISNUMBER($N$3),$N$3&gt;0),R21/(6*$N$3*1000000*$N$5)*(IF(N21&lt;($N$4*2/10),($N$4*2/10)*(MIN(O21,($N$4*2/10))^3-N21^3)-(MIN(O21,($N$4*2/10))^4-N21^4)/4,0)+IF(O21&gt;($N$4*2/10),($N$4*2/10)^2*(1.5*(O21^2-MAX(N21,($N$4*2/10))^2)-($N$4*2/10)*(O21-MAX(N21,($N$4*2/10)))),0))*1000,0)</f>
        <v>0</v>
      </c>
      <c r="AP21" s="120">
        <f>IF(AND(V21="OK",ISNUMBER($N$5),$N$5&gt;0,ISNUMBER($N$3),$N$3&gt;0),R21/(6*$N$3*1000000*$N$5)*(IF(N21&lt;($N$4*3/10),($N$4*3/10)*(MIN(O21,($N$4*3/10))^3-N21^3)-(MIN(O21,($N$4*3/10))^4-N21^4)/4,0)+IF(O21&gt;($N$4*3/10),($N$4*3/10)^2*(1.5*(O21^2-MAX(N21,($N$4*3/10))^2)-($N$4*3/10)*(O21-MAX(N21,($N$4*3/10)))),0))*1000,0)</f>
        <v>0</v>
      </c>
      <c r="AQ21" s="120">
        <f>IF(AND(V21="OK",ISNUMBER($N$5),$N$5&gt;0,ISNUMBER($N$3),$N$3&gt;0),R21/(6*$N$3*1000000*$N$5)*(IF(N21&lt;($N$4*4/10),($N$4*4/10)*(MIN(O21,($N$4*4/10))^3-N21^3)-(MIN(O21,($N$4*4/10))^4-N21^4)/4,0)+IF(O21&gt;($N$4*4/10),($N$4*4/10)^2*(1.5*(O21^2-MAX(N21,($N$4*4/10))^2)-($N$4*4/10)*(O21-MAX(N21,($N$4*4/10)))),0))*1000,0)</f>
        <v>0</v>
      </c>
      <c r="AR21" s="120">
        <f>IF(AND(V21="OK",ISNUMBER($N$5),$N$5&gt;0,ISNUMBER($N$3),$N$3&gt;0),R21/(6*$N$3*1000000*$N$5)*(IF(N21&lt;($N$4*5/10),($N$4*5/10)*(MIN(O21,($N$4*5/10))^3-N21^3)-(MIN(O21,($N$4*5/10))^4-N21^4)/4,0)+IF(O21&gt;($N$4*5/10),($N$4*5/10)^2*(1.5*(O21^2-MAX(N21,($N$4*5/10))^2)-($N$4*5/10)*(O21-MAX(N21,($N$4*5/10)))),0))*1000,0)</f>
        <v>0</v>
      </c>
      <c r="AS21" s="120">
        <f>IF(AND(V21="OK",ISNUMBER($N$5),$N$5&gt;0,ISNUMBER($N$3),$N$3&gt;0),R21/(6*$N$3*1000000*$N$5)*(IF(N21&lt;($N$4*6/10),($N$4*6/10)*(MIN(O21,($N$4*6/10))^3-N21^3)-(MIN(O21,($N$4*6/10))^4-N21^4)/4,0)+IF(O21&gt;($N$4*6/10),($N$4*6/10)^2*(1.5*(O21^2-MAX(N21,($N$4*6/10))^2)-($N$4*6/10)*(O21-MAX(N21,($N$4*6/10)))),0))*1000,0)</f>
        <v>0</v>
      </c>
      <c r="AT21" s="120">
        <f>IF(AND(V21="OK",ISNUMBER($N$5),$N$5&gt;0,ISNUMBER($N$3),$N$3&gt;0),R21/(6*$N$3*1000000*$N$5)*(IF(N21&lt;($N$4*7/10),($N$4*7/10)*(MIN(O21,($N$4*7/10))^3-N21^3)-(MIN(O21,($N$4*7/10))^4-N21^4)/4,0)+IF(O21&gt;($N$4*7/10),($N$4*7/10)^2*(1.5*(O21^2-MAX(N21,($N$4*7/10))^2)-($N$4*7/10)*(O21-MAX(N21,($N$4*7/10)))),0))*1000,0)</f>
        <v>0</v>
      </c>
      <c r="AU21" s="120">
        <f>IF(AND(V21="OK",ISNUMBER($N$5),$N$5&gt;0,ISNUMBER($N$3),$N$3&gt;0),R21/(6*$N$3*1000000*$N$5)*(IF(N21&lt;($N$4*8/10),($N$4*8/10)*(MIN(O21,($N$4*8/10))^3-N21^3)-(MIN(O21,($N$4*8/10))^4-N21^4)/4,0)+IF(O21&gt;($N$4*8/10),($N$4*8/10)^2*(1.5*(O21^2-MAX(N21,($N$4*8/10))^2)-($N$4*8/10)*(O21-MAX(N21,($N$4*8/10)))),0))*1000,0)</f>
        <v>0</v>
      </c>
      <c r="AV21" s="120">
        <f>IF(AND(V21="OK",ISNUMBER($N$5),$N$5&gt;0,ISNUMBER($N$3),$N$3&gt;0),R21/(6*$N$3*1000000*$N$5)*(IF(N21&lt;($N$4*9/10),($N$4*9/10)*(MIN(O21,($N$4*9/10))^3-N21^3)-(MIN(O21,($N$4*9/10))^4-N21^4)/4,0)+IF(O21&gt;($N$4*9/10),($N$4*9/10)^2*(1.5*(O21^2-MAX(N21,($N$4*9/10))^2)-($N$4*9/10)*(O21-MAX(N21,($N$4*9/10)))),0))*1000,0)</f>
        <v>0</v>
      </c>
      <c r="AW21" s="120">
        <f>IF(AND(V21="OK",ISNUMBER($N$5),$N$5&gt;0,ISNUMBER($N$3),$N$3&gt;0),R21/(6*$N$3*1000000*$N$5)*(IF(N21&lt;($N$4*10/10),($N$4*10/10)*(MIN(O21,($N$4*10/10))^3-N21^3)-(MIN(O21,($N$4*10/10))^4-N21^4)/4,0)+IF(O21&gt;($N$4*10/10),($N$4*10/10)^2*(1.5*(O21^2-MAX(N21,($N$4*10/10))^2)-($N$4*10/10)*(O21-MAX(N21,($N$4*10/10)))),0))*1000,0)</f>
        <v>0</v>
      </c>
    </row>
    <row r="22" spans="1:49">
      <c r="A22" s="124"/>
      <c r="B22" s="125"/>
      <c r="C22" s="125"/>
      <c r="D22" s="125"/>
      <c r="E22" s="125"/>
      <c r="F22" s="126" t="str">
        <f>IF(J22="OK",D22*E22,"")</f>
        <v/>
      </c>
      <c r="G22" s="126" t="str">
        <f>IF(J22="OK",F22*(C22-B22),"")</f>
        <v/>
      </c>
      <c r="H22" s="126" t="str">
        <f>IF(J22="OK",G22*(C22+B22)/2,"")</f>
        <v/>
      </c>
      <c r="I22" s="126" t="str">
        <f>IF(AND(J22="OK",ISNUMBER($B$5),$B$5&gt;0,ISNUMBER($B$3),$B$3&gt;0),F22*(4*$B$4*(C22^3-B22^3)-(C22^4-B22^4))/(24*$B$3*1000000*$B$5)*1000,"")</f>
        <v/>
      </c>
      <c r="J22" s="120" t="str">
        <f>IF(COUNTA(A22:E22)=0,"",IF(AND(COUNT(B22:E22)=4,B22&gt;=0,C22&gt;B22,C22&lt;=$B$4,D22&gt;=0,E22&gt;0),IF(COUNTIFS($B$13:$B$21,"&lt;"&amp;C22,$C$13:$C$21,"&gt;"&amp;B22)&gt;0,"OVERLAP","OK"),"CHECK INPUTS"))</f>
        <v/>
      </c>
      <c r="M22" s="124"/>
      <c r="N22" s="125"/>
      <c r="O22" s="125"/>
      <c r="P22" s="125"/>
      <c r="Q22" s="125"/>
      <c r="R22" s="126" t="str">
        <f>IF(V22="OK",P22*Q22,"")</f>
        <v/>
      </c>
      <c r="S22" s="126" t="str">
        <f>IF(V22="OK",R22*(O22-N22),"")</f>
        <v/>
      </c>
      <c r="T22" s="126" t="str">
        <f>IF(V22="OK",S22*(O22+N22)/2,"")</f>
        <v/>
      </c>
      <c r="U22" s="126" t="str">
        <f>IF(AND(V22="OK",ISNUMBER($N$5),$N$5&gt;0,ISNUMBER($N$3),$N$3&gt;0),R22*(4*$N$4*(O22^3-N22^3)-(O22^4-N22^4))/(24*$N$3*1000000*$N$5)*1000,"")</f>
        <v/>
      </c>
      <c r="V22" s="120" t="str">
        <f>IF(COUNTA(M22:Q22)=0,"",IF(AND(COUNT(N22:Q22)=4,N22&gt;=0,O22&gt;N22,O22&lt;=$N$4,P22&gt;=0,Q22&gt;0),IF(COUNTIFS($N$13:$N$21,"&lt;"&amp;O22,$O$13:$O$21,"&gt;"&amp;N22)&gt;0,"OVERLAP","OK"),"CHECK INPUTS"))</f>
        <v/>
      </c>
      <c r="AA22" s="120">
        <f>IF(AND(J22="OK",ISNUMBER($B$5),$B$5&gt;0,ISNUMBER($B$3),$B$3&gt;0),F22/(6*$B$3*1000000*$B$5)*(IF(B22&lt;($B$4*0/10),($B$4*0/10)*(MIN(C22,($B$4*0/10))^3-B22^3)-(MIN(C22,($B$4*0/10))^4-B22^4)/4,0)+IF(C22&gt;($B$4*0/10),($B$4*0/10)^2*(1.5*(C22^2-MAX(B22,($B$4*0/10))^2)-($B$4*0/10)*(C22-MAX(B22,($B$4*0/10)))),0))*1000,0)</f>
        <v>0</v>
      </c>
      <c r="AB22" s="120">
        <f>IF(AND(J22="OK",ISNUMBER($B$5),$B$5&gt;0,ISNUMBER($B$3),$B$3&gt;0),F22/(6*$B$3*1000000*$B$5)*(IF(B22&lt;($B$4*1/10),($B$4*1/10)*(MIN(C22,($B$4*1/10))^3-B22^3)-(MIN(C22,($B$4*1/10))^4-B22^4)/4,0)+IF(C22&gt;($B$4*1/10),($B$4*1/10)^2*(1.5*(C22^2-MAX(B22,($B$4*1/10))^2)-($B$4*1/10)*(C22-MAX(B22,($B$4*1/10)))),0))*1000,0)</f>
        <v>0</v>
      </c>
      <c r="AC22" s="120">
        <f>IF(AND(J22="OK",ISNUMBER($B$5),$B$5&gt;0,ISNUMBER($B$3),$B$3&gt;0),F22/(6*$B$3*1000000*$B$5)*(IF(B22&lt;($B$4*2/10),($B$4*2/10)*(MIN(C22,($B$4*2/10))^3-B22^3)-(MIN(C22,($B$4*2/10))^4-B22^4)/4,0)+IF(C22&gt;($B$4*2/10),($B$4*2/10)^2*(1.5*(C22^2-MAX(B22,($B$4*2/10))^2)-($B$4*2/10)*(C22-MAX(B22,($B$4*2/10)))),0))*1000,0)</f>
        <v>0</v>
      </c>
      <c r="AD22" s="120">
        <f>IF(AND(J22="OK",ISNUMBER($B$5),$B$5&gt;0,ISNUMBER($B$3),$B$3&gt;0),F22/(6*$B$3*1000000*$B$5)*(IF(B22&lt;($B$4*3/10),($B$4*3/10)*(MIN(C22,($B$4*3/10))^3-B22^3)-(MIN(C22,($B$4*3/10))^4-B22^4)/4,0)+IF(C22&gt;($B$4*3/10),($B$4*3/10)^2*(1.5*(C22^2-MAX(B22,($B$4*3/10))^2)-($B$4*3/10)*(C22-MAX(B22,($B$4*3/10)))),0))*1000,0)</f>
        <v>0</v>
      </c>
      <c r="AE22" s="120">
        <f>IF(AND(J22="OK",ISNUMBER($B$5),$B$5&gt;0,ISNUMBER($B$3),$B$3&gt;0),F22/(6*$B$3*1000000*$B$5)*(IF(B22&lt;($B$4*4/10),($B$4*4/10)*(MIN(C22,($B$4*4/10))^3-B22^3)-(MIN(C22,($B$4*4/10))^4-B22^4)/4,0)+IF(C22&gt;($B$4*4/10),($B$4*4/10)^2*(1.5*(C22^2-MAX(B22,($B$4*4/10))^2)-($B$4*4/10)*(C22-MAX(B22,($B$4*4/10)))),0))*1000,0)</f>
        <v>0</v>
      </c>
      <c r="AF22" s="120">
        <f>IF(AND(J22="OK",ISNUMBER($B$5),$B$5&gt;0,ISNUMBER($B$3),$B$3&gt;0),F22/(6*$B$3*1000000*$B$5)*(IF(B22&lt;($B$4*5/10),($B$4*5/10)*(MIN(C22,($B$4*5/10))^3-B22^3)-(MIN(C22,($B$4*5/10))^4-B22^4)/4,0)+IF(C22&gt;($B$4*5/10),($B$4*5/10)^2*(1.5*(C22^2-MAX(B22,($B$4*5/10))^2)-($B$4*5/10)*(C22-MAX(B22,($B$4*5/10)))),0))*1000,0)</f>
        <v>0</v>
      </c>
      <c r="AG22" s="120">
        <f>IF(AND(J22="OK",ISNUMBER($B$5),$B$5&gt;0,ISNUMBER($B$3),$B$3&gt;0),F22/(6*$B$3*1000000*$B$5)*(IF(B22&lt;($B$4*6/10),($B$4*6/10)*(MIN(C22,($B$4*6/10))^3-B22^3)-(MIN(C22,($B$4*6/10))^4-B22^4)/4,0)+IF(C22&gt;($B$4*6/10),($B$4*6/10)^2*(1.5*(C22^2-MAX(B22,($B$4*6/10))^2)-($B$4*6/10)*(C22-MAX(B22,($B$4*6/10)))),0))*1000,0)</f>
        <v>0</v>
      </c>
      <c r="AH22" s="120">
        <f>IF(AND(J22="OK",ISNUMBER($B$5),$B$5&gt;0,ISNUMBER($B$3),$B$3&gt;0),F22/(6*$B$3*1000000*$B$5)*(IF(B22&lt;($B$4*7/10),($B$4*7/10)*(MIN(C22,($B$4*7/10))^3-B22^3)-(MIN(C22,($B$4*7/10))^4-B22^4)/4,0)+IF(C22&gt;($B$4*7/10),($B$4*7/10)^2*(1.5*(C22^2-MAX(B22,($B$4*7/10))^2)-($B$4*7/10)*(C22-MAX(B22,($B$4*7/10)))),0))*1000,0)</f>
        <v>0</v>
      </c>
      <c r="AI22" s="120">
        <f>IF(AND(J22="OK",ISNUMBER($B$5),$B$5&gt;0,ISNUMBER($B$3),$B$3&gt;0),F22/(6*$B$3*1000000*$B$5)*(IF(B22&lt;($B$4*8/10),($B$4*8/10)*(MIN(C22,($B$4*8/10))^3-B22^3)-(MIN(C22,($B$4*8/10))^4-B22^4)/4,0)+IF(C22&gt;($B$4*8/10),($B$4*8/10)^2*(1.5*(C22^2-MAX(B22,($B$4*8/10))^2)-($B$4*8/10)*(C22-MAX(B22,($B$4*8/10)))),0))*1000,0)</f>
        <v>0</v>
      </c>
      <c r="AJ22" s="120">
        <f>IF(AND(J22="OK",ISNUMBER($B$5),$B$5&gt;0,ISNUMBER($B$3),$B$3&gt;0),F22/(6*$B$3*1000000*$B$5)*(IF(B22&lt;($B$4*9/10),($B$4*9/10)*(MIN(C22,($B$4*9/10))^3-B22^3)-(MIN(C22,($B$4*9/10))^4-B22^4)/4,0)+IF(C22&gt;($B$4*9/10),($B$4*9/10)^2*(1.5*(C22^2-MAX(B22,($B$4*9/10))^2)-($B$4*9/10)*(C22-MAX(B22,($B$4*9/10)))),0))*1000,0)</f>
        <v>0</v>
      </c>
      <c r="AK22" s="120">
        <f>IF(AND(J22="OK",ISNUMBER($B$5),$B$5&gt;0,ISNUMBER($B$3),$B$3&gt;0),F22/(6*$B$3*1000000*$B$5)*(IF(B22&lt;($B$4*10/10),($B$4*10/10)*(MIN(C22,($B$4*10/10))^3-B22^3)-(MIN(C22,($B$4*10/10))^4-B22^4)/4,0)+IF(C22&gt;($B$4*10/10),($B$4*10/10)^2*(1.5*(C22^2-MAX(B22,($B$4*10/10))^2)-($B$4*10/10)*(C22-MAX(B22,($B$4*10/10)))),0))*1000,0)</f>
        <v>0</v>
      </c>
      <c r="AM22" s="120">
        <f>IF(AND(V22="OK",ISNUMBER($N$5),$N$5&gt;0,ISNUMBER($N$3),$N$3&gt;0),R22/(6*$N$3*1000000*$N$5)*(IF(N22&lt;($N$4*0/10),($N$4*0/10)*(MIN(O22,($N$4*0/10))^3-N22^3)-(MIN(O22,($N$4*0/10))^4-N22^4)/4,0)+IF(O22&gt;($N$4*0/10),($N$4*0/10)^2*(1.5*(O22^2-MAX(N22,($N$4*0/10))^2)-($N$4*0/10)*(O22-MAX(N22,($N$4*0/10)))),0))*1000,0)</f>
        <v>0</v>
      </c>
      <c r="AN22" s="120">
        <f>IF(AND(V22="OK",ISNUMBER($N$5),$N$5&gt;0,ISNUMBER($N$3),$N$3&gt;0),R22/(6*$N$3*1000000*$N$5)*(IF(N22&lt;($N$4*1/10),($N$4*1/10)*(MIN(O22,($N$4*1/10))^3-N22^3)-(MIN(O22,($N$4*1/10))^4-N22^4)/4,0)+IF(O22&gt;($N$4*1/10),($N$4*1/10)^2*(1.5*(O22^2-MAX(N22,($N$4*1/10))^2)-($N$4*1/10)*(O22-MAX(N22,($N$4*1/10)))),0))*1000,0)</f>
        <v>0</v>
      </c>
      <c r="AO22" s="120">
        <f>IF(AND(V22="OK",ISNUMBER($N$5),$N$5&gt;0,ISNUMBER($N$3),$N$3&gt;0),R22/(6*$N$3*1000000*$N$5)*(IF(N22&lt;($N$4*2/10),($N$4*2/10)*(MIN(O22,($N$4*2/10))^3-N22^3)-(MIN(O22,($N$4*2/10))^4-N22^4)/4,0)+IF(O22&gt;($N$4*2/10),($N$4*2/10)^2*(1.5*(O22^2-MAX(N22,($N$4*2/10))^2)-($N$4*2/10)*(O22-MAX(N22,($N$4*2/10)))),0))*1000,0)</f>
        <v>0</v>
      </c>
      <c r="AP22" s="120">
        <f>IF(AND(V22="OK",ISNUMBER($N$5),$N$5&gt;0,ISNUMBER($N$3),$N$3&gt;0),R22/(6*$N$3*1000000*$N$5)*(IF(N22&lt;($N$4*3/10),($N$4*3/10)*(MIN(O22,($N$4*3/10))^3-N22^3)-(MIN(O22,($N$4*3/10))^4-N22^4)/4,0)+IF(O22&gt;($N$4*3/10),($N$4*3/10)^2*(1.5*(O22^2-MAX(N22,($N$4*3/10))^2)-($N$4*3/10)*(O22-MAX(N22,($N$4*3/10)))),0))*1000,0)</f>
        <v>0</v>
      </c>
      <c r="AQ22" s="120">
        <f>IF(AND(V22="OK",ISNUMBER($N$5),$N$5&gt;0,ISNUMBER($N$3),$N$3&gt;0),R22/(6*$N$3*1000000*$N$5)*(IF(N22&lt;($N$4*4/10),($N$4*4/10)*(MIN(O22,($N$4*4/10))^3-N22^3)-(MIN(O22,($N$4*4/10))^4-N22^4)/4,0)+IF(O22&gt;($N$4*4/10),($N$4*4/10)^2*(1.5*(O22^2-MAX(N22,($N$4*4/10))^2)-($N$4*4/10)*(O22-MAX(N22,($N$4*4/10)))),0))*1000,0)</f>
        <v>0</v>
      </c>
      <c r="AR22" s="120">
        <f>IF(AND(V22="OK",ISNUMBER($N$5),$N$5&gt;0,ISNUMBER($N$3),$N$3&gt;0),R22/(6*$N$3*1000000*$N$5)*(IF(N22&lt;($N$4*5/10),($N$4*5/10)*(MIN(O22,($N$4*5/10))^3-N22^3)-(MIN(O22,($N$4*5/10))^4-N22^4)/4,0)+IF(O22&gt;($N$4*5/10),($N$4*5/10)^2*(1.5*(O22^2-MAX(N22,($N$4*5/10))^2)-($N$4*5/10)*(O22-MAX(N22,($N$4*5/10)))),0))*1000,0)</f>
        <v>0</v>
      </c>
      <c r="AS22" s="120">
        <f>IF(AND(V22="OK",ISNUMBER($N$5),$N$5&gt;0,ISNUMBER($N$3),$N$3&gt;0),R22/(6*$N$3*1000000*$N$5)*(IF(N22&lt;($N$4*6/10),($N$4*6/10)*(MIN(O22,($N$4*6/10))^3-N22^3)-(MIN(O22,($N$4*6/10))^4-N22^4)/4,0)+IF(O22&gt;($N$4*6/10),($N$4*6/10)^2*(1.5*(O22^2-MAX(N22,($N$4*6/10))^2)-($N$4*6/10)*(O22-MAX(N22,($N$4*6/10)))),0))*1000,0)</f>
        <v>0</v>
      </c>
      <c r="AT22" s="120">
        <f>IF(AND(V22="OK",ISNUMBER($N$5),$N$5&gt;0,ISNUMBER($N$3),$N$3&gt;0),R22/(6*$N$3*1000000*$N$5)*(IF(N22&lt;($N$4*7/10),($N$4*7/10)*(MIN(O22,($N$4*7/10))^3-N22^3)-(MIN(O22,($N$4*7/10))^4-N22^4)/4,0)+IF(O22&gt;($N$4*7/10),($N$4*7/10)^2*(1.5*(O22^2-MAX(N22,($N$4*7/10))^2)-($N$4*7/10)*(O22-MAX(N22,($N$4*7/10)))),0))*1000,0)</f>
        <v>0</v>
      </c>
      <c r="AU22" s="120">
        <f>IF(AND(V22="OK",ISNUMBER($N$5),$N$5&gt;0,ISNUMBER($N$3),$N$3&gt;0),R22/(6*$N$3*1000000*$N$5)*(IF(N22&lt;($N$4*8/10),($N$4*8/10)*(MIN(O22,($N$4*8/10))^3-N22^3)-(MIN(O22,($N$4*8/10))^4-N22^4)/4,0)+IF(O22&gt;($N$4*8/10),($N$4*8/10)^2*(1.5*(O22^2-MAX(N22,($N$4*8/10))^2)-($N$4*8/10)*(O22-MAX(N22,($N$4*8/10)))),0))*1000,0)</f>
        <v>0</v>
      </c>
      <c r="AV22" s="120">
        <f>IF(AND(V22="OK",ISNUMBER($N$5),$N$5&gt;0,ISNUMBER($N$3),$N$3&gt;0),R22/(6*$N$3*1000000*$N$5)*(IF(N22&lt;($N$4*9/10),($N$4*9/10)*(MIN(O22,($N$4*9/10))^3-N22^3)-(MIN(O22,($N$4*9/10))^4-N22^4)/4,0)+IF(O22&gt;($N$4*9/10),($N$4*9/10)^2*(1.5*(O22^2-MAX(N22,($N$4*9/10))^2)-($N$4*9/10)*(O22-MAX(N22,($N$4*9/10)))),0))*1000,0)</f>
        <v>0</v>
      </c>
      <c r="AW22" s="120">
        <f>IF(AND(V22="OK",ISNUMBER($N$5),$N$5&gt;0,ISNUMBER($N$3),$N$3&gt;0),R22/(6*$N$3*1000000*$N$5)*(IF(N22&lt;($N$4*10/10),($N$4*10/10)*(MIN(O22,($N$4*10/10))^3-N22^3)-(MIN(O22,($N$4*10/10))^4-N22^4)/4,0)+IF(O22&gt;($N$4*10/10),($N$4*10/10)^2*(1.5*(O22^2-MAX(N22,($N$4*10/10))^2)-($N$4*10/10)*(O22-MAX(N22,($N$4*10/10)))),0))*1000,0)</f>
        <v>0</v>
      </c>
    </row>
    <row r="23" spans="1:49">
      <c r="A23" s="124"/>
      <c r="B23" s="125"/>
      <c r="C23" s="125"/>
      <c r="D23" s="125"/>
      <c r="E23" s="125"/>
      <c r="F23" s="126" t="str">
        <f>IF(J23="OK",D23*E23,"")</f>
        <v/>
      </c>
      <c r="G23" s="126" t="str">
        <f>IF(J23="OK",F23*(C23-B23),"")</f>
        <v/>
      </c>
      <c r="H23" s="126" t="str">
        <f>IF(J23="OK",G23*(C23+B23)/2,"")</f>
        <v/>
      </c>
      <c r="I23" s="126" t="str">
        <f>IF(AND(J23="OK",ISNUMBER($B$5),$B$5&gt;0,ISNUMBER($B$3),$B$3&gt;0),F23*(4*$B$4*(C23^3-B23^3)-(C23^4-B23^4))/(24*$B$3*1000000*$B$5)*1000,"")</f>
        <v/>
      </c>
      <c r="J23" s="120" t="str">
        <f>IF(COUNTA(A23:E23)=0,"",IF(AND(COUNT(B23:E23)=4,B23&gt;=0,C23&gt;B23,C23&lt;=$B$4,D23&gt;=0,E23&gt;0),IF(COUNTIFS($B$13:$B$22,"&lt;"&amp;C23,$C$13:$C$22,"&gt;"&amp;B23)&gt;0,"OVERLAP","OK"),"CHECK INPUTS"))</f>
        <v/>
      </c>
      <c r="M23" s="124"/>
      <c r="N23" s="125"/>
      <c r="O23" s="125"/>
      <c r="P23" s="125"/>
      <c r="Q23" s="125"/>
      <c r="R23" s="126" t="str">
        <f>IF(V23="OK",P23*Q23,"")</f>
        <v/>
      </c>
      <c r="S23" s="126" t="str">
        <f>IF(V23="OK",R23*(O23-N23),"")</f>
        <v/>
      </c>
      <c r="T23" s="126" t="str">
        <f>IF(V23="OK",S23*(O23+N23)/2,"")</f>
        <v/>
      </c>
      <c r="U23" s="126" t="str">
        <f>IF(AND(V23="OK",ISNUMBER($N$5),$N$5&gt;0,ISNUMBER($N$3),$N$3&gt;0),R23*(4*$N$4*(O23^3-N23^3)-(O23^4-N23^4))/(24*$N$3*1000000*$N$5)*1000,"")</f>
        <v/>
      </c>
      <c r="V23" s="120" t="str">
        <f>IF(COUNTA(M23:Q23)=0,"",IF(AND(COUNT(N23:Q23)=4,N23&gt;=0,O23&gt;N23,O23&lt;=$N$4,P23&gt;=0,Q23&gt;0),IF(COUNTIFS($N$13:$N$22,"&lt;"&amp;O23,$O$13:$O$22,"&gt;"&amp;N23)&gt;0,"OVERLAP","OK"),"CHECK INPUTS"))</f>
        <v/>
      </c>
      <c r="AA23" s="120">
        <f>IF(AND(J23="OK",ISNUMBER($B$5),$B$5&gt;0,ISNUMBER($B$3),$B$3&gt;0),F23/(6*$B$3*1000000*$B$5)*(IF(B23&lt;($B$4*0/10),($B$4*0/10)*(MIN(C23,($B$4*0/10))^3-B23^3)-(MIN(C23,($B$4*0/10))^4-B23^4)/4,0)+IF(C23&gt;($B$4*0/10),($B$4*0/10)^2*(1.5*(C23^2-MAX(B23,($B$4*0/10))^2)-($B$4*0/10)*(C23-MAX(B23,($B$4*0/10)))),0))*1000,0)</f>
        <v>0</v>
      </c>
      <c r="AB23" s="120">
        <f>IF(AND(J23="OK",ISNUMBER($B$5),$B$5&gt;0,ISNUMBER($B$3),$B$3&gt;0),F23/(6*$B$3*1000000*$B$5)*(IF(B23&lt;($B$4*1/10),($B$4*1/10)*(MIN(C23,($B$4*1/10))^3-B23^3)-(MIN(C23,($B$4*1/10))^4-B23^4)/4,0)+IF(C23&gt;($B$4*1/10),($B$4*1/10)^2*(1.5*(C23^2-MAX(B23,($B$4*1/10))^2)-($B$4*1/10)*(C23-MAX(B23,($B$4*1/10)))),0))*1000,0)</f>
        <v>0</v>
      </c>
      <c r="AC23" s="120">
        <f>IF(AND(J23="OK",ISNUMBER($B$5),$B$5&gt;0,ISNUMBER($B$3),$B$3&gt;0),F23/(6*$B$3*1000000*$B$5)*(IF(B23&lt;($B$4*2/10),($B$4*2/10)*(MIN(C23,($B$4*2/10))^3-B23^3)-(MIN(C23,($B$4*2/10))^4-B23^4)/4,0)+IF(C23&gt;($B$4*2/10),($B$4*2/10)^2*(1.5*(C23^2-MAX(B23,($B$4*2/10))^2)-($B$4*2/10)*(C23-MAX(B23,($B$4*2/10)))),0))*1000,0)</f>
        <v>0</v>
      </c>
      <c r="AD23" s="120">
        <f>IF(AND(J23="OK",ISNUMBER($B$5),$B$5&gt;0,ISNUMBER($B$3),$B$3&gt;0),F23/(6*$B$3*1000000*$B$5)*(IF(B23&lt;($B$4*3/10),($B$4*3/10)*(MIN(C23,($B$4*3/10))^3-B23^3)-(MIN(C23,($B$4*3/10))^4-B23^4)/4,0)+IF(C23&gt;($B$4*3/10),($B$4*3/10)^2*(1.5*(C23^2-MAX(B23,($B$4*3/10))^2)-($B$4*3/10)*(C23-MAX(B23,($B$4*3/10)))),0))*1000,0)</f>
        <v>0</v>
      </c>
      <c r="AE23" s="120">
        <f>IF(AND(J23="OK",ISNUMBER($B$5),$B$5&gt;0,ISNUMBER($B$3),$B$3&gt;0),F23/(6*$B$3*1000000*$B$5)*(IF(B23&lt;($B$4*4/10),($B$4*4/10)*(MIN(C23,($B$4*4/10))^3-B23^3)-(MIN(C23,($B$4*4/10))^4-B23^4)/4,0)+IF(C23&gt;($B$4*4/10),($B$4*4/10)^2*(1.5*(C23^2-MAX(B23,($B$4*4/10))^2)-($B$4*4/10)*(C23-MAX(B23,($B$4*4/10)))),0))*1000,0)</f>
        <v>0</v>
      </c>
      <c r="AF23" s="120">
        <f>IF(AND(J23="OK",ISNUMBER($B$5),$B$5&gt;0,ISNUMBER($B$3),$B$3&gt;0),F23/(6*$B$3*1000000*$B$5)*(IF(B23&lt;($B$4*5/10),($B$4*5/10)*(MIN(C23,($B$4*5/10))^3-B23^3)-(MIN(C23,($B$4*5/10))^4-B23^4)/4,0)+IF(C23&gt;($B$4*5/10),($B$4*5/10)^2*(1.5*(C23^2-MAX(B23,($B$4*5/10))^2)-($B$4*5/10)*(C23-MAX(B23,($B$4*5/10)))),0))*1000,0)</f>
        <v>0</v>
      </c>
      <c r="AG23" s="120">
        <f>IF(AND(J23="OK",ISNUMBER($B$5),$B$5&gt;0,ISNUMBER($B$3),$B$3&gt;0),F23/(6*$B$3*1000000*$B$5)*(IF(B23&lt;($B$4*6/10),($B$4*6/10)*(MIN(C23,($B$4*6/10))^3-B23^3)-(MIN(C23,($B$4*6/10))^4-B23^4)/4,0)+IF(C23&gt;($B$4*6/10),($B$4*6/10)^2*(1.5*(C23^2-MAX(B23,($B$4*6/10))^2)-($B$4*6/10)*(C23-MAX(B23,($B$4*6/10)))),0))*1000,0)</f>
        <v>0</v>
      </c>
      <c r="AH23" s="120">
        <f>IF(AND(J23="OK",ISNUMBER($B$5),$B$5&gt;0,ISNUMBER($B$3),$B$3&gt;0),F23/(6*$B$3*1000000*$B$5)*(IF(B23&lt;($B$4*7/10),($B$4*7/10)*(MIN(C23,($B$4*7/10))^3-B23^3)-(MIN(C23,($B$4*7/10))^4-B23^4)/4,0)+IF(C23&gt;($B$4*7/10),($B$4*7/10)^2*(1.5*(C23^2-MAX(B23,($B$4*7/10))^2)-($B$4*7/10)*(C23-MAX(B23,($B$4*7/10)))),0))*1000,0)</f>
        <v>0</v>
      </c>
      <c r="AI23" s="120">
        <f>IF(AND(J23="OK",ISNUMBER($B$5),$B$5&gt;0,ISNUMBER($B$3),$B$3&gt;0),F23/(6*$B$3*1000000*$B$5)*(IF(B23&lt;($B$4*8/10),($B$4*8/10)*(MIN(C23,($B$4*8/10))^3-B23^3)-(MIN(C23,($B$4*8/10))^4-B23^4)/4,0)+IF(C23&gt;($B$4*8/10),($B$4*8/10)^2*(1.5*(C23^2-MAX(B23,($B$4*8/10))^2)-($B$4*8/10)*(C23-MAX(B23,($B$4*8/10)))),0))*1000,0)</f>
        <v>0</v>
      </c>
      <c r="AJ23" s="120">
        <f>IF(AND(J23="OK",ISNUMBER($B$5),$B$5&gt;0,ISNUMBER($B$3),$B$3&gt;0),F23/(6*$B$3*1000000*$B$5)*(IF(B23&lt;($B$4*9/10),($B$4*9/10)*(MIN(C23,($B$4*9/10))^3-B23^3)-(MIN(C23,($B$4*9/10))^4-B23^4)/4,0)+IF(C23&gt;($B$4*9/10),($B$4*9/10)^2*(1.5*(C23^2-MAX(B23,($B$4*9/10))^2)-($B$4*9/10)*(C23-MAX(B23,($B$4*9/10)))),0))*1000,0)</f>
        <v>0</v>
      </c>
      <c r="AK23" s="120">
        <f>IF(AND(J23="OK",ISNUMBER($B$5),$B$5&gt;0,ISNUMBER($B$3),$B$3&gt;0),F23/(6*$B$3*1000000*$B$5)*(IF(B23&lt;($B$4*10/10),($B$4*10/10)*(MIN(C23,($B$4*10/10))^3-B23^3)-(MIN(C23,($B$4*10/10))^4-B23^4)/4,0)+IF(C23&gt;($B$4*10/10),($B$4*10/10)^2*(1.5*(C23^2-MAX(B23,($B$4*10/10))^2)-($B$4*10/10)*(C23-MAX(B23,($B$4*10/10)))),0))*1000,0)</f>
        <v>0</v>
      </c>
      <c r="AM23" s="120">
        <f>IF(AND(V23="OK",ISNUMBER($N$5),$N$5&gt;0,ISNUMBER($N$3),$N$3&gt;0),R23/(6*$N$3*1000000*$N$5)*(IF(N23&lt;($N$4*0/10),($N$4*0/10)*(MIN(O23,($N$4*0/10))^3-N23^3)-(MIN(O23,($N$4*0/10))^4-N23^4)/4,0)+IF(O23&gt;($N$4*0/10),($N$4*0/10)^2*(1.5*(O23^2-MAX(N23,($N$4*0/10))^2)-($N$4*0/10)*(O23-MAX(N23,($N$4*0/10)))),0))*1000,0)</f>
        <v>0</v>
      </c>
      <c r="AN23" s="120">
        <f>IF(AND(V23="OK",ISNUMBER($N$5),$N$5&gt;0,ISNUMBER($N$3),$N$3&gt;0),R23/(6*$N$3*1000000*$N$5)*(IF(N23&lt;($N$4*1/10),($N$4*1/10)*(MIN(O23,($N$4*1/10))^3-N23^3)-(MIN(O23,($N$4*1/10))^4-N23^4)/4,0)+IF(O23&gt;($N$4*1/10),($N$4*1/10)^2*(1.5*(O23^2-MAX(N23,($N$4*1/10))^2)-($N$4*1/10)*(O23-MAX(N23,($N$4*1/10)))),0))*1000,0)</f>
        <v>0</v>
      </c>
      <c r="AO23" s="120">
        <f>IF(AND(V23="OK",ISNUMBER($N$5),$N$5&gt;0,ISNUMBER($N$3),$N$3&gt;0),R23/(6*$N$3*1000000*$N$5)*(IF(N23&lt;($N$4*2/10),($N$4*2/10)*(MIN(O23,($N$4*2/10))^3-N23^3)-(MIN(O23,($N$4*2/10))^4-N23^4)/4,0)+IF(O23&gt;($N$4*2/10),($N$4*2/10)^2*(1.5*(O23^2-MAX(N23,($N$4*2/10))^2)-($N$4*2/10)*(O23-MAX(N23,($N$4*2/10)))),0))*1000,0)</f>
        <v>0</v>
      </c>
      <c r="AP23" s="120">
        <f>IF(AND(V23="OK",ISNUMBER($N$5),$N$5&gt;0,ISNUMBER($N$3),$N$3&gt;0),R23/(6*$N$3*1000000*$N$5)*(IF(N23&lt;($N$4*3/10),($N$4*3/10)*(MIN(O23,($N$4*3/10))^3-N23^3)-(MIN(O23,($N$4*3/10))^4-N23^4)/4,0)+IF(O23&gt;($N$4*3/10),($N$4*3/10)^2*(1.5*(O23^2-MAX(N23,($N$4*3/10))^2)-($N$4*3/10)*(O23-MAX(N23,($N$4*3/10)))),0))*1000,0)</f>
        <v>0</v>
      </c>
      <c r="AQ23" s="120">
        <f>IF(AND(V23="OK",ISNUMBER($N$5),$N$5&gt;0,ISNUMBER($N$3),$N$3&gt;0),R23/(6*$N$3*1000000*$N$5)*(IF(N23&lt;($N$4*4/10),($N$4*4/10)*(MIN(O23,($N$4*4/10))^3-N23^3)-(MIN(O23,($N$4*4/10))^4-N23^4)/4,0)+IF(O23&gt;($N$4*4/10),($N$4*4/10)^2*(1.5*(O23^2-MAX(N23,($N$4*4/10))^2)-($N$4*4/10)*(O23-MAX(N23,($N$4*4/10)))),0))*1000,0)</f>
        <v>0</v>
      </c>
      <c r="AR23" s="120">
        <f>IF(AND(V23="OK",ISNUMBER($N$5),$N$5&gt;0,ISNUMBER($N$3),$N$3&gt;0),R23/(6*$N$3*1000000*$N$5)*(IF(N23&lt;($N$4*5/10),($N$4*5/10)*(MIN(O23,($N$4*5/10))^3-N23^3)-(MIN(O23,($N$4*5/10))^4-N23^4)/4,0)+IF(O23&gt;($N$4*5/10),($N$4*5/10)^2*(1.5*(O23^2-MAX(N23,($N$4*5/10))^2)-($N$4*5/10)*(O23-MAX(N23,($N$4*5/10)))),0))*1000,0)</f>
        <v>0</v>
      </c>
      <c r="AS23" s="120">
        <f>IF(AND(V23="OK",ISNUMBER($N$5),$N$5&gt;0,ISNUMBER($N$3),$N$3&gt;0),R23/(6*$N$3*1000000*$N$5)*(IF(N23&lt;($N$4*6/10),($N$4*6/10)*(MIN(O23,($N$4*6/10))^3-N23^3)-(MIN(O23,($N$4*6/10))^4-N23^4)/4,0)+IF(O23&gt;($N$4*6/10),($N$4*6/10)^2*(1.5*(O23^2-MAX(N23,($N$4*6/10))^2)-($N$4*6/10)*(O23-MAX(N23,($N$4*6/10)))),0))*1000,0)</f>
        <v>0</v>
      </c>
      <c r="AT23" s="120">
        <f>IF(AND(V23="OK",ISNUMBER($N$5),$N$5&gt;0,ISNUMBER($N$3),$N$3&gt;0),R23/(6*$N$3*1000000*$N$5)*(IF(N23&lt;($N$4*7/10),($N$4*7/10)*(MIN(O23,($N$4*7/10))^3-N23^3)-(MIN(O23,($N$4*7/10))^4-N23^4)/4,0)+IF(O23&gt;($N$4*7/10),($N$4*7/10)^2*(1.5*(O23^2-MAX(N23,($N$4*7/10))^2)-($N$4*7/10)*(O23-MAX(N23,($N$4*7/10)))),0))*1000,0)</f>
        <v>0</v>
      </c>
      <c r="AU23" s="120">
        <f>IF(AND(V23="OK",ISNUMBER($N$5),$N$5&gt;0,ISNUMBER($N$3),$N$3&gt;0),R23/(6*$N$3*1000000*$N$5)*(IF(N23&lt;($N$4*8/10),($N$4*8/10)*(MIN(O23,($N$4*8/10))^3-N23^3)-(MIN(O23,($N$4*8/10))^4-N23^4)/4,0)+IF(O23&gt;($N$4*8/10),($N$4*8/10)^2*(1.5*(O23^2-MAX(N23,($N$4*8/10))^2)-($N$4*8/10)*(O23-MAX(N23,($N$4*8/10)))),0))*1000,0)</f>
        <v>0</v>
      </c>
      <c r="AV23" s="120">
        <f>IF(AND(V23="OK",ISNUMBER($N$5),$N$5&gt;0,ISNUMBER($N$3),$N$3&gt;0),R23/(6*$N$3*1000000*$N$5)*(IF(N23&lt;($N$4*9/10),($N$4*9/10)*(MIN(O23,($N$4*9/10))^3-N23^3)-(MIN(O23,($N$4*9/10))^4-N23^4)/4,0)+IF(O23&gt;($N$4*9/10),($N$4*9/10)^2*(1.5*(O23^2-MAX(N23,($N$4*9/10))^2)-($N$4*9/10)*(O23-MAX(N23,($N$4*9/10)))),0))*1000,0)</f>
        <v>0</v>
      </c>
      <c r="AW23" s="120">
        <f>IF(AND(V23="OK",ISNUMBER($N$5),$N$5&gt;0,ISNUMBER($N$3),$N$3&gt;0),R23/(6*$N$3*1000000*$N$5)*(IF(N23&lt;($N$4*10/10),($N$4*10/10)*(MIN(O23,($N$4*10/10))^3-N23^3)-(MIN(O23,($N$4*10/10))^4-N23^4)/4,0)+IF(O23&gt;($N$4*10/10),($N$4*10/10)^2*(1.5*(O23^2-MAX(N23,($N$4*10/10))^2)-($N$4*10/10)*(O23-MAX(N23,($N$4*10/10)))),0))*1000,0)</f>
        <v>0</v>
      </c>
    </row>
    <row r="24" spans="1:49">
      <c r="A24" s="124"/>
      <c r="B24" s="125"/>
      <c r="C24" s="125"/>
      <c r="D24" s="125"/>
      <c r="E24" s="125"/>
      <c r="F24" s="126" t="str">
        <f>IF(J24="OK",D24*E24,"")</f>
        <v/>
      </c>
      <c r="G24" s="126" t="str">
        <f>IF(J24="OK",F24*(C24-B24),"")</f>
        <v/>
      </c>
      <c r="H24" s="126" t="str">
        <f>IF(J24="OK",G24*(C24+B24)/2,"")</f>
        <v/>
      </c>
      <c r="I24" s="126" t="str">
        <f>IF(AND(J24="OK",ISNUMBER($B$5),$B$5&gt;0,ISNUMBER($B$3),$B$3&gt;0),F24*(4*$B$4*(C24^3-B24^3)-(C24^4-B24^4))/(24*$B$3*1000000*$B$5)*1000,"")</f>
        <v/>
      </c>
      <c r="J24" s="120" t="str">
        <f>IF(COUNTA(A24:E24)=0,"",IF(AND(COUNT(B24:E24)=4,B24&gt;=0,C24&gt;B24,C24&lt;=$B$4,D24&gt;=0,E24&gt;0),IF(COUNTIFS($B$13:$B$23,"&lt;"&amp;C24,$C$13:$C$23,"&gt;"&amp;B24)&gt;0,"OVERLAP","OK"),"CHECK INPUTS"))</f>
        <v/>
      </c>
      <c r="M24" s="124"/>
      <c r="N24" s="125"/>
      <c r="O24" s="125"/>
      <c r="P24" s="125"/>
      <c r="Q24" s="125"/>
      <c r="R24" s="126" t="str">
        <f>IF(V24="OK",P24*Q24,"")</f>
        <v/>
      </c>
      <c r="S24" s="126" t="str">
        <f>IF(V24="OK",R24*(O24-N24),"")</f>
        <v/>
      </c>
      <c r="T24" s="126" t="str">
        <f>IF(V24="OK",S24*(O24+N24)/2,"")</f>
        <v/>
      </c>
      <c r="U24" s="126" t="str">
        <f>IF(AND(V24="OK",ISNUMBER($N$5),$N$5&gt;0,ISNUMBER($N$3),$N$3&gt;0),R24*(4*$N$4*(O24^3-N24^3)-(O24^4-N24^4))/(24*$N$3*1000000*$N$5)*1000,"")</f>
        <v/>
      </c>
      <c r="V24" s="120" t="str">
        <f>IF(COUNTA(M24:Q24)=0,"",IF(AND(COUNT(N24:Q24)=4,N24&gt;=0,O24&gt;N24,O24&lt;=$N$4,P24&gt;=0,Q24&gt;0),IF(COUNTIFS($N$13:$N$23,"&lt;"&amp;O24,$O$13:$O$23,"&gt;"&amp;N24)&gt;0,"OVERLAP","OK"),"CHECK INPUTS"))</f>
        <v/>
      </c>
      <c r="AA24" s="120">
        <f>IF(AND(J24="OK",ISNUMBER($B$5),$B$5&gt;0,ISNUMBER($B$3),$B$3&gt;0),F24/(6*$B$3*1000000*$B$5)*(IF(B24&lt;($B$4*0/10),($B$4*0/10)*(MIN(C24,($B$4*0/10))^3-B24^3)-(MIN(C24,($B$4*0/10))^4-B24^4)/4,0)+IF(C24&gt;($B$4*0/10),($B$4*0/10)^2*(1.5*(C24^2-MAX(B24,($B$4*0/10))^2)-($B$4*0/10)*(C24-MAX(B24,($B$4*0/10)))),0))*1000,0)</f>
        <v>0</v>
      </c>
      <c r="AB24" s="120">
        <f>IF(AND(J24="OK",ISNUMBER($B$5),$B$5&gt;0,ISNUMBER($B$3),$B$3&gt;0),F24/(6*$B$3*1000000*$B$5)*(IF(B24&lt;($B$4*1/10),($B$4*1/10)*(MIN(C24,($B$4*1/10))^3-B24^3)-(MIN(C24,($B$4*1/10))^4-B24^4)/4,0)+IF(C24&gt;($B$4*1/10),($B$4*1/10)^2*(1.5*(C24^2-MAX(B24,($B$4*1/10))^2)-($B$4*1/10)*(C24-MAX(B24,($B$4*1/10)))),0))*1000,0)</f>
        <v>0</v>
      </c>
      <c r="AC24" s="120">
        <f>IF(AND(J24="OK",ISNUMBER($B$5),$B$5&gt;0,ISNUMBER($B$3),$B$3&gt;0),F24/(6*$B$3*1000000*$B$5)*(IF(B24&lt;($B$4*2/10),($B$4*2/10)*(MIN(C24,($B$4*2/10))^3-B24^3)-(MIN(C24,($B$4*2/10))^4-B24^4)/4,0)+IF(C24&gt;($B$4*2/10),($B$4*2/10)^2*(1.5*(C24^2-MAX(B24,($B$4*2/10))^2)-($B$4*2/10)*(C24-MAX(B24,($B$4*2/10)))),0))*1000,0)</f>
        <v>0</v>
      </c>
      <c r="AD24" s="120">
        <f>IF(AND(J24="OK",ISNUMBER($B$5),$B$5&gt;0,ISNUMBER($B$3),$B$3&gt;0),F24/(6*$B$3*1000000*$B$5)*(IF(B24&lt;($B$4*3/10),($B$4*3/10)*(MIN(C24,($B$4*3/10))^3-B24^3)-(MIN(C24,($B$4*3/10))^4-B24^4)/4,0)+IF(C24&gt;($B$4*3/10),($B$4*3/10)^2*(1.5*(C24^2-MAX(B24,($B$4*3/10))^2)-($B$4*3/10)*(C24-MAX(B24,($B$4*3/10)))),0))*1000,0)</f>
        <v>0</v>
      </c>
      <c r="AE24" s="120">
        <f>IF(AND(J24="OK",ISNUMBER($B$5),$B$5&gt;0,ISNUMBER($B$3),$B$3&gt;0),F24/(6*$B$3*1000000*$B$5)*(IF(B24&lt;($B$4*4/10),($B$4*4/10)*(MIN(C24,($B$4*4/10))^3-B24^3)-(MIN(C24,($B$4*4/10))^4-B24^4)/4,0)+IF(C24&gt;($B$4*4/10),($B$4*4/10)^2*(1.5*(C24^2-MAX(B24,($B$4*4/10))^2)-($B$4*4/10)*(C24-MAX(B24,($B$4*4/10)))),0))*1000,0)</f>
        <v>0</v>
      </c>
      <c r="AF24" s="120">
        <f>IF(AND(J24="OK",ISNUMBER($B$5),$B$5&gt;0,ISNUMBER($B$3),$B$3&gt;0),F24/(6*$B$3*1000000*$B$5)*(IF(B24&lt;($B$4*5/10),($B$4*5/10)*(MIN(C24,($B$4*5/10))^3-B24^3)-(MIN(C24,($B$4*5/10))^4-B24^4)/4,0)+IF(C24&gt;($B$4*5/10),($B$4*5/10)^2*(1.5*(C24^2-MAX(B24,($B$4*5/10))^2)-($B$4*5/10)*(C24-MAX(B24,($B$4*5/10)))),0))*1000,0)</f>
        <v>0</v>
      </c>
      <c r="AG24" s="120">
        <f>IF(AND(J24="OK",ISNUMBER($B$5),$B$5&gt;0,ISNUMBER($B$3),$B$3&gt;0),F24/(6*$B$3*1000000*$B$5)*(IF(B24&lt;($B$4*6/10),($B$4*6/10)*(MIN(C24,($B$4*6/10))^3-B24^3)-(MIN(C24,($B$4*6/10))^4-B24^4)/4,0)+IF(C24&gt;($B$4*6/10),($B$4*6/10)^2*(1.5*(C24^2-MAX(B24,($B$4*6/10))^2)-($B$4*6/10)*(C24-MAX(B24,($B$4*6/10)))),0))*1000,0)</f>
        <v>0</v>
      </c>
      <c r="AH24" s="120">
        <f>IF(AND(J24="OK",ISNUMBER($B$5),$B$5&gt;0,ISNUMBER($B$3),$B$3&gt;0),F24/(6*$B$3*1000000*$B$5)*(IF(B24&lt;($B$4*7/10),($B$4*7/10)*(MIN(C24,($B$4*7/10))^3-B24^3)-(MIN(C24,($B$4*7/10))^4-B24^4)/4,0)+IF(C24&gt;($B$4*7/10),($B$4*7/10)^2*(1.5*(C24^2-MAX(B24,($B$4*7/10))^2)-($B$4*7/10)*(C24-MAX(B24,($B$4*7/10)))),0))*1000,0)</f>
        <v>0</v>
      </c>
      <c r="AI24" s="120">
        <f>IF(AND(J24="OK",ISNUMBER($B$5),$B$5&gt;0,ISNUMBER($B$3),$B$3&gt;0),F24/(6*$B$3*1000000*$B$5)*(IF(B24&lt;($B$4*8/10),($B$4*8/10)*(MIN(C24,($B$4*8/10))^3-B24^3)-(MIN(C24,($B$4*8/10))^4-B24^4)/4,0)+IF(C24&gt;($B$4*8/10),($B$4*8/10)^2*(1.5*(C24^2-MAX(B24,($B$4*8/10))^2)-($B$4*8/10)*(C24-MAX(B24,($B$4*8/10)))),0))*1000,0)</f>
        <v>0</v>
      </c>
      <c r="AJ24" s="120">
        <f>IF(AND(J24="OK",ISNUMBER($B$5),$B$5&gt;0,ISNUMBER($B$3),$B$3&gt;0),F24/(6*$B$3*1000000*$B$5)*(IF(B24&lt;($B$4*9/10),($B$4*9/10)*(MIN(C24,($B$4*9/10))^3-B24^3)-(MIN(C24,($B$4*9/10))^4-B24^4)/4,0)+IF(C24&gt;($B$4*9/10),($B$4*9/10)^2*(1.5*(C24^2-MAX(B24,($B$4*9/10))^2)-($B$4*9/10)*(C24-MAX(B24,($B$4*9/10)))),0))*1000,0)</f>
        <v>0</v>
      </c>
      <c r="AK24" s="120">
        <f>IF(AND(J24="OK",ISNUMBER($B$5),$B$5&gt;0,ISNUMBER($B$3),$B$3&gt;0),F24/(6*$B$3*1000000*$B$5)*(IF(B24&lt;($B$4*10/10),($B$4*10/10)*(MIN(C24,($B$4*10/10))^3-B24^3)-(MIN(C24,($B$4*10/10))^4-B24^4)/4,0)+IF(C24&gt;($B$4*10/10),($B$4*10/10)^2*(1.5*(C24^2-MAX(B24,($B$4*10/10))^2)-($B$4*10/10)*(C24-MAX(B24,($B$4*10/10)))),0))*1000,0)</f>
        <v>0</v>
      </c>
      <c r="AM24" s="120">
        <f>IF(AND(V24="OK",ISNUMBER($N$5),$N$5&gt;0,ISNUMBER($N$3),$N$3&gt;0),R24/(6*$N$3*1000000*$N$5)*(IF(N24&lt;($N$4*0/10),($N$4*0/10)*(MIN(O24,($N$4*0/10))^3-N24^3)-(MIN(O24,($N$4*0/10))^4-N24^4)/4,0)+IF(O24&gt;($N$4*0/10),($N$4*0/10)^2*(1.5*(O24^2-MAX(N24,($N$4*0/10))^2)-($N$4*0/10)*(O24-MAX(N24,($N$4*0/10)))),0))*1000,0)</f>
        <v>0</v>
      </c>
      <c r="AN24" s="120">
        <f>IF(AND(V24="OK",ISNUMBER($N$5),$N$5&gt;0,ISNUMBER($N$3),$N$3&gt;0),R24/(6*$N$3*1000000*$N$5)*(IF(N24&lt;($N$4*1/10),($N$4*1/10)*(MIN(O24,($N$4*1/10))^3-N24^3)-(MIN(O24,($N$4*1/10))^4-N24^4)/4,0)+IF(O24&gt;($N$4*1/10),($N$4*1/10)^2*(1.5*(O24^2-MAX(N24,($N$4*1/10))^2)-($N$4*1/10)*(O24-MAX(N24,($N$4*1/10)))),0))*1000,0)</f>
        <v>0</v>
      </c>
      <c r="AO24" s="120">
        <f>IF(AND(V24="OK",ISNUMBER($N$5),$N$5&gt;0,ISNUMBER($N$3),$N$3&gt;0),R24/(6*$N$3*1000000*$N$5)*(IF(N24&lt;($N$4*2/10),($N$4*2/10)*(MIN(O24,($N$4*2/10))^3-N24^3)-(MIN(O24,($N$4*2/10))^4-N24^4)/4,0)+IF(O24&gt;($N$4*2/10),($N$4*2/10)^2*(1.5*(O24^2-MAX(N24,($N$4*2/10))^2)-($N$4*2/10)*(O24-MAX(N24,($N$4*2/10)))),0))*1000,0)</f>
        <v>0</v>
      </c>
      <c r="AP24" s="120">
        <f>IF(AND(V24="OK",ISNUMBER($N$5),$N$5&gt;0,ISNUMBER($N$3),$N$3&gt;0),R24/(6*$N$3*1000000*$N$5)*(IF(N24&lt;($N$4*3/10),($N$4*3/10)*(MIN(O24,($N$4*3/10))^3-N24^3)-(MIN(O24,($N$4*3/10))^4-N24^4)/4,0)+IF(O24&gt;($N$4*3/10),($N$4*3/10)^2*(1.5*(O24^2-MAX(N24,($N$4*3/10))^2)-($N$4*3/10)*(O24-MAX(N24,($N$4*3/10)))),0))*1000,0)</f>
        <v>0</v>
      </c>
      <c r="AQ24" s="120">
        <f>IF(AND(V24="OK",ISNUMBER($N$5),$N$5&gt;0,ISNUMBER($N$3),$N$3&gt;0),R24/(6*$N$3*1000000*$N$5)*(IF(N24&lt;($N$4*4/10),($N$4*4/10)*(MIN(O24,($N$4*4/10))^3-N24^3)-(MIN(O24,($N$4*4/10))^4-N24^4)/4,0)+IF(O24&gt;($N$4*4/10),($N$4*4/10)^2*(1.5*(O24^2-MAX(N24,($N$4*4/10))^2)-($N$4*4/10)*(O24-MAX(N24,($N$4*4/10)))),0))*1000,0)</f>
        <v>0</v>
      </c>
      <c r="AR24" s="120">
        <f>IF(AND(V24="OK",ISNUMBER($N$5),$N$5&gt;0,ISNUMBER($N$3),$N$3&gt;0),R24/(6*$N$3*1000000*$N$5)*(IF(N24&lt;($N$4*5/10),($N$4*5/10)*(MIN(O24,($N$4*5/10))^3-N24^3)-(MIN(O24,($N$4*5/10))^4-N24^4)/4,0)+IF(O24&gt;($N$4*5/10),($N$4*5/10)^2*(1.5*(O24^2-MAX(N24,($N$4*5/10))^2)-($N$4*5/10)*(O24-MAX(N24,($N$4*5/10)))),0))*1000,0)</f>
        <v>0</v>
      </c>
      <c r="AS24" s="120">
        <f>IF(AND(V24="OK",ISNUMBER($N$5),$N$5&gt;0,ISNUMBER($N$3),$N$3&gt;0),R24/(6*$N$3*1000000*$N$5)*(IF(N24&lt;($N$4*6/10),($N$4*6/10)*(MIN(O24,($N$4*6/10))^3-N24^3)-(MIN(O24,($N$4*6/10))^4-N24^4)/4,0)+IF(O24&gt;($N$4*6/10),($N$4*6/10)^2*(1.5*(O24^2-MAX(N24,($N$4*6/10))^2)-($N$4*6/10)*(O24-MAX(N24,($N$4*6/10)))),0))*1000,0)</f>
        <v>0</v>
      </c>
      <c r="AT24" s="120">
        <f>IF(AND(V24="OK",ISNUMBER($N$5),$N$5&gt;0,ISNUMBER($N$3),$N$3&gt;0),R24/(6*$N$3*1000000*$N$5)*(IF(N24&lt;($N$4*7/10),($N$4*7/10)*(MIN(O24,($N$4*7/10))^3-N24^3)-(MIN(O24,($N$4*7/10))^4-N24^4)/4,0)+IF(O24&gt;($N$4*7/10),($N$4*7/10)^2*(1.5*(O24^2-MAX(N24,($N$4*7/10))^2)-($N$4*7/10)*(O24-MAX(N24,($N$4*7/10)))),0))*1000,0)</f>
        <v>0</v>
      </c>
      <c r="AU24" s="120">
        <f>IF(AND(V24="OK",ISNUMBER($N$5),$N$5&gt;0,ISNUMBER($N$3),$N$3&gt;0),R24/(6*$N$3*1000000*$N$5)*(IF(N24&lt;($N$4*8/10),($N$4*8/10)*(MIN(O24,($N$4*8/10))^3-N24^3)-(MIN(O24,($N$4*8/10))^4-N24^4)/4,0)+IF(O24&gt;($N$4*8/10),($N$4*8/10)^2*(1.5*(O24^2-MAX(N24,($N$4*8/10))^2)-($N$4*8/10)*(O24-MAX(N24,($N$4*8/10)))),0))*1000,0)</f>
        <v>0</v>
      </c>
      <c r="AV24" s="120">
        <f>IF(AND(V24="OK",ISNUMBER($N$5),$N$5&gt;0,ISNUMBER($N$3),$N$3&gt;0),R24/(6*$N$3*1000000*$N$5)*(IF(N24&lt;($N$4*9/10),($N$4*9/10)*(MIN(O24,($N$4*9/10))^3-N24^3)-(MIN(O24,($N$4*9/10))^4-N24^4)/4,0)+IF(O24&gt;($N$4*9/10),($N$4*9/10)^2*(1.5*(O24^2-MAX(N24,($N$4*9/10))^2)-($N$4*9/10)*(O24-MAX(N24,($N$4*9/10)))),0))*1000,0)</f>
        <v>0</v>
      </c>
      <c r="AW24" s="120">
        <f>IF(AND(V24="OK",ISNUMBER($N$5),$N$5&gt;0,ISNUMBER($N$3),$N$3&gt;0),R24/(6*$N$3*1000000*$N$5)*(IF(N24&lt;($N$4*10/10),($N$4*10/10)*(MIN(O24,($N$4*10/10))^3-N24^3)-(MIN(O24,($N$4*10/10))^4-N24^4)/4,0)+IF(O24&gt;($N$4*10/10),($N$4*10/10)^2*(1.5*(O24^2-MAX(N24,($N$4*10/10))^2)-($N$4*10/10)*(O24-MAX(N24,($N$4*10/10)))),0))*1000,0)</f>
        <v>0</v>
      </c>
    </row>
    <row r="25" spans="1:49">
      <c r="A25" s="124"/>
      <c r="B25" s="125"/>
      <c r="C25" s="125"/>
      <c r="D25" s="125"/>
      <c r="E25" s="125"/>
      <c r="F25" s="126" t="str">
        <f>IF(J25="OK",D25*E25,"")</f>
        <v/>
      </c>
      <c r="G25" s="126" t="str">
        <f>IF(J25="OK",F25*(C25-B25),"")</f>
        <v/>
      </c>
      <c r="H25" s="126" t="str">
        <f>IF(J25="OK",G25*(C25+B25)/2,"")</f>
        <v/>
      </c>
      <c r="I25" s="126" t="str">
        <f>IF(AND(J25="OK",ISNUMBER($B$5),$B$5&gt;0,ISNUMBER($B$3),$B$3&gt;0),F25*(4*$B$4*(C25^3-B25^3)-(C25^4-B25^4))/(24*$B$3*1000000*$B$5)*1000,"")</f>
        <v/>
      </c>
      <c r="J25" s="120" t="str">
        <f>IF(COUNTA(A25:E25)=0,"",IF(AND(COUNT(B25:E25)=4,B25&gt;=0,C25&gt;B25,C25&lt;=$B$4,D25&gt;=0,E25&gt;0),IF(COUNTIFS($B$13:$B$24,"&lt;"&amp;C25,$C$13:$C$24,"&gt;"&amp;B25)&gt;0,"OVERLAP","OK"),"CHECK INPUTS"))</f>
        <v/>
      </c>
      <c r="M25" s="124"/>
      <c r="N25" s="125"/>
      <c r="O25" s="125"/>
      <c r="P25" s="125"/>
      <c r="Q25" s="125"/>
      <c r="R25" s="126" t="str">
        <f>IF(V25="OK",P25*Q25,"")</f>
        <v/>
      </c>
      <c r="S25" s="126" t="str">
        <f>IF(V25="OK",R25*(O25-N25),"")</f>
        <v/>
      </c>
      <c r="T25" s="126" t="str">
        <f>IF(V25="OK",S25*(O25+N25)/2,"")</f>
        <v/>
      </c>
      <c r="U25" s="126" t="str">
        <f>IF(AND(V25="OK",ISNUMBER($N$5),$N$5&gt;0,ISNUMBER($N$3),$N$3&gt;0),R25*(4*$N$4*(O25^3-N25^3)-(O25^4-N25^4))/(24*$N$3*1000000*$N$5)*1000,"")</f>
        <v/>
      </c>
      <c r="V25" s="120" t="str">
        <f>IF(COUNTA(M25:Q25)=0,"",IF(AND(COUNT(N25:Q25)=4,N25&gt;=0,O25&gt;N25,O25&lt;=$N$4,P25&gt;=0,Q25&gt;0),IF(COUNTIFS($N$13:$N$24,"&lt;"&amp;O25,$O$13:$O$24,"&gt;"&amp;N25)&gt;0,"OVERLAP","OK"),"CHECK INPUTS"))</f>
        <v/>
      </c>
      <c r="AA25" s="120">
        <f>IF(AND(J25="OK",ISNUMBER($B$5),$B$5&gt;0,ISNUMBER($B$3),$B$3&gt;0),F25/(6*$B$3*1000000*$B$5)*(IF(B25&lt;($B$4*0/10),($B$4*0/10)*(MIN(C25,($B$4*0/10))^3-B25^3)-(MIN(C25,($B$4*0/10))^4-B25^4)/4,0)+IF(C25&gt;($B$4*0/10),($B$4*0/10)^2*(1.5*(C25^2-MAX(B25,($B$4*0/10))^2)-($B$4*0/10)*(C25-MAX(B25,($B$4*0/10)))),0))*1000,0)</f>
        <v>0</v>
      </c>
      <c r="AB25" s="120">
        <f>IF(AND(J25="OK",ISNUMBER($B$5),$B$5&gt;0,ISNUMBER($B$3),$B$3&gt;0),F25/(6*$B$3*1000000*$B$5)*(IF(B25&lt;($B$4*1/10),($B$4*1/10)*(MIN(C25,($B$4*1/10))^3-B25^3)-(MIN(C25,($B$4*1/10))^4-B25^4)/4,0)+IF(C25&gt;($B$4*1/10),($B$4*1/10)^2*(1.5*(C25^2-MAX(B25,($B$4*1/10))^2)-($B$4*1/10)*(C25-MAX(B25,($B$4*1/10)))),0))*1000,0)</f>
        <v>0</v>
      </c>
      <c r="AC25" s="120">
        <f>IF(AND(J25="OK",ISNUMBER($B$5),$B$5&gt;0,ISNUMBER($B$3),$B$3&gt;0),F25/(6*$B$3*1000000*$B$5)*(IF(B25&lt;($B$4*2/10),($B$4*2/10)*(MIN(C25,($B$4*2/10))^3-B25^3)-(MIN(C25,($B$4*2/10))^4-B25^4)/4,0)+IF(C25&gt;($B$4*2/10),($B$4*2/10)^2*(1.5*(C25^2-MAX(B25,($B$4*2/10))^2)-($B$4*2/10)*(C25-MAX(B25,($B$4*2/10)))),0))*1000,0)</f>
        <v>0</v>
      </c>
      <c r="AD25" s="120">
        <f>IF(AND(J25="OK",ISNUMBER($B$5),$B$5&gt;0,ISNUMBER($B$3),$B$3&gt;0),F25/(6*$B$3*1000000*$B$5)*(IF(B25&lt;($B$4*3/10),($B$4*3/10)*(MIN(C25,($B$4*3/10))^3-B25^3)-(MIN(C25,($B$4*3/10))^4-B25^4)/4,0)+IF(C25&gt;($B$4*3/10),($B$4*3/10)^2*(1.5*(C25^2-MAX(B25,($B$4*3/10))^2)-($B$4*3/10)*(C25-MAX(B25,($B$4*3/10)))),0))*1000,0)</f>
        <v>0</v>
      </c>
      <c r="AE25" s="120">
        <f>IF(AND(J25="OK",ISNUMBER($B$5),$B$5&gt;0,ISNUMBER($B$3),$B$3&gt;0),F25/(6*$B$3*1000000*$B$5)*(IF(B25&lt;($B$4*4/10),($B$4*4/10)*(MIN(C25,($B$4*4/10))^3-B25^3)-(MIN(C25,($B$4*4/10))^4-B25^4)/4,0)+IF(C25&gt;($B$4*4/10),($B$4*4/10)^2*(1.5*(C25^2-MAX(B25,($B$4*4/10))^2)-($B$4*4/10)*(C25-MAX(B25,($B$4*4/10)))),0))*1000,0)</f>
        <v>0</v>
      </c>
      <c r="AF25" s="120">
        <f>IF(AND(J25="OK",ISNUMBER($B$5),$B$5&gt;0,ISNUMBER($B$3),$B$3&gt;0),F25/(6*$B$3*1000000*$B$5)*(IF(B25&lt;($B$4*5/10),($B$4*5/10)*(MIN(C25,($B$4*5/10))^3-B25^3)-(MIN(C25,($B$4*5/10))^4-B25^4)/4,0)+IF(C25&gt;($B$4*5/10),($B$4*5/10)^2*(1.5*(C25^2-MAX(B25,($B$4*5/10))^2)-($B$4*5/10)*(C25-MAX(B25,($B$4*5/10)))),0))*1000,0)</f>
        <v>0</v>
      </c>
      <c r="AG25" s="120">
        <f>IF(AND(J25="OK",ISNUMBER($B$5),$B$5&gt;0,ISNUMBER($B$3),$B$3&gt;0),F25/(6*$B$3*1000000*$B$5)*(IF(B25&lt;($B$4*6/10),($B$4*6/10)*(MIN(C25,($B$4*6/10))^3-B25^3)-(MIN(C25,($B$4*6/10))^4-B25^4)/4,0)+IF(C25&gt;($B$4*6/10),($B$4*6/10)^2*(1.5*(C25^2-MAX(B25,($B$4*6/10))^2)-($B$4*6/10)*(C25-MAX(B25,($B$4*6/10)))),0))*1000,0)</f>
        <v>0</v>
      </c>
      <c r="AH25" s="120">
        <f>IF(AND(J25="OK",ISNUMBER($B$5),$B$5&gt;0,ISNUMBER($B$3),$B$3&gt;0),F25/(6*$B$3*1000000*$B$5)*(IF(B25&lt;($B$4*7/10),($B$4*7/10)*(MIN(C25,($B$4*7/10))^3-B25^3)-(MIN(C25,($B$4*7/10))^4-B25^4)/4,0)+IF(C25&gt;($B$4*7/10),($B$4*7/10)^2*(1.5*(C25^2-MAX(B25,($B$4*7/10))^2)-($B$4*7/10)*(C25-MAX(B25,($B$4*7/10)))),0))*1000,0)</f>
        <v>0</v>
      </c>
      <c r="AI25" s="120">
        <f>IF(AND(J25="OK",ISNUMBER($B$5),$B$5&gt;0,ISNUMBER($B$3),$B$3&gt;0),F25/(6*$B$3*1000000*$B$5)*(IF(B25&lt;($B$4*8/10),($B$4*8/10)*(MIN(C25,($B$4*8/10))^3-B25^3)-(MIN(C25,($B$4*8/10))^4-B25^4)/4,0)+IF(C25&gt;($B$4*8/10),($B$4*8/10)^2*(1.5*(C25^2-MAX(B25,($B$4*8/10))^2)-($B$4*8/10)*(C25-MAX(B25,($B$4*8/10)))),0))*1000,0)</f>
        <v>0</v>
      </c>
      <c r="AJ25" s="120">
        <f>IF(AND(J25="OK",ISNUMBER($B$5),$B$5&gt;0,ISNUMBER($B$3),$B$3&gt;0),F25/(6*$B$3*1000000*$B$5)*(IF(B25&lt;($B$4*9/10),($B$4*9/10)*(MIN(C25,($B$4*9/10))^3-B25^3)-(MIN(C25,($B$4*9/10))^4-B25^4)/4,0)+IF(C25&gt;($B$4*9/10),($B$4*9/10)^2*(1.5*(C25^2-MAX(B25,($B$4*9/10))^2)-($B$4*9/10)*(C25-MAX(B25,($B$4*9/10)))),0))*1000,0)</f>
        <v>0</v>
      </c>
      <c r="AK25" s="120">
        <f>IF(AND(J25="OK",ISNUMBER($B$5),$B$5&gt;0,ISNUMBER($B$3),$B$3&gt;0),F25/(6*$B$3*1000000*$B$5)*(IF(B25&lt;($B$4*10/10),($B$4*10/10)*(MIN(C25,($B$4*10/10))^3-B25^3)-(MIN(C25,($B$4*10/10))^4-B25^4)/4,0)+IF(C25&gt;($B$4*10/10),($B$4*10/10)^2*(1.5*(C25^2-MAX(B25,($B$4*10/10))^2)-($B$4*10/10)*(C25-MAX(B25,($B$4*10/10)))),0))*1000,0)</f>
        <v>0</v>
      </c>
      <c r="AM25" s="120">
        <f>IF(AND(V25="OK",ISNUMBER($N$5),$N$5&gt;0,ISNUMBER($N$3),$N$3&gt;0),R25/(6*$N$3*1000000*$N$5)*(IF(N25&lt;($N$4*0/10),($N$4*0/10)*(MIN(O25,($N$4*0/10))^3-N25^3)-(MIN(O25,($N$4*0/10))^4-N25^4)/4,0)+IF(O25&gt;($N$4*0/10),($N$4*0/10)^2*(1.5*(O25^2-MAX(N25,($N$4*0/10))^2)-($N$4*0/10)*(O25-MAX(N25,($N$4*0/10)))),0))*1000,0)</f>
        <v>0</v>
      </c>
      <c r="AN25" s="120">
        <f>IF(AND(V25="OK",ISNUMBER($N$5),$N$5&gt;0,ISNUMBER($N$3),$N$3&gt;0),R25/(6*$N$3*1000000*$N$5)*(IF(N25&lt;($N$4*1/10),($N$4*1/10)*(MIN(O25,($N$4*1/10))^3-N25^3)-(MIN(O25,($N$4*1/10))^4-N25^4)/4,0)+IF(O25&gt;($N$4*1/10),($N$4*1/10)^2*(1.5*(O25^2-MAX(N25,($N$4*1/10))^2)-($N$4*1/10)*(O25-MAX(N25,($N$4*1/10)))),0))*1000,0)</f>
        <v>0</v>
      </c>
      <c r="AO25" s="120">
        <f>IF(AND(V25="OK",ISNUMBER($N$5),$N$5&gt;0,ISNUMBER($N$3),$N$3&gt;0),R25/(6*$N$3*1000000*$N$5)*(IF(N25&lt;($N$4*2/10),($N$4*2/10)*(MIN(O25,($N$4*2/10))^3-N25^3)-(MIN(O25,($N$4*2/10))^4-N25^4)/4,0)+IF(O25&gt;($N$4*2/10),($N$4*2/10)^2*(1.5*(O25^2-MAX(N25,($N$4*2/10))^2)-($N$4*2/10)*(O25-MAX(N25,($N$4*2/10)))),0))*1000,0)</f>
        <v>0</v>
      </c>
      <c r="AP25" s="120">
        <f>IF(AND(V25="OK",ISNUMBER($N$5),$N$5&gt;0,ISNUMBER($N$3),$N$3&gt;0),R25/(6*$N$3*1000000*$N$5)*(IF(N25&lt;($N$4*3/10),($N$4*3/10)*(MIN(O25,($N$4*3/10))^3-N25^3)-(MIN(O25,($N$4*3/10))^4-N25^4)/4,0)+IF(O25&gt;($N$4*3/10),($N$4*3/10)^2*(1.5*(O25^2-MAX(N25,($N$4*3/10))^2)-($N$4*3/10)*(O25-MAX(N25,($N$4*3/10)))),0))*1000,0)</f>
        <v>0</v>
      </c>
      <c r="AQ25" s="120">
        <f>IF(AND(V25="OK",ISNUMBER($N$5),$N$5&gt;0,ISNUMBER($N$3),$N$3&gt;0),R25/(6*$N$3*1000000*$N$5)*(IF(N25&lt;($N$4*4/10),($N$4*4/10)*(MIN(O25,($N$4*4/10))^3-N25^3)-(MIN(O25,($N$4*4/10))^4-N25^4)/4,0)+IF(O25&gt;($N$4*4/10),($N$4*4/10)^2*(1.5*(O25^2-MAX(N25,($N$4*4/10))^2)-($N$4*4/10)*(O25-MAX(N25,($N$4*4/10)))),0))*1000,0)</f>
        <v>0</v>
      </c>
      <c r="AR25" s="120">
        <f>IF(AND(V25="OK",ISNUMBER($N$5),$N$5&gt;0,ISNUMBER($N$3),$N$3&gt;0),R25/(6*$N$3*1000000*$N$5)*(IF(N25&lt;($N$4*5/10),($N$4*5/10)*(MIN(O25,($N$4*5/10))^3-N25^3)-(MIN(O25,($N$4*5/10))^4-N25^4)/4,0)+IF(O25&gt;($N$4*5/10),($N$4*5/10)^2*(1.5*(O25^2-MAX(N25,($N$4*5/10))^2)-($N$4*5/10)*(O25-MAX(N25,($N$4*5/10)))),0))*1000,0)</f>
        <v>0</v>
      </c>
      <c r="AS25" s="120">
        <f>IF(AND(V25="OK",ISNUMBER($N$5),$N$5&gt;0,ISNUMBER($N$3),$N$3&gt;0),R25/(6*$N$3*1000000*$N$5)*(IF(N25&lt;($N$4*6/10),($N$4*6/10)*(MIN(O25,($N$4*6/10))^3-N25^3)-(MIN(O25,($N$4*6/10))^4-N25^4)/4,0)+IF(O25&gt;($N$4*6/10),($N$4*6/10)^2*(1.5*(O25^2-MAX(N25,($N$4*6/10))^2)-($N$4*6/10)*(O25-MAX(N25,($N$4*6/10)))),0))*1000,0)</f>
        <v>0</v>
      </c>
      <c r="AT25" s="120">
        <f>IF(AND(V25="OK",ISNUMBER($N$5),$N$5&gt;0,ISNUMBER($N$3),$N$3&gt;0),R25/(6*$N$3*1000000*$N$5)*(IF(N25&lt;($N$4*7/10),($N$4*7/10)*(MIN(O25,($N$4*7/10))^3-N25^3)-(MIN(O25,($N$4*7/10))^4-N25^4)/4,0)+IF(O25&gt;($N$4*7/10),($N$4*7/10)^2*(1.5*(O25^2-MAX(N25,($N$4*7/10))^2)-($N$4*7/10)*(O25-MAX(N25,($N$4*7/10)))),0))*1000,0)</f>
        <v>0</v>
      </c>
      <c r="AU25" s="120">
        <f>IF(AND(V25="OK",ISNUMBER($N$5),$N$5&gt;0,ISNUMBER($N$3),$N$3&gt;0),R25/(6*$N$3*1000000*$N$5)*(IF(N25&lt;($N$4*8/10),($N$4*8/10)*(MIN(O25,($N$4*8/10))^3-N25^3)-(MIN(O25,($N$4*8/10))^4-N25^4)/4,0)+IF(O25&gt;($N$4*8/10),($N$4*8/10)^2*(1.5*(O25^2-MAX(N25,($N$4*8/10))^2)-($N$4*8/10)*(O25-MAX(N25,($N$4*8/10)))),0))*1000,0)</f>
        <v>0</v>
      </c>
      <c r="AV25" s="120">
        <f>IF(AND(V25="OK",ISNUMBER($N$5),$N$5&gt;0,ISNUMBER($N$3),$N$3&gt;0),R25/(6*$N$3*1000000*$N$5)*(IF(N25&lt;($N$4*9/10),($N$4*9/10)*(MIN(O25,($N$4*9/10))^3-N25^3)-(MIN(O25,($N$4*9/10))^4-N25^4)/4,0)+IF(O25&gt;($N$4*9/10),($N$4*9/10)^2*(1.5*(O25^2-MAX(N25,($N$4*9/10))^2)-($N$4*9/10)*(O25-MAX(N25,($N$4*9/10)))),0))*1000,0)</f>
        <v>0</v>
      </c>
      <c r="AW25" s="120">
        <f>IF(AND(V25="OK",ISNUMBER($N$5),$N$5&gt;0,ISNUMBER($N$3),$N$3&gt;0),R25/(6*$N$3*1000000*$N$5)*(IF(N25&lt;($N$4*10/10),($N$4*10/10)*(MIN(O25,($N$4*10/10))^3-N25^3)-(MIN(O25,($N$4*10/10))^4-N25^4)/4,0)+IF(O25&gt;($N$4*10/10),($N$4*10/10)^2*(1.5*(O25^2-MAX(N25,($N$4*10/10))^2)-($N$4*10/10)*(O25-MAX(N25,($N$4*10/10)))),0))*1000,0)</f>
        <v>0</v>
      </c>
    </row>
    <row r="26" spans="1:49">
      <c r="A26" s="124"/>
      <c r="B26" s="125"/>
      <c r="C26" s="125"/>
      <c r="D26" s="125"/>
      <c r="E26" s="125"/>
      <c r="F26" s="126" t="str">
        <f>IF(J26="OK",D26*E26,"")</f>
        <v/>
      </c>
      <c r="G26" s="126" t="str">
        <f>IF(J26="OK",F26*(C26-B26),"")</f>
        <v/>
      </c>
      <c r="H26" s="126" t="str">
        <f>IF(J26="OK",G26*(C26+B26)/2,"")</f>
        <v/>
      </c>
      <c r="I26" s="126" t="str">
        <f>IF(AND(J26="OK",ISNUMBER($B$5),$B$5&gt;0,ISNUMBER($B$3),$B$3&gt;0),F26*(4*$B$4*(C26^3-B26^3)-(C26^4-B26^4))/(24*$B$3*1000000*$B$5)*1000,"")</f>
        <v/>
      </c>
      <c r="J26" s="120" t="str">
        <f>IF(COUNTA(A26:E26)=0,"",IF(AND(COUNT(B26:E26)=4,B26&gt;=0,C26&gt;B26,C26&lt;=$B$4,D26&gt;=0,E26&gt;0),IF(COUNTIFS($B$13:$B$25,"&lt;"&amp;C26,$C$13:$C$25,"&gt;"&amp;B26)&gt;0,"OVERLAP","OK"),"CHECK INPUTS"))</f>
        <v/>
      </c>
      <c r="M26" s="124"/>
      <c r="N26" s="125"/>
      <c r="O26" s="125"/>
      <c r="P26" s="125"/>
      <c r="Q26" s="125"/>
      <c r="R26" s="126" t="str">
        <f>IF(V26="OK",P26*Q26,"")</f>
        <v/>
      </c>
      <c r="S26" s="126" t="str">
        <f>IF(V26="OK",R26*(O26-N26),"")</f>
        <v/>
      </c>
      <c r="T26" s="126" t="str">
        <f>IF(V26="OK",S26*(O26+N26)/2,"")</f>
        <v/>
      </c>
      <c r="U26" s="126" t="str">
        <f>IF(AND(V26="OK",ISNUMBER($N$5),$N$5&gt;0,ISNUMBER($N$3),$N$3&gt;0),R26*(4*$N$4*(O26^3-N26^3)-(O26^4-N26^4))/(24*$N$3*1000000*$N$5)*1000,"")</f>
        <v/>
      </c>
      <c r="V26" s="120" t="str">
        <f>IF(COUNTA(M26:Q26)=0,"",IF(AND(COUNT(N26:Q26)=4,N26&gt;=0,O26&gt;N26,O26&lt;=$N$4,P26&gt;=0,Q26&gt;0),IF(COUNTIFS($N$13:$N$25,"&lt;"&amp;O26,$O$13:$O$25,"&gt;"&amp;N26)&gt;0,"OVERLAP","OK"),"CHECK INPUTS"))</f>
        <v/>
      </c>
      <c r="AA26" s="120">
        <f>IF(AND(J26="OK",ISNUMBER($B$5),$B$5&gt;0,ISNUMBER($B$3),$B$3&gt;0),F26/(6*$B$3*1000000*$B$5)*(IF(B26&lt;($B$4*0/10),($B$4*0/10)*(MIN(C26,($B$4*0/10))^3-B26^3)-(MIN(C26,($B$4*0/10))^4-B26^4)/4,0)+IF(C26&gt;($B$4*0/10),($B$4*0/10)^2*(1.5*(C26^2-MAX(B26,($B$4*0/10))^2)-($B$4*0/10)*(C26-MAX(B26,($B$4*0/10)))),0))*1000,0)</f>
        <v>0</v>
      </c>
      <c r="AB26" s="120">
        <f>IF(AND(J26="OK",ISNUMBER($B$5),$B$5&gt;0,ISNUMBER($B$3),$B$3&gt;0),F26/(6*$B$3*1000000*$B$5)*(IF(B26&lt;($B$4*1/10),($B$4*1/10)*(MIN(C26,($B$4*1/10))^3-B26^3)-(MIN(C26,($B$4*1/10))^4-B26^4)/4,0)+IF(C26&gt;($B$4*1/10),($B$4*1/10)^2*(1.5*(C26^2-MAX(B26,($B$4*1/10))^2)-($B$4*1/10)*(C26-MAX(B26,($B$4*1/10)))),0))*1000,0)</f>
        <v>0</v>
      </c>
      <c r="AC26" s="120">
        <f>IF(AND(J26="OK",ISNUMBER($B$5),$B$5&gt;0,ISNUMBER($B$3),$B$3&gt;0),F26/(6*$B$3*1000000*$B$5)*(IF(B26&lt;($B$4*2/10),($B$4*2/10)*(MIN(C26,($B$4*2/10))^3-B26^3)-(MIN(C26,($B$4*2/10))^4-B26^4)/4,0)+IF(C26&gt;($B$4*2/10),($B$4*2/10)^2*(1.5*(C26^2-MAX(B26,($B$4*2/10))^2)-($B$4*2/10)*(C26-MAX(B26,($B$4*2/10)))),0))*1000,0)</f>
        <v>0</v>
      </c>
      <c r="AD26" s="120">
        <f>IF(AND(J26="OK",ISNUMBER($B$5),$B$5&gt;0,ISNUMBER($B$3),$B$3&gt;0),F26/(6*$B$3*1000000*$B$5)*(IF(B26&lt;($B$4*3/10),($B$4*3/10)*(MIN(C26,($B$4*3/10))^3-B26^3)-(MIN(C26,($B$4*3/10))^4-B26^4)/4,0)+IF(C26&gt;($B$4*3/10),($B$4*3/10)^2*(1.5*(C26^2-MAX(B26,($B$4*3/10))^2)-($B$4*3/10)*(C26-MAX(B26,($B$4*3/10)))),0))*1000,0)</f>
        <v>0</v>
      </c>
      <c r="AE26" s="120">
        <f>IF(AND(J26="OK",ISNUMBER($B$5),$B$5&gt;0,ISNUMBER($B$3),$B$3&gt;0),F26/(6*$B$3*1000000*$B$5)*(IF(B26&lt;($B$4*4/10),($B$4*4/10)*(MIN(C26,($B$4*4/10))^3-B26^3)-(MIN(C26,($B$4*4/10))^4-B26^4)/4,0)+IF(C26&gt;($B$4*4/10),($B$4*4/10)^2*(1.5*(C26^2-MAX(B26,($B$4*4/10))^2)-($B$4*4/10)*(C26-MAX(B26,($B$4*4/10)))),0))*1000,0)</f>
        <v>0</v>
      </c>
      <c r="AF26" s="120">
        <f>IF(AND(J26="OK",ISNUMBER($B$5),$B$5&gt;0,ISNUMBER($B$3),$B$3&gt;0),F26/(6*$B$3*1000000*$B$5)*(IF(B26&lt;($B$4*5/10),($B$4*5/10)*(MIN(C26,($B$4*5/10))^3-B26^3)-(MIN(C26,($B$4*5/10))^4-B26^4)/4,0)+IF(C26&gt;($B$4*5/10),($B$4*5/10)^2*(1.5*(C26^2-MAX(B26,($B$4*5/10))^2)-($B$4*5/10)*(C26-MAX(B26,($B$4*5/10)))),0))*1000,0)</f>
        <v>0</v>
      </c>
      <c r="AG26" s="120">
        <f>IF(AND(J26="OK",ISNUMBER($B$5),$B$5&gt;0,ISNUMBER($B$3),$B$3&gt;0),F26/(6*$B$3*1000000*$B$5)*(IF(B26&lt;($B$4*6/10),($B$4*6/10)*(MIN(C26,($B$4*6/10))^3-B26^3)-(MIN(C26,($B$4*6/10))^4-B26^4)/4,0)+IF(C26&gt;($B$4*6/10),($B$4*6/10)^2*(1.5*(C26^2-MAX(B26,($B$4*6/10))^2)-($B$4*6/10)*(C26-MAX(B26,($B$4*6/10)))),0))*1000,0)</f>
        <v>0</v>
      </c>
      <c r="AH26" s="120">
        <f>IF(AND(J26="OK",ISNUMBER($B$5),$B$5&gt;0,ISNUMBER($B$3),$B$3&gt;0),F26/(6*$B$3*1000000*$B$5)*(IF(B26&lt;($B$4*7/10),($B$4*7/10)*(MIN(C26,($B$4*7/10))^3-B26^3)-(MIN(C26,($B$4*7/10))^4-B26^4)/4,0)+IF(C26&gt;($B$4*7/10),($B$4*7/10)^2*(1.5*(C26^2-MAX(B26,($B$4*7/10))^2)-($B$4*7/10)*(C26-MAX(B26,($B$4*7/10)))),0))*1000,0)</f>
        <v>0</v>
      </c>
      <c r="AI26" s="120">
        <f>IF(AND(J26="OK",ISNUMBER($B$5),$B$5&gt;0,ISNUMBER($B$3),$B$3&gt;0),F26/(6*$B$3*1000000*$B$5)*(IF(B26&lt;($B$4*8/10),($B$4*8/10)*(MIN(C26,($B$4*8/10))^3-B26^3)-(MIN(C26,($B$4*8/10))^4-B26^4)/4,0)+IF(C26&gt;($B$4*8/10),($B$4*8/10)^2*(1.5*(C26^2-MAX(B26,($B$4*8/10))^2)-($B$4*8/10)*(C26-MAX(B26,($B$4*8/10)))),0))*1000,0)</f>
        <v>0</v>
      </c>
      <c r="AJ26" s="120">
        <f>IF(AND(J26="OK",ISNUMBER($B$5),$B$5&gt;0,ISNUMBER($B$3),$B$3&gt;0),F26/(6*$B$3*1000000*$B$5)*(IF(B26&lt;($B$4*9/10),($B$4*9/10)*(MIN(C26,($B$4*9/10))^3-B26^3)-(MIN(C26,($B$4*9/10))^4-B26^4)/4,0)+IF(C26&gt;($B$4*9/10),($B$4*9/10)^2*(1.5*(C26^2-MAX(B26,($B$4*9/10))^2)-($B$4*9/10)*(C26-MAX(B26,($B$4*9/10)))),0))*1000,0)</f>
        <v>0</v>
      </c>
      <c r="AK26" s="120">
        <f>IF(AND(J26="OK",ISNUMBER($B$5),$B$5&gt;0,ISNUMBER($B$3),$B$3&gt;0),F26/(6*$B$3*1000000*$B$5)*(IF(B26&lt;($B$4*10/10),($B$4*10/10)*(MIN(C26,($B$4*10/10))^3-B26^3)-(MIN(C26,($B$4*10/10))^4-B26^4)/4,0)+IF(C26&gt;($B$4*10/10),($B$4*10/10)^2*(1.5*(C26^2-MAX(B26,($B$4*10/10))^2)-($B$4*10/10)*(C26-MAX(B26,($B$4*10/10)))),0))*1000,0)</f>
        <v>0</v>
      </c>
      <c r="AM26" s="120">
        <f>IF(AND(V26="OK",ISNUMBER($N$5),$N$5&gt;0,ISNUMBER($N$3),$N$3&gt;0),R26/(6*$N$3*1000000*$N$5)*(IF(N26&lt;($N$4*0/10),($N$4*0/10)*(MIN(O26,($N$4*0/10))^3-N26^3)-(MIN(O26,($N$4*0/10))^4-N26^4)/4,0)+IF(O26&gt;($N$4*0/10),($N$4*0/10)^2*(1.5*(O26^2-MAX(N26,($N$4*0/10))^2)-($N$4*0/10)*(O26-MAX(N26,($N$4*0/10)))),0))*1000,0)</f>
        <v>0</v>
      </c>
      <c r="AN26" s="120">
        <f>IF(AND(V26="OK",ISNUMBER($N$5),$N$5&gt;0,ISNUMBER($N$3),$N$3&gt;0),R26/(6*$N$3*1000000*$N$5)*(IF(N26&lt;($N$4*1/10),($N$4*1/10)*(MIN(O26,($N$4*1/10))^3-N26^3)-(MIN(O26,($N$4*1/10))^4-N26^4)/4,0)+IF(O26&gt;($N$4*1/10),($N$4*1/10)^2*(1.5*(O26^2-MAX(N26,($N$4*1/10))^2)-($N$4*1/10)*(O26-MAX(N26,($N$4*1/10)))),0))*1000,0)</f>
        <v>0</v>
      </c>
      <c r="AO26" s="120">
        <f>IF(AND(V26="OK",ISNUMBER($N$5),$N$5&gt;0,ISNUMBER($N$3),$N$3&gt;0),R26/(6*$N$3*1000000*$N$5)*(IF(N26&lt;($N$4*2/10),($N$4*2/10)*(MIN(O26,($N$4*2/10))^3-N26^3)-(MIN(O26,($N$4*2/10))^4-N26^4)/4,0)+IF(O26&gt;($N$4*2/10),($N$4*2/10)^2*(1.5*(O26^2-MAX(N26,($N$4*2/10))^2)-($N$4*2/10)*(O26-MAX(N26,($N$4*2/10)))),0))*1000,0)</f>
        <v>0</v>
      </c>
      <c r="AP26" s="120">
        <f>IF(AND(V26="OK",ISNUMBER($N$5),$N$5&gt;0,ISNUMBER($N$3),$N$3&gt;0),R26/(6*$N$3*1000000*$N$5)*(IF(N26&lt;($N$4*3/10),($N$4*3/10)*(MIN(O26,($N$4*3/10))^3-N26^3)-(MIN(O26,($N$4*3/10))^4-N26^4)/4,0)+IF(O26&gt;($N$4*3/10),($N$4*3/10)^2*(1.5*(O26^2-MAX(N26,($N$4*3/10))^2)-($N$4*3/10)*(O26-MAX(N26,($N$4*3/10)))),0))*1000,0)</f>
        <v>0</v>
      </c>
      <c r="AQ26" s="120">
        <f>IF(AND(V26="OK",ISNUMBER($N$5),$N$5&gt;0,ISNUMBER($N$3),$N$3&gt;0),R26/(6*$N$3*1000000*$N$5)*(IF(N26&lt;($N$4*4/10),($N$4*4/10)*(MIN(O26,($N$4*4/10))^3-N26^3)-(MIN(O26,($N$4*4/10))^4-N26^4)/4,0)+IF(O26&gt;($N$4*4/10),($N$4*4/10)^2*(1.5*(O26^2-MAX(N26,($N$4*4/10))^2)-($N$4*4/10)*(O26-MAX(N26,($N$4*4/10)))),0))*1000,0)</f>
        <v>0</v>
      </c>
      <c r="AR26" s="120">
        <f>IF(AND(V26="OK",ISNUMBER($N$5),$N$5&gt;0,ISNUMBER($N$3),$N$3&gt;0),R26/(6*$N$3*1000000*$N$5)*(IF(N26&lt;($N$4*5/10),($N$4*5/10)*(MIN(O26,($N$4*5/10))^3-N26^3)-(MIN(O26,($N$4*5/10))^4-N26^4)/4,0)+IF(O26&gt;($N$4*5/10),($N$4*5/10)^2*(1.5*(O26^2-MAX(N26,($N$4*5/10))^2)-($N$4*5/10)*(O26-MAX(N26,($N$4*5/10)))),0))*1000,0)</f>
        <v>0</v>
      </c>
      <c r="AS26" s="120">
        <f>IF(AND(V26="OK",ISNUMBER($N$5),$N$5&gt;0,ISNUMBER($N$3),$N$3&gt;0),R26/(6*$N$3*1000000*$N$5)*(IF(N26&lt;($N$4*6/10),($N$4*6/10)*(MIN(O26,($N$4*6/10))^3-N26^3)-(MIN(O26,($N$4*6/10))^4-N26^4)/4,0)+IF(O26&gt;($N$4*6/10),($N$4*6/10)^2*(1.5*(O26^2-MAX(N26,($N$4*6/10))^2)-($N$4*6/10)*(O26-MAX(N26,($N$4*6/10)))),0))*1000,0)</f>
        <v>0</v>
      </c>
      <c r="AT26" s="120">
        <f>IF(AND(V26="OK",ISNUMBER($N$5),$N$5&gt;0,ISNUMBER($N$3),$N$3&gt;0),R26/(6*$N$3*1000000*$N$5)*(IF(N26&lt;($N$4*7/10),($N$4*7/10)*(MIN(O26,($N$4*7/10))^3-N26^3)-(MIN(O26,($N$4*7/10))^4-N26^4)/4,0)+IF(O26&gt;($N$4*7/10),($N$4*7/10)^2*(1.5*(O26^2-MAX(N26,($N$4*7/10))^2)-($N$4*7/10)*(O26-MAX(N26,($N$4*7/10)))),0))*1000,0)</f>
        <v>0</v>
      </c>
      <c r="AU26" s="120">
        <f>IF(AND(V26="OK",ISNUMBER($N$5),$N$5&gt;0,ISNUMBER($N$3),$N$3&gt;0),R26/(6*$N$3*1000000*$N$5)*(IF(N26&lt;($N$4*8/10),($N$4*8/10)*(MIN(O26,($N$4*8/10))^3-N26^3)-(MIN(O26,($N$4*8/10))^4-N26^4)/4,0)+IF(O26&gt;($N$4*8/10),($N$4*8/10)^2*(1.5*(O26^2-MAX(N26,($N$4*8/10))^2)-($N$4*8/10)*(O26-MAX(N26,($N$4*8/10)))),0))*1000,0)</f>
        <v>0</v>
      </c>
      <c r="AV26" s="120">
        <f>IF(AND(V26="OK",ISNUMBER($N$5),$N$5&gt;0,ISNUMBER($N$3),$N$3&gt;0),R26/(6*$N$3*1000000*$N$5)*(IF(N26&lt;($N$4*9/10),($N$4*9/10)*(MIN(O26,($N$4*9/10))^3-N26^3)-(MIN(O26,($N$4*9/10))^4-N26^4)/4,0)+IF(O26&gt;($N$4*9/10),($N$4*9/10)^2*(1.5*(O26^2-MAX(N26,($N$4*9/10))^2)-($N$4*9/10)*(O26-MAX(N26,($N$4*9/10)))),0))*1000,0)</f>
        <v>0</v>
      </c>
      <c r="AW26" s="120">
        <f>IF(AND(V26="OK",ISNUMBER($N$5),$N$5&gt;0,ISNUMBER($N$3),$N$3&gt;0),R26/(6*$N$3*1000000*$N$5)*(IF(N26&lt;($N$4*10/10),($N$4*10/10)*(MIN(O26,($N$4*10/10))^3-N26^3)-(MIN(O26,($N$4*10/10))^4-N26^4)/4,0)+IF(O26&gt;($N$4*10/10),($N$4*10/10)^2*(1.5*(O26^2-MAX(N26,($N$4*10/10))^2)-($N$4*10/10)*(O26-MAX(N26,($N$4*10/10)))),0))*1000,0)</f>
        <v>0</v>
      </c>
    </row>
    <row r="27" spans="1:49">
      <c r="A27" s="124"/>
      <c r="B27" s="125"/>
      <c r="C27" s="125"/>
      <c r="D27" s="125"/>
      <c r="E27" s="125"/>
      <c r="F27" s="126" t="str">
        <f>IF(J27="OK",D27*E27,"")</f>
        <v/>
      </c>
      <c r="G27" s="126" t="str">
        <f>IF(J27="OK",F27*(C27-B27),"")</f>
        <v/>
      </c>
      <c r="H27" s="126" t="str">
        <f>IF(J27="OK",G27*(C27+B27)/2,"")</f>
        <v/>
      </c>
      <c r="I27" s="126" t="str">
        <f>IF(AND(J27="OK",ISNUMBER($B$5),$B$5&gt;0,ISNUMBER($B$3),$B$3&gt;0),F27*(4*$B$4*(C27^3-B27^3)-(C27^4-B27^4))/(24*$B$3*1000000*$B$5)*1000,"")</f>
        <v/>
      </c>
      <c r="J27" s="120" t="str">
        <f>IF(COUNTA(A27:E27)=0,"",IF(AND(COUNT(B27:E27)=4,B27&gt;=0,C27&gt;B27,C27&lt;=$B$4,D27&gt;=0,E27&gt;0),IF(COUNTIFS($B$13:$B$26,"&lt;"&amp;C27,$C$13:$C$26,"&gt;"&amp;B27)&gt;0,"OVERLAP","OK"),"CHECK INPUTS"))</f>
        <v/>
      </c>
      <c r="M27" s="124"/>
      <c r="N27" s="125"/>
      <c r="O27" s="125"/>
      <c r="P27" s="125"/>
      <c r="Q27" s="125"/>
      <c r="R27" s="126" t="str">
        <f>IF(V27="OK",P27*Q27,"")</f>
        <v/>
      </c>
      <c r="S27" s="126" t="str">
        <f>IF(V27="OK",R27*(O27-N27),"")</f>
        <v/>
      </c>
      <c r="T27" s="126" t="str">
        <f>IF(V27="OK",S27*(O27+N27)/2,"")</f>
        <v/>
      </c>
      <c r="U27" s="126" t="str">
        <f>IF(AND(V27="OK",ISNUMBER($N$5),$N$5&gt;0,ISNUMBER($N$3),$N$3&gt;0),R27*(4*$N$4*(O27^3-N27^3)-(O27^4-N27^4))/(24*$N$3*1000000*$N$5)*1000,"")</f>
        <v/>
      </c>
      <c r="V27" s="120" t="str">
        <f>IF(COUNTA(M27:Q27)=0,"",IF(AND(COUNT(N27:Q27)=4,N27&gt;=0,O27&gt;N27,O27&lt;=$N$4,P27&gt;=0,Q27&gt;0),IF(COUNTIFS($N$13:$N$26,"&lt;"&amp;O27,$O$13:$O$26,"&gt;"&amp;N27)&gt;0,"OVERLAP","OK"),"CHECK INPUTS"))</f>
        <v/>
      </c>
      <c r="AA27" s="120">
        <f>IF(AND(J27="OK",ISNUMBER($B$5),$B$5&gt;0,ISNUMBER($B$3),$B$3&gt;0),F27/(6*$B$3*1000000*$B$5)*(IF(B27&lt;($B$4*0/10),($B$4*0/10)*(MIN(C27,($B$4*0/10))^3-B27^3)-(MIN(C27,($B$4*0/10))^4-B27^4)/4,0)+IF(C27&gt;($B$4*0/10),($B$4*0/10)^2*(1.5*(C27^2-MAX(B27,($B$4*0/10))^2)-($B$4*0/10)*(C27-MAX(B27,($B$4*0/10)))),0))*1000,0)</f>
        <v>0</v>
      </c>
      <c r="AB27" s="120">
        <f>IF(AND(J27="OK",ISNUMBER($B$5),$B$5&gt;0,ISNUMBER($B$3),$B$3&gt;0),F27/(6*$B$3*1000000*$B$5)*(IF(B27&lt;($B$4*1/10),($B$4*1/10)*(MIN(C27,($B$4*1/10))^3-B27^3)-(MIN(C27,($B$4*1/10))^4-B27^4)/4,0)+IF(C27&gt;($B$4*1/10),($B$4*1/10)^2*(1.5*(C27^2-MAX(B27,($B$4*1/10))^2)-($B$4*1/10)*(C27-MAX(B27,($B$4*1/10)))),0))*1000,0)</f>
        <v>0</v>
      </c>
      <c r="AC27" s="120">
        <f>IF(AND(J27="OK",ISNUMBER($B$5),$B$5&gt;0,ISNUMBER($B$3),$B$3&gt;0),F27/(6*$B$3*1000000*$B$5)*(IF(B27&lt;($B$4*2/10),($B$4*2/10)*(MIN(C27,($B$4*2/10))^3-B27^3)-(MIN(C27,($B$4*2/10))^4-B27^4)/4,0)+IF(C27&gt;($B$4*2/10),($B$4*2/10)^2*(1.5*(C27^2-MAX(B27,($B$4*2/10))^2)-($B$4*2/10)*(C27-MAX(B27,($B$4*2/10)))),0))*1000,0)</f>
        <v>0</v>
      </c>
      <c r="AD27" s="120">
        <f>IF(AND(J27="OK",ISNUMBER($B$5),$B$5&gt;0,ISNUMBER($B$3),$B$3&gt;0),F27/(6*$B$3*1000000*$B$5)*(IF(B27&lt;($B$4*3/10),($B$4*3/10)*(MIN(C27,($B$4*3/10))^3-B27^3)-(MIN(C27,($B$4*3/10))^4-B27^4)/4,0)+IF(C27&gt;($B$4*3/10),($B$4*3/10)^2*(1.5*(C27^2-MAX(B27,($B$4*3/10))^2)-($B$4*3/10)*(C27-MAX(B27,($B$4*3/10)))),0))*1000,0)</f>
        <v>0</v>
      </c>
      <c r="AE27" s="120">
        <f>IF(AND(J27="OK",ISNUMBER($B$5),$B$5&gt;0,ISNUMBER($B$3),$B$3&gt;0),F27/(6*$B$3*1000000*$B$5)*(IF(B27&lt;($B$4*4/10),($B$4*4/10)*(MIN(C27,($B$4*4/10))^3-B27^3)-(MIN(C27,($B$4*4/10))^4-B27^4)/4,0)+IF(C27&gt;($B$4*4/10),($B$4*4/10)^2*(1.5*(C27^2-MAX(B27,($B$4*4/10))^2)-($B$4*4/10)*(C27-MAX(B27,($B$4*4/10)))),0))*1000,0)</f>
        <v>0</v>
      </c>
      <c r="AF27" s="120">
        <f>IF(AND(J27="OK",ISNUMBER($B$5),$B$5&gt;0,ISNUMBER($B$3),$B$3&gt;0),F27/(6*$B$3*1000000*$B$5)*(IF(B27&lt;($B$4*5/10),($B$4*5/10)*(MIN(C27,($B$4*5/10))^3-B27^3)-(MIN(C27,($B$4*5/10))^4-B27^4)/4,0)+IF(C27&gt;($B$4*5/10),($B$4*5/10)^2*(1.5*(C27^2-MAX(B27,($B$4*5/10))^2)-($B$4*5/10)*(C27-MAX(B27,($B$4*5/10)))),0))*1000,0)</f>
        <v>0</v>
      </c>
      <c r="AG27" s="120">
        <f>IF(AND(J27="OK",ISNUMBER($B$5),$B$5&gt;0,ISNUMBER($B$3),$B$3&gt;0),F27/(6*$B$3*1000000*$B$5)*(IF(B27&lt;($B$4*6/10),($B$4*6/10)*(MIN(C27,($B$4*6/10))^3-B27^3)-(MIN(C27,($B$4*6/10))^4-B27^4)/4,0)+IF(C27&gt;($B$4*6/10),($B$4*6/10)^2*(1.5*(C27^2-MAX(B27,($B$4*6/10))^2)-($B$4*6/10)*(C27-MAX(B27,($B$4*6/10)))),0))*1000,0)</f>
        <v>0</v>
      </c>
      <c r="AH27" s="120">
        <f>IF(AND(J27="OK",ISNUMBER($B$5),$B$5&gt;0,ISNUMBER($B$3),$B$3&gt;0),F27/(6*$B$3*1000000*$B$5)*(IF(B27&lt;($B$4*7/10),($B$4*7/10)*(MIN(C27,($B$4*7/10))^3-B27^3)-(MIN(C27,($B$4*7/10))^4-B27^4)/4,0)+IF(C27&gt;($B$4*7/10),($B$4*7/10)^2*(1.5*(C27^2-MAX(B27,($B$4*7/10))^2)-($B$4*7/10)*(C27-MAX(B27,($B$4*7/10)))),0))*1000,0)</f>
        <v>0</v>
      </c>
      <c r="AI27" s="120">
        <f>IF(AND(J27="OK",ISNUMBER($B$5),$B$5&gt;0,ISNUMBER($B$3),$B$3&gt;0),F27/(6*$B$3*1000000*$B$5)*(IF(B27&lt;($B$4*8/10),($B$4*8/10)*(MIN(C27,($B$4*8/10))^3-B27^3)-(MIN(C27,($B$4*8/10))^4-B27^4)/4,0)+IF(C27&gt;($B$4*8/10),($B$4*8/10)^2*(1.5*(C27^2-MAX(B27,($B$4*8/10))^2)-($B$4*8/10)*(C27-MAX(B27,($B$4*8/10)))),0))*1000,0)</f>
        <v>0</v>
      </c>
      <c r="AJ27" s="120">
        <f>IF(AND(J27="OK",ISNUMBER($B$5),$B$5&gt;0,ISNUMBER($B$3),$B$3&gt;0),F27/(6*$B$3*1000000*$B$5)*(IF(B27&lt;($B$4*9/10),($B$4*9/10)*(MIN(C27,($B$4*9/10))^3-B27^3)-(MIN(C27,($B$4*9/10))^4-B27^4)/4,0)+IF(C27&gt;($B$4*9/10),($B$4*9/10)^2*(1.5*(C27^2-MAX(B27,($B$4*9/10))^2)-($B$4*9/10)*(C27-MAX(B27,($B$4*9/10)))),0))*1000,0)</f>
        <v>0</v>
      </c>
      <c r="AK27" s="120">
        <f>IF(AND(J27="OK",ISNUMBER($B$5),$B$5&gt;0,ISNUMBER($B$3),$B$3&gt;0),F27/(6*$B$3*1000000*$B$5)*(IF(B27&lt;($B$4*10/10),($B$4*10/10)*(MIN(C27,($B$4*10/10))^3-B27^3)-(MIN(C27,($B$4*10/10))^4-B27^4)/4,0)+IF(C27&gt;($B$4*10/10),($B$4*10/10)^2*(1.5*(C27^2-MAX(B27,($B$4*10/10))^2)-($B$4*10/10)*(C27-MAX(B27,($B$4*10/10)))),0))*1000,0)</f>
        <v>0</v>
      </c>
      <c r="AM27" s="120">
        <f>IF(AND(V27="OK",ISNUMBER($N$5),$N$5&gt;0,ISNUMBER($N$3),$N$3&gt;0),R27/(6*$N$3*1000000*$N$5)*(IF(N27&lt;($N$4*0/10),($N$4*0/10)*(MIN(O27,($N$4*0/10))^3-N27^3)-(MIN(O27,($N$4*0/10))^4-N27^4)/4,0)+IF(O27&gt;($N$4*0/10),($N$4*0/10)^2*(1.5*(O27^2-MAX(N27,($N$4*0/10))^2)-($N$4*0/10)*(O27-MAX(N27,($N$4*0/10)))),0))*1000,0)</f>
        <v>0</v>
      </c>
      <c r="AN27" s="120">
        <f>IF(AND(V27="OK",ISNUMBER($N$5),$N$5&gt;0,ISNUMBER($N$3),$N$3&gt;0),R27/(6*$N$3*1000000*$N$5)*(IF(N27&lt;($N$4*1/10),($N$4*1/10)*(MIN(O27,($N$4*1/10))^3-N27^3)-(MIN(O27,($N$4*1/10))^4-N27^4)/4,0)+IF(O27&gt;($N$4*1/10),($N$4*1/10)^2*(1.5*(O27^2-MAX(N27,($N$4*1/10))^2)-($N$4*1/10)*(O27-MAX(N27,($N$4*1/10)))),0))*1000,0)</f>
        <v>0</v>
      </c>
      <c r="AO27" s="120">
        <f>IF(AND(V27="OK",ISNUMBER($N$5),$N$5&gt;0,ISNUMBER($N$3),$N$3&gt;0),R27/(6*$N$3*1000000*$N$5)*(IF(N27&lt;($N$4*2/10),($N$4*2/10)*(MIN(O27,($N$4*2/10))^3-N27^3)-(MIN(O27,($N$4*2/10))^4-N27^4)/4,0)+IF(O27&gt;($N$4*2/10),($N$4*2/10)^2*(1.5*(O27^2-MAX(N27,($N$4*2/10))^2)-($N$4*2/10)*(O27-MAX(N27,($N$4*2/10)))),0))*1000,0)</f>
        <v>0</v>
      </c>
      <c r="AP27" s="120">
        <f>IF(AND(V27="OK",ISNUMBER($N$5),$N$5&gt;0,ISNUMBER($N$3),$N$3&gt;0),R27/(6*$N$3*1000000*$N$5)*(IF(N27&lt;($N$4*3/10),($N$4*3/10)*(MIN(O27,($N$4*3/10))^3-N27^3)-(MIN(O27,($N$4*3/10))^4-N27^4)/4,0)+IF(O27&gt;($N$4*3/10),($N$4*3/10)^2*(1.5*(O27^2-MAX(N27,($N$4*3/10))^2)-($N$4*3/10)*(O27-MAX(N27,($N$4*3/10)))),0))*1000,0)</f>
        <v>0</v>
      </c>
      <c r="AQ27" s="120">
        <f>IF(AND(V27="OK",ISNUMBER($N$5),$N$5&gt;0,ISNUMBER($N$3),$N$3&gt;0),R27/(6*$N$3*1000000*$N$5)*(IF(N27&lt;($N$4*4/10),($N$4*4/10)*(MIN(O27,($N$4*4/10))^3-N27^3)-(MIN(O27,($N$4*4/10))^4-N27^4)/4,0)+IF(O27&gt;($N$4*4/10),($N$4*4/10)^2*(1.5*(O27^2-MAX(N27,($N$4*4/10))^2)-($N$4*4/10)*(O27-MAX(N27,($N$4*4/10)))),0))*1000,0)</f>
        <v>0</v>
      </c>
      <c r="AR27" s="120">
        <f>IF(AND(V27="OK",ISNUMBER($N$5),$N$5&gt;0,ISNUMBER($N$3),$N$3&gt;0),R27/(6*$N$3*1000000*$N$5)*(IF(N27&lt;($N$4*5/10),($N$4*5/10)*(MIN(O27,($N$4*5/10))^3-N27^3)-(MIN(O27,($N$4*5/10))^4-N27^4)/4,0)+IF(O27&gt;($N$4*5/10),($N$4*5/10)^2*(1.5*(O27^2-MAX(N27,($N$4*5/10))^2)-($N$4*5/10)*(O27-MAX(N27,($N$4*5/10)))),0))*1000,0)</f>
        <v>0</v>
      </c>
      <c r="AS27" s="120">
        <f>IF(AND(V27="OK",ISNUMBER($N$5),$N$5&gt;0,ISNUMBER($N$3),$N$3&gt;0),R27/(6*$N$3*1000000*$N$5)*(IF(N27&lt;($N$4*6/10),($N$4*6/10)*(MIN(O27,($N$4*6/10))^3-N27^3)-(MIN(O27,($N$4*6/10))^4-N27^4)/4,0)+IF(O27&gt;($N$4*6/10),($N$4*6/10)^2*(1.5*(O27^2-MAX(N27,($N$4*6/10))^2)-($N$4*6/10)*(O27-MAX(N27,($N$4*6/10)))),0))*1000,0)</f>
        <v>0</v>
      </c>
      <c r="AT27" s="120">
        <f>IF(AND(V27="OK",ISNUMBER($N$5),$N$5&gt;0,ISNUMBER($N$3),$N$3&gt;0),R27/(6*$N$3*1000000*$N$5)*(IF(N27&lt;($N$4*7/10),($N$4*7/10)*(MIN(O27,($N$4*7/10))^3-N27^3)-(MIN(O27,($N$4*7/10))^4-N27^4)/4,0)+IF(O27&gt;($N$4*7/10),($N$4*7/10)^2*(1.5*(O27^2-MAX(N27,($N$4*7/10))^2)-($N$4*7/10)*(O27-MAX(N27,($N$4*7/10)))),0))*1000,0)</f>
        <v>0</v>
      </c>
      <c r="AU27" s="120">
        <f>IF(AND(V27="OK",ISNUMBER($N$5),$N$5&gt;0,ISNUMBER($N$3),$N$3&gt;0),R27/(6*$N$3*1000000*$N$5)*(IF(N27&lt;($N$4*8/10),($N$4*8/10)*(MIN(O27,($N$4*8/10))^3-N27^3)-(MIN(O27,($N$4*8/10))^4-N27^4)/4,0)+IF(O27&gt;($N$4*8/10),($N$4*8/10)^2*(1.5*(O27^2-MAX(N27,($N$4*8/10))^2)-($N$4*8/10)*(O27-MAX(N27,($N$4*8/10)))),0))*1000,0)</f>
        <v>0</v>
      </c>
      <c r="AV27" s="120">
        <f>IF(AND(V27="OK",ISNUMBER($N$5),$N$5&gt;0,ISNUMBER($N$3),$N$3&gt;0),R27/(6*$N$3*1000000*$N$5)*(IF(N27&lt;($N$4*9/10),($N$4*9/10)*(MIN(O27,($N$4*9/10))^3-N27^3)-(MIN(O27,($N$4*9/10))^4-N27^4)/4,0)+IF(O27&gt;($N$4*9/10),($N$4*9/10)^2*(1.5*(O27^2-MAX(N27,($N$4*9/10))^2)-($N$4*9/10)*(O27-MAX(N27,($N$4*9/10)))),0))*1000,0)</f>
        <v>0</v>
      </c>
      <c r="AW27" s="120">
        <f>IF(AND(V27="OK",ISNUMBER($N$5),$N$5&gt;0,ISNUMBER($N$3),$N$3&gt;0),R27/(6*$N$3*1000000*$N$5)*(IF(N27&lt;($N$4*10/10),($N$4*10/10)*(MIN(O27,($N$4*10/10))^3-N27^3)-(MIN(O27,($N$4*10/10))^4-N27^4)/4,0)+IF(O27&gt;($N$4*10/10),($N$4*10/10)^2*(1.5*(O27^2-MAX(N27,($N$4*10/10))^2)-($N$4*10/10)*(O27-MAX(N27,($N$4*10/10)))),0))*1000,0)</f>
        <v>0</v>
      </c>
    </row>
    <row r="28" spans="1:49">
      <c r="A28" s="124"/>
      <c r="B28" s="125"/>
      <c r="C28" s="125"/>
      <c r="D28" s="125"/>
      <c r="E28" s="125"/>
      <c r="F28" s="126" t="str">
        <f>IF(J28="OK",D28*E28,"")</f>
        <v/>
      </c>
      <c r="G28" s="126" t="str">
        <f>IF(J28="OK",F28*(C28-B28),"")</f>
        <v/>
      </c>
      <c r="H28" s="126" t="str">
        <f>IF(J28="OK",G28*(C28+B28)/2,"")</f>
        <v/>
      </c>
      <c r="I28" s="126" t="str">
        <f>IF(AND(J28="OK",ISNUMBER($B$5),$B$5&gt;0,ISNUMBER($B$3),$B$3&gt;0),F28*(4*$B$4*(C28^3-B28^3)-(C28^4-B28^4))/(24*$B$3*1000000*$B$5)*1000,"")</f>
        <v/>
      </c>
      <c r="J28" s="120" t="str">
        <f>IF(COUNTA(A28:E28)=0,"",IF(AND(COUNT(B28:E28)=4,B28&gt;=0,C28&gt;B28,C28&lt;=$B$4,D28&gt;=0,E28&gt;0),IF(COUNTIFS($B$13:$B$27,"&lt;"&amp;C28,$C$13:$C$27,"&gt;"&amp;B28)&gt;0,"OVERLAP","OK"),"CHECK INPUTS"))</f>
        <v/>
      </c>
      <c r="M28" s="124"/>
      <c r="N28" s="125"/>
      <c r="O28" s="125"/>
      <c r="P28" s="125"/>
      <c r="Q28" s="125"/>
      <c r="R28" s="126" t="str">
        <f>IF(V28="OK",P28*Q28,"")</f>
        <v/>
      </c>
      <c r="S28" s="126" t="str">
        <f>IF(V28="OK",R28*(O28-N28),"")</f>
        <v/>
      </c>
      <c r="T28" s="126" t="str">
        <f>IF(V28="OK",S28*(O28+N28)/2,"")</f>
        <v/>
      </c>
      <c r="U28" s="126" t="str">
        <f>IF(AND(V28="OK",ISNUMBER($N$5),$N$5&gt;0,ISNUMBER($N$3),$N$3&gt;0),R28*(4*$N$4*(O28^3-N28^3)-(O28^4-N28^4))/(24*$N$3*1000000*$N$5)*1000,"")</f>
        <v/>
      </c>
      <c r="V28" s="120" t="str">
        <f>IF(COUNTA(M28:Q28)=0,"",IF(AND(COUNT(N28:Q28)=4,N28&gt;=0,O28&gt;N28,O28&lt;=$N$4,P28&gt;=0,Q28&gt;0),IF(COUNTIFS($N$13:$N$27,"&lt;"&amp;O28,$O$13:$O$27,"&gt;"&amp;N28)&gt;0,"OVERLAP","OK"),"CHECK INPUTS"))</f>
        <v/>
      </c>
      <c r="AA28" s="120">
        <f>IF(AND(J28="OK",ISNUMBER($B$5),$B$5&gt;0,ISNUMBER($B$3),$B$3&gt;0),F28/(6*$B$3*1000000*$B$5)*(IF(B28&lt;($B$4*0/10),($B$4*0/10)*(MIN(C28,($B$4*0/10))^3-B28^3)-(MIN(C28,($B$4*0/10))^4-B28^4)/4,0)+IF(C28&gt;($B$4*0/10),($B$4*0/10)^2*(1.5*(C28^2-MAX(B28,($B$4*0/10))^2)-($B$4*0/10)*(C28-MAX(B28,($B$4*0/10)))),0))*1000,0)</f>
        <v>0</v>
      </c>
      <c r="AB28" s="120">
        <f>IF(AND(J28="OK",ISNUMBER($B$5),$B$5&gt;0,ISNUMBER($B$3),$B$3&gt;0),F28/(6*$B$3*1000000*$B$5)*(IF(B28&lt;($B$4*1/10),($B$4*1/10)*(MIN(C28,($B$4*1/10))^3-B28^3)-(MIN(C28,($B$4*1/10))^4-B28^4)/4,0)+IF(C28&gt;($B$4*1/10),($B$4*1/10)^2*(1.5*(C28^2-MAX(B28,($B$4*1/10))^2)-($B$4*1/10)*(C28-MAX(B28,($B$4*1/10)))),0))*1000,0)</f>
        <v>0</v>
      </c>
      <c r="AC28" s="120">
        <f>IF(AND(J28="OK",ISNUMBER($B$5),$B$5&gt;0,ISNUMBER($B$3),$B$3&gt;0),F28/(6*$B$3*1000000*$B$5)*(IF(B28&lt;($B$4*2/10),($B$4*2/10)*(MIN(C28,($B$4*2/10))^3-B28^3)-(MIN(C28,($B$4*2/10))^4-B28^4)/4,0)+IF(C28&gt;($B$4*2/10),($B$4*2/10)^2*(1.5*(C28^2-MAX(B28,($B$4*2/10))^2)-($B$4*2/10)*(C28-MAX(B28,($B$4*2/10)))),0))*1000,0)</f>
        <v>0</v>
      </c>
      <c r="AD28" s="120">
        <f>IF(AND(J28="OK",ISNUMBER($B$5),$B$5&gt;0,ISNUMBER($B$3),$B$3&gt;0),F28/(6*$B$3*1000000*$B$5)*(IF(B28&lt;($B$4*3/10),($B$4*3/10)*(MIN(C28,($B$4*3/10))^3-B28^3)-(MIN(C28,($B$4*3/10))^4-B28^4)/4,0)+IF(C28&gt;($B$4*3/10),($B$4*3/10)^2*(1.5*(C28^2-MAX(B28,($B$4*3/10))^2)-($B$4*3/10)*(C28-MAX(B28,($B$4*3/10)))),0))*1000,0)</f>
        <v>0</v>
      </c>
      <c r="AE28" s="120">
        <f>IF(AND(J28="OK",ISNUMBER($B$5),$B$5&gt;0,ISNUMBER($B$3),$B$3&gt;0),F28/(6*$B$3*1000000*$B$5)*(IF(B28&lt;($B$4*4/10),($B$4*4/10)*(MIN(C28,($B$4*4/10))^3-B28^3)-(MIN(C28,($B$4*4/10))^4-B28^4)/4,0)+IF(C28&gt;($B$4*4/10),($B$4*4/10)^2*(1.5*(C28^2-MAX(B28,($B$4*4/10))^2)-($B$4*4/10)*(C28-MAX(B28,($B$4*4/10)))),0))*1000,0)</f>
        <v>0</v>
      </c>
      <c r="AF28" s="120">
        <f>IF(AND(J28="OK",ISNUMBER($B$5),$B$5&gt;0,ISNUMBER($B$3),$B$3&gt;0),F28/(6*$B$3*1000000*$B$5)*(IF(B28&lt;($B$4*5/10),($B$4*5/10)*(MIN(C28,($B$4*5/10))^3-B28^3)-(MIN(C28,($B$4*5/10))^4-B28^4)/4,0)+IF(C28&gt;($B$4*5/10),($B$4*5/10)^2*(1.5*(C28^2-MAX(B28,($B$4*5/10))^2)-($B$4*5/10)*(C28-MAX(B28,($B$4*5/10)))),0))*1000,0)</f>
        <v>0</v>
      </c>
      <c r="AG28" s="120">
        <f>IF(AND(J28="OK",ISNUMBER($B$5),$B$5&gt;0,ISNUMBER($B$3),$B$3&gt;0),F28/(6*$B$3*1000000*$B$5)*(IF(B28&lt;($B$4*6/10),($B$4*6/10)*(MIN(C28,($B$4*6/10))^3-B28^3)-(MIN(C28,($B$4*6/10))^4-B28^4)/4,0)+IF(C28&gt;($B$4*6/10),($B$4*6/10)^2*(1.5*(C28^2-MAX(B28,($B$4*6/10))^2)-($B$4*6/10)*(C28-MAX(B28,($B$4*6/10)))),0))*1000,0)</f>
        <v>0</v>
      </c>
      <c r="AH28" s="120">
        <f>IF(AND(J28="OK",ISNUMBER($B$5),$B$5&gt;0,ISNUMBER($B$3),$B$3&gt;0),F28/(6*$B$3*1000000*$B$5)*(IF(B28&lt;($B$4*7/10),($B$4*7/10)*(MIN(C28,($B$4*7/10))^3-B28^3)-(MIN(C28,($B$4*7/10))^4-B28^4)/4,0)+IF(C28&gt;($B$4*7/10),($B$4*7/10)^2*(1.5*(C28^2-MAX(B28,($B$4*7/10))^2)-($B$4*7/10)*(C28-MAX(B28,($B$4*7/10)))),0))*1000,0)</f>
        <v>0</v>
      </c>
      <c r="AI28" s="120">
        <f>IF(AND(J28="OK",ISNUMBER($B$5),$B$5&gt;0,ISNUMBER($B$3),$B$3&gt;0),F28/(6*$B$3*1000000*$B$5)*(IF(B28&lt;($B$4*8/10),($B$4*8/10)*(MIN(C28,($B$4*8/10))^3-B28^3)-(MIN(C28,($B$4*8/10))^4-B28^4)/4,0)+IF(C28&gt;($B$4*8/10),($B$4*8/10)^2*(1.5*(C28^2-MAX(B28,($B$4*8/10))^2)-($B$4*8/10)*(C28-MAX(B28,($B$4*8/10)))),0))*1000,0)</f>
        <v>0</v>
      </c>
      <c r="AJ28" s="120">
        <f>IF(AND(J28="OK",ISNUMBER($B$5),$B$5&gt;0,ISNUMBER($B$3),$B$3&gt;0),F28/(6*$B$3*1000000*$B$5)*(IF(B28&lt;($B$4*9/10),($B$4*9/10)*(MIN(C28,($B$4*9/10))^3-B28^3)-(MIN(C28,($B$4*9/10))^4-B28^4)/4,0)+IF(C28&gt;($B$4*9/10),($B$4*9/10)^2*(1.5*(C28^2-MAX(B28,($B$4*9/10))^2)-($B$4*9/10)*(C28-MAX(B28,($B$4*9/10)))),0))*1000,0)</f>
        <v>0</v>
      </c>
      <c r="AK28" s="120">
        <f>IF(AND(J28="OK",ISNUMBER($B$5),$B$5&gt;0,ISNUMBER($B$3),$B$3&gt;0),F28/(6*$B$3*1000000*$B$5)*(IF(B28&lt;($B$4*10/10),($B$4*10/10)*(MIN(C28,($B$4*10/10))^3-B28^3)-(MIN(C28,($B$4*10/10))^4-B28^4)/4,0)+IF(C28&gt;($B$4*10/10),($B$4*10/10)^2*(1.5*(C28^2-MAX(B28,($B$4*10/10))^2)-($B$4*10/10)*(C28-MAX(B28,($B$4*10/10)))),0))*1000,0)</f>
        <v>0</v>
      </c>
      <c r="AM28" s="120">
        <f>IF(AND(V28="OK",ISNUMBER($N$5),$N$5&gt;0,ISNUMBER($N$3),$N$3&gt;0),R28/(6*$N$3*1000000*$N$5)*(IF(N28&lt;($N$4*0/10),($N$4*0/10)*(MIN(O28,($N$4*0/10))^3-N28^3)-(MIN(O28,($N$4*0/10))^4-N28^4)/4,0)+IF(O28&gt;($N$4*0/10),($N$4*0/10)^2*(1.5*(O28^2-MAX(N28,($N$4*0/10))^2)-($N$4*0/10)*(O28-MAX(N28,($N$4*0/10)))),0))*1000,0)</f>
        <v>0</v>
      </c>
      <c r="AN28" s="120">
        <f>IF(AND(V28="OK",ISNUMBER($N$5),$N$5&gt;0,ISNUMBER($N$3),$N$3&gt;0),R28/(6*$N$3*1000000*$N$5)*(IF(N28&lt;($N$4*1/10),($N$4*1/10)*(MIN(O28,($N$4*1/10))^3-N28^3)-(MIN(O28,($N$4*1/10))^4-N28^4)/4,0)+IF(O28&gt;($N$4*1/10),($N$4*1/10)^2*(1.5*(O28^2-MAX(N28,($N$4*1/10))^2)-($N$4*1/10)*(O28-MAX(N28,($N$4*1/10)))),0))*1000,0)</f>
        <v>0</v>
      </c>
      <c r="AO28" s="120">
        <f>IF(AND(V28="OK",ISNUMBER($N$5),$N$5&gt;0,ISNUMBER($N$3),$N$3&gt;0),R28/(6*$N$3*1000000*$N$5)*(IF(N28&lt;($N$4*2/10),($N$4*2/10)*(MIN(O28,($N$4*2/10))^3-N28^3)-(MIN(O28,($N$4*2/10))^4-N28^4)/4,0)+IF(O28&gt;($N$4*2/10),($N$4*2/10)^2*(1.5*(O28^2-MAX(N28,($N$4*2/10))^2)-($N$4*2/10)*(O28-MAX(N28,($N$4*2/10)))),0))*1000,0)</f>
        <v>0</v>
      </c>
      <c r="AP28" s="120">
        <f>IF(AND(V28="OK",ISNUMBER($N$5),$N$5&gt;0,ISNUMBER($N$3),$N$3&gt;0),R28/(6*$N$3*1000000*$N$5)*(IF(N28&lt;($N$4*3/10),($N$4*3/10)*(MIN(O28,($N$4*3/10))^3-N28^3)-(MIN(O28,($N$4*3/10))^4-N28^4)/4,0)+IF(O28&gt;($N$4*3/10),($N$4*3/10)^2*(1.5*(O28^2-MAX(N28,($N$4*3/10))^2)-($N$4*3/10)*(O28-MAX(N28,($N$4*3/10)))),0))*1000,0)</f>
        <v>0</v>
      </c>
      <c r="AQ28" s="120">
        <f>IF(AND(V28="OK",ISNUMBER($N$5),$N$5&gt;0,ISNUMBER($N$3),$N$3&gt;0),R28/(6*$N$3*1000000*$N$5)*(IF(N28&lt;($N$4*4/10),($N$4*4/10)*(MIN(O28,($N$4*4/10))^3-N28^3)-(MIN(O28,($N$4*4/10))^4-N28^4)/4,0)+IF(O28&gt;($N$4*4/10),($N$4*4/10)^2*(1.5*(O28^2-MAX(N28,($N$4*4/10))^2)-($N$4*4/10)*(O28-MAX(N28,($N$4*4/10)))),0))*1000,0)</f>
        <v>0</v>
      </c>
      <c r="AR28" s="120">
        <f>IF(AND(V28="OK",ISNUMBER($N$5),$N$5&gt;0,ISNUMBER($N$3),$N$3&gt;0),R28/(6*$N$3*1000000*$N$5)*(IF(N28&lt;($N$4*5/10),($N$4*5/10)*(MIN(O28,($N$4*5/10))^3-N28^3)-(MIN(O28,($N$4*5/10))^4-N28^4)/4,0)+IF(O28&gt;($N$4*5/10),($N$4*5/10)^2*(1.5*(O28^2-MAX(N28,($N$4*5/10))^2)-($N$4*5/10)*(O28-MAX(N28,($N$4*5/10)))),0))*1000,0)</f>
        <v>0</v>
      </c>
      <c r="AS28" s="120">
        <f>IF(AND(V28="OK",ISNUMBER($N$5),$N$5&gt;0,ISNUMBER($N$3),$N$3&gt;0),R28/(6*$N$3*1000000*$N$5)*(IF(N28&lt;($N$4*6/10),($N$4*6/10)*(MIN(O28,($N$4*6/10))^3-N28^3)-(MIN(O28,($N$4*6/10))^4-N28^4)/4,0)+IF(O28&gt;($N$4*6/10),($N$4*6/10)^2*(1.5*(O28^2-MAX(N28,($N$4*6/10))^2)-($N$4*6/10)*(O28-MAX(N28,($N$4*6/10)))),0))*1000,0)</f>
        <v>0</v>
      </c>
      <c r="AT28" s="120">
        <f>IF(AND(V28="OK",ISNUMBER($N$5),$N$5&gt;0,ISNUMBER($N$3),$N$3&gt;0),R28/(6*$N$3*1000000*$N$5)*(IF(N28&lt;($N$4*7/10),($N$4*7/10)*(MIN(O28,($N$4*7/10))^3-N28^3)-(MIN(O28,($N$4*7/10))^4-N28^4)/4,0)+IF(O28&gt;($N$4*7/10),($N$4*7/10)^2*(1.5*(O28^2-MAX(N28,($N$4*7/10))^2)-($N$4*7/10)*(O28-MAX(N28,($N$4*7/10)))),0))*1000,0)</f>
        <v>0</v>
      </c>
      <c r="AU28" s="120">
        <f>IF(AND(V28="OK",ISNUMBER($N$5),$N$5&gt;0,ISNUMBER($N$3),$N$3&gt;0),R28/(6*$N$3*1000000*$N$5)*(IF(N28&lt;($N$4*8/10),($N$4*8/10)*(MIN(O28,($N$4*8/10))^3-N28^3)-(MIN(O28,($N$4*8/10))^4-N28^4)/4,0)+IF(O28&gt;($N$4*8/10),($N$4*8/10)^2*(1.5*(O28^2-MAX(N28,($N$4*8/10))^2)-($N$4*8/10)*(O28-MAX(N28,($N$4*8/10)))),0))*1000,0)</f>
        <v>0</v>
      </c>
      <c r="AV28" s="120">
        <f>IF(AND(V28="OK",ISNUMBER($N$5),$N$5&gt;0,ISNUMBER($N$3),$N$3&gt;0),R28/(6*$N$3*1000000*$N$5)*(IF(N28&lt;($N$4*9/10),($N$4*9/10)*(MIN(O28,($N$4*9/10))^3-N28^3)-(MIN(O28,($N$4*9/10))^4-N28^4)/4,0)+IF(O28&gt;($N$4*9/10),($N$4*9/10)^2*(1.5*(O28^2-MAX(N28,($N$4*9/10))^2)-($N$4*9/10)*(O28-MAX(N28,($N$4*9/10)))),0))*1000,0)</f>
        <v>0</v>
      </c>
      <c r="AW28" s="120">
        <f>IF(AND(V28="OK",ISNUMBER($N$5),$N$5&gt;0,ISNUMBER($N$3),$N$3&gt;0),R28/(6*$N$3*1000000*$N$5)*(IF(N28&lt;($N$4*10/10),($N$4*10/10)*(MIN(O28,($N$4*10/10))^3-N28^3)-(MIN(O28,($N$4*10/10))^4-N28^4)/4,0)+IF(O28&gt;($N$4*10/10),($N$4*10/10)^2*(1.5*(O28^2-MAX(N28,($N$4*10/10))^2)-($N$4*10/10)*(O28-MAX(N28,($N$4*10/10)))),0))*1000,0)</f>
        <v>0</v>
      </c>
    </row>
    <row r="29" spans="1:49">
      <c r="A29" s="124"/>
      <c r="B29" s="125"/>
      <c r="C29" s="125"/>
      <c r="D29" s="125"/>
      <c r="E29" s="125"/>
      <c r="F29" s="126" t="str">
        <f>IF(J29="OK",D29*E29,"")</f>
        <v/>
      </c>
      <c r="G29" s="126" t="str">
        <f>IF(J29="OK",F29*(C29-B29),"")</f>
        <v/>
      </c>
      <c r="H29" s="126" t="str">
        <f>IF(J29="OK",G29*(C29+B29)/2,"")</f>
        <v/>
      </c>
      <c r="I29" s="126" t="str">
        <f>IF(AND(J29="OK",ISNUMBER($B$5),$B$5&gt;0,ISNUMBER($B$3),$B$3&gt;0),F29*(4*$B$4*(C29^3-B29^3)-(C29^4-B29^4))/(24*$B$3*1000000*$B$5)*1000,"")</f>
        <v/>
      </c>
      <c r="J29" s="120" t="str">
        <f>IF(COUNTA(A29:E29)=0,"",IF(AND(COUNT(B29:E29)=4,B29&gt;=0,C29&gt;B29,C29&lt;=$B$4,D29&gt;=0,E29&gt;0),IF(COUNTIFS($B$13:$B$28,"&lt;"&amp;C29,$C$13:$C$28,"&gt;"&amp;B29)&gt;0,"OVERLAP","OK"),"CHECK INPUTS"))</f>
        <v/>
      </c>
      <c r="M29" s="124"/>
      <c r="N29" s="125"/>
      <c r="O29" s="125"/>
      <c r="P29" s="125"/>
      <c r="Q29" s="125"/>
      <c r="R29" s="126" t="str">
        <f>IF(V29="OK",P29*Q29,"")</f>
        <v/>
      </c>
      <c r="S29" s="126" t="str">
        <f>IF(V29="OK",R29*(O29-N29),"")</f>
        <v/>
      </c>
      <c r="T29" s="126" t="str">
        <f>IF(V29="OK",S29*(O29+N29)/2,"")</f>
        <v/>
      </c>
      <c r="U29" s="126" t="str">
        <f>IF(AND(V29="OK",ISNUMBER($N$5),$N$5&gt;0,ISNUMBER($N$3),$N$3&gt;0),R29*(4*$N$4*(O29^3-N29^3)-(O29^4-N29^4))/(24*$N$3*1000000*$N$5)*1000,"")</f>
        <v/>
      </c>
      <c r="V29" s="120" t="str">
        <f>IF(COUNTA(M29:Q29)=0,"",IF(AND(COUNT(N29:Q29)=4,N29&gt;=0,O29&gt;N29,O29&lt;=$N$4,P29&gt;=0,Q29&gt;0),IF(COUNTIFS($N$13:$N$28,"&lt;"&amp;O29,$O$13:$O$28,"&gt;"&amp;N29)&gt;0,"OVERLAP","OK"),"CHECK INPUTS"))</f>
        <v/>
      </c>
      <c r="AA29" s="120">
        <f>IF(AND(J29="OK",ISNUMBER($B$5),$B$5&gt;0,ISNUMBER($B$3),$B$3&gt;0),F29/(6*$B$3*1000000*$B$5)*(IF(B29&lt;($B$4*0/10),($B$4*0/10)*(MIN(C29,($B$4*0/10))^3-B29^3)-(MIN(C29,($B$4*0/10))^4-B29^4)/4,0)+IF(C29&gt;($B$4*0/10),($B$4*0/10)^2*(1.5*(C29^2-MAX(B29,($B$4*0/10))^2)-($B$4*0/10)*(C29-MAX(B29,($B$4*0/10)))),0))*1000,0)</f>
        <v>0</v>
      </c>
      <c r="AB29" s="120">
        <f>IF(AND(J29="OK",ISNUMBER($B$5),$B$5&gt;0,ISNUMBER($B$3),$B$3&gt;0),F29/(6*$B$3*1000000*$B$5)*(IF(B29&lt;($B$4*1/10),($B$4*1/10)*(MIN(C29,($B$4*1/10))^3-B29^3)-(MIN(C29,($B$4*1/10))^4-B29^4)/4,0)+IF(C29&gt;($B$4*1/10),($B$4*1/10)^2*(1.5*(C29^2-MAX(B29,($B$4*1/10))^2)-($B$4*1/10)*(C29-MAX(B29,($B$4*1/10)))),0))*1000,0)</f>
        <v>0</v>
      </c>
      <c r="AC29" s="120">
        <f>IF(AND(J29="OK",ISNUMBER($B$5),$B$5&gt;0,ISNUMBER($B$3),$B$3&gt;0),F29/(6*$B$3*1000000*$B$5)*(IF(B29&lt;($B$4*2/10),($B$4*2/10)*(MIN(C29,($B$4*2/10))^3-B29^3)-(MIN(C29,($B$4*2/10))^4-B29^4)/4,0)+IF(C29&gt;($B$4*2/10),($B$4*2/10)^2*(1.5*(C29^2-MAX(B29,($B$4*2/10))^2)-($B$4*2/10)*(C29-MAX(B29,($B$4*2/10)))),0))*1000,0)</f>
        <v>0</v>
      </c>
      <c r="AD29" s="120">
        <f>IF(AND(J29="OK",ISNUMBER($B$5),$B$5&gt;0,ISNUMBER($B$3),$B$3&gt;0),F29/(6*$B$3*1000000*$B$5)*(IF(B29&lt;($B$4*3/10),($B$4*3/10)*(MIN(C29,($B$4*3/10))^3-B29^3)-(MIN(C29,($B$4*3/10))^4-B29^4)/4,0)+IF(C29&gt;($B$4*3/10),($B$4*3/10)^2*(1.5*(C29^2-MAX(B29,($B$4*3/10))^2)-($B$4*3/10)*(C29-MAX(B29,($B$4*3/10)))),0))*1000,0)</f>
        <v>0</v>
      </c>
      <c r="AE29" s="120">
        <f>IF(AND(J29="OK",ISNUMBER($B$5),$B$5&gt;0,ISNUMBER($B$3),$B$3&gt;0),F29/(6*$B$3*1000000*$B$5)*(IF(B29&lt;($B$4*4/10),($B$4*4/10)*(MIN(C29,($B$4*4/10))^3-B29^3)-(MIN(C29,($B$4*4/10))^4-B29^4)/4,0)+IF(C29&gt;($B$4*4/10),($B$4*4/10)^2*(1.5*(C29^2-MAX(B29,($B$4*4/10))^2)-($B$4*4/10)*(C29-MAX(B29,($B$4*4/10)))),0))*1000,0)</f>
        <v>0</v>
      </c>
      <c r="AF29" s="120">
        <f>IF(AND(J29="OK",ISNUMBER($B$5),$B$5&gt;0,ISNUMBER($B$3),$B$3&gt;0),F29/(6*$B$3*1000000*$B$5)*(IF(B29&lt;($B$4*5/10),($B$4*5/10)*(MIN(C29,($B$4*5/10))^3-B29^3)-(MIN(C29,($B$4*5/10))^4-B29^4)/4,0)+IF(C29&gt;($B$4*5/10),($B$4*5/10)^2*(1.5*(C29^2-MAX(B29,($B$4*5/10))^2)-($B$4*5/10)*(C29-MAX(B29,($B$4*5/10)))),0))*1000,0)</f>
        <v>0</v>
      </c>
      <c r="AG29" s="120">
        <f>IF(AND(J29="OK",ISNUMBER($B$5),$B$5&gt;0,ISNUMBER($B$3),$B$3&gt;0),F29/(6*$B$3*1000000*$B$5)*(IF(B29&lt;($B$4*6/10),($B$4*6/10)*(MIN(C29,($B$4*6/10))^3-B29^3)-(MIN(C29,($B$4*6/10))^4-B29^4)/4,0)+IF(C29&gt;($B$4*6/10),($B$4*6/10)^2*(1.5*(C29^2-MAX(B29,($B$4*6/10))^2)-($B$4*6/10)*(C29-MAX(B29,($B$4*6/10)))),0))*1000,0)</f>
        <v>0</v>
      </c>
      <c r="AH29" s="120">
        <f>IF(AND(J29="OK",ISNUMBER($B$5),$B$5&gt;0,ISNUMBER($B$3),$B$3&gt;0),F29/(6*$B$3*1000000*$B$5)*(IF(B29&lt;($B$4*7/10),($B$4*7/10)*(MIN(C29,($B$4*7/10))^3-B29^3)-(MIN(C29,($B$4*7/10))^4-B29^4)/4,0)+IF(C29&gt;($B$4*7/10),($B$4*7/10)^2*(1.5*(C29^2-MAX(B29,($B$4*7/10))^2)-($B$4*7/10)*(C29-MAX(B29,($B$4*7/10)))),0))*1000,0)</f>
        <v>0</v>
      </c>
      <c r="AI29" s="120">
        <f>IF(AND(J29="OK",ISNUMBER($B$5),$B$5&gt;0,ISNUMBER($B$3),$B$3&gt;0),F29/(6*$B$3*1000000*$B$5)*(IF(B29&lt;($B$4*8/10),($B$4*8/10)*(MIN(C29,($B$4*8/10))^3-B29^3)-(MIN(C29,($B$4*8/10))^4-B29^4)/4,0)+IF(C29&gt;($B$4*8/10),($B$4*8/10)^2*(1.5*(C29^2-MAX(B29,($B$4*8/10))^2)-($B$4*8/10)*(C29-MAX(B29,($B$4*8/10)))),0))*1000,0)</f>
        <v>0</v>
      </c>
      <c r="AJ29" s="120">
        <f>IF(AND(J29="OK",ISNUMBER($B$5),$B$5&gt;0,ISNUMBER($B$3),$B$3&gt;0),F29/(6*$B$3*1000000*$B$5)*(IF(B29&lt;($B$4*9/10),($B$4*9/10)*(MIN(C29,($B$4*9/10))^3-B29^3)-(MIN(C29,($B$4*9/10))^4-B29^4)/4,0)+IF(C29&gt;($B$4*9/10),($B$4*9/10)^2*(1.5*(C29^2-MAX(B29,($B$4*9/10))^2)-($B$4*9/10)*(C29-MAX(B29,($B$4*9/10)))),0))*1000,0)</f>
        <v>0</v>
      </c>
      <c r="AK29" s="120">
        <f>IF(AND(J29="OK",ISNUMBER($B$5),$B$5&gt;0,ISNUMBER($B$3),$B$3&gt;0),F29/(6*$B$3*1000000*$B$5)*(IF(B29&lt;($B$4*10/10),($B$4*10/10)*(MIN(C29,($B$4*10/10))^3-B29^3)-(MIN(C29,($B$4*10/10))^4-B29^4)/4,0)+IF(C29&gt;($B$4*10/10),($B$4*10/10)^2*(1.5*(C29^2-MAX(B29,($B$4*10/10))^2)-($B$4*10/10)*(C29-MAX(B29,($B$4*10/10)))),0))*1000,0)</f>
        <v>0</v>
      </c>
      <c r="AM29" s="120">
        <f>IF(AND(V29="OK",ISNUMBER($N$5),$N$5&gt;0,ISNUMBER($N$3),$N$3&gt;0),R29/(6*$N$3*1000000*$N$5)*(IF(N29&lt;($N$4*0/10),($N$4*0/10)*(MIN(O29,($N$4*0/10))^3-N29^3)-(MIN(O29,($N$4*0/10))^4-N29^4)/4,0)+IF(O29&gt;($N$4*0/10),($N$4*0/10)^2*(1.5*(O29^2-MAX(N29,($N$4*0/10))^2)-($N$4*0/10)*(O29-MAX(N29,($N$4*0/10)))),0))*1000,0)</f>
        <v>0</v>
      </c>
      <c r="AN29" s="120">
        <f>IF(AND(V29="OK",ISNUMBER($N$5),$N$5&gt;0,ISNUMBER($N$3),$N$3&gt;0),R29/(6*$N$3*1000000*$N$5)*(IF(N29&lt;($N$4*1/10),($N$4*1/10)*(MIN(O29,($N$4*1/10))^3-N29^3)-(MIN(O29,($N$4*1/10))^4-N29^4)/4,0)+IF(O29&gt;($N$4*1/10),($N$4*1/10)^2*(1.5*(O29^2-MAX(N29,($N$4*1/10))^2)-($N$4*1/10)*(O29-MAX(N29,($N$4*1/10)))),0))*1000,0)</f>
        <v>0</v>
      </c>
      <c r="AO29" s="120">
        <f>IF(AND(V29="OK",ISNUMBER($N$5),$N$5&gt;0,ISNUMBER($N$3),$N$3&gt;0),R29/(6*$N$3*1000000*$N$5)*(IF(N29&lt;($N$4*2/10),($N$4*2/10)*(MIN(O29,($N$4*2/10))^3-N29^3)-(MIN(O29,($N$4*2/10))^4-N29^4)/4,0)+IF(O29&gt;($N$4*2/10),($N$4*2/10)^2*(1.5*(O29^2-MAX(N29,($N$4*2/10))^2)-($N$4*2/10)*(O29-MAX(N29,($N$4*2/10)))),0))*1000,0)</f>
        <v>0</v>
      </c>
      <c r="AP29" s="120">
        <f>IF(AND(V29="OK",ISNUMBER($N$5),$N$5&gt;0,ISNUMBER($N$3),$N$3&gt;0),R29/(6*$N$3*1000000*$N$5)*(IF(N29&lt;($N$4*3/10),($N$4*3/10)*(MIN(O29,($N$4*3/10))^3-N29^3)-(MIN(O29,($N$4*3/10))^4-N29^4)/4,0)+IF(O29&gt;($N$4*3/10),($N$4*3/10)^2*(1.5*(O29^2-MAX(N29,($N$4*3/10))^2)-($N$4*3/10)*(O29-MAX(N29,($N$4*3/10)))),0))*1000,0)</f>
        <v>0</v>
      </c>
      <c r="AQ29" s="120">
        <f>IF(AND(V29="OK",ISNUMBER($N$5),$N$5&gt;0,ISNUMBER($N$3),$N$3&gt;0),R29/(6*$N$3*1000000*$N$5)*(IF(N29&lt;($N$4*4/10),($N$4*4/10)*(MIN(O29,($N$4*4/10))^3-N29^3)-(MIN(O29,($N$4*4/10))^4-N29^4)/4,0)+IF(O29&gt;($N$4*4/10),($N$4*4/10)^2*(1.5*(O29^2-MAX(N29,($N$4*4/10))^2)-($N$4*4/10)*(O29-MAX(N29,($N$4*4/10)))),0))*1000,0)</f>
        <v>0</v>
      </c>
      <c r="AR29" s="120">
        <f>IF(AND(V29="OK",ISNUMBER($N$5),$N$5&gt;0,ISNUMBER($N$3),$N$3&gt;0),R29/(6*$N$3*1000000*$N$5)*(IF(N29&lt;($N$4*5/10),($N$4*5/10)*(MIN(O29,($N$4*5/10))^3-N29^3)-(MIN(O29,($N$4*5/10))^4-N29^4)/4,0)+IF(O29&gt;($N$4*5/10),($N$4*5/10)^2*(1.5*(O29^2-MAX(N29,($N$4*5/10))^2)-($N$4*5/10)*(O29-MAX(N29,($N$4*5/10)))),0))*1000,0)</f>
        <v>0</v>
      </c>
      <c r="AS29" s="120">
        <f>IF(AND(V29="OK",ISNUMBER($N$5),$N$5&gt;0,ISNUMBER($N$3),$N$3&gt;0),R29/(6*$N$3*1000000*$N$5)*(IF(N29&lt;($N$4*6/10),($N$4*6/10)*(MIN(O29,($N$4*6/10))^3-N29^3)-(MIN(O29,($N$4*6/10))^4-N29^4)/4,0)+IF(O29&gt;($N$4*6/10),($N$4*6/10)^2*(1.5*(O29^2-MAX(N29,($N$4*6/10))^2)-($N$4*6/10)*(O29-MAX(N29,($N$4*6/10)))),0))*1000,0)</f>
        <v>0</v>
      </c>
      <c r="AT29" s="120">
        <f>IF(AND(V29="OK",ISNUMBER($N$5),$N$5&gt;0,ISNUMBER($N$3),$N$3&gt;0),R29/(6*$N$3*1000000*$N$5)*(IF(N29&lt;($N$4*7/10),($N$4*7/10)*(MIN(O29,($N$4*7/10))^3-N29^3)-(MIN(O29,($N$4*7/10))^4-N29^4)/4,0)+IF(O29&gt;($N$4*7/10),($N$4*7/10)^2*(1.5*(O29^2-MAX(N29,($N$4*7/10))^2)-($N$4*7/10)*(O29-MAX(N29,($N$4*7/10)))),0))*1000,0)</f>
        <v>0</v>
      </c>
      <c r="AU29" s="120">
        <f>IF(AND(V29="OK",ISNUMBER($N$5),$N$5&gt;0,ISNUMBER($N$3),$N$3&gt;0),R29/(6*$N$3*1000000*$N$5)*(IF(N29&lt;($N$4*8/10),($N$4*8/10)*(MIN(O29,($N$4*8/10))^3-N29^3)-(MIN(O29,($N$4*8/10))^4-N29^4)/4,0)+IF(O29&gt;($N$4*8/10),($N$4*8/10)^2*(1.5*(O29^2-MAX(N29,($N$4*8/10))^2)-($N$4*8/10)*(O29-MAX(N29,($N$4*8/10)))),0))*1000,0)</f>
        <v>0</v>
      </c>
      <c r="AV29" s="120">
        <f>IF(AND(V29="OK",ISNUMBER($N$5),$N$5&gt;0,ISNUMBER($N$3),$N$3&gt;0),R29/(6*$N$3*1000000*$N$5)*(IF(N29&lt;($N$4*9/10),($N$4*9/10)*(MIN(O29,($N$4*9/10))^3-N29^3)-(MIN(O29,($N$4*9/10))^4-N29^4)/4,0)+IF(O29&gt;($N$4*9/10),($N$4*9/10)^2*(1.5*(O29^2-MAX(N29,($N$4*9/10))^2)-($N$4*9/10)*(O29-MAX(N29,($N$4*9/10)))),0))*1000,0)</f>
        <v>0</v>
      </c>
      <c r="AW29" s="120">
        <f>IF(AND(V29="OK",ISNUMBER($N$5),$N$5&gt;0,ISNUMBER($N$3),$N$3&gt;0),R29/(6*$N$3*1000000*$N$5)*(IF(N29&lt;($N$4*10/10),($N$4*10/10)*(MIN(O29,($N$4*10/10))^3-N29^3)-(MIN(O29,($N$4*10/10))^4-N29^4)/4,0)+IF(O29&gt;($N$4*10/10),($N$4*10/10)^2*(1.5*(O29^2-MAX(N29,($N$4*10/10))^2)-($N$4*10/10)*(O29-MAX(N29,($N$4*10/10)))),0))*1000,0)</f>
        <v>0</v>
      </c>
    </row>
    <row r="30" spans="1:49">
      <c r="A30" s="124"/>
      <c r="B30" s="125"/>
      <c r="C30" s="125"/>
      <c r="D30" s="125"/>
      <c r="E30" s="125"/>
      <c r="F30" s="126" t="str">
        <f>IF(J30="OK",D30*E30,"")</f>
        <v/>
      </c>
      <c r="G30" s="126" t="str">
        <f>IF(J30="OK",F30*(C30-B30),"")</f>
        <v/>
      </c>
      <c r="H30" s="126" t="str">
        <f>IF(J30="OK",G30*(C30+B30)/2,"")</f>
        <v/>
      </c>
      <c r="I30" s="126" t="str">
        <f>IF(AND(J30="OK",ISNUMBER($B$5),$B$5&gt;0,ISNUMBER($B$3),$B$3&gt;0),F30*(4*$B$4*(C30^3-B30^3)-(C30^4-B30^4))/(24*$B$3*1000000*$B$5)*1000,"")</f>
        <v/>
      </c>
      <c r="J30" s="120" t="str">
        <f>IF(COUNTA(A30:E30)=0,"",IF(AND(COUNT(B30:E30)=4,B30&gt;=0,C30&gt;B30,C30&lt;=$B$4,D30&gt;=0,E30&gt;0),IF(COUNTIFS($B$13:$B$29,"&lt;"&amp;C30,$C$13:$C$29,"&gt;"&amp;B30)&gt;0,"OVERLAP","OK"),"CHECK INPUTS"))</f>
        <v/>
      </c>
      <c r="M30" s="124"/>
      <c r="N30" s="125"/>
      <c r="O30" s="125"/>
      <c r="P30" s="125"/>
      <c r="Q30" s="125"/>
      <c r="R30" s="126" t="str">
        <f>IF(V30="OK",P30*Q30,"")</f>
        <v/>
      </c>
      <c r="S30" s="126" t="str">
        <f>IF(V30="OK",R30*(O30-N30),"")</f>
        <v/>
      </c>
      <c r="T30" s="126" t="str">
        <f>IF(V30="OK",S30*(O30+N30)/2,"")</f>
        <v/>
      </c>
      <c r="U30" s="126" t="str">
        <f>IF(AND(V30="OK",ISNUMBER($N$5),$N$5&gt;0,ISNUMBER($N$3),$N$3&gt;0),R30*(4*$N$4*(O30^3-N30^3)-(O30^4-N30^4))/(24*$N$3*1000000*$N$5)*1000,"")</f>
        <v/>
      </c>
      <c r="V30" s="120" t="str">
        <f>IF(COUNTA(M30:Q30)=0,"",IF(AND(COUNT(N30:Q30)=4,N30&gt;=0,O30&gt;N30,O30&lt;=$N$4,P30&gt;=0,Q30&gt;0),IF(COUNTIFS($N$13:$N$29,"&lt;"&amp;O30,$O$13:$O$29,"&gt;"&amp;N30)&gt;0,"OVERLAP","OK"),"CHECK INPUTS"))</f>
        <v/>
      </c>
      <c r="AA30" s="120">
        <f>IF(AND(J30="OK",ISNUMBER($B$5),$B$5&gt;0,ISNUMBER($B$3),$B$3&gt;0),F30/(6*$B$3*1000000*$B$5)*(IF(B30&lt;($B$4*0/10),($B$4*0/10)*(MIN(C30,($B$4*0/10))^3-B30^3)-(MIN(C30,($B$4*0/10))^4-B30^4)/4,0)+IF(C30&gt;($B$4*0/10),($B$4*0/10)^2*(1.5*(C30^2-MAX(B30,($B$4*0/10))^2)-($B$4*0/10)*(C30-MAX(B30,($B$4*0/10)))),0))*1000,0)</f>
        <v>0</v>
      </c>
      <c r="AB30" s="120">
        <f>IF(AND(J30="OK",ISNUMBER($B$5),$B$5&gt;0,ISNUMBER($B$3),$B$3&gt;0),F30/(6*$B$3*1000000*$B$5)*(IF(B30&lt;($B$4*1/10),($B$4*1/10)*(MIN(C30,($B$4*1/10))^3-B30^3)-(MIN(C30,($B$4*1/10))^4-B30^4)/4,0)+IF(C30&gt;($B$4*1/10),($B$4*1/10)^2*(1.5*(C30^2-MAX(B30,($B$4*1/10))^2)-($B$4*1/10)*(C30-MAX(B30,($B$4*1/10)))),0))*1000,0)</f>
        <v>0</v>
      </c>
      <c r="AC30" s="120">
        <f>IF(AND(J30="OK",ISNUMBER($B$5),$B$5&gt;0,ISNUMBER($B$3),$B$3&gt;0),F30/(6*$B$3*1000000*$B$5)*(IF(B30&lt;($B$4*2/10),($B$4*2/10)*(MIN(C30,($B$4*2/10))^3-B30^3)-(MIN(C30,($B$4*2/10))^4-B30^4)/4,0)+IF(C30&gt;($B$4*2/10),($B$4*2/10)^2*(1.5*(C30^2-MAX(B30,($B$4*2/10))^2)-($B$4*2/10)*(C30-MAX(B30,($B$4*2/10)))),0))*1000,0)</f>
        <v>0</v>
      </c>
      <c r="AD30" s="120">
        <f>IF(AND(J30="OK",ISNUMBER($B$5),$B$5&gt;0,ISNUMBER($B$3),$B$3&gt;0),F30/(6*$B$3*1000000*$B$5)*(IF(B30&lt;($B$4*3/10),($B$4*3/10)*(MIN(C30,($B$4*3/10))^3-B30^3)-(MIN(C30,($B$4*3/10))^4-B30^4)/4,0)+IF(C30&gt;($B$4*3/10),($B$4*3/10)^2*(1.5*(C30^2-MAX(B30,($B$4*3/10))^2)-($B$4*3/10)*(C30-MAX(B30,($B$4*3/10)))),0))*1000,0)</f>
        <v>0</v>
      </c>
      <c r="AE30" s="120">
        <f>IF(AND(J30="OK",ISNUMBER($B$5),$B$5&gt;0,ISNUMBER($B$3),$B$3&gt;0),F30/(6*$B$3*1000000*$B$5)*(IF(B30&lt;($B$4*4/10),($B$4*4/10)*(MIN(C30,($B$4*4/10))^3-B30^3)-(MIN(C30,($B$4*4/10))^4-B30^4)/4,0)+IF(C30&gt;($B$4*4/10),($B$4*4/10)^2*(1.5*(C30^2-MAX(B30,($B$4*4/10))^2)-($B$4*4/10)*(C30-MAX(B30,($B$4*4/10)))),0))*1000,0)</f>
        <v>0</v>
      </c>
      <c r="AF30" s="120">
        <f>IF(AND(J30="OK",ISNUMBER($B$5),$B$5&gt;0,ISNUMBER($B$3),$B$3&gt;0),F30/(6*$B$3*1000000*$B$5)*(IF(B30&lt;($B$4*5/10),($B$4*5/10)*(MIN(C30,($B$4*5/10))^3-B30^3)-(MIN(C30,($B$4*5/10))^4-B30^4)/4,0)+IF(C30&gt;($B$4*5/10),($B$4*5/10)^2*(1.5*(C30^2-MAX(B30,($B$4*5/10))^2)-($B$4*5/10)*(C30-MAX(B30,($B$4*5/10)))),0))*1000,0)</f>
        <v>0</v>
      </c>
      <c r="AG30" s="120">
        <f>IF(AND(J30="OK",ISNUMBER($B$5),$B$5&gt;0,ISNUMBER($B$3),$B$3&gt;0),F30/(6*$B$3*1000000*$B$5)*(IF(B30&lt;($B$4*6/10),($B$4*6/10)*(MIN(C30,($B$4*6/10))^3-B30^3)-(MIN(C30,($B$4*6/10))^4-B30^4)/4,0)+IF(C30&gt;($B$4*6/10),($B$4*6/10)^2*(1.5*(C30^2-MAX(B30,($B$4*6/10))^2)-($B$4*6/10)*(C30-MAX(B30,($B$4*6/10)))),0))*1000,0)</f>
        <v>0</v>
      </c>
      <c r="AH30" s="120">
        <f>IF(AND(J30="OK",ISNUMBER($B$5),$B$5&gt;0,ISNUMBER($B$3),$B$3&gt;0),F30/(6*$B$3*1000000*$B$5)*(IF(B30&lt;($B$4*7/10),($B$4*7/10)*(MIN(C30,($B$4*7/10))^3-B30^3)-(MIN(C30,($B$4*7/10))^4-B30^4)/4,0)+IF(C30&gt;($B$4*7/10),($B$4*7/10)^2*(1.5*(C30^2-MAX(B30,($B$4*7/10))^2)-($B$4*7/10)*(C30-MAX(B30,($B$4*7/10)))),0))*1000,0)</f>
        <v>0</v>
      </c>
      <c r="AI30" s="120">
        <f>IF(AND(J30="OK",ISNUMBER($B$5),$B$5&gt;0,ISNUMBER($B$3),$B$3&gt;0),F30/(6*$B$3*1000000*$B$5)*(IF(B30&lt;($B$4*8/10),($B$4*8/10)*(MIN(C30,($B$4*8/10))^3-B30^3)-(MIN(C30,($B$4*8/10))^4-B30^4)/4,0)+IF(C30&gt;($B$4*8/10),($B$4*8/10)^2*(1.5*(C30^2-MAX(B30,($B$4*8/10))^2)-($B$4*8/10)*(C30-MAX(B30,($B$4*8/10)))),0))*1000,0)</f>
        <v>0</v>
      </c>
      <c r="AJ30" s="120">
        <f>IF(AND(J30="OK",ISNUMBER($B$5),$B$5&gt;0,ISNUMBER($B$3),$B$3&gt;0),F30/(6*$B$3*1000000*$B$5)*(IF(B30&lt;($B$4*9/10),($B$4*9/10)*(MIN(C30,($B$4*9/10))^3-B30^3)-(MIN(C30,($B$4*9/10))^4-B30^4)/4,0)+IF(C30&gt;($B$4*9/10),($B$4*9/10)^2*(1.5*(C30^2-MAX(B30,($B$4*9/10))^2)-($B$4*9/10)*(C30-MAX(B30,($B$4*9/10)))),0))*1000,0)</f>
        <v>0</v>
      </c>
      <c r="AK30" s="120">
        <f>IF(AND(J30="OK",ISNUMBER($B$5),$B$5&gt;0,ISNUMBER($B$3),$B$3&gt;0),F30/(6*$B$3*1000000*$B$5)*(IF(B30&lt;($B$4*10/10),($B$4*10/10)*(MIN(C30,($B$4*10/10))^3-B30^3)-(MIN(C30,($B$4*10/10))^4-B30^4)/4,0)+IF(C30&gt;($B$4*10/10),($B$4*10/10)^2*(1.5*(C30^2-MAX(B30,($B$4*10/10))^2)-($B$4*10/10)*(C30-MAX(B30,($B$4*10/10)))),0))*1000,0)</f>
        <v>0</v>
      </c>
      <c r="AM30" s="120">
        <f>IF(AND(V30="OK",ISNUMBER($N$5),$N$5&gt;0,ISNUMBER($N$3),$N$3&gt;0),R30/(6*$N$3*1000000*$N$5)*(IF(N30&lt;($N$4*0/10),($N$4*0/10)*(MIN(O30,($N$4*0/10))^3-N30^3)-(MIN(O30,($N$4*0/10))^4-N30^4)/4,0)+IF(O30&gt;($N$4*0/10),($N$4*0/10)^2*(1.5*(O30^2-MAX(N30,($N$4*0/10))^2)-($N$4*0/10)*(O30-MAX(N30,($N$4*0/10)))),0))*1000,0)</f>
        <v>0</v>
      </c>
      <c r="AN30" s="120">
        <f>IF(AND(V30="OK",ISNUMBER($N$5),$N$5&gt;0,ISNUMBER($N$3),$N$3&gt;0),R30/(6*$N$3*1000000*$N$5)*(IF(N30&lt;($N$4*1/10),($N$4*1/10)*(MIN(O30,($N$4*1/10))^3-N30^3)-(MIN(O30,($N$4*1/10))^4-N30^4)/4,0)+IF(O30&gt;($N$4*1/10),($N$4*1/10)^2*(1.5*(O30^2-MAX(N30,($N$4*1/10))^2)-($N$4*1/10)*(O30-MAX(N30,($N$4*1/10)))),0))*1000,0)</f>
        <v>0</v>
      </c>
      <c r="AO30" s="120">
        <f>IF(AND(V30="OK",ISNUMBER($N$5),$N$5&gt;0,ISNUMBER($N$3),$N$3&gt;0),R30/(6*$N$3*1000000*$N$5)*(IF(N30&lt;($N$4*2/10),($N$4*2/10)*(MIN(O30,($N$4*2/10))^3-N30^3)-(MIN(O30,($N$4*2/10))^4-N30^4)/4,0)+IF(O30&gt;($N$4*2/10),($N$4*2/10)^2*(1.5*(O30^2-MAX(N30,($N$4*2/10))^2)-($N$4*2/10)*(O30-MAX(N30,($N$4*2/10)))),0))*1000,0)</f>
        <v>0</v>
      </c>
      <c r="AP30" s="120">
        <f>IF(AND(V30="OK",ISNUMBER($N$5),$N$5&gt;0,ISNUMBER($N$3),$N$3&gt;0),R30/(6*$N$3*1000000*$N$5)*(IF(N30&lt;($N$4*3/10),($N$4*3/10)*(MIN(O30,($N$4*3/10))^3-N30^3)-(MIN(O30,($N$4*3/10))^4-N30^4)/4,0)+IF(O30&gt;($N$4*3/10),($N$4*3/10)^2*(1.5*(O30^2-MAX(N30,($N$4*3/10))^2)-($N$4*3/10)*(O30-MAX(N30,($N$4*3/10)))),0))*1000,0)</f>
        <v>0</v>
      </c>
      <c r="AQ30" s="120">
        <f>IF(AND(V30="OK",ISNUMBER($N$5),$N$5&gt;0,ISNUMBER($N$3),$N$3&gt;0),R30/(6*$N$3*1000000*$N$5)*(IF(N30&lt;($N$4*4/10),($N$4*4/10)*(MIN(O30,($N$4*4/10))^3-N30^3)-(MIN(O30,($N$4*4/10))^4-N30^4)/4,0)+IF(O30&gt;($N$4*4/10),($N$4*4/10)^2*(1.5*(O30^2-MAX(N30,($N$4*4/10))^2)-($N$4*4/10)*(O30-MAX(N30,($N$4*4/10)))),0))*1000,0)</f>
        <v>0</v>
      </c>
      <c r="AR30" s="120">
        <f>IF(AND(V30="OK",ISNUMBER($N$5),$N$5&gt;0,ISNUMBER($N$3),$N$3&gt;0),R30/(6*$N$3*1000000*$N$5)*(IF(N30&lt;($N$4*5/10),($N$4*5/10)*(MIN(O30,($N$4*5/10))^3-N30^3)-(MIN(O30,($N$4*5/10))^4-N30^4)/4,0)+IF(O30&gt;($N$4*5/10),($N$4*5/10)^2*(1.5*(O30^2-MAX(N30,($N$4*5/10))^2)-($N$4*5/10)*(O30-MAX(N30,($N$4*5/10)))),0))*1000,0)</f>
        <v>0</v>
      </c>
      <c r="AS30" s="120">
        <f>IF(AND(V30="OK",ISNUMBER($N$5),$N$5&gt;0,ISNUMBER($N$3),$N$3&gt;0),R30/(6*$N$3*1000000*$N$5)*(IF(N30&lt;($N$4*6/10),($N$4*6/10)*(MIN(O30,($N$4*6/10))^3-N30^3)-(MIN(O30,($N$4*6/10))^4-N30^4)/4,0)+IF(O30&gt;($N$4*6/10),($N$4*6/10)^2*(1.5*(O30^2-MAX(N30,($N$4*6/10))^2)-($N$4*6/10)*(O30-MAX(N30,($N$4*6/10)))),0))*1000,0)</f>
        <v>0</v>
      </c>
      <c r="AT30" s="120">
        <f>IF(AND(V30="OK",ISNUMBER($N$5),$N$5&gt;0,ISNUMBER($N$3),$N$3&gt;0),R30/(6*$N$3*1000000*$N$5)*(IF(N30&lt;($N$4*7/10),($N$4*7/10)*(MIN(O30,($N$4*7/10))^3-N30^3)-(MIN(O30,($N$4*7/10))^4-N30^4)/4,0)+IF(O30&gt;($N$4*7/10),($N$4*7/10)^2*(1.5*(O30^2-MAX(N30,($N$4*7/10))^2)-($N$4*7/10)*(O30-MAX(N30,($N$4*7/10)))),0))*1000,0)</f>
        <v>0</v>
      </c>
      <c r="AU30" s="120">
        <f>IF(AND(V30="OK",ISNUMBER($N$5),$N$5&gt;0,ISNUMBER($N$3),$N$3&gt;0),R30/(6*$N$3*1000000*$N$5)*(IF(N30&lt;($N$4*8/10),($N$4*8/10)*(MIN(O30,($N$4*8/10))^3-N30^3)-(MIN(O30,($N$4*8/10))^4-N30^4)/4,0)+IF(O30&gt;($N$4*8/10),($N$4*8/10)^2*(1.5*(O30^2-MAX(N30,($N$4*8/10))^2)-($N$4*8/10)*(O30-MAX(N30,($N$4*8/10)))),0))*1000,0)</f>
        <v>0</v>
      </c>
      <c r="AV30" s="120">
        <f>IF(AND(V30="OK",ISNUMBER($N$5),$N$5&gt;0,ISNUMBER($N$3),$N$3&gt;0),R30/(6*$N$3*1000000*$N$5)*(IF(N30&lt;($N$4*9/10),($N$4*9/10)*(MIN(O30,($N$4*9/10))^3-N30^3)-(MIN(O30,($N$4*9/10))^4-N30^4)/4,0)+IF(O30&gt;($N$4*9/10),($N$4*9/10)^2*(1.5*(O30^2-MAX(N30,($N$4*9/10))^2)-($N$4*9/10)*(O30-MAX(N30,($N$4*9/10)))),0))*1000,0)</f>
        <v>0</v>
      </c>
      <c r="AW30" s="120">
        <f>IF(AND(V30="OK",ISNUMBER($N$5),$N$5&gt;0,ISNUMBER($N$3),$N$3&gt;0),R30/(6*$N$3*1000000*$N$5)*(IF(N30&lt;($N$4*10/10),($N$4*10/10)*(MIN(O30,($N$4*10/10))^3-N30^3)-(MIN(O30,($N$4*10/10))^4-N30^4)/4,0)+IF(O30&gt;($N$4*10/10),($N$4*10/10)^2*(1.5*(O30^2-MAX(N30,($N$4*10/10))^2)-($N$4*10/10)*(O30-MAX(N30,($N$4*10/10)))),0))*1000,0)</f>
        <v>0</v>
      </c>
    </row>
    <row r="31" spans="1:49">
      <c r="A31" s="124"/>
      <c r="B31" s="125"/>
      <c r="C31" s="125"/>
      <c r="D31" s="125"/>
      <c r="E31" s="125"/>
      <c r="F31" s="126" t="str">
        <f>IF(J31="OK",D31*E31,"")</f>
        <v/>
      </c>
      <c r="G31" s="126" t="str">
        <f>IF(J31="OK",F31*(C31-B31),"")</f>
        <v/>
      </c>
      <c r="H31" s="126" t="str">
        <f>IF(J31="OK",G31*(C31+B31)/2,"")</f>
        <v/>
      </c>
      <c r="I31" s="126" t="str">
        <f>IF(AND(J31="OK",ISNUMBER($B$5),$B$5&gt;0,ISNUMBER($B$3),$B$3&gt;0),F31*(4*$B$4*(C31^3-B31^3)-(C31^4-B31^4))/(24*$B$3*1000000*$B$5)*1000,"")</f>
        <v/>
      </c>
      <c r="J31" s="120" t="str">
        <f>IF(COUNTA(A31:E31)=0,"",IF(AND(COUNT(B31:E31)=4,B31&gt;=0,C31&gt;B31,C31&lt;=$B$4,D31&gt;=0,E31&gt;0),IF(COUNTIFS($B$13:$B$30,"&lt;"&amp;C31,$C$13:$C$30,"&gt;"&amp;B31)&gt;0,"OVERLAP","OK"),"CHECK INPUTS"))</f>
        <v/>
      </c>
      <c r="M31" s="124"/>
      <c r="N31" s="125"/>
      <c r="O31" s="125"/>
      <c r="P31" s="125"/>
      <c r="Q31" s="125"/>
      <c r="R31" s="126" t="str">
        <f>IF(V31="OK",P31*Q31,"")</f>
        <v/>
      </c>
      <c r="S31" s="126" t="str">
        <f>IF(V31="OK",R31*(O31-N31),"")</f>
        <v/>
      </c>
      <c r="T31" s="126" t="str">
        <f>IF(V31="OK",S31*(O31+N31)/2,"")</f>
        <v/>
      </c>
      <c r="U31" s="126" t="str">
        <f>IF(AND(V31="OK",ISNUMBER($N$5),$N$5&gt;0,ISNUMBER($N$3),$N$3&gt;0),R31*(4*$N$4*(O31^3-N31^3)-(O31^4-N31^4))/(24*$N$3*1000000*$N$5)*1000,"")</f>
        <v/>
      </c>
      <c r="V31" s="120" t="str">
        <f>IF(COUNTA(M31:Q31)=0,"",IF(AND(COUNT(N31:Q31)=4,N31&gt;=0,O31&gt;N31,O31&lt;=$N$4,P31&gt;=0,Q31&gt;0),IF(COUNTIFS($N$13:$N$30,"&lt;"&amp;O31,$O$13:$O$30,"&gt;"&amp;N31)&gt;0,"OVERLAP","OK"),"CHECK INPUTS"))</f>
        <v/>
      </c>
      <c r="AA31" s="120">
        <f>IF(AND(J31="OK",ISNUMBER($B$5),$B$5&gt;0,ISNUMBER($B$3),$B$3&gt;0),F31/(6*$B$3*1000000*$B$5)*(IF(B31&lt;($B$4*0/10),($B$4*0/10)*(MIN(C31,($B$4*0/10))^3-B31^3)-(MIN(C31,($B$4*0/10))^4-B31^4)/4,0)+IF(C31&gt;($B$4*0/10),($B$4*0/10)^2*(1.5*(C31^2-MAX(B31,($B$4*0/10))^2)-($B$4*0/10)*(C31-MAX(B31,($B$4*0/10)))),0))*1000,0)</f>
        <v>0</v>
      </c>
      <c r="AB31" s="120">
        <f>IF(AND(J31="OK",ISNUMBER($B$5),$B$5&gt;0,ISNUMBER($B$3),$B$3&gt;0),F31/(6*$B$3*1000000*$B$5)*(IF(B31&lt;($B$4*1/10),($B$4*1/10)*(MIN(C31,($B$4*1/10))^3-B31^3)-(MIN(C31,($B$4*1/10))^4-B31^4)/4,0)+IF(C31&gt;($B$4*1/10),($B$4*1/10)^2*(1.5*(C31^2-MAX(B31,($B$4*1/10))^2)-($B$4*1/10)*(C31-MAX(B31,($B$4*1/10)))),0))*1000,0)</f>
        <v>0</v>
      </c>
      <c r="AC31" s="120">
        <f>IF(AND(J31="OK",ISNUMBER($B$5),$B$5&gt;0,ISNUMBER($B$3),$B$3&gt;0),F31/(6*$B$3*1000000*$B$5)*(IF(B31&lt;($B$4*2/10),($B$4*2/10)*(MIN(C31,($B$4*2/10))^3-B31^3)-(MIN(C31,($B$4*2/10))^4-B31^4)/4,0)+IF(C31&gt;($B$4*2/10),($B$4*2/10)^2*(1.5*(C31^2-MAX(B31,($B$4*2/10))^2)-($B$4*2/10)*(C31-MAX(B31,($B$4*2/10)))),0))*1000,0)</f>
        <v>0</v>
      </c>
      <c r="AD31" s="120">
        <f>IF(AND(J31="OK",ISNUMBER($B$5),$B$5&gt;0,ISNUMBER($B$3),$B$3&gt;0),F31/(6*$B$3*1000000*$B$5)*(IF(B31&lt;($B$4*3/10),($B$4*3/10)*(MIN(C31,($B$4*3/10))^3-B31^3)-(MIN(C31,($B$4*3/10))^4-B31^4)/4,0)+IF(C31&gt;($B$4*3/10),($B$4*3/10)^2*(1.5*(C31^2-MAX(B31,($B$4*3/10))^2)-($B$4*3/10)*(C31-MAX(B31,($B$4*3/10)))),0))*1000,0)</f>
        <v>0</v>
      </c>
      <c r="AE31" s="120">
        <f>IF(AND(J31="OK",ISNUMBER($B$5),$B$5&gt;0,ISNUMBER($B$3),$B$3&gt;0),F31/(6*$B$3*1000000*$B$5)*(IF(B31&lt;($B$4*4/10),($B$4*4/10)*(MIN(C31,($B$4*4/10))^3-B31^3)-(MIN(C31,($B$4*4/10))^4-B31^4)/4,0)+IF(C31&gt;($B$4*4/10),($B$4*4/10)^2*(1.5*(C31^2-MAX(B31,($B$4*4/10))^2)-($B$4*4/10)*(C31-MAX(B31,($B$4*4/10)))),0))*1000,0)</f>
        <v>0</v>
      </c>
      <c r="AF31" s="120">
        <f>IF(AND(J31="OK",ISNUMBER($B$5),$B$5&gt;0,ISNUMBER($B$3),$B$3&gt;0),F31/(6*$B$3*1000000*$B$5)*(IF(B31&lt;($B$4*5/10),($B$4*5/10)*(MIN(C31,($B$4*5/10))^3-B31^3)-(MIN(C31,($B$4*5/10))^4-B31^4)/4,0)+IF(C31&gt;($B$4*5/10),($B$4*5/10)^2*(1.5*(C31^2-MAX(B31,($B$4*5/10))^2)-($B$4*5/10)*(C31-MAX(B31,($B$4*5/10)))),0))*1000,0)</f>
        <v>0</v>
      </c>
      <c r="AG31" s="120">
        <f>IF(AND(J31="OK",ISNUMBER($B$5),$B$5&gt;0,ISNUMBER($B$3),$B$3&gt;0),F31/(6*$B$3*1000000*$B$5)*(IF(B31&lt;($B$4*6/10),($B$4*6/10)*(MIN(C31,($B$4*6/10))^3-B31^3)-(MIN(C31,($B$4*6/10))^4-B31^4)/4,0)+IF(C31&gt;($B$4*6/10),($B$4*6/10)^2*(1.5*(C31^2-MAX(B31,($B$4*6/10))^2)-($B$4*6/10)*(C31-MAX(B31,($B$4*6/10)))),0))*1000,0)</f>
        <v>0</v>
      </c>
      <c r="AH31" s="120">
        <f>IF(AND(J31="OK",ISNUMBER($B$5),$B$5&gt;0,ISNUMBER($B$3),$B$3&gt;0),F31/(6*$B$3*1000000*$B$5)*(IF(B31&lt;($B$4*7/10),($B$4*7/10)*(MIN(C31,($B$4*7/10))^3-B31^3)-(MIN(C31,($B$4*7/10))^4-B31^4)/4,0)+IF(C31&gt;($B$4*7/10),($B$4*7/10)^2*(1.5*(C31^2-MAX(B31,($B$4*7/10))^2)-($B$4*7/10)*(C31-MAX(B31,($B$4*7/10)))),0))*1000,0)</f>
        <v>0</v>
      </c>
      <c r="AI31" s="120">
        <f>IF(AND(J31="OK",ISNUMBER($B$5),$B$5&gt;0,ISNUMBER($B$3),$B$3&gt;0),F31/(6*$B$3*1000000*$B$5)*(IF(B31&lt;($B$4*8/10),($B$4*8/10)*(MIN(C31,($B$4*8/10))^3-B31^3)-(MIN(C31,($B$4*8/10))^4-B31^4)/4,0)+IF(C31&gt;($B$4*8/10),($B$4*8/10)^2*(1.5*(C31^2-MAX(B31,($B$4*8/10))^2)-($B$4*8/10)*(C31-MAX(B31,($B$4*8/10)))),0))*1000,0)</f>
        <v>0</v>
      </c>
      <c r="AJ31" s="120">
        <f>IF(AND(J31="OK",ISNUMBER($B$5),$B$5&gt;0,ISNUMBER($B$3),$B$3&gt;0),F31/(6*$B$3*1000000*$B$5)*(IF(B31&lt;($B$4*9/10),($B$4*9/10)*(MIN(C31,($B$4*9/10))^3-B31^3)-(MIN(C31,($B$4*9/10))^4-B31^4)/4,0)+IF(C31&gt;($B$4*9/10),($B$4*9/10)^2*(1.5*(C31^2-MAX(B31,($B$4*9/10))^2)-($B$4*9/10)*(C31-MAX(B31,($B$4*9/10)))),0))*1000,0)</f>
        <v>0</v>
      </c>
      <c r="AK31" s="120">
        <f>IF(AND(J31="OK",ISNUMBER($B$5),$B$5&gt;0,ISNUMBER($B$3),$B$3&gt;0),F31/(6*$B$3*1000000*$B$5)*(IF(B31&lt;($B$4*10/10),($B$4*10/10)*(MIN(C31,($B$4*10/10))^3-B31^3)-(MIN(C31,($B$4*10/10))^4-B31^4)/4,0)+IF(C31&gt;($B$4*10/10),($B$4*10/10)^2*(1.5*(C31^2-MAX(B31,($B$4*10/10))^2)-($B$4*10/10)*(C31-MAX(B31,($B$4*10/10)))),0))*1000,0)</f>
        <v>0</v>
      </c>
      <c r="AM31" s="120">
        <f>IF(AND(V31="OK",ISNUMBER($N$5),$N$5&gt;0,ISNUMBER($N$3),$N$3&gt;0),R31/(6*$N$3*1000000*$N$5)*(IF(N31&lt;($N$4*0/10),($N$4*0/10)*(MIN(O31,($N$4*0/10))^3-N31^3)-(MIN(O31,($N$4*0/10))^4-N31^4)/4,0)+IF(O31&gt;($N$4*0/10),($N$4*0/10)^2*(1.5*(O31^2-MAX(N31,($N$4*0/10))^2)-($N$4*0/10)*(O31-MAX(N31,($N$4*0/10)))),0))*1000,0)</f>
        <v>0</v>
      </c>
      <c r="AN31" s="120">
        <f>IF(AND(V31="OK",ISNUMBER($N$5),$N$5&gt;0,ISNUMBER($N$3),$N$3&gt;0),R31/(6*$N$3*1000000*$N$5)*(IF(N31&lt;($N$4*1/10),($N$4*1/10)*(MIN(O31,($N$4*1/10))^3-N31^3)-(MIN(O31,($N$4*1/10))^4-N31^4)/4,0)+IF(O31&gt;($N$4*1/10),($N$4*1/10)^2*(1.5*(O31^2-MAX(N31,($N$4*1/10))^2)-($N$4*1/10)*(O31-MAX(N31,($N$4*1/10)))),0))*1000,0)</f>
        <v>0</v>
      </c>
      <c r="AO31" s="120">
        <f>IF(AND(V31="OK",ISNUMBER($N$5),$N$5&gt;0,ISNUMBER($N$3),$N$3&gt;0),R31/(6*$N$3*1000000*$N$5)*(IF(N31&lt;($N$4*2/10),($N$4*2/10)*(MIN(O31,($N$4*2/10))^3-N31^3)-(MIN(O31,($N$4*2/10))^4-N31^4)/4,0)+IF(O31&gt;($N$4*2/10),($N$4*2/10)^2*(1.5*(O31^2-MAX(N31,($N$4*2/10))^2)-($N$4*2/10)*(O31-MAX(N31,($N$4*2/10)))),0))*1000,0)</f>
        <v>0</v>
      </c>
      <c r="AP31" s="120">
        <f>IF(AND(V31="OK",ISNUMBER($N$5),$N$5&gt;0,ISNUMBER($N$3),$N$3&gt;0),R31/(6*$N$3*1000000*$N$5)*(IF(N31&lt;($N$4*3/10),($N$4*3/10)*(MIN(O31,($N$4*3/10))^3-N31^3)-(MIN(O31,($N$4*3/10))^4-N31^4)/4,0)+IF(O31&gt;($N$4*3/10),($N$4*3/10)^2*(1.5*(O31^2-MAX(N31,($N$4*3/10))^2)-($N$4*3/10)*(O31-MAX(N31,($N$4*3/10)))),0))*1000,0)</f>
        <v>0</v>
      </c>
      <c r="AQ31" s="120">
        <f>IF(AND(V31="OK",ISNUMBER($N$5),$N$5&gt;0,ISNUMBER($N$3),$N$3&gt;0),R31/(6*$N$3*1000000*$N$5)*(IF(N31&lt;($N$4*4/10),($N$4*4/10)*(MIN(O31,($N$4*4/10))^3-N31^3)-(MIN(O31,($N$4*4/10))^4-N31^4)/4,0)+IF(O31&gt;($N$4*4/10),($N$4*4/10)^2*(1.5*(O31^2-MAX(N31,($N$4*4/10))^2)-($N$4*4/10)*(O31-MAX(N31,($N$4*4/10)))),0))*1000,0)</f>
        <v>0</v>
      </c>
      <c r="AR31" s="120">
        <f>IF(AND(V31="OK",ISNUMBER($N$5),$N$5&gt;0,ISNUMBER($N$3),$N$3&gt;0),R31/(6*$N$3*1000000*$N$5)*(IF(N31&lt;($N$4*5/10),($N$4*5/10)*(MIN(O31,($N$4*5/10))^3-N31^3)-(MIN(O31,($N$4*5/10))^4-N31^4)/4,0)+IF(O31&gt;($N$4*5/10),($N$4*5/10)^2*(1.5*(O31^2-MAX(N31,($N$4*5/10))^2)-($N$4*5/10)*(O31-MAX(N31,($N$4*5/10)))),0))*1000,0)</f>
        <v>0</v>
      </c>
      <c r="AS31" s="120">
        <f>IF(AND(V31="OK",ISNUMBER($N$5),$N$5&gt;0,ISNUMBER($N$3),$N$3&gt;0),R31/(6*$N$3*1000000*$N$5)*(IF(N31&lt;($N$4*6/10),($N$4*6/10)*(MIN(O31,($N$4*6/10))^3-N31^3)-(MIN(O31,($N$4*6/10))^4-N31^4)/4,0)+IF(O31&gt;($N$4*6/10),($N$4*6/10)^2*(1.5*(O31^2-MAX(N31,($N$4*6/10))^2)-($N$4*6/10)*(O31-MAX(N31,($N$4*6/10)))),0))*1000,0)</f>
        <v>0</v>
      </c>
      <c r="AT31" s="120">
        <f>IF(AND(V31="OK",ISNUMBER($N$5),$N$5&gt;0,ISNUMBER($N$3),$N$3&gt;0),R31/(6*$N$3*1000000*$N$5)*(IF(N31&lt;($N$4*7/10),($N$4*7/10)*(MIN(O31,($N$4*7/10))^3-N31^3)-(MIN(O31,($N$4*7/10))^4-N31^4)/4,0)+IF(O31&gt;($N$4*7/10),($N$4*7/10)^2*(1.5*(O31^2-MAX(N31,($N$4*7/10))^2)-($N$4*7/10)*(O31-MAX(N31,($N$4*7/10)))),0))*1000,0)</f>
        <v>0</v>
      </c>
      <c r="AU31" s="120">
        <f>IF(AND(V31="OK",ISNUMBER($N$5),$N$5&gt;0,ISNUMBER($N$3),$N$3&gt;0),R31/(6*$N$3*1000000*$N$5)*(IF(N31&lt;($N$4*8/10),($N$4*8/10)*(MIN(O31,($N$4*8/10))^3-N31^3)-(MIN(O31,($N$4*8/10))^4-N31^4)/4,0)+IF(O31&gt;($N$4*8/10),($N$4*8/10)^2*(1.5*(O31^2-MAX(N31,($N$4*8/10))^2)-($N$4*8/10)*(O31-MAX(N31,($N$4*8/10)))),0))*1000,0)</f>
        <v>0</v>
      </c>
      <c r="AV31" s="120">
        <f>IF(AND(V31="OK",ISNUMBER($N$5),$N$5&gt;0,ISNUMBER($N$3),$N$3&gt;0),R31/(6*$N$3*1000000*$N$5)*(IF(N31&lt;($N$4*9/10),($N$4*9/10)*(MIN(O31,($N$4*9/10))^3-N31^3)-(MIN(O31,($N$4*9/10))^4-N31^4)/4,0)+IF(O31&gt;($N$4*9/10),($N$4*9/10)^2*(1.5*(O31^2-MAX(N31,($N$4*9/10))^2)-($N$4*9/10)*(O31-MAX(N31,($N$4*9/10)))),0))*1000,0)</f>
        <v>0</v>
      </c>
      <c r="AW31" s="120">
        <f>IF(AND(V31="OK",ISNUMBER($N$5),$N$5&gt;0,ISNUMBER($N$3),$N$3&gt;0),R31/(6*$N$3*1000000*$N$5)*(IF(N31&lt;($N$4*10/10),($N$4*10/10)*(MIN(O31,($N$4*10/10))^3-N31^3)-(MIN(O31,($N$4*10/10))^4-N31^4)/4,0)+IF(O31&gt;($N$4*10/10),($N$4*10/10)^2*(1.5*(O31^2-MAX(N31,($N$4*10/10))^2)-($N$4*10/10)*(O31-MAX(N31,($N$4*10/10)))),0))*1000,0)</f>
        <v>0</v>
      </c>
    </row>
    <row r="32" spans="1:49">
      <c r="A32" s="124"/>
      <c r="B32" s="125"/>
      <c r="C32" s="125"/>
      <c r="D32" s="125"/>
      <c r="E32" s="125"/>
      <c r="F32" s="126" t="str">
        <f>IF(J32="OK",D32*E32,"")</f>
        <v/>
      </c>
      <c r="G32" s="126" t="str">
        <f>IF(J32="OK",F32*(C32-B32),"")</f>
        <v/>
      </c>
      <c r="H32" s="126" t="str">
        <f>IF(J32="OK",G32*(C32+B32)/2,"")</f>
        <v/>
      </c>
      <c r="I32" s="126" t="str">
        <f>IF(AND(J32="OK",ISNUMBER($B$5),$B$5&gt;0,ISNUMBER($B$3),$B$3&gt;0),F32*(4*$B$4*(C32^3-B32^3)-(C32^4-B32^4))/(24*$B$3*1000000*$B$5)*1000,"")</f>
        <v/>
      </c>
      <c r="J32" s="120" t="str">
        <f>IF(COUNTA(A32:E32)=0,"",IF(AND(COUNT(B32:E32)=4,B32&gt;=0,C32&gt;B32,C32&lt;=$B$4,D32&gt;=0,E32&gt;0),IF(COUNTIFS($B$13:$B$31,"&lt;"&amp;C32,$C$13:$C$31,"&gt;"&amp;B32)&gt;0,"OVERLAP","OK"),"CHECK INPUTS"))</f>
        <v/>
      </c>
      <c r="M32" s="124"/>
      <c r="N32" s="125"/>
      <c r="O32" s="125"/>
      <c r="P32" s="125"/>
      <c r="Q32" s="125"/>
      <c r="R32" s="126" t="str">
        <f>IF(V32="OK",P32*Q32,"")</f>
        <v/>
      </c>
      <c r="S32" s="126" t="str">
        <f>IF(V32="OK",R32*(O32-N32),"")</f>
        <v/>
      </c>
      <c r="T32" s="126" t="str">
        <f>IF(V32="OK",S32*(O32+N32)/2,"")</f>
        <v/>
      </c>
      <c r="U32" s="126" t="str">
        <f>IF(AND(V32="OK",ISNUMBER($N$5),$N$5&gt;0,ISNUMBER($N$3),$N$3&gt;0),R32*(4*$N$4*(O32^3-N32^3)-(O32^4-N32^4))/(24*$N$3*1000000*$N$5)*1000,"")</f>
        <v/>
      </c>
      <c r="V32" s="120" t="str">
        <f>IF(COUNTA(M32:Q32)=0,"",IF(AND(COUNT(N32:Q32)=4,N32&gt;=0,O32&gt;N32,O32&lt;=$N$4,P32&gt;=0,Q32&gt;0),IF(COUNTIFS($N$13:$N$31,"&lt;"&amp;O32,$O$13:$O$31,"&gt;"&amp;N32)&gt;0,"OVERLAP","OK"),"CHECK INPUTS"))</f>
        <v/>
      </c>
      <c r="AA32" s="120">
        <f>IF(AND(J32="OK",ISNUMBER($B$5),$B$5&gt;0,ISNUMBER($B$3),$B$3&gt;0),F32/(6*$B$3*1000000*$B$5)*(IF(B32&lt;($B$4*0/10),($B$4*0/10)*(MIN(C32,($B$4*0/10))^3-B32^3)-(MIN(C32,($B$4*0/10))^4-B32^4)/4,0)+IF(C32&gt;($B$4*0/10),($B$4*0/10)^2*(1.5*(C32^2-MAX(B32,($B$4*0/10))^2)-($B$4*0/10)*(C32-MAX(B32,($B$4*0/10)))),0))*1000,0)</f>
        <v>0</v>
      </c>
      <c r="AB32" s="120">
        <f>IF(AND(J32="OK",ISNUMBER($B$5),$B$5&gt;0,ISNUMBER($B$3),$B$3&gt;0),F32/(6*$B$3*1000000*$B$5)*(IF(B32&lt;($B$4*1/10),($B$4*1/10)*(MIN(C32,($B$4*1/10))^3-B32^3)-(MIN(C32,($B$4*1/10))^4-B32^4)/4,0)+IF(C32&gt;($B$4*1/10),($B$4*1/10)^2*(1.5*(C32^2-MAX(B32,($B$4*1/10))^2)-($B$4*1/10)*(C32-MAX(B32,($B$4*1/10)))),0))*1000,0)</f>
        <v>0</v>
      </c>
      <c r="AC32" s="120">
        <f>IF(AND(J32="OK",ISNUMBER($B$5),$B$5&gt;0,ISNUMBER($B$3),$B$3&gt;0),F32/(6*$B$3*1000000*$B$5)*(IF(B32&lt;($B$4*2/10),($B$4*2/10)*(MIN(C32,($B$4*2/10))^3-B32^3)-(MIN(C32,($B$4*2/10))^4-B32^4)/4,0)+IF(C32&gt;($B$4*2/10),($B$4*2/10)^2*(1.5*(C32^2-MAX(B32,($B$4*2/10))^2)-($B$4*2/10)*(C32-MAX(B32,($B$4*2/10)))),0))*1000,0)</f>
        <v>0</v>
      </c>
      <c r="AD32" s="120">
        <f>IF(AND(J32="OK",ISNUMBER($B$5),$B$5&gt;0,ISNUMBER($B$3),$B$3&gt;0),F32/(6*$B$3*1000000*$B$5)*(IF(B32&lt;($B$4*3/10),($B$4*3/10)*(MIN(C32,($B$4*3/10))^3-B32^3)-(MIN(C32,($B$4*3/10))^4-B32^4)/4,0)+IF(C32&gt;($B$4*3/10),($B$4*3/10)^2*(1.5*(C32^2-MAX(B32,($B$4*3/10))^2)-($B$4*3/10)*(C32-MAX(B32,($B$4*3/10)))),0))*1000,0)</f>
        <v>0</v>
      </c>
      <c r="AE32" s="120">
        <f>IF(AND(J32="OK",ISNUMBER($B$5),$B$5&gt;0,ISNUMBER($B$3),$B$3&gt;0),F32/(6*$B$3*1000000*$B$5)*(IF(B32&lt;($B$4*4/10),($B$4*4/10)*(MIN(C32,($B$4*4/10))^3-B32^3)-(MIN(C32,($B$4*4/10))^4-B32^4)/4,0)+IF(C32&gt;($B$4*4/10),($B$4*4/10)^2*(1.5*(C32^2-MAX(B32,($B$4*4/10))^2)-($B$4*4/10)*(C32-MAX(B32,($B$4*4/10)))),0))*1000,0)</f>
        <v>0</v>
      </c>
      <c r="AF32" s="120">
        <f>IF(AND(J32="OK",ISNUMBER($B$5),$B$5&gt;0,ISNUMBER($B$3),$B$3&gt;0),F32/(6*$B$3*1000000*$B$5)*(IF(B32&lt;($B$4*5/10),($B$4*5/10)*(MIN(C32,($B$4*5/10))^3-B32^3)-(MIN(C32,($B$4*5/10))^4-B32^4)/4,0)+IF(C32&gt;($B$4*5/10),($B$4*5/10)^2*(1.5*(C32^2-MAX(B32,($B$4*5/10))^2)-($B$4*5/10)*(C32-MAX(B32,($B$4*5/10)))),0))*1000,0)</f>
        <v>0</v>
      </c>
      <c r="AG32" s="120">
        <f>IF(AND(J32="OK",ISNUMBER($B$5),$B$5&gt;0,ISNUMBER($B$3),$B$3&gt;0),F32/(6*$B$3*1000000*$B$5)*(IF(B32&lt;($B$4*6/10),($B$4*6/10)*(MIN(C32,($B$4*6/10))^3-B32^3)-(MIN(C32,($B$4*6/10))^4-B32^4)/4,0)+IF(C32&gt;($B$4*6/10),($B$4*6/10)^2*(1.5*(C32^2-MAX(B32,($B$4*6/10))^2)-($B$4*6/10)*(C32-MAX(B32,($B$4*6/10)))),0))*1000,0)</f>
        <v>0</v>
      </c>
      <c r="AH32" s="120">
        <f>IF(AND(J32="OK",ISNUMBER($B$5),$B$5&gt;0,ISNUMBER($B$3),$B$3&gt;0),F32/(6*$B$3*1000000*$B$5)*(IF(B32&lt;($B$4*7/10),($B$4*7/10)*(MIN(C32,($B$4*7/10))^3-B32^3)-(MIN(C32,($B$4*7/10))^4-B32^4)/4,0)+IF(C32&gt;($B$4*7/10),($B$4*7/10)^2*(1.5*(C32^2-MAX(B32,($B$4*7/10))^2)-($B$4*7/10)*(C32-MAX(B32,($B$4*7/10)))),0))*1000,0)</f>
        <v>0</v>
      </c>
      <c r="AI32" s="120">
        <f>IF(AND(J32="OK",ISNUMBER($B$5),$B$5&gt;0,ISNUMBER($B$3),$B$3&gt;0),F32/(6*$B$3*1000000*$B$5)*(IF(B32&lt;($B$4*8/10),($B$4*8/10)*(MIN(C32,($B$4*8/10))^3-B32^3)-(MIN(C32,($B$4*8/10))^4-B32^4)/4,0)+IF(C32&gt;($B$4*8/10),($B$4*8/10)^2*(1.5*(C32^2-MAX(B32,($B$4*8/10))^2)-($B$4*8/10)*(C32-MAX(B32,($B$4*8/10)))),0))*1000,0)</f>
        <v>0</v>
      </c>
      <c r="AJ32" s="120">
        <f>IF(AND(J32="OK",ISNUMBER($B$5),$B$5&gt;0,ISNUMBER($B$3),$B$3&gt;0),F32/(6*$B$3*1000000*$B$5)*(IF(B32&lt;($B$4*9/10),($B$4*9/10)*(MIN(C32,($B$4*9/10))^3-B32^3)-(MIN(C32,($B$4*9/10))^4-B32^4)/4,0)+IF(C32&gt;($B$4*9/10),($B$4*9/10)^2*(1.5*(C32^2-MAX(B32,($B$4*9/10))^2)-($B$4*9/10)*(C32-MAX(B32,($B$4*9/10)))),0))*1000,0)</f>
        <v>0</v>
      </c>
      <c r="AK32" s="120">
        <f>IF(AND(J32="OK",ISNUMBER($B$5),$B$5&gt;0,ISNUMBER($B$3),$B$3&gt;0),F32/(6*$B$3*1000000*$B$5)*(IF(B32&lt;($B$4*10/10),($B$4*10/10)*(MIN(C32,($B$4*10/10))^3-B32^3)-(MIN(C32,($B$4*10/10))^4-B32^4)/4,0)+IF(C32&gt;($B$4*10/10),($B$4*10/10)^2*(1.5*(C32^2-MAX(B32,($B$4*10/10))^2)-($B$4*10/10)*(C32-MAX(B32,($B$4*10/10)))),0))*1000,0)</f>
        <v>0</v>
      </c>
      <c r="AM32" s="120">
        <f>IF(AND(V32="OK",ISNUMBER($N$5),$N$5&gt;0,ISNUMBER($N$3),$N$3&gt;0),R32/(6*$N$3*1000000*$N$5)*(IF(N32&lt;($N$4*0/10),($N$4*0/10)*(MIN(O32,($N$4*0/10))^3-N32^3)-(MIN(O32,($N$4*0/10))^4-N32^4)/4,0)+IF(O32&gt;($N$4*0/10),($N$4*0/10)^2*(1.5*(O32^2-MAX(N32,($N$4*0/10))^2)-($N$4*0/10)*(O32-MAX(N32,($N$4*0/10)))),0))*1000,0)</f>
        <v>0</v>
      </c>
      <c r="AN32" s="120">
        <f>IF(AND(V32="OK",ISNUMBER($N$5),$N$5&gt;0,ISNUMBER($N$3),$N$3&gt;0),R32/(6*$N$3*1000000*$N$5)*(IF(N32&lt;($N$4*1/10),($N$4*1/10)*(MIN(O32,($N$4*1/10))^3-N32^3)-(MIN(O32,($N$4*1/10))^4-N32^4)/4,0)+IF(O32&gt;($N$4*1/10),($N$4*1/10)^2*(1.5*(O32^2-MAX(N32,($N$4*1/10))^2)-($N$4*1/10)*(O32-MAX(N32,($N$4*1/10)))),0))*1000,0)</f>
        <v>0</v>
      </c>
      <c r="AO32" s="120">
        <f>IF(AND(V32="OK",ISNUMBER($N$5),$N$5&gt;0,ISNUMBER($N$3),$N$3&gt;0),R32/(6*$N$3*1000000*$N$5)*(IF(N32&lt;($N$4*2/10),($N$4*2/10)*(MIN(O32,($N$4*2/10))^3-N32^3)-(MIN(O32,($N$4*2/10))^4-N32^4)/4,0)+IF(O32&gt;($N$4*2/10),($N$4*2/10)^2*(1.5*(O32^2-MAX(N32,($N$4*2/10))^2)-($N$4*2/10)*(O32-MAX(N32,($N$4*2/10)))),0))*1000,0)</f>
        <v>0</v>
      </c>
      <c r="AP32" s="120">
        <f>IF(AND(V32="OK",ISNUMBER($N$5),$N$5&gt;0,ISNUMBER($N$3),$N$3&gt;0),R32/(6*$N$3*1000000*$N$5)*(IF(N32&lt;($N$4*3/10),($N$4*3/10)*(MIN(O32,($N$4*3/10))^3-N32^3)-(MIN(O32,($N$4*3/10))^4-N32^4)/4,0)+IF(O32&gt;($N$4*3/10),($N$4*3/10)^2*(1.5*(O32^2-MAX(N32,($N$4*3/10))^2)-($N$4*3/10)*(O32-MAX(N32,($N$4*3/10)))),0))*1000,0)</f>
        <v>0</v>
      </c>
      <c r="AQ32" s="120">
        <f>IF(AND(V32="OK",ISNUMBER($N$5),$N$5&gt;0,ISNUMBER($N$3),$N$3&gt;0),R32/(6*$N$3*1000000*$N$5)*(IF(N32&lt;($N$4*4/10),($N$4*4/10)*(MIN(O32,($N$4*4/10))^3-N32^3)-(MIN(O32,($N$4*4/10))^4-N32^4)/4,0)+IF(O32&gt;($N$4*4/10),($N$4*4/10)^2*(1.5*(O32^2-MAX(N32,($N$4*4/10))^2)-($N$4*4/10)*(O32-MAX(N32,($N$4*4/10)))),0))*1000,0)</f>
        <v>0</v>
      </c>
      <c r="AR32" s="120">
        <f>IF(AND(V32="OK",ISNUMBER($N$5),$N$5&gt;0,ISNUMBER($N$3),$N$3&gt;0),R32/(6*$N$3*1000000*$N$5)*(IF(N32&lt;($N$4*5/10),($N$4*5/10)*(MIN(O32,($N$4*5/10))^3-N32^3)-(MIN(O32,($N$4*5/10))^4-N32^4)/4,0)+IF(O32&gt;($N$4*5/10),($N$4*5/10)^2*(1.5*(O32^2-MAX(N32,($N$4*5/10))^2)-($N$4*5/10)*(O32-MAX(N32,($N$4*5/10)))),0))*1000,0)</f>
        <v>0</v>
      </c>
      <c r="AS32" s="120">
        <f>IF(AND(V32="OK",ISNUMBER($N$5),$N$5&gt;0,ISNUMBER($N$3),$N$3&gt;0),R32/(6*$N$3*1000000*$N$5)*(IF(N32&lt;($N$4*6/10),($N$4*6/10)*(MIN(O32,($N$4*6/10))^3-N32^3)-(MIN(O32,($N$4*6/10))^4-N32^4)/4,0)+IF(O32&gt;($N$4*6/10),($N$4*6/10)^2*(1.5*(O32^2-MAX(N32,($N$4*6/10))^2)-($N$4*6/10)*(O32-MAX(N32,($N$4*6/10)))),0))*1000,0)</f>
        <v>0</v>
      </c>
      <c r="AT32" s="120">
        <f>IF(AND(V32="OK",ISNUMBER($N$5),$N$5&gt;0,ISNUMBER($N$3),$N$3&gt;0),R32/(6*$N$3*1000000*$N$5)*(IF(N32&lt;($N$4*7/10),($N$4*7/10)*(MIN(O32,($N$4*7/10))^3-N32^3)-(MIN(O32,($N$4*7/10))^4-N32^4)/4,0)+IF(O32&gt;($N$4*7/10),($N$4*7/10)^2*(1.5*(O32^2-MAX(N32,($N$4*7/10))^2)-($N$4*7/10)*(O32-MAX(N32,($N$4*7/10)))),0))*1000,0)</f>
        <v>0</v>
      </c>
      <c r="AU32" s="120">
        <f>IF(AND(V32="OK",ISNUMBER($N$5),$N$5&gt;0,ISNUMBER($N$3),$N$3&gt;0),R32/(6*$N$3*1000000*$N$5)*(IF(N32&lt;($N$4*8/10),($N$4*8/10)*(MIN(O32,($N$4*8/10))^3-N32^3)-(MIN(O32,($N$4*8/10))^4-N32^4)/4,0)+IF(O32&gt;($N$4*8/10),($N$4*8/10)^2*(1.5*(O32^2-MAX(N32,($N$4*8/10))^2)-($N$4*8/10)*(O32-MAX(N32,($N$4*8/10)))),0))*1000,0)</f>
        <v>0</v>
      </c>
      <c r="AV32" s="120">
        <f>IF(AND(V32="OK",ISNUMBER($N$5),$N$5&gt;0,ISNUMBER($N$3),$N$3&gt;0),R32/(6*$N$3*1000000*$N$5)*(IF(N32&lt;($N$4*9/10),($N$4*9/10)*(MIN(O32,($N$4*9/10))^3-N32^3)-(MIN(O32,($N$4*9/10))^4-N32^4)/4,0)+IF(O32&gt;($N$4*9/10),($N$4*9/10)^2*(1.5*(O32^2-MAX(N32,($N$4*9/10))^2)-($N$4*9/10)*(O32-MAX(N32,($N$4*9/10)))),0))*1000,0)</f>
        <v>0</v>
      </c>
      <c r="AW32" s="120">
        <f>IF(AND(V32="OK",ISNUMBER($N$5),$N$5&gt;0,ISNUMBER($N$3),$N$3&gt;0),R32/(6*$N$3*1000000*$N$5)*(IF(N32&lt;($N$4*10/10),($N$4*10/10)*(MIN(O32,($N$4*10/10))^3-N32^3)-(MIN(O32,($N$4*10/10))^4-N32^4)/4,0)+IF(O32&gt;($N$4*10/10),($N$4*10/10)^2*(1.5*(O32^2-MAX(N32,($N$4*10/10))^2)-($N$4*10/10)*(O32-MAX(N32,($N$4*10/10)))),0))*1000,0)</f>
        <v>0</v>
      </c>
    </row>
    <row r="33" spans="1:49">
      <c r="A33" s="124"/>
      <c r="B33" s="125"/>
      <c r="C33" s="125"/>
      <c r="D33" s="125"/>
      <c r="E33" s="125"/>
      <c r="F33" s="126" t="str">
        <f>IF(J33="OK",D33*E33,"")</f>
        <v/>
      </c>
      <c r="G33" s="126" t="str">
        <f>IF(J33="OK",F33*(C33-B33),"")</f>
        <v/>
      </c>
      <c r="H33" s="126" t="str">
        <f>IF(J33="OK",G33*(C33+B33)/2,"")</f>
        <v/>
      </c>
      <c r="I33" s="126" t="str">
        <f>IF(AND(J33="OK",ISNUMBER($B$5),$B$5&gt;0,ISNUMBER($B$3),$B$3&gt;0),F33*(4*$B$4*(C33^3-B33^3)-(C33^4-B33^4))/(24*$B$3*1000000*$B$5)*1000,"")</f>
        <v/>
      </c>
      <c r="J33" s="120" t="str">
        <f>IF(COUNTA(A33:E33)=0,"",IF(AND(COUNT(B33:E33)=4,B33&gt;=0,C33&gt;B33,C33&lt;=$B$4,D33&gt;=0,E33&gt;0),IF(COUNTIFS($B$13:$B$32,"&lt;"&amp;C33,$C$13:$C$32,"&gt;"&amp;B33)&gt;0,"OVERLAP","OK"),"CHECK INPUTS"))</f>
        <v/>
      </c>
      <c r="M33" s="124"/>
      <c r="N33" s="125"/>
      <c r="O33" s="125"/>
      <c r="P33" s="125"/>
      <c r="Q33" s="125"/>
      <c r="R33" s="126" t="str">
        <f>IF(V33="OK",P33*Q33,"")</f>
        <v/>
      </c>
      <c r="S33" s="126" t="str">
        <f>IF(V33="OK",R33*(O33-N33),"")</f>
        <v/>
      </c>
      <c r="T33" s="126" t="str">
        <f>IF(V33="OK",S33*(O33+N33)/2,"")</f>
        <v/>
      </c>
      <c r="U33" s="126" t="str">
        <f>IF(AND(V33="OK",ISNUMBER($N$5),$N$5&gt;0,ISNUMBER($N$3),$N$3&gt;0),R33*(4*$N$4*(O33^3-N33^3)-(O33^4-N33^4))/(24*$N$3*1000000*$N$5)*1000,"")</f>
        <v/>
      </c>
      <c r="V33" s="120" t="str">
        <f>IF(COUNTA(M33:Q33)=0,"",IF(AND(COUNT(N33:Q33)=4,N33&gt;=0,O33&gt;N33,O33&lt;=$N$4,P33&gt;=0,Q33&gt;0),IF(COUNTIFS($N$13:$N$32,"&lt;"&amp;O33,$O$13:$O$32,"&gt;"&amp;N33)&gt;0,"OVERLAP","OK"),"CHECK INPUTS"))</f>
        <v/>
      </c>
      <c r="AA33" s="120">
        <f>IF(AND(J33="OK",ISNUMBER($B$5),$B$5&gt;0,ISNUMBER($B$3),$B$3&gt;0),F33/(6*$B$3*1000000*$B$5)*(IF(B33&lt;($B$4*0/10),($B$4*0/10)*(MIN(C33,($B$4*0/10))^3-B33^3)-(MIN(C33,($B$4*0/10))^4-B33^4)/4,0)+IF(C33&gt;($B$4*0/10),($B$4*0/10)^2*(1.5*(C33^2-MAX(B33,($B$4*0/10))^2)-($B$4*0/10)*(C33-MAX(B33,($B$4*0/10)))),0))*1000,0)</f>
        <v>0</v>
      </c>
      <c r="AB33" s="120">
        <f>IF(AND(J33="OK",ISNUMBER($B$5),$B$5&gt;0,ISNUMBER($B$3),$B$3&gt;0),F33/(6*$B$3*1000000*$B$5)*(IF(B33&lt;($B$4*1/10),($B$4*1/10)*(MIN(C33,($B$4*1/10))^3-B33^3)-(MIN(C33,($B$4*1/10))^4-B33^4)/4,0)+IF(C33&gt;($B$4*1/10),($B$4*1/10)^2*(1.5*(C33^2-MAX(B33,($B$4*1/10))^2)-($B$4*1/10)*(C33-MAX(B33,($B$4*1/10)))),0))*1000,0)</f>
        <v>0</v>
      </c>
      <c r="AC33" s="120">
        <f>IF(AND(J33="OK",ISNUMBER($B$5),$B$5&gt;0,ISNUMBER($B$3),$B$3&gt;0),F33/(6*$B$3*1000000*$B$5)*(IF(B33&lt;($B$4*2/10),($B$4*2/10)*(MIN(C33,($B$4*2/10))^3-B33^3)-(MIN(C33,($B$4*2/10))^4-B33^4)/4,0)+IF(C33&gt;($B$4*2/10),($B$4*2/10)^2*(1.5*(C33^2-MAX(B33,($B$4*2/10))^2)-($B$4*2/10)*(C33-MAX(B33,($B$4*2/10)))),0))*1000,0)</f>
        <v>0</v>
      </c>
      <c r="AD33" s="120">
        <f>IF(AND(J33="OK",ISNUMBER($B$5),$B$5&gt;0,ISNUMBER($B$3),$B$3&gt;0),F33/(6*$B$3*1000000*$B$5)*(IF(B33&lt;($B$4*3/10),($B$4*3/10)*(MIN(C33,($B$4*3/10))^3-B33^3)-(MIN(C33,($B$4*3/10))^4-B33^4)/4,0)+IF(C33&gt;($B$4*3/10),($B$4*3/10)^2*(1.5*(C33^2-MAX(B33,($B$4*3/10))^2)-($B$4*3/10)*(C33-MAX(B33,($B$4*3/10)))),0))*1000,0)</f>
        <v>0</v>
      </c>
      <c r="AE33" s="120">
        <f>IF(AND(J33="OK",ISNUMBER($B$5),$B$5&gt;0,ISNUMBER($B$3),$B$3&gt;0),F33/(6*$B$3*1000000*$B$5)*(IF(B33&lt;($B$4*4/10),($B$4*4/10)*(MIN(C33,($B$4*4/10))^3-B33^3)-(MIN(C33,($B$4*4/10))^4-B33^4)/4,0)+IF(C33&gt;($B$4*4/10),($B$4*4/10)^2*(1.5*(C33^2-MAX(B33,($B$4*4/10))^2)-($B$4*4/10)*(C33-MAX(B33,($B$4*4/10)))),0))*1000,0)</f>
        <v>0</v>
      </c>
      <c r="AF33" s="120">
        <f>IF(AND(J33="OK",ISNUMBER($B$5),$B$5&gt;0,ISNUMBER($B$3),$B$3&gt;0),F33/(6*$B$3*1000000*$B$5)*(IF(B33&lt;($B$4*5/10),($B$4*5/10)*(MIN(C33,($B$4*5/10))^3-B33^3)-(MIN(C33,($B$4*5/10))^4-B33^4)/4,0)+IF(C33&gt;($B$4*5/10),($B$4*5/10)^2*(1.5*(C33^2-MAX(B33,($B$4*5/10))^2)-($B$4*5/10)*(C33-MAX(B33,($B$4*5/10)))),0))*1000,0)</f>
        <v>0</v>
      </c>
      <c r="AG33" s="120">
        <f>IF(AND(J33="OK",ISNUMBER($B$5),$B$5&gt;0,ISNUMBER($B$3),$B$3&gt;0),F33/(6*$B$3*1000000*$B$5)*(IF(B33&lt;($B$4*6/10),($B$4*6/10)*(MIN(C33,($B$4*6/10))^3-B33^3)-(MIN(C33,($B$4*6/10))^4-B33^4)/4,0)+IF(C33&gt;($B$4*6/10),($B$4*6/10)^2*(1.5*(C33^2-MAX(B33,($B$4*6/10))^2)-($B$4*6/10)*(C33-MAX(B33,($B$4*6/10)))),0))*1000,0)</f>
        <v>0</v>
      </c>
      <c r="AH33" s="120">
        <f>IF(AND(J33="OK",ISNUMBER($B$5),$B$5&gt;0,ISNUMBER($B$3),$B$3&gt;0),F33/(6*$B$3*1000000*$B$5)*(IF(B33&lt;($B$4*7/10),($B$4*7/10)*(MIN(C33,($B$4*7/10))^3-B33^3)-(MIN(C33,($B$4*7/10))^4-B33^4)/4,0)+IF(C33&gt;($B$4*7/10),($B$4*7/10)^2*(1.5*(C33^2-MAX(B33,($B$4*7/10))^2)-($B$4*7/10)*(C33-MAX(B33,($B$4*7/10)))),0))*1000,0)</f>
        <v>0</v>
      </c>
      <c r="AI33" s="120">
        <f>IF(AND(J33="OK",ISNUMBER($B$5),$B$5&gt;0,ISNUMBER($B$3),$B$3&gt;0),F33/(6*$B$3*1000000*$B$5)*(IF(B33&lt;($B$4*8/10),($B$4*8/10)*(MIN(C33,($B$4*8/10))^3-B33^3)-(MIN(C33,($B$4*8/10))^4-B33^4)/4,0)+IF(C33&gt;($B$4*8/10),($B$4*8/10)^2*(1.5*(C33^2-MAX(B33,($B$4*8/10))^2)-($B$4*8/10)*(C33-MAX(B33,($B$4*8/10)))),0))*1000,0)</f>
        <v>0</v>
      </c>
      <c r="AJ33" s="120">
        <f>IF(AND(J33="OK",ISNUMBER($B$5),$B$5&gt;0,ISNUMBER($B$3),$B$3&gt;0),F33/(6*$B$3*1000000*$B$5)*(IF(B33&lt;($B$4*9/10),($B$4*9/10)*(MIN(C33,($B$4*9/10))^3-B33^3)-(MIN(C33,($B$4*9/10))^4-B33^4)/4,0)+IF(C33&gt;($B$4*9/10),($B$4*9/10)^2*(1.5*(C33^2-MAX(B33,($B$4*9/10))^2)-($B$4*9/10)*(C33-MAX(B33,($B$4*9/10)))),0))*1000,0)</f>
        <v>0</v>
      </c>
      <c r="AK33" s="120">
        <f>IF(AND(J33="OK",ISNUMBER($B$5),$B$5&gt;0,ISNUMBER($B$3),$B$3&gt;0),F33/(6*$B$3*1000000*$B$5)*(IF(B33&lt;($B$4*10/10),($B$4*10/10)*(MIN(C33,($B$4*10/10))^3-B33^3)-(MIN(C33,($B$4*10/10))^4-B33^4)/4,0)+IF(C33&gt;($B$4*10/10),($B$4*10/10)^2*(1.5*(C33^2-MAX(B33,($B$4*10/10))^2)-($B$4*10/10)*(C33-MAX(B33,($B$4*10/10)))),0))*1000,0)</f>
        <v>0</v>
      </c>
      <c r="AM33" s="120">
        <f>IF(AND(V33="OK",ISNUMBER($N$5),$N$5&gt;0,ISNUMBER($N$3),$N$3&gt;0),R33/(6*$N$3*1000000*$N$5)*(IF(N33&lt;($N$4*0/10),($N$4*0/10)*(MIN(O33,($N$4*0/10))^3-N33^3)-(MIN(O33,($N$4*0/10))^4-N33^4)/4,0)+IF(O33&gt;($N$4*0/10),($N$4*0/10)^2*(1.5*(O33^2-MAX(N33,($N$4*0/10))^2)-($N$4*0/10)*(O33-MAX(N33,($N$4*0/10)))),0))*1000,0)</f>
        <v>0</v>
      </c>
      <c r="AN33" s="120">
        <f>IF(AND(V33="OK",ISNUMBER($N$5),$N$5&gt;0,ISNUMBER($N$3),$N$3&gt;0),R33/(6*$N$3*1000000*$N$5)*(IF(N33&lt;($N$4*1/10),($N$4*1/10)*(MIN(O33,($N$4*1/10))^3-N33^3)-(MIN(O33,($N$4*1/10))^4-N33^4)/4,0)+IF(O33&gt;($N$4*1/10),($N$4*1/10)^2*(1.5*(O33^2-MAX(N33,($N$4*1/10))^2)-($N$4*1/10)*(O33-MAX(N33,($N$4*1/10)))),0))*1000,0)</f>
        <v>0</v>
      </c>
      <c r="AO33" s="120">
        <f>IF(AND(V33="OK",ISNUMBER($N$5),$N$5&gt;0,ISNUMBER($N$3),$N$3&gt;0),R33/(6*$N$3*1000000*$N$5)*(IF(N33&lt;($N$4*2/10),($N$4*2/10)*(MIN(O33,($N$4*2/10))^3-N33^3)-(MIN(O33,($N$4*2/10))^4-N33^4)/4,0)+IF(O33&gt;($N$4*2/10),($N$4*2/10)^2*(1.5*(O33^2-MAX(N33,($N$4*2/10))^2)-($N$4*2/10)*(O33-MAX(N33,($N$4*2/10)))),0))*1000,0)</f>
        <v>0</v>
      </c>
      <c r="AP33" s="120">
        <f>IF(AND(V33="OK",ISNUMBER($N$5),$N$5&gt;0,ISNUMBER($N$3),$N$3&gt;0),R33/(6*$N$3*1000000*$N$5)*(IF(N33&lt;($N$4*3/10),($N$4*3/10)*(MIN(O33,($N$4*3/10))^3-N33^3)-(MIN(O33,($N$4*3/10))^4-N33^4)/4,0)+IF(O33&gt;($N$4*3/10),($N$4*3/10)^2*(1.5*(O33^2-MAX(N33,($N$4*3/10))^2)-($N$4*3/10)*(O33-MAX(N33,($N$4*3/10)))),0))*1000,0)</f>
        <v>0</v>
      </c>
      <c r="AQ33" s="120">
        <f>IF(AND(V33="OK",ISNUMBER($N$5),$N$5&gt;0,ISNUMBER($N$3),$N$3&gt;0),R33/(6*$N$3*1000000*$N$5)*(IF(N33&lt;($N$4*4/10),($N$4*4/10)*(MIN(O33,($N$4*4/10))^3-N33^3)-(MIN(O33,($N$4*4/10))^4-N33^4)/4,0)+IF(O33&gt;($N$4*4/10),($N$4*4/10)^2*(1.5*(O33^2-MAX(N33,($N$4*4/10))^2)-($N$4*4/10)*(O33-MAX(N33,($N$4*4/10)))),0))*1000,0)</f>
        <v>0</v>
      </c>
      <c r="AR33" s="120">
        <f>IF(AND(V33="OK",ISNUMBER($N$5),$N$5&gt;0,ISNUMBER($N$3),$N$3&gt;0),R33/(6*$N$3*1000000*$N$5)*(IF(N33&lt;($N$4*5/10),($N$4*5/10)*(MIN(O33,($N$4*5/10))^3-N33^3)-(MIN(O33,($N$4*5/10))^4-N33^4)/4,0)+IF(O33&gt;($N$4*5/10),($N$4*5/10)^2*(1.5*(O33^2-MAX(N33,($N$4*5/10))^2)-($N$4*5/10)*(O33-MAX(N33,($N$4*5/10)))),0))*1000,0)</f>
        <v>0</v>
      </c>
      <c r="AS33" s="120">
        <f>IF(AND(V33="OK",ISNUMBER($N$5),$N$5&gt;0,ISNUMBER($N$3),$N$3&gt;0),R33/(6*$N$3*1000000*$N$5)*(IF(N33&lt;($N$4*6/10),($N$4*6/10)*(MIN(O33,($N$4*6/10))^3-N33^3)-(MIN(O33,($N$4*6/10))^4-N33^4)/4,0)+IF(O33&gt;($N$4*6/10),($N$4*6/10)^2*(1.5*(O33^2-MAX(N33,($N$4*6/10))^2)-($N$4*6/10)*(O33-MAX(N33,($N$4*6/10)))),0))*1000,0)</f>
        <v>0</v>
      </c>
      <c r="AT33" s="120">
        <f>IF(AND(V33="OK",ISNUMBER($N$5),$N$5&gt;0,ISNUMBER($N$3),$N$3&gt;0),R33/(6*$N$3*1000000*$N$5)*(IF(N33&lt;($N$4*7/10),($N$4*7/10)*(MIN(O33,($N$4*7/10))^3-N33^3)-(MIN(O33,($N$4*7/10))^4-N33^4)/4,0)+IF(O33&gt;($N$4*7/10),($N$4*7/10)^2*(1.5*(O33^2-MAX(N33,($N$4*7/10))^2)-($N$4*7/10)*(O33-MAX(N33,($N$4*7/10)))),0))*1000,0)</f>
        <v>0</v>
      </c>
      <c r="AU33" s="120">
        <f>IF(AND(V33="OK",ISNUMBER($N$5),$N$5&gt;0,ISNUMBER($N$3),$N$3&gt;0),R33/(6*$N$3*1000000*$N$5)*(IF(N33&lt;($N$4*8/10),($N$4*8/10)*(MIN(O33,($N$4*8/10))^3-N33^3)-(MIN(O33,($N$4*8/10))^4-N33^4)/4,0)+IF(O33&gt;($N$4*8/10),($N$4*8/10)^2*(1.5*(O33^2-MAX(N33,($N$4*8/10))^2)-($N$4*8/10)*(O33-MAX(N33,($N$4*8/10)))),0))*1000,0)</f>
        <v>0</v>
      </c>
      <c r="AV33" s="120">
        <f>IF(AND(V33="OK",ISNUMBER($N$5),$N$5&gt;0,ISNUMBER($N$3),$N$3&gt;0),R33/(6*$N$3*1000000*$N$5)*(IF(N33&lt;($N$4*9/10),($N$4*9/10)*(MIN(O33,($N$4*9/10))^3-N33^3)-(MIN(O33,($N$4*9/10))^4-N33^4)/4,0)+IF(O33&gt;($N$4*9/10),($N$4*9/10)^2*(1.5*(O33^2-MAX(N33,($N$4*9/10))^2)-($N$4*9/10)*(O33-MAX(N33,($N$4*9/10)))),0))*1000,0)</f>
        <v>0</v>
      </c>
      <c r="AW33" s="120">
        <f>IF(AND(V33="OK",ISNUMBER($N$5),$N$5&gt;0,ISNUMBER($N$3),$N$3&gt;0),R33/(6*$N$3*1000000*$N$5)*(IF(N33&lt;($N$4*10/10),($N$4*10/10)*(MIN(O33,($N$4*10/10))^3-N33^3)-(MIN(O33,($N$4*10/10))^4-N33^4)/4,0)+IF(O33&gt;($N$4*10/10),($N$4*10/10)^2*(1.5*(O33^2-MAX(N33,($N$4*10/10))^2)-($N$4*10/10)*(O33-MAX(N33,($N$4*10/10)))),0))*1000,0)</f>
        <v>0</v>
      </c>
    </row>
    <row r="34" spans="1:49">
      <c r="A34" s="124"/>
      <c r="B34" s="125"/>
      <c r="C34" s="125"/>
      <c r="D34" s="125"/>
      <c r="E34" s="125"/>
      <c r="F34" s="126" t="str">
        <f>IF(J34="OK",D34*E34,"")</f>
        <v/>
      </c>
      <c r="G34" s="126" t="str">
        <f>IF(J34="OK",F34*(C34-B34),"")</f>
        <v/>
      </c>
      <c r="H34" s="126" t="str">
        <f>IF(J34="OK",G34*(C34+B34)/2,"")</f>
        <v/>
      </c>
      <c r="I34" s="126" t="str">
        <f>IF(AND(J34="OK",ISNUMBER($B$5),$B$5&gt;0,ISNUMBER($B$3),$B$3&gt;0),F34*(4*$B$4*(C34^3-B34^3)-(C34^4-B34^4))/(24*$B$3*1000000*$B$5)*1000,"")</f>
        <v/>
      </c>
      <c r="J34" s="120" t="str">
        <f>IF(COUNTA(A34:E34)=0,"",IF(AND(COUNT(B34:E34)=4,B34&gt;=0,C34&gt;B34,C34&lt;=$B$4,D34&gt;=0,E34&gt;0),IF(COUNTIFS($B$13:$B$33,"&lt;"&amp;C34,$C$13:$C$33,"&gt;"&amp;B34)&gt;0,"OVERLAP","OK"),"CHECK INPUTS"))</f>
        <v/>
      </c>
      <c r="M34" s="124"/>
      <c r="N34" s="125"/>
      <c r="O34" s="125"/>
      <c r="P34" s="125"/>
      <c r="Q34" s="125"/>
      <c r="R34" s="126" t="str">
        <f>IF(V34="OK",P34*Q34,"")</f>
        <v/>
      </c>
      <c r="S34" s="126" t="str">
        <f>IF(V34="OK",R34*(O34-N34),"")</f>
        <v/>
      </c>
      <c r="T34" s="126" t="str">
        <f>IF(V34="OK",S34*(O34+N34)/2,"")</f>
        <v/>
      </c>
      <c r="U34" s="126" t="str">
        <f>IF(AND(V34="OK",ISNUMBER($N$5),$N$5&gt;0,ISNUMBER($N$3),$N$3&gt;0),R34*(4*$N$4*(O34^3-N34^3)-(O34^4-N34^4))/(24*$N$3*1000000*$N$5)*1000,"")</f>
        <v/>
      </c>
      <c r="V34" s="120" t="str">
        <f>IF(COUNTA(M34:Q34)=0,"",IF(AND(COUNT(N34:Q34)=4,N34&gt;=0,O34&gt;N34,O34&lt;=$N$4,P34&gt;=0,Q34&gt;0),IF(COUNTIFS($N$13:$N$33,"&lt;"&amp;O34,$O$13:$O$33,"&gt;"&amp;N34)&gt;0,"OVERLAP","OK"),"CHECK INPUTS"))</f>
        <v/>
      </c>
      <c r="AA34" s="120">
        <f>IF(AND(J34="OK",ISNUMBER($B$5),$B$5&gt;0,ISNUMBER($B$3),$B$3&gt;0),F34/(6*$B$3*1000000*$B$5)*(IF(B34&lt;($B$4*0/10),($B$4*0/10)*(MIN(C34,($B$4*0/10))^3-B34^3)-(MIN(C34,($B$4*0/10))^4-B34^4)/4,0)+IF(C34&gt;($B$4*0/10),($B$4*0/10)^2*(1.5*(C34^2-MAX(B34,($B$4*0/10))^2)-($B$4*0/10)*(C34-MAX(B34,($B$4*0/10)))),0))*1000,0)</f>
        <v>0</v>
      </c>
      <c r="AB34" s="120">
        <f>IF(AND(J34="OK",ISNUMBER($B$5),$B$5&gt;0,ISNUMBER($B$3),$B$3&gt;0),F34/(6*$B$3*1000000*$B$5)*(IF(B34&lt;($B$4*1/10),($B$4*1/10)*(MIN(C34,($B$4*1/10))^3-B34^3)-(MIN(C34,($B$4*1/10))^4-B34^4)/4,0)+IF(C34&gt;($B$4*1/10),($B$4*1/10)^2*(1.5*(C34^2-MAX(B34,($B$4*1/10))^2)-($B$4*1/10)*(C34-MAX(B34,($B$4*1/10)))),0))*1000,0)</f>
        <v>0</v>
      </c>
      <c r="AC34" s="120">
        <f>IF(AND(J34="OK",ISNUMBER($B$5),$B$5&gt;0,ISNUMBER($B$3),$B$3&gt;0),F34/(6*$B$3*1000000*$B$5)*(IF(B34&lt;($B$4*2/10),($B$4*2/10)*(MIN(C34,($B$4*2/10))^3-B34^3)-(MIN(C34,($B$4*2/10))^4-B34^4)/4,0)+IF(C34&gt;($B$4*2/10),($B$4*2/10)^2*(1.5*(C34^2-MAX(B34,($B$4*2/10))^2)-($B$4*2/10)*(C34-MAX(B34,($B$4*2/10)))),0))*1000,0)</f>
        <v>0</v>
      </c>
      <c r="AD34" s="120">
        <f>IF(AND(J34="OK",ISNUMBER($B$5),$B$5&gt;0,ISNUMBER($B$3),$B$3&gt;0),F34/(6*$B$3*1000000*$B$5)*(IF(B34&lt;($B$4*3/10),($B$4*3/10)*(MIN(C34,($B$4*3/10))^3-B34^3)-(MIN(C34,($B$4*3/10))^4-B34^4)/4,0)+IF(C34&gt;($B$4*3/10),($B$4*3/10)^2*(1.5*(C34^2-MAX(B34,($B$4*3/10))^2)-($B$4*3/10)*(C34-MAX(B34,($B$4*3/10)))),0))*1000,0)</f>
        <v>0</v>
      </c>
      <c r="AE34" s="120">
        <f>IF(AND(J34="OK",ISNUMBER($B$5),$B$5&gt;0,ISNUMBER($B$3),$B$3&gt;0),F34/(6*$B$3*1000000*$B$5)*(IF(B34&lt;($B$4*4/10),($B$4*4/10)*(MIN(C34,($B$4*4/10))^3-B34^3)-(MIN(C34,($B$4*4/10))^4-B34^4)/4,0)+IF(C34&gt;($B$4*4/10),($B$4*4/10)^2*(1.5*(C34^2-MAX(B34,($B$4*4/10))^2)-($B$4*4/10)*(C34-MAX(B34,($B$4*4/10)))),0))*1000,0)</f>
        <v>0</v>
      </c>
      <c r="AF34" s="120">
        <f>IF(AND(J34="OK",ISNUMBER($B$5),$B$5&gt;0,ISNUMBER($B$3),$B$3&gt;0),F34/(6*$B$3*1000000*$B$5)*(IF(B34&lt;($B$4*5/10),($B$4*5/10)*(MIN(C34,($B$4*5/10))^3-B34^3)-(MIN(C34,($B$4*5/10))^4-B34^4)/4,0)+IF(C34&gt;($B$4*5/10),($B$4*5/10)^2*(1.5*(C34^2-MAX(B34,($B$4*5/10))^2)-($B$4*5/10)*(C34-MAX(B34,($B$4*5/10)))),0))*1000,0)</f>
        <v>0</v>
      </c>
      <c r="AG34" s="120">
        <f>IF(AND(J34="OK",ISNUMBER($B$5),$B$5&gt;0,ISNUMBER($B$3),$B$3&gt;0),F34/(6*$B$3*1000000*$B$5)*(IF(B34&lt;($B$4*6/10),($B$4*6/10)*(MIN(C34,($B$4*6/10))^3-B34^3)-(MIN(C34,($B$4*6/10))^4-B34^4)/4,0)+IF(C34&gt;($B$4*6/10),($B$4*6/10)^2*(1.5*(C34^2-MAX(B34,($B$4*6/10))^2)-($B$4*6/10)*(C34-MAX(B34,($B$4*6/10)))),0))*1000,0)</f>
        <v>0</v>
      </c>
      <c r="AH34" s="120">
        <f>IF(AND(J34="OK",ISNUMBER($B$5),$B$5&gt;0,ISNUMBER($B$3),$B$3&gt;0),F34/(6*$B$3*1000000*$B$5)*(IF(B34&lt;($B$4*7/10),($B$4*7/10)*(MIN(C34,($B$4*7/10))^3-B34^3)-(MIN(C34,($B$4*7/10))^4-B34^4)/4,0)+IF(C34&gt;($B$4*7/10),($B$4*7/10)^2*(1.5*(C34^2-MAX(B34,($B$4*7/10))^2)-($B$4*7/10)*(C34-MAX(B34,($B$4*7/10)))),0))*1000,0)</f>
        <v>0</v>
      </c>
      <c r="AI34" s="120">
        <f>IF(AND(J34="OK",ISNUMBER($B$5),$B$5&gt;0,ISNUMBER($B$3),$B$3&gt;0),F34/(6*$B$3*1000000*$B$5)*(IF(B34&lt;($B$4*8/10),($B$4*8/10)*(MIN(C34,($B$4*8/10))^3-B34^3)-(MIN(C34,($B$4*8/10))^4-B34^4)/4,0)+IF(C34&gt;($B$4*8/10),($B$4*8/10)^2*(1.5*(C34^2-MAX(B34,($B$4*8/10))^2)-($B$4*8/10)*(C34-MAX(B34,($B$4*8/10)))),0))*1000,0)</f>
        <v>0</v>
      </c>
      <c r="AJ34" s="120">
        <f>IF(AND(J34="OK",ISNUMBER($B$5),$B$5&gt;0,ISNUMBER($B$3),$B$3&gt;0),F34/(6*$B$3*1000000*$B$5)*(IF(B34&lt;($B$4*9/10),($B$4*9/10)*(MIN(C34,($B$4*9/10))^3-B34^3)-(MIN(C34,($B$4*9/10))^4-B34^4)/4,0)+IF(C34&gt;($B$4*9/10),($B$4*9/10)^2*(1.5*(C34^2-MAX(B34,($B$4*9/10))^2)-($B$4*9/10)*(C34-MAX(B34,($B$4*9/10)))),0))*1000,0)</f>
        <v>0</v>
      </c>
      <c r="AK34" s="120">
        <f>IF(AND(J34="OK",ISNUMBER($B$5),$B$5&gt;0,ISNUMBER($B$3),$B$3&gt;0),F34/(6*$B$3*1000000*$B$5)*(IF(B34&lt;($B$4*10/10),($B$4*10/10)*(MIN(C34,($B$4*10/10))^3-B34^3)-(MIN(C34,($B$4*10/10))^4-B34^4)/4,0)+IF(C34&gt;($B$4*10/10),($B$4*10/10)^2*(1.5*(C34^2-MAX(B34,($B$4*10/10))^2)-($B$4*10/10)*(C34-MAX(B34,($B$4*10/10)))),0))*1000,0)</f>
        <v>0</v>
      </c>
      <c r="AM34" s="120">
        <f>IF(AND(V34="OK",ISNUMBER($N$5),$N$5&gt;0,ISNUMBER($N$3),$N$3&gt;0),R34/(6*$N$3*1000000*$N$5)*(IF(N34&lt;($N$4*0/10),($N$4*0/10)*(MIN(O34,($N$4*0/10))^3-N34^3)-(MIN(O34,($N$4*0/10))^4-N34^4)/4,0)+IF(O34&gt;($N$4*0/10),($N$4*0/10)^2*(1.5*(O34^2-MAX(N34,($N$4*0/10))^2)-($N$4*0/10)*(O34-MAX(N34,($N$4*0/10)))),0))*1000,0)</f>
        <v>0</v>
      </c>
      <c r="AN34" s="120">
        <f>IF(AND(V34="OK",ISNUMBER($N$5),$N$5&gt;0,ISNUMBER($N$3),$N$3&gt;0),R34/(6*$N$3*1000000*$N$5)*(IF(N34&lt;($N$4*1/10),($N$4*1/10)*(MIN(O34,($N$4*1/10))^3-N34^3)-(MIN(O34,($N$4*1/10))^4-N34^4)/4,0)+IF(O34&gt;($N$4*1/10),($N$4*1/10)^2*(1.5*(O34^2-MAX(N34,($N$4*1/10))^2)-($N$4*1/10)*(O34-MAX(N34,($N$4*1/10)))),0))*1000,0)</f>
        <v>0</v>
      </c>
      <c r="AO34" s="120">
        <f>IF(AND(V34="OK",ISNUMBER($N$5),$N$5&gt;0,ISNUMBER($N$3),$N$3&gt;0),R34/(6*$N$3*1000000*$N$5)*(IF(N34&lt;($N$4*2/10),($N$4*2/10)*(MIN(O34,($N$4*2/10))^3-N34^3)-(MIN(O34,($N$4*2/10))^4-N34^4)/4,0)+IF(O34&gt;($N$4*2/10),($N$4*2/10)^2*(1.5*(O34^2-MAX(N34,($N$4*2/10))^2)-($N$4*2/10)*(O34-MAX(N34,($N$4*2/10)))),0))*1000,0)</f>
        <v>0</v>
      </c>
      <c r="AP34" s="120">
        <f>IF(AND(V34="OK",ISNUMBER($N$5),$N$5&gt;0,ISNUMBER($N$3),$N$3&gt;0),R34/(6*$N$3*1000000*$N$5)*(IF(N34&lt;($N$4*3/10),($N$4*3/10)*(MIN(O34,($N$4*3/10))^3-N34^3)-(MIN(O34,($N$4*3/10))^4-N34^4)/4,0)+IF(O34&gt;($N$4*3/10),($N$4*3/10)^2*(1.5*(O34^2-MAX(N34,($N$4*3/10))^2)-($N$4*3/10)*(O34-MAX(N34,($N$4*3/10)))),0))*1000,0)</f>
        <v>0</v>
      </c>
      <c r="AQ34" s="120">
        <f>IF(AND(V34="OK",ISNUMBER($N$5),$N$5&gt;0,ISNUMBER($N$3),$N$3&gt;0),R34/(6*$N$3*1000000*$N$5)*(IF(N34&lt;($N$4*4/10),($N$4*4/10)*(MIN(O34,($N$4*4/10))^3-N34^3)-(MIN(O34,($N$4*4/10))^4-N34^4)/4,0)+IF(O34&gt;($N$4*4/10),($N$4*4/10)^2*(1.5*(O34^2-MAX(N34,($N$4*4/10))^2)-($N$4*4/10)*(O34-MAX(N34,($N$4*4/10)))),0))*1000,0)</f>
        <v>0</v>
      </c>
      <c r="AR34" s="120">
        <f>IF(AND(V34="OK",ISNUMBER($N$5),$N$5&gt;0,ISNUMBER($N$3),$N$3&gt;0),R34/(6*$N$3*1000000*$N$5)*(IF(N34&lt;($N$4*5/10),($N$4*5/10)*(MIN(O34,($N$4*5/10))^3-N34^3)-(MIN(O34,($N$4*5/10))^4-N34^4)/4,0)+IF(O34&gt;($N$4*5/10),($N$4*5/10)^2*(1.5*(O34^2-MAX(N34,($N$4*5/10))^2)-($N$4*5/10)*(O34-MAX(N34,($N$4*5/10)))),0))*1000,0)</f>
        <v>0</v>
      </c>
      <c r="AS34" s="120">
        <f>IF(AND(V34="OK",ISNUMBER($N$5),$N$5&gt;0,ISNUMBER($N$3),$N$3&gt;0),R34/(6*$N$3*1000000*$N$5)*(IF(N34&lt;($N$4*6/10),($N$4*6/10)*(MIN(O34,($N$4*6/10))^3-N34^3)-(MIN(O34,($N$4*6/10))^4-N34^4)/4,0)+IF(O34&gt;($N$4*6/10),($N$4*6/10)^2*(1.5*(O34^2-MAX(N34,($N$4*6/10))^2)-($N$4*6/10)*(O34-MAX(N34,($N$4*6/10)))),0))*1000,0)</f>
        <v>0</v>
      </c>
      <c r="AT34" s="120">
        <f>IF(AND(V34="OK",ISNUMBER($N$5),$N$5&gt;0,ISNUMBER($N$3),$N$3&gt;0),R34/(6*$N$3*1000000*$N$5)*(IF(N34&lt;($N$4*7/10),($N$4*7/10)*(MIN(O34,($N$4*7/10))^3-N34^3)-(MIN(O34,($N$4*7/10))^4-N34^4)/4,0)+IF(O34&gt;($N$4*7/10),($N$4*7/10)^2*(1.5*(O34^2-MAX(N34,($N$4*7/10))^2)-($N$4*7/10)*(O34-MAX(N34,($N$4*7/10)))),0))*1000,0)</f>
        <v>0</v>
      </c>
      <c r="AU34" s="120">
        <f>IF(AND(V34="OK",ISNUMBER($N$5),$N$5&gt;0,ISNUMBER($N$3),$N$3&gt;0),R34/(6*$N$3*1000000*$N$5)*(IF(N34&lt;($N$4*8/10),($N$4*8/10)*(MIN(O34,($N$4*8/10))^3-N34^3)-(MIN(O34,($N$4*8/10))^4-N34^4)/4,0)+IF(O34&gt;($N$4*8/10),($N$4*8/10)^2*(1.5*(O34^2-MAX(N34,($N$4*8/10))^2)-($N$4*8/10)*(O34-MAX(N34,($N$4*8/10)))),0))*1000,0)</f>
        <v>0</v>
      </c>
      <c r="AV34" s="120">
        <f>IF(AND(V34="OK",ISNUMBER($N$5),$N$5&gt;0,ISNUMBER($N$3),$N$3&gt;0),R34/(6*$N$3*1000000*$N$5)*(IF(N34&lt;($N$4*9/10),($N$4*9/10)*(MIN(O34,($N$4*9/10))^3-N34^3)-(MIN(O34,($N$4*9/10))^4-N34^4)/4,0)+IF(O34&gt;($N$4*9/10),($N$4*9/10)^2*(1.5*(O34^2-MAX(N34,($N$4*9/10))^2)-($N$4*9/10)*(O34-MAX(N34,($N$4*9/10)))),0))*1000,0)</f>
        <v>0</v>
      </c>
      <c r="AW34" s="120">
        <f>IF(AND(V34="OK",ISNUMBER($N$5),$N$5&gt;0,ISNUMBER($N$3),$N$3&gt;0),R34/(6*$N$3*1000000*$N$5)*(IF(N34&lt;($N$4*10/10),($N$4*10/10)*(MIN(O34,($N$4*10/10))^3-N34^3)-(MIN(O34,($N$4*10/10))^4-N34^4)/4,0)+IF(O34&gt;($N$4*10/10),($N$4*10/10)^2*(1.5*(O34^2-MAX(N34,($N$4*10/10))^2)-($N$4*10/10)*(O34-MAX(N34,($N$4*10/10)))),0))*1000,0)</f>
        <v>0</v>
      </c>
    </row>
    <row r="35" spans="1:49">
      <c r="A35" s="124"/>
      <c r="B35" s="125"/>
      <c r="C35" s="125"/>
      <c r="D35" s="125"/>
      <c r="E35" s="125"/>
      <c r="F35" s="126" t="str">
        <f>IF(J35="OK",D35*E35,"")</f>
        <v/>
      </c>
      <c r="G35" s="126" t="str">
        <f>IF(J35="OK",F35*(C35-B35),"")</f>
        <v/>
      </c>
      <c r="H35" s="126" t="str">
        <f>IF(J35="OK",G35*(C35+B35)/2,"")</f>
        <v/>
      </c>
      <c r="I35" s="126" t="str">
        <f>IF(AND(J35="OK",ISNUMBER($B$5),$B$5&gt;0,ISNUMBER($B$3),$B$3&gt;0),F35*(4*$B$4*(C35^3-B35^3)-(C35^4-B35^4))/(24*$B$3*1000000*$B$5)*1000,"")</f>
        <v/>
      </c>
      <c r="J35" s="120" t="str">
        <f>IF(COUNTA(A35:E35)=0,"",IF(AND(COUNT(B35:E35)=4,B35&gt;=0,C35&gt;B35,C35&lt;=$B$4,D35&gt;=0,E35&gt;0),IF(COUNTIFS($B$13:$B$34,"&lt;"&amp;C35,$C$13:$C$34,"&gt;"&amp;B35)&gt;0,"OVERLAP","OK"),"CHECK INPUTS"))</f>
        <v/>
      </c>
      <c r="M35" s="124"/>
      <c r="N35" s="125"/>
      <c r="O35" s="125"/>
      <c r="P35" s="125"/>
      <c r="Q35" s="125"/>
      <c r="R35" s="126" t="str">
        <f>IF(V35="OK",P35*Q35,"")</f>
        <v/>
      </c>
      <c r="S35" s="126" t="str">
        <f>IF(V35="OK",R35*(O35-N35),"")</f>
        <v/>
      </c>
      <c r="T35" s="126" t="str">
        <f>IF(V35="OK",S35*(O35+N35)/2,"")</f>
        <v/>
      </c>
      <c r="U35" s="126" t="str">
        <f>IF(AND(V35="OK",ISNUMBER($N$5),$N$5&gt;0,ISNUMBER($N$3),$N$3&gt;0),R35*(4*$N$4*(O35^3-N35^3)-(O35^4-N35^4))/(24*$N$3*1000000*$N$5)*1000,"")</f>
        <v/>
      </c>
      <c r="V35" s="120" t="str">
        <f>IF(COUNTA(M35:Q35)=0,"",IF(AND(COUNT(N35:Q35)=4,N35&gt;=0,O35&gt;N35,O35&lt;=$N$4,P35&gt;=0,Q35&gt;0),IF(COUNTIFS($N$13:$N$34,"&lt;"&amp;O35,$O$13:$O$34,"&gt;"&amp;N35)&gt;0,"OVERLAP","OK"),"CHECK INPUTS"))</f>
        <v/>
      </c>
      <c r="AA35" s="120">
        <f>IF(AND(J35="OK",ISNUMBER($B$5),$B$5&gt;0,ISNUMBER($B$3),$B$3&gt;0),F35/(6*$B$3*1000000*$B$5)*(IF(B35&lt;($B$4*0/10),($B$4*0/10)*(MIN(C35,($B$4*0/10))^3-B35^3)-(MIN(C35,($B$4*0/10))^4-B35^4)/4,0)+IF(C35&gt;($B$4*0/10),($B$4*0/10)^2*(1.5*(C35^2-MAX(B35,($B$4*0/10))^2)-($B$4*0/10)*(C35-MAX(B35,($B$4*0/10)))),0))*1000,0)</f>
        <v>0</v>
      </c>
      <c r="AB35" s="120">
        <f>IF(AND(J35="OK",ISNUMBER($B$5),$B$5&gt;0,ISNUMBER($B$3),$B$3&gt;0),F35/(6*$B$3*1000000*$B$5)*(IF(B35&lt;($B$4*1/10),($B$4*1/10)*(MIN(C35,($B$4*1/10))^3-B35^3)-(MIN(C35,($B$4*1/10))^4-B35^4)/4,0)+IF(C35&gt;($B$4*1/10),($B$4*1/10)^2*(1.5*(C35^2-MAX(B35,($B$4*1/10))^2)-($B$4*1/10)*(C35-MAX(B35,($B$4*1/10)))),0))*1000,0)</f>
        <v>0</v>
      </c>
      <c r="AC35" s="120">
        <f>IF(AND(J35="OK",ISNUMBER($B$5),$B$5&gt;0,ISNUMBER($B$3),$B$3&gt;0),F35/(6*$B$3*1000000*$B$5)*(IF(B35&lt;($B$4*2/10),($B$4*2/10)*(MIN(C35,($B$4*2/10))^3-B35^3)-(MIN(C35,($B$4*2/10))^4-B35^4)/4,0)+IF(C35&gt;($B$4*2/10),($B$4*2/10)^2*(1.5*(C35^2-MAX(B35,($B$4*2/10))^2)-($B$4*2/10)*(C35-MAX(B35,($B$4*2/10)))),0))*1000,0)</f>
        <v>0</v>
      </c>
      <c r="AD35" s="120">
        <f>IF(AND(J35="OK",ISNUMBER($B$5),$B$5&gt;0,ISNUMBER($B$3),$B$3&gt;0),F35/(6*$B$3*1000000*$B$5)*(IF(B35&lt;($B$4*3/10),($B$4*3/10)*(MIN(C35,($B$4*3/10))^3-B35^3)-(MIN(C35,($B$4*3/10))^4-B35^4)/4,0)+IF(C35&gt;($B$4*3/10),($B$4*3/10)^2*(1.5*(C35^2-MAX(B35,($B$4*3/10))^2)-($B$4*3/10)*(C35-MAX(B35,($B$4*3/10)))),0))*1000,0)</f>
        <v>0</v>
      </c>
      <c r="AE35" s="120">
        <f>IF(AND(J35="OK",ISNUMBER($B$5),$B$5&gt;0,ISNUMBER($B$3),$B$3&gt;0),F35/(6*$B$3*1000000*$B$5)*(IF(B35&lt;($B$4*4/10),($B$4*4/10)*(MIN(C35,($B$4*4/10))^3-B35^3)-(MIN(C35,($B$4*4/10))^4-B35^4)/4,0)+IF(C35&gt;($B$4*4/10),($B$4*4/10)^2*(1.5*(C35^2-MAX(B35,($B$4*4/10))^2)-($B$4*4/10)*(C35-MAX(B35,($B$4*4/10)))),0))*1000,0)</f>
        <v>0</v>
      </c>
      <c r="AF35" s="120">
        <f>IF(AND(J35="OK",ISNUMBER($B$5),$B$5&gt;0,ISNUMBER($B$3),$B$3&gt;0),F35/(6*$B$3*1000000*$B$5)*(IF(B35&lt;($B$4*5/10),($B$4*5/10)*(MIN(C35,($B$4*5/10))^3-B35^3)-(MIN(C35,($B$4*5/10))^4-B35^4)/4,0)+IF(C35&gt;($B$4*5/10),($B$4*5/10)^2*(1.5*(C35^2-MAX(B35,($B$4*5/10))^2)-($B$4*5/10)*(C35-MAX(B35,($B$4*5/10)))),0))*1000,0)</f>
        <v>0</v>
      </c>
      <c r="AG35" s="120">
        <f>IF(AND(J35="OK",ISNUMBER($B$5),$B$5&gt;0,ISNUMBER($B$3),$B$3&gt;0),F35/(6*$B$3*1000000*$B$5)*(IF(B35&lt;($B$4*6/10),($B$4*6/10)*(MIN(C35,($B$4*6/10))^3-B35^3)-(MIN(C35,($B$4*6/10))^4-B35^4)/4,0)+IF(C35&gt;($B$4*6/10),($B$4*6/10)^2*(1.5*(C35^2-MAX(B35,($B$4*6/10))^2)-($B$4*6/10)*(C35-MAX(B35,($B$4*6/10)))),0))*1000,0)</f>
        <v>0</v>
      </c>
      <c r="AH35" s="120">
        <f>IF(AND(J35="OK",ISNUMBER($B$5),$B$5&gt;0,ISNUMBER($B$3),$B$3&gt;0),F35/(6*$B$3*1000000*$B$5)*(IF(B35&lt;($B$4*7/10),($B$4*7/10)*(MIN(C35,($B$4*7/10))^3-B35^3)-(MIN(C35,($B$4*7/10))^4-B35^4)/4,0)+IF(C35&gt;($B$4*7/10),($B$4*7/10)^2*(1.5*(C35^2-MAX(B35,($B$4*7/10))^2)-($B$4*7/10)*(C35-MAX(B35,($B$4*7/10)))),0))*1000,0)</f>
        <v>0</v>
      </c>
      <c r="AI35" s="120">
        <f>IF(AND(J35="OK",ISNUMBER($B$5),$B$5&gt;0,ISNUMBER($B$3),$B$3&gt;0),F35/(6*$B$3*1000000*$B$5)*(IF(B35&lt;($B$4*8/10),($B$4*8/10)*(MIN(C35,($B$4*8/10))^3-B35^3)-(MIN(C35,($B$4*8/10))^4-B35^4)/4,0)+IF(C35&gt;($B$4*8/10),($B$4*8/10)^2*(1.5*(C35^2-MAX(B35,($B$4*8/10))^2)-($B$4*8/10)*(C35-MAX(B35,($B$4*8/10)))),0))*1000,0)</f>
        <v>0</v>
      </c>
      <c r="AJ35" s="120">
        <f>IF(AND(J35="OK",ISNUMBER($B$5),$B$5&gt;0,ISNUMBER($B$3),$B$3&gt;0),F35/(6*$B$3*1000000*$B$5)*(IF(B35&lt;($B$4*9/10),($B$4*9/10)*(MIN(C35,($B$4*9/10))^3-B35^3)-(MIN(C35,($B$4*9/10))^4-B35^4)/4,0)+IF(C35&gt;($B$4*9/10),($B$4*9/10)^2*(1.5*(C35^2-MAX(B35,($B$4*9/10))^2)-($B$4*9/10)*(C35-MAX(B35,($B$4*9/10)))),0))*1000,0)</f>
        <v>0</v>
      </c>
      <c r="AK35" s="120">
        <f>IF(AND(J35="OK",ISNUMBER($B$5),$B$5&gt;0,ISNUMBER($B$3),$B$3&gt;0),F35/(6*$B$3*1000000*$B$5)*(IF(B35&lt;($B$4*10/10),($B$4*10/10)*(MIN(C35,($B$4*10/10))^3-B35^3)-(MIN(C35,($B$4*10/10))^4-B35^4)/4,0)+IF(C35&gt;($B$4*10/10),($B$4*10/10)^2*(1.5*(C35^2-MAX(B35,($B$4*10/10))^2)-($B$4*10/10)*(C35-MAX(B35,($B$4*10/10)))),0))*1000,0)</f>
        <v>0</v>
      </c>
      <c r="AM35" s="120">
        <f>IF(AND(V35="OK",ISNUMBER($N$5),$N$5&gt;0,ISNUMBER($N$3),$N$3&gt;0),R35/(6*$N$3*1000000*$N$5)*(IF(N35&lt;($N$4*0/10),($N$4*0/10)*(MIN(O35,($N$4*0/10))^3-N35^3)-(MIN(O35,($N$4*0/10))^4-N35^4)/4,0)+IF(O35&gt;($N$4*0/10),($N$4*0/10)^2*(1.5*(O35^2-MAX(N35,($N$4*0/10))^2)-($N$4*0/10)*(O35-MAX(N35,($N$4*0/10)))),0))*1000,0)</f>
        <v>0</v>
      </c>
      <c r="AN35" s="120">
        <f>IF(AND(V35="OK",ISNUMBER($N$5),$N$5&gt;0,ISNUMBER($N$3),$N$3&gt;0),R35/(6*$N$3*1000000*$N$5)*(IF(N35&lt;($N$4*1/10),($N$4*1/10)*(MIN(O35,($N$4*1/10))^3-N35^3)-(MIN(O35,($N$4*1/10))^4-N35^4)/4,0)+IF(O35&gt;($N$4*1/10),($N$4*1/10)^2*(1.5*(O35^2-MAX(N35,($N$4*1/10))^2)-($N$4*1/10)*(O35-MAX(N35,($N$4*1/10)))),0))*1000,0)</f>
        <v>0</v>
      </c>
      <c r="AO35" s="120">
        <f>IF(AND(V35="OK",ISNUMBER($N$5),$N$5&gt;0,ISNUMBER($N$3),$N$3&gt;0),R35/(6*$N$3*1000000*$N$5)*(IF(N35&lt;($N$4*2/10),($N$4*2/10)*(MIN(O35,($N$4*2/10))^3-N35^3)-(MIN(O35,($N$4*2/10))^4-N35^4)/4,0)+IF(O35&gt;($N$4*2/10),($N$4*2/10)^2*(1.5*(O35^2-MAX(N35,($N$4*2/10))^2)-($N$4*2/10)*(O35-MAX(N35,($N$4*2/10)))),0))*1000,0)</f>
        <v>0</v>
      </c>
      <c r="AP35" s="120">
        <f>IF(AND(V35="OK",ISNUMBER($N$5),$N$5&gt;0,ISNUMBER($N$3),$N$3&gt;0),R35/(6*$N$3*1000000*$N$5)*(IF(N35&lt;($N$4*3/10),($N$4*3/10)*(MIN(O35,($N$4*3/10))^3-N35^3)-(MIN(O35,($N$4*3/10))^4-N35^4)/4,0)+IF(O35&gt;($N$4*3/10),($N$4*3/10)^2*(1.5*(O35^2-MAX(N35,($N$4*3/10))^2)-($N$4*3/10)*(O35-MAX(N35,($N$4*3/10)))),0))*1000,0)</f>
        <v>0</v>
      </c>
      <c r="AQ35" s="120">
        <f>IF(AND(V35="OK",ISNUMBER($N$5),$N$5&gt;0,ISNUMBER($N$3),$N$3&gt;0),R35/(6*$N$3*1000000*$N$5)*(IF(N35&lt;($N$4*4/10),($N$4*4/10)*(MIN(O35,($N$4*4/10))^3-N35^3)-(MIN(O35,($N$4*4/10))^4-N35^4)/4,0)+IF(O35&gt;($N$4*4/10),($N$4*4/10)^2*(1.5*(O35^2-MAX(N35,($N$4*4/10))^2)-($N$4*4/10)*(O35-MAX(N35,($N$4*4/10)))),0))*1000,0)</f>
        <v>0</v>
      </c>
      <c r="AR35" s="120">
        <f>IF(AND(V35="OK",ISNUMBER($N$5),$N$5&gt;0,ISNUMBER($N$3),$N$3&gt;0),R35/(6*$N$3*1000000*$N$5)*(IF(N35&lt;($N$4*5/10),($N$4*5/10)*(MIN(O35,($N$4*5/10))^3-N35^3)-(MIN(O35,($N$4*5/10))^4-N35^4)/4,0)+IF(O35&gt;($N$4*5/10),($N$4*5/10)^2*(1.5*(O35^2-MAX(N35,($N$4*5/10))^2)-($N$4*5/10)*(O35-MAX(N35,($N$4*5/10)))),0))*1000,0)</f>
        <v>0</v>
      </c>
      <c r="AS35" s="120">
        <f>IF(AND(V35="OK",ISNUMBER($N$5),$N$5&gt;0,ISNUMBER($N$3),$N$3&gt;0),R35/(6*$N$3*1000000*$N$5)*(IF(N35&lt;($N$4*6/10),($N$4*6/10)*(MIN(O35,($N$4*6/10))^3-N35^3)-(MIN(O35,($N$4*6/10))^4-N35^4)/4,0)+IF(O35&gt;($N$4*6/10),($N$4*6/10)^2*(1.5*(O35^2-MAX(N35,($N$4*6/10))^2)-($N$4*6/10)*(O35-MAX(N35,($N$4*6/10)))),0))*1000,0)</f>
        <v>0</v>
      </c>
      <c r="AT35" s="120">
        <f>IF(AND(V35="OK",ISNUMBER($N$5),$N$5&gt;0,ISNUMBER($N$3),$N$3&gt;0),R35/(6*$N$3*1000000*$N$5)*(IF(N35&lt;($N$4*7/10),($N$4*7/10)*(MIN(O35,($N$4*7/10))^3-N35^3)-(MIN(O35,($N$4*7/10))^4-N35^4)/4,0)+IF(O35&gt;($N$4*7/10),($N$4*7/10)^2*(1.5*(O35^2-MAX(N35,($N$4*7/10))^2)-($N$4*7/10)*(O35-MAX(N35,($N$4*7/10)))),0))*1000,0)</f>
        <v>0</v>
      </c>
      <c r="AU35" s="120">
        <f>IF(AND(V35="OK",ISNUMBER($N$5),$N$5&gt;0,ISNUMBER($N$3),$N$3&gt;0),R35/(6*$N$3*1000000*$N$5)*(IF(N35&lt;($N$4*8/10),($N$4*8/10)*(MIN(O35,($N$4*8/10))^3-N35^3)-(MIN(O35,($N$4*8/10))^4-N35^4)/4,0)+IF(O35&gt;($N$4*8/10),($N$4*8/10)^2*(1.5*(O35^2-MAX(N35,($N$4*8/10))^2)-($N$4*8/10)*(O35-MAX(N35,($N$4*8/10)))),0))*1000,0)</f>
        <v>0</v>
      </c>
      <c r="AV35" s="120">
        <f>IF(AND(V35="OK",ISNUMBER($N$5),$N$5&gt;0,ISNUMBER($N$3),$N$3&gt;0),R35/(6*$N$3*1000000*$N$5)*(IF(N35&lt;($N$4*9/10),($N$4*9/10)*(MIN(O35,($N$4*9/10))^3-N35^3)-(MIN(O35,($N$4*9/10))^4-N35^4)/4,0)+IF(O35&gt;($N$4*9/10),($N$4*9/10)^2*(1.5*(O35^2-MAX(N35,($N$4*9/10))^2)-($N$4*9/10)*(O35-MAX(N35,($N$4*9/10)))),0))*1000,0)</f>
        <v>0</v>
      </c>
      <c r="AW35" s="120">
        <f>IF(AND(V35="OK",ISNUMBER($N$5),$N$5&gt;0,ISNUMBER($N$3),$N$3&gt;0),R35/(6*$N$3*1000000*$N$5)*(IF(N35&lt;($N$4*10/10),($N$4*10/10)*(MIN(O35,($N$4*10/10))^3-N35^3)-(MIN(O35,($N$4*10/10))^4-N35^4)/4,0)+IF(O35&gt;($N$4*10/10),($N$4*10/10)^2*(1.5*(O35^2-MAX(N35,($N$4*10/10))^2)-($N$4*10/10)*(O35-MAX(N35,($N$4*10/10)))),0))*1000,0)</f>
        <v>0</v>
      </c>
    </row>
    <row r="36" spans="1:49">
      <c r="A36" s="124"/>
      <c r="B36" s="125"/>
      <c r="C36" s="125"/>
      <c r="D36" s="125"/>
      <c r="E36" s="125"/>
      <c r="F36" s="126" t="str">
        <f>IF(J36="OK",D36*E36,"")</f>
        <v/>
      </c>
      <c r="G36" s="126" t="str">
        <f>IF(J36="OK",F36*(C36-B36),"")</f>
        <v/>
      </c>
      <c r="H36" s="126" t="str">
        <f>IF(J36="OK",G36*(C36+B36)/2,"")</f>
        <v/>
      </c>
      <c r="I36" s="126" t="str">
        <f>IF(AND(J36="OK",ISNUMBER($B$5),$B$5&gt;0,ISNUMBER($B$3),$B$3&gt;0),F36*(4*$B$4*(C36^3-B36^3)-(C36^4-B36^4))/(24*$B$3*1000000*$B$5)*1000,"")</f>
        <v/>
      </c>
      <c r="J36" s="120" t="str">
        <f>IF(COUNTA(A36:E36)=0,"",IF(AND(COUNT(B36:E36)=4,B36&gt;=0,C36&gt;B36,C36&lt;=$B$4,D36&gt;=0,E36&gt;0),IF(COUNTIFS($B$13:$B$35,"&lt;"&amp;C36,$C$13:$C$35,"&gt;"&amp;B36)&gt;0,"OVERLAP","OK"),"CHECK INPUTS"))</f>
        <v/>
      </c>
      <c r="M36" s="124"/>
      <c r="N36" s="125"/>
      <c r="O36" s="125"/>
      <c r="P36" s="125"/>
      <c r="Q36" s="125"/>
      <c r="R36" s="126" t="str">
        <f>IF(V36="OK",P36*Q36,"")</f>
        <v/>
      </c>
      <c r="S36" s="126" t="str">
        <f>IF(V36="OK",R36*(O36-N36),"")</f>
        <v/>
      </c>
      <c r="T36" s="126" t="str">
        <f>IF(V36="OK",S36*(O36+N36)/2,"")</f>
        <v/>
      </c>
      <c r="U36" s="126" t="str">
        <f>IF(AND(V36="OK",ISNUMBER($N$5),$N$5&gt;0,ISNUMBER($N$3),$N$3&gt;0),R36*(4*$N$4*(O36^3-N36^3)-(O36^4-N36^4))/(24*$N$3*1000000*$N$5)*1000,"")</f>
        <v/>
      </c>
      <c r="V36" s="120" t="str">
        <f>IF(COUNTA(M36:Q36)=0,"",IF(AND(COUNT(N36:Q36)=4,N36&gt;=0,O36&gt;N36,O36&lt;=$N$4,P36&gt;=0,Q36&gt;0),IF(COUNTIFS($N$13:$N$35,"&lt;"&amp;O36,$O$13:$O$35,"&gt;"&amp;N36)&gt;0,"OVERLAP","OK"),"CHECK INPUTS"))</f>
        <v/>
      </c>
      <c r="AA36" s="120">
        <f>IF(AND(J36="OK",ISNUMBER($B$5),$B$5&gt;0,ISNUMBER($B$3),$B$3&gt;0),F36/(6*$B$3*1000000*$B$5)*(IF(B36&lt;($B$4*0/10),($B$4*0/10)*(MIN(C36,($B$4*0/10))^3-B36^3)-(MIN(C36,($B$4*0/10))^4-B36^4)/4,0)+IF(C36&gt;($B$4*0/10),($B$4*0/10)^2*(1.5*(C36^2-MAX(B36,($B$4*0/10))^2)-($B$4*0/10)*(C36-MAX(B36,($B$4*0/10)))),0))*1000,0)</f>
        <v>0</v>
      </c>
      <c r="AB36" s="120">
        <f>IF(AND(J36="OK",ISNUMBER($B$5),$B$5&gt;0,ISNUMBER($B$3),$B$3&gt;0),F36/(6*$B$3*1000000*$B$5)*(IF(B36&lt;($B$4*1/10),($B$4*1/10)*(MIN(C36,($B$4*1/10))^3-B36^3)-(MIN(C36,($B$4*1/10))^4-B36^4)/4,0)+IF(C36&gt;($B$4*1/10),($B$4*1/10)^2*(1.5*(C36^2-MAX(B36,($B$4*1/10))^2)-($B$4*1/10)*(C36-MAX(B36,($B$4*1/10)))),0))*1000,0)</f>
        <v>0</v>
      </c>
      <c r="AC36" s="120">
        <f>IF(AND(J36="OK",ISNUMBER($B$5),$B$5&gt;0,ISNUMBER($B$3),$B$3&gt;0),F36/(6*$B$3*1000000*$B$5)*(IF(B36&lt;($B$4*2/10),($B$4*2/10)*(MIN(C36,($B$4*2/10))^3-B36^3)-(MIN(C36,($B$4*2/10))^4-B36^4)/4,0)+IF(C36&gt;($B$4*2/10),($B$4*2/10)^2*(1.5*(C36^2-MAX(B36,($B$4*2/10))^2)-($B$4*2/10)*(C36-MAX(B36,($B$4*2/10)))),0))*1000,0)</f>
        <v>0</v>
      </c>
      <c r="AD36" s="120">
        <f>IF(AND(J36="OK",ISNUMBER($B$5),$B$5&gt;0,ISNUMBER($B$3),$B$3&gt;0),F36/(6*$B$3*1000000*$B$5)*(IF(B36&lt;($B$4*3/10),($B$4*3/10)*(MIN(C36,($B$4*3/10))^3-B36^3)-(MIN(C36,($B$4*3/10))^4-B36^4)/4,0)+IF(C36&gt;($B$4*3/10),($B$4*3/10)^2*(1.5*(C36^2-MAX(B36,($B$4*3/10))^2)-($B$4*3/10)*(C36-MAX(B36,($B$4*3/10)))),0))*1000,0)</f>
        <v>0</v>
      </c>
      <c r="AE36" s="120">
        <f>IF(AND(J36="OK",ISNUMBER($B$5),$B$5&gt;0,ISNUMBER($B$3),$B$3&gt;0),F36/(6*$B$3*1000000*$B$5)*(IF(B36&lt;($B$4*4/10),($B$4*4/10)*(MIN(C36,($B$4*4/10))^3-B36^3)-(MIN(C36,($B$4*4/10))^4-B36^4)/4,0)+IF(C36&gt;($B$4*4/10),($B$4*4/10)^2*(1.5*(C36^2-MAX(B36,($B$4*4/10))^2)-($B$4*4/10)*(C36-MAX(B36,($B$4*4/10)))),0))*1000,0)</f>
        <v>0</v>
      </c>
      <c r="AF36" s="120">
        <f>IF(AND(J36="OK",ISNUMBER($B$5),$B$5&gt;0,ISNUMBER($B$3),$B$3&gt;0),F36/(6*$B$3*1000000*$B$5)*(IF(B36&lt;($B$4*5/10),($B$4*5/10)*(MIN(C36,($B$4*5/10))^3-B36^3)-(MIN(C36,($B$4*5/10))^4-B36^4)/4,0)+IF(C36&gt;($B$4*5/10),($B$4*5/10)^2*(1.5*(C36^2-MAX(B36,($B$4*5/10))^2)-($B$4*5/10)*(C36-MAX(B36,($B$4*5/10)))),0))*1000,0)</f>
        <v>0</v>
      </c>
      <c r="AG36" s="120">
        <f>IF(AND(J36="OK",ISNUMBER($B$5),$B$5&gt;0,ISNUMBER($B$3),$B$3&gt;0),F36/(6*$B$3*1000000*$B$5)*(IF(B36&lt;($B$4*6/10),($B$4*6/10)*(MIN(C36,($B$4*6/10))^3-B36^3)-(MIN(C36,($B$4*6/10))^4-B36^4)/4,0)+IF(C36&gt;($B$4*6/10),($B$4*6/10)^2*(1.5*(C36^2-MAX(B36,($B$4*6/10))^2)-($B$4*6/10)*(C36-MAX(B36,($B$4*6/10)))),0))*1000,0)</f>
        <v>0</v>
      </c>
      <c r="AH36" s="120">
        <f>IF(AND(J36="OK",ISNUMBER($B$5),$B$5&gt;0,ISNUMBER($B$3),$B$3&gt;0),F36/(6*$B$3*1000000*$B$5)*(IF(B36&lt;($B$4*7/10),($B$4*7/10)*(MIN(C36,($B$4*7/10))^3-B36^3)-(MIN(C36,($B$4*7/10))^4-B36^4)/4,0)+IF(C36&gt;($B$4*7/10),($B$4*7/10)^2*(1.5*(C36^2-MAX(B36,($B$4*7/10))^2)-($B$4*7/10)*(C36-MAX(B36,($B$4*7/10)))),0))*1000,0)</f>
        <v>0</v>
      </c>
      <c r="AI36" s="120">
        <f>IF(AND(J36="OK",ISNUMBER($B$5),$B$5&gt;0,ISNUMBER($B$3),$B$3&gt;0),F36/(6*$B$3*1000000*$B$5)*(IF(B36&lt;($B$4*8/10),($B$4*8/10)*(MIN(C36,($B$4*8/10))^3-B36^3)-(MIN(C36,($B$4*8/10))^4-B36^4)/4,0)+IF(C36&gt;($B$4*8/10),($B$4*8/10)^2*(1.5*(C36^2-MAX(B36,($B$4*8/10))^2)-($B$4*8/10)*(C36-MAX(B36,($B$4*8/10)))),0))*1000,0)</f>
        <v>0</v>
      </c>
      <c r="AJ36" s="120">
        <f>IF(AND(J36="OK",ISNUMBER($B$5),$B$5&gt;0,ISNUMBER($B$3),$B$3&gt;0),F36/(6*$B$3*1000000*$B$5)*(IF(B36&lt;($B$4*9/10),($B$4*9/10)*(MIN(C36,($B$4*9/10))^3-B36^3)-(MIN(C36,($B$4*9/10))^4-B36^4)/4,0)+IF(C36&gt;($B$4*9/10),($B$4*9/10)^2*(1.5*(C36^2-MAX(B36,($B$4*9/10))^2)-($B$4*9/10)*(C36-MAX(B36,($B$4*9/10)))),0))*1000,0)</f>
        <v>0</v>
      </c>
      <c r="AK36" s="120">
        <f>IF(AND(J36="OK",ISNUMBER($B$5),$B$5&gt;0,ISNUMBER($B$3),$B$3&gt;0),F36/(6*$B$3*1000000*$B$5)*(IF(B36&lt;($B$4*10/10),($B$4*10/10)*(MIN(C36,($B$4*10/10))^3-B36^3)-(MIN(C36,($B$4*10/10))^4-B36^4)/4,0)+IF(C36&gt;($B$4*10/10),($B$4*10/10)^2*(1.5*(C36^2-MAX(B36,($B$4*10/10))^2)-($B$4*10/10)*(C36-MAX(B36,($B$4*10/10)))),0))*1000,0)</f>
        <v>0</v>
      </c>
      <c r="AM36" s="120">
        <f>IF(AND(V36="OK",ISNUMBER($N$5),$N$5&gt;0,ISNUMBER($N$3),$N$3&gt;0),R36/(6*$N$3*1000000*$N$5)*(IF(N36&lt;($N$4*0/10),($N$4*0/10)*(MIN(O36,($N$4*0/10))^3-N36^3)-(MIN(O36,($N$4*0/10))^4-N36^4)/4,0)+IF(O36&gt;($N$4*0/10),($N$4*0/10)^2*(1.5*(O36^2-MAX(N36,($N$4*0/10))^2)-($N$4*0/10)*(O36-MAX(N36,($N$4*0/10)))),0))*1000,0)</f>
        <v>0</v>
      </c>
      <c r="AN36" s="120">
        <f>IF(AND(V36="OK",ISNUMBER($N$5),$N$5&gt;0,ISNUMBER($N$3),$N$3&gt;0),R36/(6*$N$3*1000000*$N$5)*(IF(N36&lt;($N$4*1/10),($N$4*1/10)*(MIN(O36,($N$4*1/10))^3-N36^3)-(MIN(O36,($N$4*1/10))^4-N36^4)/4,0)+IF(O36&gt;($N$4*1/10),($N$4*1/10)^2*(1.5*(O36^2-MAX(N36,($N$4*1/10))^2)-($N$4*1/10)*(O36-MAX(N36,($N$4*1/10)))),0))*1000,0)</f>
        <v>0</v>
      </c>
      <c r="AO36" s="120">
        <f>IF(AND(V36="OK",ISNUMBER($N$5),$N$5&gt;0,ISNUMBER($N$3),$N$3&gt;0),R36/(6*$N$3*1000000*$N$5)*(IF(N36&lt;($N$4*2/10),($N$4*2/10)*(MIN(O36,($N$4*2/10))^3-N36^3)-(MIN(O36,($N$4*2/10))^4-N36^4)/4,0)+IF(O36&gt;($N$4*2/10),($N$4*2/10)^2*(1.5*(O36^2-MAX(N36,($N$4*2/10))^2)-($N$4*2/10)*(O36-MAX(N36,($N$4*2/10)))),0))*1000,0)</f>
        <v>0</v>
      </c>
      <c r="AP36" s="120">
        <f>IF(AND(V36="OK",ISNUMBER($N$5),$N$5&gt;0,ISNUMBER($N$3),$N$3&gt;0),R36/(6*$N$3*1000000*$N$5)*(IF(N36&lt;($N$4*3/10),($N$4*3/10)*(MIN(O36,($N$4*3/10))^3-N36^3)-(MIN(O36,($N$4*3/10))^4-N36^4)/4,0)+IF(O36&gt;($N$4*3/10),($N$4*3/10)^2*(1.5*(O36^2-MAX(N36,($N$4*3/10))^2)-($N$4*3/10)*(O36-MAX(N36,($N$4*3/10)))),0))*1000,0)</f>
        <v>0</v>
      </c>
      <c r="AQ36" s="120">
        <f>IF(AND(V36="OK",ISNUMBER($N$5),$N$5&gt;0,ISNUMBER($N$3),$N$3&gt;0),R36/(6*$N$3*1000000*$N$5)*(IF(N36&lt;($N$4*4/10),($N$4*4/10)*(MIN(O36,($N$4*4/10))^3-N36^3)-(MIN(O36,($N$4*4/10))^4-N36^4)/4,0)+IF(O36&gt;($N$4*4/10),($N$4*4/10)^2*(1.5*(O36^2-MAX(N36,($N$4*4/10))^2)-($N$4*4/10)*(O36-MAX(N36,($N$4*4/10)))),0))*1000,0)</f>
        <v>0</v>
      </c>
      <c r="AR36" s="120">
        <f>IF(AND(V36="OK",ISNUMBER($N$5),$N$5&gt;0,ISNUMBER($N$3),$N$3&gt;0),R36/(6*$N$3*1000000*$N$5)*(IF(N36&lt;($N$4*5/10),($N$4*5/10)*(MIN(O36,($N$4*5/10))^3-N36^3)-(MIN(O36,($N$4*5/10))^4-N36^4)/4,0)+IF(O36&gt;($N$4*5/10),($N$4*5/10)^2*(1.5*(O36^2-MAX(N36,($N$4*5/10))^2)-($N$4*5/10)*(O36-MAX(N36,($N$4*5/10)))),0))*1000,0)</f>
        <v>0</v>
      </c>
      <c r="AS36" s="120">
        <f>IF(AND(V36="OK",ISNUMBER($N$5),$N$5&gt;0,ISNUMBER($N$3),$N$3&gt;0),R36/(6*$N$3*1000000*$N$5)*(IF(N36&lt;($N$4*6/10),($N$4*6/10)*(MIN(O36,($N$4*6/10))^3-N36^3)-(MIN(O36,($N$4*6/10))^4-N36^4)/4,0)+IF(O36&gt;($N$4*6/10),($N$4*6/10)^2*(1.5*(O36^2-MAX(N36,($N$4*6/10))^2)-($N$4*6/10)*(O36-MAX(N36,($N$4*6/10)))),0))*1000,0)</f>
        <v>0</v>
      </c>
      <c r="AT36" s="120">
        <f>IF(AND(V36="OK",ISNUMBER($N$5),$N$5&gt;0,ISNUMBER($N$3),$N$3&gt;0),R36/(6*$N$3*1000000*$N$5)*(IF(N36&lt;($N$4*7/10),($N$4*7/10)*(MIN(O36,($N$4*7/10))^3-N36^3)-(MIN(O36,($N$4*7/10))^4-N36^4)/4,0)+IF(O36&gt;($N$4*7/10),($N$4*7/10)^2*(1.5*(O36^2-MAX(N36,($N$4*7/10))^2)-($N$4*7/10)*(O36-MAX(N36,($N$4*7/10)))),0))*1000,0)</f>
        <v>0</v>
      </c>
      <c r="AU36" s="120">
        <f>IF(AND(V36="OK",ISNUMBER($N$5),$N$5&gt;0,ISNUMBER($N$3),$N$3&gt;0),R36/(6*$N$3*1000000*$N$5)*(IF(N36&lt;($N$4*8/10),($N$4*8/10)*(MIN(O36,($N$4*8/10))^3-N36^3)-(MIN(O36,($N$4*8/10))^4-N36^4)/4,0)+IF(O36&gt;($N$4*8/10),($N$4*8/10)^2*(1.5*(O36^2-MAX(N36,($N$4*8/10))^2)-($N$4*8/10)*(O36-MAX(N36,($N$4*8/10)))),0))*1000,0)</f>
        <v>0</v>
      </c>
      <c r="AV36" s="120">
        <f>IF(AND(V36="OK",ISNUMBER($N$5),$N$5&gt;0,ISNUMBER($N$3),$N$3&gt;0),R36/(6*$N$3*1000000*$N$5)*(IF(N36&lt;($N$4*9/10),($N$4*9/10)*(MIN(O36,($N$4*9/10))^3-N36^3)-(MIN(O36,($N$4*9/10))^4-N36^4)/4,0)+IF(O36&gt;($N$4*9/10),($N$4*9/10)^2*(1.5*(O36^2-MAX(N36,($N$4*9/10))^2)-($N$4*9/10)*(O36-MAX(N36,($N$4*9/10)))),0))*1000,0)</f>
        <v>0</v>
      </c>
      <c r="AW36" s="120">
        <f>IF(AND(V36="OK",ISNUMBER($N$5),$N$5&gt;0,ISNUMBER($N$3),$N$3&gt;0),R36/(6*$N$3*1000000*$N$5)*(IF(N36&lt;($N$4*10/10),($N$4*10/10)*(MIN(O36,($N$4*10/10))^3-N36^3)-(MIN(O36,($N$4*10/10))^4-N36^4)/4,0)+IF(O36&gt;($N$4*10/10),($N$4*10/10)^2*(1.5*(O36^2-MAX(N36,($N$4*10/10))^2)-($N$4*10/10)*(O36-MAX(N36,($N$4*10/10)))),0))*1000,0)</f>
        <v>0</v>
      </c>
    </row>
    <row r="37" spans="1:49">
      <c r="A37" s="124"/>
      <c r="B37" s="125"/>
      <c r="C37" s="125"/>
      <c r="D37" s="125"/>
      <c r="E37" s="125"/>
      <c r="F37" s="126" t="str">
        <f>IF(J37="OK",D37*E37,"")</f>
        <v/>
      </c>
      <c r="G37" s="126" t="str">
        <f>IF(J37="OK",F37*(C37-B37),"")</f>
        <v/>
      </c>
      <c r="H37" s="126" t="str">
        <f>IF(J37="OK",G37*(C37+B37)/2,"")</f>
        <v/>
      </c>
      <c r="I37" s="126" t="str">
        <f>IF(AND(J37="OK",ISNUMBER($B$5),$B$5&gt;0,ISNUMBER($B$3),$B$3&gt;0),F37*(4*$B$4*(C37^3-B37^3)-(C37^4-B37^4))/(24*$B$3*1000000*$B$5)*1000,"")</f>
        <v/>
      </c>
      <c r="J37" s="120" t="str">
        <f>IF(COUNTA(A37:E37)=0,"",IF(AND(COUNT(B37:E37)=4,B37&gt;=0,C37&gt;B37,C37&lt;=$B$4,D37&gt;=0,E37&gt;0),IF(COUNTIFS($B$13:$B$36,"&lt;"&amp;C37,$C$13:$C$36,"&gt;"&amp;B37)&gt;0,"OVERLAP","OK"),"CHECK INPUTS"))</f>
        <v/>
      </c>
      <c r="M37" s="124"/>
      <c r="N37" s="125"/>
      <c r="O37" s="125"/>
      <c r="P37" s="125"/>
      <c r="Q37" s="125"/>
      <c r="R37" s="126" t="str">
        <f>IF(V37="OK",P37*Q37,"")</f>
        <v/>
      </c>
      <c r="S37" s="126" t="str">
        <f>IF(V37="OK",R37*(O37-N37),"")</f>
        <v/>
      </c>
      <c r="T37" s="126" t="str">
        <f>IF(V37="OK",S37*(O37+N37)/2,"")</f>
        <v/>
      </c>
      <c r="U37" s="126" t="str">
        <f>IF(AND(V37="OK",ISNUMBER($N$5),$N$5&gt;0,ISNUMBER($N$3),$N$3&gt;0),R37*(4*$N$4*(O37^3-N37^3)-(O37^4-N37^4))/(24*$N$3*1000000*$N$5)*1000,"")</f>
        <v/>
      </c>
      <c r="V37" s="120" t="str">
        <f>IF(COUNTA(M37:Q37)=0,"",IF(AND(COUNT(N37:Q37)=4,N37&gt;=0,O37&gt;N37,O37&lt;=$N$4,P37&gt;=0,Q37&gt;0),IF(COUNTIFS($N$13:$N$36,"&lt;"&amp;O37,$O$13:$O$36,"&gt;"&amp;N37)&gt;0,"OVERLAP","OK"),"CHECK INPUTS"))</f>
        <v/>
      </c>
      <c r="AA37" s="120">
        <f>IF(AND(J37="OK",ISNUMBER($B$5),$B$5&gt;0,ISNUMBER($B$3),$B$3&gt;0),F37/(6*$B$3*1000000*$B$5)*(IF(B37&lt;($B$4*0/10),($B$4*0/10)*(MIN(C37,($B$4*0/10))^3-B37^3)-(MIN(C37,($B$4*0/10))^4-B37^4)/4,0)+IF(C37&gt;($B$4*0/10),($B$4*0/10)^2*(1.5*(C37^2-MAX(B37,($B$4*0/10))^2)-($B$4*0/10)*(C37-MAX(B37,($B$4*0/10)))),0))*1000,0)</f>
        <v>0</v>
      </c>
      <c r="AB37" s="120">
        <f>IF(AND(J37="OK",ISNUMBER($B$5),$B$5&gt;0,ISNUMBER($B$3),$B$3&gt;0),F37/(6*$B$3*1000000*$B$5)*(IF(B37&lt;($B$4*1/10),($B$4*1/10)*(MIN(C37,($B$4*1/10))^3-B37^3)-(MIN(C37,($B$4*1/10))^4-B37^4)/4,0)+IF(C37&gt;($B$4*1/10),($B$4*1/10)^2*(1.5*(C37^2-MAX(B37,($B$4*1/10))^2)-($B$4*1/10)*(C37-MAX(B37,($B$4*1/10)))),0))*1000,0)</f>
        <v>0</v>
      </c>
      <c r="AC37" s="120">
        <f>IF(AND(J37="OK",ISNUMBER($B$5),$B$5&gt;0,ISNUMBER($B$3),$B$3&gt;0),F37/(6*$B$3*1000000*$B$5)*(IF(B37&lt;($B$4*2/10),($B$4*2/10)*(MIN(C37,($B$4*2/10))^3-B37^3)-(MIN(C37,($B$4*2/10))^4-B37^4)/4,0)+IF(C37&gt;($B$4*2/10),($B$4*2/10)^2*(1.5*(C37^2-MAX(B37,($B$4*2/10))^2)-($B$4*2/10)*(C37-MAX(B37,($B$4*2/10)))),0))*1000,0)</f>
        <v>0</v>
      </c>
      <c r="AD37" s="120">
        <f>IF(AND(J37="OK",ISNUMBER($B$5),$B$5&gt;0,ISNUMBER($B$3),$B$3&gt;0),F37/(6*$B$3*1000000*$B$5)*(IF(B37&lt;($B$4*3/10),($B$4*3/10)*(MIN(C37,($B$4*3/10))^3-B37^3)-(MIN(C37,($B$4*3/10))^4-B37^4)/4,0)+IF(C37&gt;($B$4*3/10),($B$4*3/10)^2*(1.5*(C37^2-MAX(B37,($B$4*3/10))^2)-($B$4*3/10)*(C37-MAX(B37,($B$4*3/10)))),0))*1000,0)</f>
        <v>0</v>
      </c>
      <c r="AE37" s="120">
        <f>IF(AND(J37="OK",ISNUMBER($B$5),$B$5&gt;0,ISNUMBER($B$3),$B$3&gt;0),F37/(6*$B$3*1000000*$B$5)*(IF(B37&lt;($B$4*4/10),($B$4*4/10)*(MIN(C37,($B$4*4/10))^3-B37^3)-(MIN(C37,($B$4*4/10))^4-B37^4)/4,0)+IF(C37&gt;($B$4*4/10),($B$4*4/10)^2*(1.5*(C37^2-MAX(B37,($B$4*4/10))^2)-($B$4*4/10)*(C37-MAX(B37,($B$4*4/10)))),0))*1000,0)</f>
        <v>0</v>
      </c>
      <c r="AF37" s="120">
        <f>IF(AND(J37="OK",ISNUMBER($B$5),$B$5&gt;0,ISNUMBER($B$3),$B$3&gt;0),F37/(6*$B$3*1000000*$B$5)*(IF(B37&lt;($B$4*5/10),($B$4*5/10)*(MIN(C37,($B$4*5/10))^3-B37^3)-(MIN(C37,($B$4*5/10))^4-B37^4)/4,0)+IF(C37&gt;($B$4*5/10),($B$4*5/10)^2*(1.5*(C37^2-MAX(B37,($B$4*5/10))^2)-($B$4*5/10)*(C37-MAX(B37,($B$4*5/10)))),0))*1000,0)</f>
        <v>0</v>
      </c>
      <c r="AG37" s="120">
        <f>IF(AND(J37="OK",ISNUMBER($B$5),$B$5&gt;0,ISNUMBER($B$3),$B$3&gt;0),F37/(6*$B$3*1000000*$B$5)*(IF(B37&lt;($B$4*6/10),($B$4*6/10)*(MIN(C37,($B$4*6/10))^3-B37^3)-(MIN(C37,($B$4*6/10))^4-B37^4)/4,0)+IF(C37&gt;($B$4*6/10),($B$4*6/10)^2*(1.5*(C37^2-MAX(B37,($B$4*6/10))^2)-($B$4*6/10)*(C37-MAX(B37,($B$4*6/10)))),0))*1000,0)</f>
        <v>0</v>
      </c>
      <c r="AH37" s="120">
        <f>IF(AND(J37="OK",ISNUMBER($B$5),$B$5&gt;0,ISNUMBER($B$3),$B$3&gt;0),F37/(6*$B$3*1000000*$B$5)*(IF(B37&lt;($B$4*7/10),($B$4*7/10)*(MIN(C37,($B$4*7/10))^3-B37^3)-(MIN(C37,($B$4*7/10))^4-B37^4)/4,0)+IF(C37&gt;($B$4*7/10),($B$4*7/10)^2*(1.5*(C37^2-MAX(B37,($B$4*7/10))^2)-($B$4*7/10)*(C37-MAX(B37,($B$4*7/10)))),0))*1000,0)</f>
        <v>0</v>
      </c>
      <c r="AI37" s="120">
        <f>IF(AND(J37="OK",ISNUMBER($B$5),$B$5&gt;0,ISNUMBER($B$3),$B$3&gt;0),F37/(6*$B$3*1000000*$B$5)*(IF(B37&lt;($B$4*8/10),($B$4*8/10)*(MIN(C37,($B$4*8/10))^3-B37^3)-(MIN(C37,($B$4*8/10))^4-B37^4)/4,0)+IF(C37&gt;($B$4*8/10),($B$4*8/10)^2*(1.5*(C37^2-MAX(B37,($B$4*8/10))^2)-($B$4*8/10)*(C37-MAX(B37,($B$4*8/10)))),0))*1000,0)</f>
        <v>0</v>
      </c>
      <c r="AJ37" s="120">
        <f>IF(AND(J37="OK",ISNUMBER($B$5),$B$5&gt;0,ISNUMBER($B$3),$B$3&gt;0),F37/(6*$B$3*1000000*$B$5)*(IF(B37&lt;($B$4*9/10),($B$4*9/10)*(MIN(C37,($B$4*9/10))^3-B37^3)-(MIN(C37,($B$4*9/10))^4-B37^4)/4,0)+IF(C37&gt;($B$4*9/10),($B$4*9/10)^2*(1.5*(C37^2-MAX(B37,($B$4*9/10))^2)-($B$4*9/10)*(C37-MAX(B37,($B$4*9/10)))),0))*1000,0)</f>
        <v>0</v>
      </c>
      <c r="AK37" s="120">
        <f>IF(AND(J37="OK",ISNUMBER($B$5),$B$5&gt;0,ISNUMBER($B$3),$B$3&gt;0),F37/(6*$B$3*1000000*$B$5)*(IF(B37&lt;($B$4*10/10),($B$4*10/10)*(MIN(C37,($B$4*10/10))^3-B37^3)-(MIN(C37,($B$4*10/10))^4-B37^4)/4,0)+IF(C37&gt;($B$4*10/10),($B$4*10/10)^2*(1.5*(C37^2-MAX(B37,($B$4*10/10))^2)-($B$4*10/10)*(C37-MAX(B37,($B$4*10/10)))),0))*1000,0)</f>
        <v>0</v>
      </c>
      <c r="AM37" s="120">
        <f>IF(AND(V37="OK",ISNUMBER($N$5),$N$5&gt;0,ISNUMBER($N$3),$N$3&gt;0),R37/(6*$N$3*1000000*$N$5)*(IF(N37&lt;($N$4*0/10),($N$4*0/10)*(MIN(O37,($N$4*0/10))^3-N37^3)-(MIN(O37,($N$4*0/10))^4-N37^4)/4,0)+IF(O37&gt;($N$4*0/10),($N$4*0/10)^2*(1.5*(O37^2-MAX(N37,($N$4*0/10))^2)-($N$4*0/10)*(O37-MAX(N37,($N$4*0/10)))),0))*1000,0)</f>
        <v>0</v>
      </c>
      <c r="AN37" s="120">
        <f>IF(AND(V37="OK",ISNUMBER($N$5),$N$5&gt;0,ISNUMBER($N$3),$N$3&gt;0),R37/(6*$N$3*1000000*$N$5)*(IF(N37&lt;($N$4*1/10),($N$4*1/10)*(MIN(O37,($N$4*1/10))^3-N37^3)-(MIN(O37,($N$4*1/10))^4-N37^4)/4,0)+IF(O37&gt;($N$4*1/10),($N$4*1/10)^2*(1.5*(O37^2-MAX(N37,($N$4*1/10))^2)-($N$4*1/10)*(O37-MAX(N37,($N$4*1/10)))),0))*1000,0)</f>
        <v>0</v>
      </c>
      <c r="AO37" s="120">
        <f>IF(AND(V37="OK",ISNUMBER($N$5),$N$5&gt;0,ISNUMBER($N$3),$N$3&gt;0),R37/(6*$N$3*1000000*$N$5)*(IF(N37&lt;($N$4*2/10),($N$4*2/10)*(MIN(O37,($N$4*2/10))^3-N37^3)-(MIN(O37,($N$4*2/10))^4-N37^4)/4,0)+IF(O37&gt;($N$4*2/10),($N$4*2/10)^2*(1.5*(O37^2-MAX(N37,($N$4*2/10))^2)-($N$4*2/10)*(O37-MAX(N37,($N$4*2/10)))),0))*1000,0)</f>
        <v>0</v>
      </c>
      <c r="AP37" s="120">
        <f>IF(AND(V37="OK",ISNUMBER($N$5),$N$5&gt;0,ISNUMBER($N$3),$N$3&gt;0),R37/(6*$N$3*1000000*$N$5)*(IF(N37&lt;($N$4*3/10),($N$4*3/10)*(MIN(O37,($N$4*3/10))^3-N37^3)-(MIN(O37,($N$4*3/10))^4-N37^4)/4,0)+IF(O37&gt;($N$4*3/10),($N$4*3/10)^2*(1.5*(O37^2-MAX(N37,($N$4*3/10))^2)-($N$4*3/10)*(O37-MAX(N37,($N$4*3/10)))),0))*1000,0)</f>
        <v>0</v>
      </c>
      <c r="AQ37" s="120">
        <f>IF(AND(V37="OK",ISNUMBER($N$5),$N$5&gt;0,ISNUMBER($N$3),$N$3&gt;0),R37/(6*$N$3*1000000*$N$5)*(IF(N37&lt;($N$4*4/10),($N$4*4/10)*(MIN(O37,($N$4*4/10))^3-N37^3)-(MIN(O37,($N$4*4/10))^4-N37^4)/4,0)+IF(O37&gt;($N$4*4/10),($N$4*4/10)^2*(1.5*(O37^2-MAX(N37,($N$4*4/10))^2)-($N$4*4/10)*(O37-MAX(N37,($N$4*4/10)))),0))*1000,0)</f>
        <v>0</v>
      </c>
      <c r="AR37" s="120">
        <f>IF(AND(V37="OK",ISNUMBER($N$5),$N$5&gt;0,ISNUMBER($N$3),$N$3&gt;0),R37/(6*$N$3*1000000*$N$5)*(IF(N37&lt;($N$4*5/10),($N$4*5/10)*(MIN(O37,($N$4*5/10))^3-N37^3)-(MIN(O37,($N$4*5/10))^4-N37^4)/4,0)+IF(O37&gt;($N$4*5/10),($N$4*5/10)^2*(1.5*(O37^2-MAX(N37,($N$4*5/10))^2)-($N$4*5/10)*(O37-MAX(N37,($N$4*5/10)))),0))*1000,0)</f>
        <v>0</v>
      </c>
      <c r="AS37" s="120">
        <f>IF(AND(V37="OK",ISNUMBER($N$5),$N$5&gt;0,ISNUMBER($N$3),$N$3&gt;0),R37/(6*$N$3*1000000*$N$5)*(IF(N37&lt;($N$4*6/10),($N$4*6/10)*(MIN(O37,($N$4*6/10))^3-N37^3)-(MIN(O37,($N$4*6/10))^4-N37^4)/4,0)+IF(O37&gt;($N$4*6/10),($N$4*6/10)^2*(1.5*(O37^2-MAX(N37,($N$4*6/10))^2)-($N$4*6/10)*(O37-MAX(N37,($N$4*6/10)))),0))*1000,0)</f>
        <v>0</v>
      </c>
      <c r="AT37" s="120">
        <f>IF(AND(V37="OK",ISNUMBER($N$5),$N$5&gt;0,ISNUMBER($N$3),$N$3&gt;0),R37/(6*$N$3*1000000*$N$5)*(IF(N37&lt;($N$4*7/10),($N$4*7/10)*(MIN(O37,($N$4*7/10))^3-N37^3)-(MIN(O37,($N$4*7/10))^4-N37^4)/4,0)+IF(O37&gt;($N$4*7/10),($N$4*7/10)^2*(1.5*(O37^2-MAX(N37,($N$4*7/10))^2)-($N$4*7/10)*(O37-MAX(N37,($N$4*7/10)))),0))*1000,0)</f>
        <v>0</v>
      </c>
      <c r="AU37" s="120">
        <f>IF(AND(V37="OK",ISNUMBER($N$5),$N$5&gt;0,ISNUMBER($N$3),$N$3&gt;0),R37/(6*$N$3*1000000*$N$5)*(IF(N37&lt;($N$4*8/10),($N$4*8/10)*(MIN(O37,($N$4*8/10))^3-N37^3)-(MIN(O37,($N$4*8/10))^4-N37^4)/4,0)+IF(O37&gt;($N$4*8/10),($N$4*8/10)^2*(1.5*(O37^2-MAX(N37,($N$4*8/10))^2)-($N$4*8/10)*(O37-MAX(N37,($N$4*8/10)))),0))*1000,0)</f>
        <v>0</v>
      </c>
      <c r="AV37" s="120">
        <f>IF(AND(V37="OK",ISNUMBER($N$5),$N$5&gt;0,ISNUMBER($N$3),$N$3&gt;0),R37/(6*$N$3*1000000*$N$5)*(IF(N37&lt;($N$4*9/10),($N$4*9/10)*(MIN(O37,($N$4*9/10))^3-N37^3)-(MIN(O37,($N$4*9/10))^4-N37^4)/4,0)+IF(O37&gt;($N$4*9/10),($N$4*9/10)^2*(1.5*(O37^2-MAX(N37,($N$4*9/10))^2)-($N$4*9/10)*(O37-MAX(N37,($N$4*9/10)))),0))*1000,0)</f>
        <v>0</v>
      </c>
      <c r="AW37" s="120">
        <f>IF(AND(V37="OK",ISNUMBER($N$5),$N$5&gt;0,ISNUMBER($N$3),$N$3&gt;0),R37/(6*$N$3*1000000*$N$5)*(IF(N37&lt;($N$4*10/10),($N$4*10/10)*(MIN(O37,($N$4*10/10))^3-N37^3)-(MIN(O37,($N$4*10/10))^4-N37^4)/4,0)+IF(O37&gt;($N$4*10/10),($N$4*10/10)^2*(1.5*(O37^2-MAX(N37,($N$4*10/10))^2)-($N$4*10/10)*(O37-MAX(N37,($N$4*10/10)))),0))*1000,0)</f>
        <v>0</v>
      </c>
    </row>
    <row r="38" spans="1:49">
      <c r="A38" s="124"/>
      <c r="B38" s="125"/>
      <c r="C38" s="125"/>
      <c r="D38" s="125"/>
      <c r="E38" s="125"/>
      <c r="F38" s="126" t="str">
        <f>IF(J38="OK",D38*E38,"")</f>
        <v/>
      </c>
      <c r="G38" s="126" t="str">
        <f>IF(J38="OK",F38*(C38-B38),"")</f>
        <v/>
      </c>
      <c r="H38" s="126" t="str">
        <f>IF(J38="OK",G38*(C38+B38)/2,"")</f>
        <v/>
      </c>
      <c r="I38" s="126" t="str">
        <f>IF(AND(J38="OK",ISNUMBER($B$5),$B$5&gt;0,ISNUMBER($B$3),$B$3&gt;0),F38*(4*$B$4*(C38^3-B38^3)-(C38^4-B38^4))/(24*$B$3*1000000*$B$5)*1000,"")</f>
        <v/>
      </c>
      <c r="J38" s="120" t="str">
        <f>IF(COUNTA(A38:E38)=0,"",IF(AND(COUNT(B38:E38)=4,B38&gt;=0,C38&gt;B38,C38&lt;=$B$4,D38&gt;=0,E38&gt;0),IF(COUNTIFS($B$13:$B$37,"&lt;"&amp;C38,$C$13:$C$37,"&gt;"&amp;B38)&gt;0,"OVERLAP","OK"),"CHECK INPUTS"))</f>
        <v/>
      </c>
      <c r="M38" s="124"/>
      <c r="N38" s="125"/>
      <c r="O38" s="125"/>
      <c r="P38" s="125"/>
      <c r="Q38" s="125"/>
      <c r="R38" s="126" t="str">
        <f>IF(V38="OK",P38*Q38,"")</f>
        <v/>
      </c>
      <c r="S38" s="126" t="str">
        <f>IF(V38="OK",R38*(O38-N38),"")</f>
        <v/>
      </c>
      <c r="T38" s="126" t="str">
        <f>IF(V38="OK",S38*(O38+N38)/2,"")</f>
        <v/>
      </c>
      <c r="U38" s="126" t="str">
        <f>IF(AND(V38="OK",ISNUMBER($N$5),$N$5&gt;0,ISNUMBER($N$3),$N$3&gt;0),R38*(4*$N$4*(O38^3-N38^3)-(O38^4-N38^4))/(24*$N$3*1000000*$N$5)*1000,"")</f>
        <v/>
      </c>
      <c r="V38" s="120" t="str">
        <f>IF(COUNTA(M38:Q38)=0,"",IF(AND(COUNT(N38:Q38)=4,N38&gt;=0,O38&gt;N38,O38&lt;=$N$4,P38&gt;=0,Q38&gt;0),IF(COUNTIFS($N$13:$N$37,"&lt;"&amp;O38,$O$13:$O$37,"&gt;"&amp;N38)&gt;0,"OVERLAP","OK"),"CHECK INPUTS"))</f>
        <v/>
      </c>
      <c r="AA38" s="120">
        <f>IF(AND(J38="OK",ISNUMBER($B$5),$B$5&gt;0,ISNUMBER($B$3),$B$3&gt;0),F38/(6*$B$3*1000000*$B$5)*(IF(B38&lt;($B$4*0/10),($B$4*0/10)*(MIN(C38,($B$4*0/10))^3-B38^3)-(MIN(C38,($B$4*0/10))^4-B38^4)/4,0)+IF(C38&gt;($B$4*0/10),($B$4*0/10)^2*(1.5*(C38^2-MAX(B38,($B$4*0/10))^2)-($B$4*0/10)*(C38-MAX(B38,($B$4*0/10)))),0))*1000,0)</f>
        <v>0</v>
      </c>
      <c r="AB38" s="120">
        <f>IF(AND(J38="OK",ISNUMBER($B$5),$B$5&gt;0,ISNUMBER($B$3),$B$3&gt;0),F38/(6*$B$3*1000000*$B$5)*(IF(B38&lt;($B$4*1/10),($B$4*1/10)*(MIN(C38,($B$4*1/10))^3-B38^3)-(MIN(C38,($B$4*1/10))^4-B38^4)/4,0)+IF(C38&gt;($B$4*1/10),($B$4*1/10)^2*(1.5*(C38^2-MAX(B38,($B$4*1/10))^2)-($B$4*1/10)*(C38-MAX(B38,($B$4*1/10)))),0))*1000,0)</f>
        <v>0</v>
      </c>
      <c r="AC38" s="120">
        <f>IF(AND(J38="OK",ISNUMBER($B$5),$B$5&gt;0,ISNUMBER($B$3),$B$3&gt;0),F38/(6*$B$3*1000000*$B$5)*(IF(B38&lt;($B$4*2/10),($B$4*2/10)*(MIN(C38,($B$4*2/10))^3-B38^3)-(MIN(C38,($B$4*2/10))^4-B38^4)/4,0)+IF(C38&gt;($B$4*2/10),($B$4*2/10)^2*(1.5*(C38^2-MAX(B38,($B$4*2/10))^2)-($B$4*2/10)*(C38-MAX(B38,($B$4*2/10)))),0))*1000,0)</f>
        <v>0</v>
      </c>
      <c r="AD38" s="120">
        <f>IF(AND(J38="OK",ISNUMBER($B$5),$B$5&gt;0,ISNUMBER($B$3),$B$3&gt;0),F38/(6*$B$3*1000000*$B$5)*(IF(B38&lt;($B$4*3/10),($B$4*3/10)*(MIN(C38,($B$4*3/10))^3-B38^3)-(MIN(C38,($B$4*3/10))^4-B38^4)/4,0)+IF(C38&gt;($B$4*3/10),($B$4*3/10)^2*(1.5*(C38^2-MAX(B38,($B$4*3/10))^2)-($B$4*3/10)*(C38-MAX(B38,($B$4*3/10)))),0))*1000,0)</f>
        <v>0</v>
      </c>
      <c r="AE38" s="120">
        <f>IF(AND(J38="OK",ISNUMBER($B$5),$B$5&gt;0,ISNUMBER($B$3),$B$3&gt;0),F38/(6*$B$3*1000000*$B$5)*(IF(B38&lt;($B$4*4/10),($B$4*4/10)*(MIN(C38,($B$4*4/10))^3-B38^3)-(MIN(C38,($B$4*4/10))^4-B38^4)/4,0)+IF(C38&gt;($B$4*4/10),($B$4*4/10)^2*(1.5*(C38^2-MAX(B38,($B$4*4/10))^2)-($B$4*4/10)*(C38-MAX(B38,($B$4*4/10)))),0))*1000,0)</f>
        <v>0</v>
      </c>
      <c r="AF38" s="120">
        <f>IF(AND(J38="OK",ISNUMBER($B$5),$B$5&gt;0,ISNUMBER($B$3),$B$3&gt;0),F38/(6*$B$3*1000000*$B$5)*(IF(B38&lt;($B$4*5/10),($B$4*5/10)*(MIN(C38,($B$4*5/10))^3-B38^3)-(MIN(C38,($B$4*5/10))^4-B38^4)/4,0)+IF(C38&gt;($B$4*5/10),($B$4*5/10)^2*(1.5*(C38^2-MAX(B38,($B$4*5/10))^2)-($B$4*5/10)*(C38-MAX(B38,($B$4*5/10)))),0))*1000,0)</f>
        <v>0</v>
      </c>
      <c r="AG38" s="120">
        <f>IF(AND(J38="OK",ISNUMBER($B$5),$B$5&gt;0,ISNUMBER($B$3),$B$3&gt;0),F38/(6*$B$3*1000000*$B$5)*(IF(B38&lt;($B$4*6/10),($B$4*6/10)*(MIN(C38,($B$4*6/10))^3-B38^3)-(MIN(C38,($B$4*6/10))^4-B38^4)/4,0)+IF(C38&gt;($B$4*6/10),($B$4*6/10)^2*(1.5*(C38^2-MAX(B38,($B$4*6/10))^2)-($B$4*6/10)*(C38-MAX(B38,($B$4*6/10)))),0))*1000,0)</f>
        <v>0</v>
      </c>
      <c r="AH38" s="120">
        <f>IF(AND(J38="OK",ISNUMBER($B$5),$B$5&gt;0,ISNUMBER($B$3),$B$3&gt;0),F38/(6*$B$3*1000000*$B$5)*(IF(B38&lt;($B$4*7/10),($B$4*7/10)*(MIN(C38,($B$4*7/10))^3-B38^3)-(MIN(C38,($B$4*7/10))^4-B38^4)/4,0)+IF(C38&gt;($B$4*7/10),($B$4*7/10)^2*(1.5*(C38^2-MAX(B38,($B$4*7/10))^2)-($B$4*7/10)*(C38-MAX(B38,($B$4*7/10)))),0))*1000,0)</f>
        <v>0</v>
      </c>
      <c r="AI38" s="120">
        <f>IF(AND(J38="OK",ISNUMBER($B$5),$B$5&gt;0,ISNUMBER($B$3),$B$3&gt;0),F38/(6*$B$3*1000000*$B$5)*(IF(B38&lt;($B$4*8/10),($B$4*8/10)*(MIN(C38,($B$4*8/10))^3-B38^3)-(MIN(C38,($B$4*8/10))^4-B38^4)/4,0)+IF(C38&gt;($B$4*8/10),($B$4*8/10)^2*(1.5*(C38^2-MAX(B38,($B$4*8/10))^2)-($B$4*8/10)*(C38-MAX(B38,($B$4*8/10)))),0))*1000,0)</f>
        <v>0</v>
      </c>
      <c r="AJ38" s="120">
        <f>IF(AND(J38="OK",ISNUMBER($B$5),$B$5&gt;0,ISNUMBER($B$3),$B$3&gt;0),F38/(6*$B$3*1000000*$B$5)*(IF(B38&lt;($B$4*9/10),($B$4*9/10)*(MIN(C38,($B$4*9/10))^3-B38^3)-(MIN(C38,($B$4*9/10))^4-B38^4)/4,0)+IF(C38&gt;($B$4*9/10),($B$4*9/10)^2*(1.5*(C38^2-MAX(B38,($B$4*9/10))^2)-($B$4*9/10)*(C38-MAX(B38,($B$4*9/10)))),0))*1000,0)</f>
        <v>0</v>
      </c>
      <c r="AK38" s="120">
        <f>IF(AND(J38="OK",ISNUMBER($B$5),$B$5&gt;0,ISNUMBER($B$3),$B$3&gt;0),F38/(6*$B$3*1000000*$B$5)*(IF(B38&lt;($B$4*10/10),($B$4*10/10)*(MIN(C38,($B$4*10/10))^3-B38^3)-(MIN(C38,($B$4*10/10))^4-B38^4)/4,0)+IF(C38&gt;($B$4*10/10),($B$4*10/10)^2*(1.5*(C38^2-MAX(B38,($B$4*10/10))^2)-($B$4*10/10)*(C38-MAX(B38,($B$4*10/10)))),0))*1000,0)</f>
        <v>0</v>
      </c>
      <c r="AM38" s="120">
        <f>IF(AND(V38="OK",ISNUMBER($N$5),$N$5&gt;0,ISNUMBER($N$3),$N$3&gt;0),R38/(6*$N$3*1000000*$N$5)*(IF(N38&lt;($N$4*0/10),($N$4*0/10)*(MIN(O38,($N$4*0/10))^3-N38^3)-(MIN(O38,($N$4*0/10))^4-N38^4)/4,0)+IF(O38&gt;($N$4*0/10),($N$4*0/10)^2*(1.5*(O38^2-MAX(N38,($N$4*0/10))^2)-($N$4*0/10)*(O38-MAX(N38,($N$4*0/10)))),0))*1000,0)</f>
        <v>0</v>
      </c>
      <c r="AN38" s="120">
        <f>IF(AND(V38="OK",ISNUMBER($N$5),$N$5&gt;0,ISNUMBER($N$3),$N$3&gt;0),R38/(6*$N$3*1000000*$N$5)*(IF(N38&lt;($N$4*1/10),($N$4*1/10)*(MIN(O38,($N$4*1/10))^3-N38^3)-(MIN(O38,($N$4*1/10))^4-N38^4)/4,0)+IF(O38&gt;($N$4*1/10),($N$4*1/10)^2*(1.5*(O38^2-MAX(N38,($N$4*1/10))^2)-($N$4*1/10)*(O38-MAX(N38,($N$4*1/10)))),0))*1000,0)</f>
        <v>0</v>
      </c>
      <c r="AO38" s="120">
        <f>IF(AND(V38="OK",ISNUMBER($N$5),$N$5&gt;0,ISNUMBER($N$3),$N$3&gt;0),R38/(6*$N$3*1000000*$N$5)*(IF(N38&lt;($N$4*2/10),($N$4*2/10)*(MIN(O38,($N$4*2/10))^3-N38^3)-(MIN(O38,($N$4*2/10))^4-N38^4)/4,0)+IF(O38&gt;($N$4*2/10),($N$4*2/10)^2*(1.5*(O38^2-MAX(N38,($N$4*2/10))^2)-($N$4*2/10)*(O38-MAX(N38,($N$4*2/10)))),0))*1000,0)</f>
        <v>0</v>
      </c>
      <c r="AP38" s="120">
        <f>IF(AND(V38="OK",ISNUMBER($N$5),$N$5&gt;0,ISNUMBER($N$3),$N$3&gt;0),R38/(6*$N$3*1000000*$N$5)*(IF(N38&lt;($N$4*3/10),($N$4*3/10)*(MIN(O38,($N$4*3/10))^3-N38^3)-(MIN(O38,($N$4*3/10))^4-N38^4)/4,0)+IF(O38&gt;($N$4*3/10),($N$4*3/10)^2*(1.5*(O38^2-MAX(N38,($N$4*3/10))^2)-($N$4*3/10)*(O38-MAX(N38,($N$4*3/10)))),0))*1000,0)</f>
        <v>0</v>
      </c>
      <c r="AQ38" s="120">
        <f>IF(AND(V38="OK",ISNUMBER($N$5),$N$5&gt;0,ISNUMBER($N$3),$N$3&gt;0),R38/(6*$N$3*1000000*$N$5)*(IF(N38&lt;($N$4*4/10),($N$4*4/10)*(MIN(O38,($N$4*4/10))^3-N38^3)-(MIN(O38,($N$4*4/10))^4-N38^4)/4,0)+IF(O38&gt;($N$4*4/10),($N$4*4/10)^2*(1.5*(O38^2-MAX(N38,($N$4*4/10))^2)-($N$4*4/10)*(O38-MAX(N38,($N$4*4/10)))),0))*1000,0)</f>
        <v>0</v>
      </c>
      <c r="AR38" s="120">
        <f>IF(AND(V38="OK",ISNUMBER($N$5),$N$5&gt;0,ISNUMBER($N$3),$N$3&gt;0),R38/(6*$N$3*1000000*$N$5)*(IF(N38&lt;($N$4*5/10),($N$4*5/10)*(MIN(O38,($N$4*5/10))^3-N38^3)-(MIN(O38,($N$4*5/10))^4-N38^4)/4,0)+IF(O38&gt;($N$4*5/10),($N$4*5/10)^2*(1.5*(O38^2-MAX(N38,($N$4*5/10))^2)-($N$4*5/10)*(O38-MAX(N38,($N$4*5/10)))),0))*1000,0)</f>
        <v>0</v>
      </c>
      <c r="AS38" s="120">
        <f>IF(AND(V38="OK",ISNUMBER($N$5),$N$5&gt;0,ISNUMBER($N$3),$N$3&gt;0),R38/(6*$N$3*1000000*$N$5)*(IF(N38&lt;($N$4*6/10),($N$4*6/10)*(MIN(O38,($N$4*6/10))^3-N38^3)-(MIN(O38,($N$4*6/10))^4-N38^4)/4,0)+IF(O38&gt;($N$4*6/10),($N$4*6/10)^2*(1.5*(O38^2-MAX(N38,($N$4*6/10))^2)-($N$4*6/10)*(O38-MAX(N38,($N$4*6/10)))),0))*1000,0)</f>
        <v>0</v>
      </c>
      <c r="AT38" s="120">
        <f>IF(AND(V38="OK",ISNUMBER($N$5),$N$5&gt;0,ISNUMBER($N$3),$N$3&gt;0),R38/(6*$N$3*1000000*$N$5)*(IF(N38&lt;($N$4*7/10),($N$4*7/10)*(MIN(O38,($N$4*7/10))^3-N38^3)-(MIN(O38,($N$4*7/10))^4-N38^4)/4,0)+IF(O38&gt;($N$4*7/10),($N$4*7/10)^2*(1.5*(O38^2-MAX(N38,($N$4*7/10))^2)-($N$4*7/10)*(O38-MAX(N38,($N$4*7/10)))),0))*1000,0)</f>
        <v>0</v>
      </c>
      <c r="AU38" s="120">
        <f>IF(AND(V38="OK",ISNUMBER($N$5),$N$5&gt;0,ISNUMBER($N$3),$N$3&gt;0),R38/(6*$N$3*1000000*$N$5)*(IF(N38&lt;($N$4*8/10),($N$4*8/10)*(MIN(O38,($N$4*8/10))^3-N38^3)-(MIN(O38,($N$4*8/10))^4-N38^4)/4,0)+IF(O38&gt;($N$4*8/10),($N$4*8/10)^2*(1.5*(O38^2-MAX(N38,($N$4*8/10))^2)-($N$4*8/10)*(O38-MAX(N38,($N$4*8/10)))),0))*1000,0)</f>
        <v>0</v>
      </c>
      <c r="AV38" s="120">
        <f>IF(AND(V38="OK",ISNUMBER($N$5),$N$5&gt;0,ISNUMBER($N$3),$N$3&gt;0),R38/(6*$N$3*1000000*$N$5)*(IF(N38&lt;($N$4*9/10),($N$4*9/10)*(MIN(O38,($N$4*9/10))^3-N38^3)-(MIN(O38,($N$4*9/10))^4-N38^4)/4,0)+IF(O38&gt;($N$4*9/10),($N$4*9/10)^2*(1.5*(O38^2-MAX(N38,($N$4*9/10))^2)-($N$4*9/10)*(O38-MAX(N38,($N$4*9/10)))),0))*1000,0)</f>
        <v>0</v>
      </c>
      <c r="AW38" s="120">
        <f>IF(AND(V38="OK",ISNUMBER($N$5),$N$5&gt;0,ISNUMBER($N$3),$N$3&gt;0),R38/(6*$N$3*1000000*$N$5)*(IF(N38&lt;($N$4*10/10),($N$4*10/10)*(MIN(O38,($N$4*10/10))^3-N38^3)-(MIN(O38,($N$4*10/10))^4-N38^4)/4,0)+IF(O38&gt;($N$4*10/10),($N$4*10/10)^2*(1.5*(O38^2-MAX(N38,($N$4*10/10))^2)-($N$4*10/10)*(O38-MAX(N38,($N$4*10/10)))),0))*1000,0)</f>
        <v>0</v>
      </c>
    </row>
    <row r="39" spans="1:49">
      <c r="A39" s="124"/>
      <c r="B39" s="125"/>
      <c r="C39" s="125"/>
      <c r="D39" s="125"/>
      <c r="E39" s="125"/>
      <c r="F39" s="126" t="str">
        <f>IF(J39="OK",D39*E39,"")</f>
        <v/>
      </c>
      <c r="G39" s="126" t="str">
        <f>IF(J39="OK",F39*(C39-B39),"")</f>
        <v/>
      </c>
      <c r="H39" s="126" t="str">
        <f>IF(J39="OK",G39*(C39+B39)/2,"")</f>
        <v/>
      </c>
      <c r="I39" s="126" t="str">
        <f>IF(AND(J39="OK",ISNUMBER($B$5),$B$5&gt;0,ISNUMBER($B$3),$B$3&gt;0),F39*(4*$B$4*(C39^3-B39^3)-(C39^4-B39^4))/(24*$B$3*1000000*$B$5)*1000,"")</f>
        <v/>
      </c>
      <c r="J39" s="120" t="str">
        <f>IF(COUNTA(A39:E39)=0,"",IF(AND(COUNT(B39:E39)=4,B39&gt;=0,C39&gt;B39,C39&lt;=$B$4,D39&gt;=0,E39&gt;0),IF(COUNTIFS($B$13:$B$38,"&lt;"&amp;C39,$C$13:$C$38,"&gt;"&amp;B39)&gt;0,"OVERLAP","OK"),"CHECK INPUTS"))</f>
        <v/>
      </c>
      <c r="M39" s="124"/>
      <c r="N39" s="125"/>
      <c r="O39" s="125"/>
      <c r="P39" s="125"/>
      <c r="Q39" s="125"/>
      <c r="R39" s="126" t="str">
        <f>IF(V39="OK",P39*Q39,"")</f>
        <v/>
      </c>
      <c r="S39" s="126" t="str">
        <f>IF(V39="OK",R39*(O39-N39),"")</f>
        <v/>
      </c>
      <c r="T39" s="126" t="str">
        <f>IF(V39="OK",S39*(O39+N39)/2,"")</f>
        <v/>
      </c>
      <c r="U39" s="126" t="str">
        <f>IF(AND(V39="OK",ISNUMBER($N$5),$N$5&gt;0,ISNUMBER($N$3),$N$3&gt;0),R39*(4*$N$4*(O39^3-N39^3)-(O39^4-N39^4))/(24*$N$3*1000000*$N$5)*1000,"")</f>
        <v/>
      </c>
      <c r="V39" s="120" t="str">
        <f>IF(COUNTA(M39:Q39)=0,"",IF(AND(COUNT(N39:Q39)=4,N39&gt;=0,O39&gt;N39,O39&lt;=$N$4,P39&gt;=0,Q39&gt;0),IF(COUNTIFS($N$13:$N$38,"&lt;"&amp;O39,$O$13:$O$38,"&gt;"&amp;N39)&gt;0,"OVERLAP","OK"),"CHECK INPUTS"))</f>
        <v/>
      </c>
      <c r="AA39" s="120">
        <f>IF(AND(J39="OK",ISNUMBER($B$5),$B$5&gt;0,ISNUMBER($B$3),$B$3&gt;0),F39/(6*$B$3*1000000*$B$5)*(IF(B39&lt;($B$4*0/10),($B$4*0/10)*(MIN(C39,($B$4*0/10))^3-B39^3)-(MIN(C39,($B$4*0/10))^4-B39^4)/4,0)+IF(C39&gt;($B$4*0/10),($B$4*0/10)^2*(1.5*(C39^2-MAX(B39,($B$4*0/10))^2)-($B$4*0/10)*(C39-MAX(B39,($B$4*0/10)))),0))*1000,0)</f>
        <v>0</v>
      </c>
      <c r="AB39" s="120">
        <f>IF(AND(J39="OK",ISNUMBER($B$5),$B$5&gt;0,ISNUMBER($B$3),$B$3&gt;0),F39/(6*$B$3*1000000*$B$5)*(IF(B39&lt;($B$4*1/10),($B$4*1/10)*(MIN(C39,($B$4*1/10))^3-B39^3)-(MIN(C39,($B$4*1/10))^4-B39^4)/4,0)+IF(C39&gt;($B$4*1/10),($B$4*1/10)^2*(1.5*(C39^2-MAX(B39,($B$4*1/10))^2)-($B$4*1/10)*(C39-MAX(B39,($B$4*1/10)))),0))*1000,0)</f>
        <v>0</v>
      </c>
      <c r="AC39" s="120">
        <f>IF(AND(J39="OK",ISNUMBER($B$5),$B$5&gt;0,ISNUMBER($B$3),$B$3&gt;0),F39/(6*$B$3*1000000*$B$5)*(IF(B39&lt;($B$4*2/10),($B$4*2/10)*(MIN(C39,($B$4*2/10))^3-B39^3)-(MIN(C39,($B$4*2/10))^4-B39^4)/4,0)+IF(C39&gt;($B$4*2/10),($B$4*2/10)^2*(1.5*(C39^2-MAX(B39,($B$4*2/10))^2)-($B$4*2/10)*(C39-MAX(B39,($B$4*2/10)))),0))*1000,0)</f>
        <v>0</v>
      </c>
      <c r="AD39" s="120">
        <f>IF(AND(J39="OK",ISNUMBER($B$5),$B$5&gt;0,ISNUMBER($B$3),$B$3&gt;0),F39/(6*$B$3*1000000*$B$5)*(IF(B39&lt;($B$4*3/10),($B$4*3/10)*(MIN(C39,($B$4*3/10))^3-B39^3)-(MIN(C39,($B$4*3/10))^4-B39^4)/4,0)+IF(C39&gt;($B$4*3/10),($B$4*3/10)^2*(1.5*(C39^2-MAX(B39,($B$4*3/10))^2)-($B$4*3/10)*(C39-MAX(B39,($B$4*3/10)))),0))*1000,0)</f>
        <v>0</v>
      </c>
      <c r="AE39" s="120">
        <f>IF(AND(J39="OK",ISNUMBER($B$5),$B$5&gt;0,ISNUMBER($B$3),$B$3&gt;0),F39/(6*$B$3*1000000*$B$5)*(IF(B39&lt;($B$4*4/10),($B$4*4/10)*(MIN(C39,($B$4*4/10))^3-B39^3)-(MIN(C39,($B$4*4/10))^4-B39^4)/4,0)+IF(C39&gt;($B$4*4/10),($B$4*4/10)^2*(1.5*(C39^2-MAX(B39,($B$4*4/10))^2)-($B$4*4/10)*(C39-MAX(B39,($B$4*4/10)))),0))*1000,0)</f>
        <v>0</v>
      </c>
      <c r="AF39" s="120">
        <f>IF(AND(J39="OK",ISNUMBER($B$5),$B$5&gt;0,ISNUMBER($B$3),$B$3&gt;0),F39/(6*$B$3*1000000*$B$5)*(IF(B39&lt;($B$4*5/10),($B$4*5/10)*(MIN(C39,($B$4*5/10))^3-B39^3)-(MIN(C39,($B$4*5/10))^4-B39^4)/4,0)+IF(C39&gt;($B$4*5/10),($B$4*5/10)^2*(1.5*(C39^2-MAX(B39,($B$4*5/10))^2)-($B$4*5/10)*(C39-MAX(B39,($B$4*5/10)))),0))*1000,0)</f>
        <v>0</v>
      </c>
      <c r="AG39" s="120">
        <f>IF(AND(J39="OK",ISNUMBER($B$5),$B$5&gt;0,ISNUMBER($B$3),$B$3&gt;0),F39/(6*$B$3*1000000*$B$5)*(IF(B39&lt;($B$4*6/10),($B$4*6/10)*(MIN(C39,($B$4*6/10))^3-B39^3)-(MIN(C39,($B$4*6/10))^4-B39^4)/4,0)+IF(C39&gt;($B$4*6/10),($B$4*6/10)^2*(1.5*(C39^2-MAX(B39,($B$4*6/10))^2)-($B$4*6/10)*(C39-MAX(B39,($B$4*6/10)))),0))*1000,0)</f>
        <v>0</v>
      </c>
      <c r="AH39" s="120">
        <f>IF(AND(J39="OK",ISNUMBER($B$5),$B$5&gt;0,ISNUMBER($B$3),$B$3&gt;0),F39/(6*$B$3*1000000*$B$5)*(IF(B39&lt;($B$4*7/10),($B$4*7/10)*(MIN(C39,($B$4*7/10))^3-B39^3)-(MIN(C39,($B$4*7/10))^4-B39^4)/4,0)+IF(C39&gt;($B$4*7/10),($B$4*7/10)^2*(1.5*(C39^2-MAX(B39,($B$4*7/10))^2)-($B$4*7/10)*(C39-MAX(B39,($B$4*7/10)))),0))*1000,0)</f>
        <v>0</v>
      </c>
      <c r="AI39" s="120">
        <f>IF(AND(J39="OK",ISNUMBER($B$5),$B$5&gt;0,ISNUMBER($B$3),$B$3&gt;0),F39/(6*$B$3*1000000*$B$5)*(IF(B39&lt;($B$4*8/10),($B$4*8/10)*(MIN(C39,($B$4*8/10))^3-B39^3)-(MIN(C39,($B$4*8/10))^4-B39^4)/4,0)+IF(C39&gt;($B$4*8/10),($B$4*8/10)^2*(1.5*(C39^2-MAX(B39,($B$4*8/10))^2)-($B$4*8/10)*(C39-MAX(B39,($B$4*8/10)))),0))*1000,0)</f>
        <v>0</v>
      </c>
      <c r="AJ39" s="120">
        <f>IF(AND(J39="OK",ISNUMBER($B$5),$B$5&gt;0,ISNUMBER($B$3),$B$3&gt;0),F39/(6*$B$3*1000000*$B$5)*(IF(B39&lt;($B$4*9/10),($B$4*9/10)*(MIN(C39,($B$4*9/10))^3-B39^3)-(MIN(C39,($B$4*9/10))^4-B39^4)/4,0)+IF(C39&gt;($B$4*9/10),($B$4*9/10)^2*(1.5*(C39^2-MAX(B39,($B$4*9/10))^2)-($B$4*9/10)*(C39-MAX(B39,($B$4*9/10)))),0))*1000,0)</f>
        <v>0</v>
      </c>
      <c r="AK39" s="120">
        <f>IF(AND(J39="OK",ISNUMBER($B$5),$B$5&gt;0,ISNUMBER($B$3),$B$3&gt;0),F39/(6*$B$3*1000000*$B$5)*(IF(B39&lt;($B$4*10/10),($B$4*10/10)*(MIN(C39,($B$4*10/10))^3-B39^3)-(MIN(C39,($B$4*10/10))^4-B39^4)/4,0)+IF(C39&gt;($B$4*10/10),($B$4*10/10)^2*(1.5*(C39^2-MAX(B39,($B$4*10/10))^2)-($B$4*10/10)*(C39-MAX(B39,($B$4*10/10)))),0))*1000,0)</f>
        <v>0</v>
      </c>
      <c r="AM39" s="120">
        <f>IF(AND(V39="OK",ISNUMBER($N$5),$N$5&gt;0,ISNUMBER($N$3),$N$3&gt;0),R39/(6*$N$3*1000000*$N$5)*(IF(N39&lt;($N$4*0/10),($N$4*0/10)*(MIN(O39,($N$4*0/10))^3-N39^3)-(MIN(O39,($N$4*0/10))^4-N39^4)/4,0)+IF(O39&gt;($N$4*0/10),($N$4*0/10)^2*(1.5*(O39^2-MAX(N39,($N$4*0/10))^2)-($N$4*0/10)*(O39-MAX(N39,($N$4*0/10)))),0))*1000,0)</f>
        <v>0</v>
      </c>
      <c r="AN39" s="120">
        <f>IF(AND(V39="OK",ISNUMBER($N$5),$N$5&gt;0,ISNUMBER($N$3),$N$3&gt;0),R39/(6*$N$3*1000000*$N$5)*(IF(N39&lt;($N$4*1/10),($N$4*1/10)*(MIN(O39,($N$4*1/10))^3-N39^3)-(MIN(O39,($N$4*1/10))^4-N39^4)/4,0)+IF(O39&gt;($N$4*1/10),($N$4*1/10)^2*(1.5*(O39^2-MAX(N39,($N$4*1/10))^2)-($N$4*1/10)*(O39-MAX(N39,($N$4*1/10)))),0))*1000,0)</f>
        <v>0</v>
      </c>
      <c r="AO39" s="120">
        <f>IF(AND(V39="OK",ISNUMBER($N$5),$N$5&gt;0,ISNUMBER($N$3),$N$3&gt;0),R39/(6*$N$3*1000000*$N$5)*(IF(N39&lt;($N$4*2/10),($N$4*2/10)*(MIN(O39,($N$4*2/10))^3-N39^3)-(MIN(O39,($N$4*2/10))^4-N39^4)/4,0)+IF(O39&gt;($N$4*2/10),($N$4*2/10)^2*(1.5*(O39^2-MAX(N39,($N$4*2/10))^2)-($N$4*2/10)*(O39-MAX(N39,($N$4*2/10)))),0))*1000,0)</f>
        <v>0</v>
      </c>
      <c r="AP39" s="120">
        <f>IF(AND(V39="OK",ISNUMBER($N$5),$N$5&gt;0,ISNUMBER($N$3),$N$3&gt;0),R39/(6*$N$3*1000000*$N$5)*(IF(N39&lt;($N$4*3/10),($N$4*3/10)*(MIN(O39,($N$4*3/10))^3-N39^3)-(MIN(O39,($N$4*3/10))^4-N39^4)/4,0)+IF(O39&gt;($N$4*3/10),($N$4*3/10)^2*(1.5*(O39^2-MAX(N39,($N$4*3/10))^2)-($N$4*3/10)*(O39-MAX(N39,($N$4*3/10)))),0))*1000,0)</f>
        <v>0</v>
      </c>
      <c r="AQ39" s="120">
        <f>IF(AND(V39="OK",ISNUMBER($N$5),$N$5&gt;0,ISNUMBER($N$3),$N$3&gt;0),R39/(6*$N$3*1000000*$N$5)*(IF(N39&lt;($N$4*4/10),($N$4*4/10)*(MIN(O39,($N$4*4/10))^3-N39^3)-(MIN(O39,($N$4*4/10))^4-N39^4)/4,0)+IF(O39&gt;($N$4*4/10),($N$4*4/10)^2*(1.5*(O39^2-MAX(N39,($N$4*4/10))^2)-($N$4*4/10)*(O39-MAX(N39,($N$4*4/10)))),0))*1000,0)</f>
        <v>0</v>
      </c>
      <c r="AR39" s="120">
        <f>IF(AND(V39="OK",ISNUMBER($N$5),$N$5&gt;0,ISNUMBER($N$3),$N$3&gt;0),R39/(6*$N$3*1000000*$N$5)*(IF(N39&lt;($N$4*5/10),($N$4*5/10)*(MIN(O39,($N$4*5/10))^3-N39^3)-(MIN(O39,($N$4*5/10))^4-N39^4)/4,0)+IF(O39&gt;($N$4*5/10),($N$4*5/10)^2*(1.5*(O39^2-MAX(N39,($N$4*5/10))^2)-($N$4*5/10)*(O39-MAX(N39,($N$4*5/10)))),0))*1000,0)</f>
        <v>0</v>
      </c>
      <c r="AS39" s="120">
        <f>IF(AND(V39="OK",ISNUMBER($N$5),$N$5&gt;0,ISNUMBER($N$3),$N$3&gt;0),R39/(6*$N$3*1000000*$N$5)*(IF(N39&lt;($N$4*6/10),($N$4*6/10)*(MIN(O39,($N$4*6/10))^3-N39^3)-(MIN(O39,($N$4*6/10))^4-N39^4)/4,0)+IF(O39&gt;($N$4*6/10),($N$4*6/10)^2*(1.5*(O39^2-MAX(N39,($N$4*6/10))^2)-($N$4*6/10)*(O39-MAX(N39,($N$4*6/10)))),0))*1000,0)</f>
        <v>0</v>
      </c>
      <c r="AT39" s="120">
        <f>IF(AND(V39="OK",ISNUMBER($N$5),$N$5&gt;0,ISNUMBER($N$3),$N$3&gt;0),R39/(6*$N$3*1000000*$N$5)*(IF(N39&lt;($N$4*7/10),($N$4*7/10)*(MIN(O39,($N$4*7/10))^3-N39^3)-(MIN(O39,($N$4*7/10))^4-N39^4)/4,0)+IF(O39&gt;($N$4*7/10),($N$4*7/10)^2*(1.5*(O39^2-MAX(N39,($N$4*7/10))^2)-($N$4*7/10)*(O39-MAX(N39,($N$4*7/10)))),0))*1000,0)</f>
        <v>0</v>
      </c>
      <c r="AU39" s="120">
        <f>IF(AND(V39="OK",ISNUMBER($N$5),$N$5&gt;0,ISNUMBER($N$3),$N$3&gt;0),R39/(6*$N$3*1000000*$N$5)*(IF(N39&lt;($N$4*8/10),($N$4*8/10)*(MIN(O39,($N$4*8/10))^3-N39^3)-(MIN(O39,($N$4*8/10))^4-N39^4)/4,0)+IF(O39&gt;($N$4*8/10),($N$4*8/10)^2*(1.5*(O39^2-MAX(N39,($N$4*8/10))^2)-($N$4*8/10)*(O39-MAX(N39,($N$4*8/10)))),0))*1000,0)</f>
        <v>0</v>
      </c>
      <c r="AV39" s="120">
        <f>IF(AND(V39="OK",ISNUMBER($N$5),$N$5&gt;0,ISNUMBER($N$3),$N$3&gt;0),R39/(6*$N$3*1000000*$N$5)*(IF(N39&lt;($N$4*9/10),($N$4*9/10)*(MIN(O39,($N$4*9/10))^3-N39^3)-(MIN(O39,($N$4*9/10))^4-N39^4)/4,0)+IF(O39&gt;($N$4*9/10),($N$4*9/10)^2*(1.5*(O39^2-MAX(N39,($N$4*9/10))^2)-($N$4*9/10)*(O39-MAX(N39,($N$4*9/10)))),0))*1000,0)</f>
        <v>0</v>
      </c>
      <c r="AW39" s="120">
        <f>IF(AND(V39="OK",ISNUMBER($N$5),$N$5&gt;0,ISNUMBER($N$3),$N$3&gt;0),R39/(6*$N$3*1000000*$N$5)*(IF(N39&lt;($N$4*10/10),($N$4*10/10)*(MIN(O39,($N$4*10/10))^3-N39^3)-(MIN(O39,($N$4*10/10))^4-N39^4)/4,0)+IF(O39&gt;($N$4*10/10),($N$4*10/10)^2*(1.5*(O39^2-MAX(N39,($N$4*10/10))^2)-($N$4*10/10)*(O39-MAX(N39,($N$4*10/10)))),0))*1000,0)</f>
        <v>0</v>
      </c>
    </row>
    <row r="40" spans="1:49">
      <c r="A40" s="124"/>
      <c r="B40" s="125"/>
      <c r="C40" s="125"/>
      <c r="D40" s="125"/>
      <c r="E40" s="125"/>
      <c r="F40" s="126" t="str">
        <f>IF(J40="OK",D40*E40,"")</f>
        <v/>
      </c>
      <c r="G40" s="126" t="str">
        <f>IF(J40="OK",F40*(C40-B40),"")</f>
        <v/>
      </c>
      <c r="H40" s="126" t="str">
        <f>IF(J40="OK",G40*(C40+B40)/2,"")</f>
        <v/>
      </c>
      <c r="I40" s="126" t="str">
        <f>IF(AND(J40="OK",ISNUMBER($B$5),$B$5&gt;0,ISNUMBER($B$3),$B$3&gt;0),F40*(4*$B$4*(C40^3-B40^3)-(C40^4-B40^4))/(24*$B$3*1000000*$B$5)*1000,"")</f>
        <v/>
      </c>
      <c r="J40" s="120" t="str">
        <f>IF(COUNTA(A40:E40)=0,"",IF(AND(COUNT(B40:E40)=4,B40&gt;=0,C40&gt;B40,C40&lt;=$B$4,D40&gt;=0,E40&gt;0),IF(COUNTIFS($B$13:$B$39,"&lt;"&amp;C40,$C$13:$C$39,"&gt;"&amp;B40)&gt;0,"OVERLAP","OK"),"CHECK INPUTS"))</f>
        <v/>
      </c>
      <c r="M40" s="124"/>
      <c r="N40" s="125"/>
      <c r="O40" s="125"/>
      <c r="P40" s="125"/>
      <c r="Q40" s="125"/>
      <c r="R40" s="126" t="str">
        <f>IF(V40="OK",P40*Q40,"")</f>
        <v/>
      </c>
      <c r="S40" s="126" t="str">
        <f>IF(V40="OK",R40*(O40-N40),"")</f>
        <v/>
      </c>
      <c r="T40" s="126" t="str">
        <f>IF(V40="OK",S40*(O40+N40)/2,"")</f>
        <v/>
      </c>
      <c r="U40" s="126" t="str">
        <f>IF(AND(V40="OK",ISNUMBER($N$5),$N$5&gt;0,ISNUMBER($N$3),$N$3&gt;0),R40*(4*$N$4*(O40^3-N40^3)-(O40^4-N40^4))/(24*$N$3*1000000*$N$5)*1000,"")</f>
        <v/>
      </c>
      <c r="V40" s="120" t="str">
        <f>IF(COUNTA(M40:Q40)=0,"",IF(AND(COUNT(N40:Q40)=4,N40&gt;=0,O40&gt;N40,O40&lt;=$N$4,P40&gt;=0,Q40&gt;0),IF(COUNTIFS($N$13:$N$39,"&lt;"&amp;O40,$O$13:$O$39,"&gt;"&amp;N40)&gt;0,"OVERLAP","OK"),"CHECK INPUTS"))</f>
        <v/>
      </c>
      <c r="AA40" s="120">
        <f>IF(AND(J40="OK",ISNUMBER($B$5),$B$5&gt;0,ISNUMBER($B$3),$B$3&gt;0),F40/(6*$B$3*1000000*$B$5)*(IF(B40&lt;($B$4*0/10),($B$4*0/10)*(MIN(C40,($B$4*0/10))^3-B40^3)-(MIN(C40,($B$4*0/10))^4-B40^4)/4,0)+IF(C40&gt;($B$4*0/10),($B$4*0/10)^2*(1.5*(C40^2-MAX(B40,($B$4*0/10))^2)-($B$4*0/10)*(C40-MAX(B40,($B$4*0/10)))),0))*1000,0)</f>
        <v>0</v>
      </c>
      <c r="AB40" s="120">
        <f>IF(AND(J40="OK",ISNUMBER($B$5),$B$5&gt;0,ISNUMBER($B$3),$B$3&gt;0),F40/(6*$B$3*1000000*$B$5)*(IF(B40&lt;($B$4*1/10),($B$4*1/10)*(MIN(C40,($B$4*1/10))^3-B40^3)-(MIN(C40,($B$4*1/10))^4-B40^4)/4,0)+IF(C40&gt;($B$4*1/10),($B$4*1/10)^2*(1.5*(C40^2-MAX(B40,($B$4*1/10))^2)-($B$4*1/10)*(C40-MAX(B40,($B$4*1/10)))),0))*1000,0)</f>
        <v>0</v>
      </c>
      <c r="AC40" s="120">
        <f>IF(AND(J40="OK",ISNUMBER($B$5),$B$5&gt;0,ISNUMBER($B$3),$B$3&gt;0),F40/(6*$B$3*1000000*$B$5)*(IF(B40&lt;($B$4*2/10),($B$4*2/10)*(MIN(C40,($B$4*2/10))^3-B40^3)-(MIN(C40,($B$4*2/10))^4-B40^4)/4,0)+IF(C40&gt;($B$4*2/10),($B$4*2/10)^2*(1.5*(C40^2-MAX(B40,($B$4*2/10))^2)-($B$4*2/10)*(C40-MAX(B40,($B$4*2/10)))),0))*1000,0)</f>
        <v>0</v>
      </c>
      <c r="AD40" s="120">
        <f>IF(AND(J40="OK",ISNUMBER($B$5),$B$5&gt;0,ISNUMBER($B$3),$B$3&gt;0),F40/(6*$B$3*1000000*$B$5)*(IF(B40&lt;($B$4*3/10),($B$4*3/10)*(MIN(C40,($B$4*3/10))^3-B40^3)-(MIN(C40,($B$4*3/10))^4-B40^4)/4,0)+IF(C40&gt;($B$4*3/10),($B$4*3/10)^2*(1.5*(C40^2-MAX(B40,($B$4*3/10))^2)-($B$4*3/10)*(C40-MAX(B40,($B$4*3/10)))),0))*1000,0)</f>
        <v>0</v>
      </c>
      <c r="AE40" s="120">
        <f>IF(AND(J40="OK",ISNUMBER($B$5),$B$5&gt;0,ISNUMBER($B$3),$B$3&gt;0),F40/(6*$B$3*1000000*$B$5)*(IF(B40&lt;($B$4*4/10),($B$4*4/10)*(MIN(C40,($B$4*4/10))^3-B40^3)-(MIN(C40,($B$4*4/10))^4-B40^4)/4,0)+IF(C40&gt;($B$4*4/10),($B$4*4/10)^2*(1.5*(C40^2-MAX(B40,($B$4*4/10))^2)-($B$4*4/10)*(C40-MAX(B40,($B$4*4/10)))),0))*1000,0)</f>
        <v>0</v>
      </c>
      <c r="AF40" s="120">
        <f>IF(AND(J40="OK",ISNUMBER($B$5),$B$5&gt;0,ISNUMBER($B$3),$B$3&gt;0),F40/(6*$B$3*1000000*$B$5)*(IF(B40&lt;($B$4*5/10),($B$4*5/10)*(MIN(C40,($B$4*5/10))^3-B40^3)-(MIN(C40,($B$4*5/10))^4-B40^4)/4,0)+IF(C40&gt;($B$4*5/10),($B$4*5/10)^2*(1.5*(C40^2-MAX(B40,($B$4*5/10))^2)-($B$4*5/10)*(C40-MAX(B40,($B$4*5/10)))),0))*1000,0)</f>
        <v>0</v>
      </c>
      <c r="AG40" s="120">
        <f>IF(AND(J40="OK",ISNUMBER($B$5),$B$5&gt;0,ISNUMBER($B$3),$B$3&gt;0),F40/(6*$B$3*1000000*$B$5)*(IF(B40&lt;($B$4*6/10),($B$4*6/10)*(MIN(C40,($B$4*6/10))^3-B40^3)-(MIN(C40,($B$4*6/10))^4-B40^4)/4,0)+IF(C40&gt;($B$4*6/10),($B$4*6/10)^2*(1.5*(C40^2-MAX(B40,($B$4*6/10))^2)-($B$4*6/10)*(C40-MAX(B40,($B$4*6/10)))),0))*1000,0)</f>
        <v>0</v>
      </c>
      <c r="AH40" s="120">
        <f>IF(AND(J40="OK",ISNUMBER($B$5),$B$5&gt;0,ISNUMBER($B$3),$B$3&gt;0),F40/(6*$B$3*1000000*$B$5)*(IF(B40&lt;($B$4*7/10),($B$4*7/10)*(MIN(C40,($B$4*7/10))^3-B40^3)-(MIN(C40,($B$4*7/10))^4-B40^4)/4,0)+IF(C40&gt;($B$4*7/10),($B$4*7/10)^2*(1.5*(C40^2-MAX(B40,($B$4*7/10))^2)-($B$4*7/10)*(C40-MAX(B40,($B$4*7/10)))),0))*1000,0)</f>
        <v>0</v>
      </c>
      <c r="AI40" s="120">
        <f>IF(AND(J40="OK",ISNUMBER($B$5),$B$5&gt;0,ISNUMBER($B$3),$B$3&gt;0),F40/(6*$B$3*1000000*$B$5)*(IF(B40&lt;($B$4*8/10),($B$4*8/10)*(MIN(C40,($B$4*8/10))^3-B40^3)-(MIN(C40,($B$4*8/10))^4-B40^4)/4,0)+IF(C40&gt;($B$4*8/10),($B$4*8/10)^2*(1.5*(C40^2-MAX(B40,($B$4*8/10))^2)-($B$4*8/10)*(C40-MAX(B40,($B$4*8/10)))),0))*1000,0)</f>
        <v>0</v>
      </c>
      <c r="AJ40" s="120">
        <f>IF(AND(J40="OK",ISNUMBER($B$5),$B$5&gt;0,ISNUMBER($B$3),$B$3&gt;0),F40/(6*$B$3*1000000*$B$5)*(IF(B40&lt;($B$4*9/10),($B$4*9/10)*(MIN(C40,($B$4*9/10))^3-B40^3)-(MIN(C40,($B$4*9/10))^4-B40^4)/4,0)+IF(C40&gt;($B$4*9/10),($B$4*9/10)^2*(1.5*(C40^2-MAX(B40,($B$4*9/10))^2)-($B$4*9/10)*(C40-MAX(B40,($B$4*9/10)))),0))*1000,0)</f>
        <v>0</v>
      </c>
      <c r="AK40" s="120">
        <f>IF(AND(J40="OK",ISNUMBER($B$5),$B$5&gt;0,ISNUMBER($B$3),$B$3&gt;0),F40/(6*$B$3*1000000*$B$5)*(IF(B40&lt;($B$4*10/10),($B$4*10/10)*(MIN(C40,($B$4*10/10))^3-B40^3)-(MIN(C40,($B$4*10/10))^4-B40^4)/4,0)+IF(C40&gt;($B$4*10/10),($B$4*10/10)^2*(1.5*(C40^2-MAX(B40,($B$4*10/10))^2)-($B$4*10/10)*(C40-MAX(B40,($B$4*10/10)))),0))*1000,0)</f>
        <v>0</v>
      </c>
      <c r="AM40" s="120">
        <f>IF(AND(V40="OK",ISNUMBER($N$5),$N$5&gt;0,ISNUMBER($N$3),$N$3&gt;0),R40/(6*$N$3*1000000*$N$5)*(IF(N40&lt;($N$4*0/10),($N$4*0/10)*(MIN(O40,($N$4*0/10))^3-N40^3)-(MIN(O40,($N$4*0/10))^4-N40^4)/4,0)+IF(O40&gt;($N$4*0/10),($N$4*0/10)^2*(1.5*(O40^2-MAX(N40,($N$4*0/10))^2)-($N$4*0/10)*(O40-MAX(N40,($N$4*0/10)))),0))*1000,0)</f>
        <v>0</v>
      </c>
      <c r="AN40" s="120">
        <f>IF(AND(V40="OK",ISNUMBER($N$5),$N$5&gt;0,ISNUMBER($N$3),$N$3&gt;0),R40/(6*$N$3*1000000*$N$5)*(IF(N40&lt;($N$4*1/10),($N$4*1/10)*(MIN(O40,($N$4*1/10))^3-N40^3)-(MIN(O40,($N$4*1/10))^4-N40^4)/4,0)+IF(O40&gt;($N$4*1/10),($N$4*1/10)^2*(1.5*(O40^2-MAX(N40,($N$4*1/10))^2)-($N$4*1/10)*(O40-MAX(N40,($N$4*1/10)))),0))*1000,0)</f>
        <v>0</v>
      </c>
      <c r="AO40" s="120">
        <f>IF(AND(V40="OK",ISNUMBER($N$5),$N$5&gt;0,ISNUMBER($N$3),$N$3&gt;0),R40/(6*$N$3*1000000*$N$5)*(IF(N40&lt;($N$4*2/10),($N$4*2/10)*(MIN(O40,($N$4*2/10))^3-N40^3)-(MIN(O40,($N$4*2/10))^4-N40^4)/4,0)+IF(O40&gt;($N$4*2/10),($N$4*2/10)^2*(1.5*(O40^2-MAX(N40,($N$4*2/10))^2)-($N$4*2/10)*(O40-MAX(N40,($N$4*2/10)))),0))*1000,0)</f>
        <v>0</v>
      </c>
      <c r="AP40" s="120">
        <f>IF(AND(V40="OK",ISNUMBER($N$5),$N$5&gt;0,ISNUMBER($N$3),$N$3&gt;0),R40/(6*$N$3*1000000*$N$5)*(IF(N40&lt;($N$4*3/10),($N$4*3/10)*(MIN(O40,($N$4*3/10))^3-N40^3)-(MIN(O40,($N$4*3/10))^4-N40^4)/4,0)+IF(O40&gt;($N$4*3/10),($N$4*3/10)^2*(1.5*(O40^2-MAX(N40,($N$4*3/10))^2)-($N$4*3/10)*(O40-MAX(N40,($N$4*3/10)))),0))*1000,0)</f>
        <v>0</v>
      </c>
      <c r="AQ40" s="120">
        <f>IF(AND(V40="OK",ISNUMBER($N$5),$N$5&gt;0,ISNUMBER($N$3),$N$3&gt;0),R40/(6*$N$3*1000000*$N$5)*(IF(N40&lt;($N$4*4/10),($N$4*4/10)*(MIN(O40,($N$4*4/10))^3-N40^3)-(MIN(O40,($N$4*4/10))^4-N40^4)/4,0)+IF(O40&gt;($N$4*4/10),($N$4*4/10)^2*(1.5*(O40^2-MAX(N40,($N$4*4/10))^2)-($N$4*4/10)*(O40-MAX(N40,($N$4*4/10)))),0))*1000,0)</f>
        <v>0</v>
      </c>
      <c r="AR40" s="120">
        <f>IF(AND(V40="OK",ISNUMBER($N$5),$N$5&gt;0,ISNUMBER($N$3),$N$3&gt;0),R40/(6*$N$3*1000000*$N$5)*(IF(N40&lt;($N$4*5/10),($N$4*5/10)*(MIN(O40,($N$4*5/10))^3-N40^3)-(MIN(O40,($N$4*5/10))^4-N40^4)/4,0)+IF(O40&gt;($N$4*5/10),($N$4*5/10)^2*(1.5*(O40^2-MAX(N40,($N$4*5/10))^2)-($N$4*5/10)*(O40-MAX(N40,($N$4*5/10)))),0))*1000,0)</f>
        <v>0</v>
      </c>
      <c r="AS40" s="120">
        <f>IF(AND(V40="OK",ISNUMBER($N$5),$N$5&gt;0,ISNUMBER($N$3),$N$3&gt;0),R40/(6*$N$3*1000000*$N$5)*(IF(N40&lt;($N$4*6/10),($N$4*6/10)*(MIN(O40,($N$4*6/10))^3-N40^3)-(MIN(O40,($N$4*6/10))^4-N40^4)/4,0)+IF(O40&gt;($N$4*6/10),($N$4*6/10)^2*(1.5*(O40^2-MAX(N40,($N$4*6/10))^2)-($N$4*6/10)*(O40-MAX(N40,($N$4*6/10)))),0))*1000,0)</f>
        <v>0</v>
      </c>
      <c r="AT40" s="120">
        <f>IF(AND(V40="OK",ISNUMBER($N$5),$N$5&gt;0,ISNUMBER($N$3),$N$3&gt;0),R40/(6*$N$3*1000000*$N$5)*(IF(N40&lt;($N$4*7/10),($N$4*7/10)*(MIN(O40,($N$4*7/10))^3-N40^3)-(MIN(O40,($N$4*7/10))^4-N40^4)/4,0)+IF(O40&gt;($N$4*7/10),($N$4*7/10)^2*(1.5*(O40^2-MAX(N40,($N$4*7/10))^2)-($N$4*7/10)*(O40-MAX(N40,($N$4*7/10)))),0))*1000,0)</f>
        <v>0</v>
      </c>
      <c r="AU40" s="120">
        <f>IF(AND(V40="OK",ISNUMBER($N$5),$N$5&gt;0,ISNUMBER($N$3),$N$3&gt;0),R40/(6*$N$3*1000000*$N$5)*(IF(N40&lt;($N$4*8/10),($N$4*8/10)*(MIN(O40,($N$4*8/10))^3-N40^3)-(MIN(O40,($N$4*8/10))^4-N40^4)/4,0)+IF(O40&gt;($N$4*8/10),($N$4*8/10)^2*(1.5*(O40^2-MAX(N40,($N$4*8/10))^2)-($N$4*8/10)*(O40-MAX(N40,($N$4*8/10)))),0))*1000,0)</f>
        <v>0</v>
      </c>
      <c r="AV40" s="120">
        <f>IF(AND(V40="OK",ISNUMBER($N$5),$N$5&gt;0,ISNUMBER($N$3),$N$3&gt;0),R40/(6*$N$3*1000000*$N$5)*(IF(N40&lt;($N$4*9/10),($N$4*9/10)*(MIN(O40,($N$4*9/10))^3-N40^3)-(MIN(O40,($N$4*9/10))^4-N40^4)/4,0)+IF(O40&gt;($N$4*9/10),($N$4*9/10)^2*(1.5*(O40^2-MAX(N40,($N$4*9/10))^2)-($N$4*9/10)*(O40-MAX(N40,($N$4*9/10)))),0))*1000,0)</f>
        <v>0</v>
      </c>
      <c r="AW40" s="120">
        <f>IF(AND(V40="OK",ISNUMBER($N$5),$N$5&gt;0,ISNUMBER($N$3),$N$3&gt;0),R40/(6*$N$3*1000000*$N$5)*(IF(N40&lt;($N$4*10/10),($N$4*10/10)*(MIN(O40,($N$4*10/10))^3-N40^3)-(MIN(O40,($N$4*10/10))^4-N40^4)/4,0)+IF(O40&gt;($N$4*10/10),($N$4*10/10)^2*(1.5*(O40^2-MAX(N40,($N$4*10/10))^2)-($N$4*10/10)*(O40-MAX(N40,($N$4*10/10)))),0))*1000,0)</f>
        <v>0</v>
      </c>
    </row>
    <row r="41" spans="1:49">
      <c r="A41" s="124"/>
      <c r="B41" s="125"/>
      <c r="C41" s="125"/>
      <c r="D41" s="125"/>
      <c r="E41" s="125"/>
      <c r="F41" s="126" t="str">
        <f>IF(J41="OK",D41*E41,"")</f>
        <v/>
      </c>
      <c r="G41" s="126" t="str">
        <f>IF(J41="OK",F41*(C41-B41),"")</f>
        <v/>
      </c>
      <c r="H41" s="126" t="str">
        <f>IF(J41="OK",G41*(C41+B41)/2,"")</f>
        <v/>
      </c>
      <c r="I41" s="126" t="str">
        <f>IF(AND(J41="OK",ISNUMBER($B$5),$B$5&gt;0,ISNUMBER($B$3),$B$3&gt;0),F41*(4*$B$4*(C41^3-B41^3)-(C41^4-B41^4))/(24*$B$3*1000000*$B$5)*1000,"")</f>
        <v/>
      </c>
      <c r="J41" s="120" t="str">
        <f>IF(COUNTA(A41:E41)=0,"",IF(AND(COUNT(B41:E41)=4,B41&gt;=0,C41&gt;B41,C41&lt;=$B$4,D41&gt;=0,E41&gt;0),IF(COUNTIFS($B$13:$B$40,"&lt;"&amp;C41,$C$13:$C$40,"&gt;"&amp;B41)&gt;0,"OVERLAP","OK"),"CHECK INPUTS"))</f>
        <v/>
      </c>
      <c r="M41" s="124"/>
      <c r="N41" s="125"/>
      <c r="O41" s="125"/>
      <c r="P41" s="125"/>
      <c r="Q41" s="125"/>
      <c r="R41" s="126" t="str">
        <f>IF(V41="OK",P41*Q41,"")</f>
        <v/>
      </c>
      <c r="S41" s="126" t="str">
        <f>IF(V41="OK",R41*(O41-N41),"")</f>
        <v/>
      </c>
      <c r="T41" s="126" t="str">
        <f>IF(V41="OK",S41*(O41+N41)/2,"")</f>
        <v/>
      </c>
      <c r="U41" s="126" t="str">
        <f>IF(AND(V41="OK",ISNUMBER($N$5),$N$5&gt;0,ISNUMBER($N$3),$N$3&gt;0),R41*(4*$N$4*(O41^3-N41^3)-(O41^4-N41^4))/(24*$N$3*1000000*$N$5)*1000,"")</f>
        <v/>
      </c>
      <c r="V41" s="120" t="str">
        <f>IF(COUNTA(M41:Q41)=0,"",IF(AND(COUNT(N41:Q41)=4,N41&gt;=0,O41&gt;N41,O41&lt;=$N$4,P41&gt;=0,Q41&gt;0),IF(COUNTIFS($N$13:$N$40,"&lt;"&amp;O41,$O$13:$O$40,"&gt;"&amp;N41)&gt;0,"OVERLAP","OK"),"CHECK INPUTS"))</f>
        <v/>
      </c>
      <c r="AA41" s="120">
        <f>IF(AND(J41="OK",ISNUMBER($B$5),$B$5&gt;0,ISNUMBER($B$3),$B$3&gt;0),F41/(6*$B$3*1000000*$B$5)*(IF(B41&lt;($B$4*0/10),($B$4*0/10)*(MIN(C41,($B$4*0/10))^3-B41^3)-(MIN(C41,($B$4*0/10))^4-B41^4)/4,0)+IF(C41&gt;($B$4*0/10),($B$4*0/10)^2*(1.5*(C41^2-MAX(B41,($B$4*0/10))^2)-($B$4*0/10)*(C41-MAX(B41,($B$4*0/10)))),0))*1000,0)</f>
        <v>0</v>
      </c>
      <c r="AB41" s="120">
        <f>IF(AND(J41="OK",ISNUMBER($B$5),$B$5&gt;0,ISNUMBER($B$3),$B$3&gt;0),F41/(6*$B$3*1000000*$B$5)*(IF(B41&lt;($B$4*1/10),($B$4*1/10)*(MIN(C41,($B$4*1/10))^3-B41^3)-(MIN(C41,($B$4*1/10))^4-B41^4)/4,0)+IF(C41&gt;($B$4*1/10),($B$4*1/10)^2*(1.5*(C41^2-MAX(B41,($B$4*1/10))^2)-($B$4*1/10)*(C41-MAX(B41,($B$4*1/10)))),0))*1000,0)</f>
        <v>0</v>
      </c>
      <c r="AC41" s="120">
        <f>IF(AND(J41="OK",ISNUMBER($B$5),$B$5&gt;0,ISNUMBER($B$3),$B$3&gt;0),F41/(6*$B$3*1000000*$B$5)*(IF(B41&lt;($B$4*2/10),($B$4*2/10)*(MIN(C41,($B$4*2/10))^3-B41^3)-(MIN(C41,($B$4*2/10))^4-B41^4)/4,0)+IF(C41&gt;($B$4*2/10),($B$4*2/10)^2*(1.5*(C41^2-MAX(B41,($B$4*2/10))^2)-($B$4*2/10)*(C41-MAX(B41,($B$4*2/10)))),0))*1000,0)</f>
        <v>0</v>
      </c>
      <c r="AD41" s="120">
        <f>IF(AND(J41="OK",ISNUMBER($B$5),$B$5&gt;0,ISNUMBER($B$3),$B$3&gt;0),F41/(6*$B$3*1000000*$B$5)*(IF(B41&lt;($B$4*3/10),($B$4*3/10)*(MIN(C41,($B$4*3/10))^3-B41^3)-(MIN(C41,($B$4*3/10))^4-B41^4)/4,0)+IF(C41&gt;($B$4*3/10),($B$4*3/10)^2*(1.5*(C41^2-MAX(B41,($B$4*3/10))^2)-($B$4*3/10)*(C41-MAX(B41,($B$4*3/10)))),0))*1000,0)</f>
        <v>0</v>
      </c>
      <c r="AE41" s="120">
        <f>IF(AND(J41="OK",ISNUMBER($B$5),$B$5&gt;0,ISNUMBER($B$3),$B$3&gt;0),F41/(6*$B$3*1000000*$B$5)*(IF(B41&lt;($B$4*4/10),($B$4*4/10)*(MIN(C41,($B$4*4/10))^3-B41^3)-(MIN(C41,($B$4*4/10))^4-B41^4)/4,0)+IF(C41&gt;($B$4*4/10),($B$4*4/10)^2*(1.5*(C41^2-MAX(B41,($B$4*4/10))^2)-($B$4*4/10)*(C41-MAX(B41,($B$4*4/10)))),0))*1000,0)</f>
        <v>0</v>
      </c>
      <c r="AF41" s="120">
        <f>IF(AND(J41="OK",ISNUMBER($B$5),$B$5&gt;0,ISNUMBER($B$3),$B$3&gt;0),F41/(6*$B$3*1000000*$B$5)*(IF(B41&lt;($B$4*5/10),($B$4*5/10)*(MIN(C41,($B$4*5/10))^3-B41^3)-(MIN(C41,($B$4*5/10))^4-B41^4)/4,0)+IF(C41&gt;($B$4*5/10),($B$4*5/10)^2*(1.5*(C41^2-MAX(B41,($B$4*5/10))^2)-($B$4*5/10)*(C41-MAX(B41,($B$4*5/10)))),0))*1000,0)</f>
        <v>0</v>
      </c>
      <c r="AG41" s="120">
        <f>IF(AND(J41="OK",ISNUMBER($B$5),$B$5&gt;0,ISNUMBER($B$3),$B$3&gt;0),F41/(6*$B$3*1000000*$B$5)*(IF(B41&lt;($B$4*6/10),($B$4*6/10)*(MIN(C41,($B$4*6/10))^3-B41^3)-(MIN(C41,($B$4*6/10))^4-B41^4)/4,0)+IF(C41&gt;($B$4*6/10),($B$4*6/10)^2*(1.5*(C41^2-MAX(B41,($B$4*6/10))^2)-($B$4*6/10)*(C41-MAX(B41,($B$4*6/10)))),0))*1000,0)</f>
        <v>0</v>
      </c>
      <c r="AH41" s="120">
        <f>IF(AND(J41="OK",ISNUMBER($B$5),$B$5&gt;0,ISNUMBER($B$3),$B$3&gt;0),F41/(6*$B$3*1000000*$B$5)*(IF(B41&lt;($B$4*7/10),($B$4*7/10)*(MIN(C41,($B$4*7/10))^3-B41^3)-(MIN(C41,($B$4*7/10))^4-B41^4)/4,0)+IF(C41&gt;($B$4*7/10),($B$4*7/10)^2*(1.5*(C41^2-MAX(B41,($B$4*7/10))^2)-($B$4*7/10)*(C41-MAX(B41,($B$4*7/10)))),0))*1000,0)</f>
        <v>0</v>
      </c>
      <c r="AI41" s="120">
        <f>IF(AND(J41="OK",ISNUMBER($B$5),$B$5&gt;0,ISNUMBER($B$3),$B$3&gt;0),F41/(6*$B$3*1000000*$B$5)*(IF(B41&lt;($B$4*8/10),($B$4*8/10)*(MIN(C41,($B$4*8/10))^3-B41^3)-(MIN(C41,($B$4*8/10))^4-B41^4)/4,0)+IF(C41&gt;($B$4*8/10),($B$4*8/10)^2*(1.5*(C41^2-MAX(B41,($B$4*8/10))^2)-($B$4*8/10)*(C41-MAX(B41,($B$4*8/10)))),0))*1000,0)</f>
        <v>0</v>
      </c>
      <c r="AJ41" s="120">
        <f>IF(AND(J41="OK",ISNUMBER($B$5),$B$5&gt;0,ISNUMBER($B$3),$B$3&gt;0),F41/(6*$B$3*1000000*$B$5)*(IF(B41&lt;($B$4*9/10),($B$4*9/10)*(MIN(C41,($B$4*9/10))^3-B41^3)-(MIN(C41,($B$4*9/10))^4-B41^4)/4,0)+IF(C41&gt;($B$4*9/10),($B$4*9/10)^2*(1.5*(C41^2-MAX(B41,($B$4*9/10))^2)-($B$4*9/10)*(C41-MAX(B41,($B$4*9/10)))),0))*1000,0)</f>
        <v>0</v>
      </c>
      <c r="AK41" s="120">
        <f>IF(AND(J41="OK",ISNUMBER($B$5),$B$5&gt;0,ISNUMBER($B$3),$B$3&gt;0),F41/(6*$B$3*1000000*$B$5)*(IF(B41&lt;($B$4*10/10),($B$4*10/10)*(MIN(C41,($B$4*10/10))^3-B41^3)-(MIN(C41,($B$4*10/10))^4-B41^4)/4,0)+IF(C41&gt;($B$4*10/10),($B$4*10/10)^2*(1.5*(C41^2-MAX(B41,($B$4*10/10))^2)-($B$4*10/10)*(C41-MAX(B41,($B$4*10/10)))),0))*1000,0)</f>
        <v>0</v>
      </c>
      <c r="AM41" s="120">
        <f>IF(AND(V41="OK",ISNUMBER($N$5),$N$5&gt;0,ISNUMBER($N$3),$N$3&gt;0),R41/(6*$N$3*1000000*$N$5)*(IF(N41&lt;($N$4*0/10),($N$4*0/10)*(MIN(O41,($N$4*0/10))^3-N41^3)-(MIN(O41,($N$4*0/10))^4-N41^4)/4,0)+IF(O41&gt;($N$4*0/10),($N$4*0/10)^2*(1.5*(O41^2-MAX(N41,($N$4*0/10))^2)-($N$4*0/10)*(O41-MAX(N41,($N$4*0/10)))),0))*1000,0)</f>
        <v>0</v>
      </c>
      <c r="AN41" s="120">
        <f>IF(AND(V41="OK",ISNUMBER($N$5),$N$5&gt;0,ISNUMBER($N$3),$N$3&gt;0),R41/(6*$N$3*1000000*$N$5)*(IF(N41&lt;($N$4*1/10),($N$4*1/10)*(MIN(O41,($N$4*1/10))^3-N41^3)-(MIN(O41,($N$4*1/10))^4-N41^4)/4,0)+IF(O41&gt;($N$4*1/10),($N$4*1/10)^2*(1.5*(O41^2-MAX(N41,($N$4*1/10))^2)-($N$4*1/10)*(O41-MAX(N41,($N$4*1/10)))),0))*1000,0)</f>
        <v>0</v>
      </c>
      <c r="AO41" s="120">
        <f>IF(AND(V41="OK",ISNUMBER($N$5),$N$5&gt;0,ISNUMBER($N$3),$N$3&gt;0),R41/(6*$N$3*1000000*$N$5)*(IF(N41&lt;($N$4*2/10),($N$4*2/10)*(MIN(O41,($N$4*2/10))^3-N41^3)-(MIN(O41,($N$4*2/10))^4-N41^4)/4,0)+IF(O41&gt;($N$4*2/10),($N$4*2/10)^2*(1.5*(O41^2-MAX(N41,($N$4*2/10))^2)-($N$4*2/10)*(O41-MAX(N41,($N$4*2/10)))),0))*1000,0)</f>
        <v>0</v>
      </c>
      <c r="AP41" s="120">
        <f>IF(AND(V41="OK",ISNUMBER($N$5),$N$5&gt;0,ISNUMBER($N$3),$N$3&gt;0),R41/(6*$N$3*1000000*$N$5)*(IF(N41&lt;($N$4*3/10),($N$4*3/10)*(MIN(O41,($N$4*3/10))^3-N41^3)-(MIN(O41,($N$4*3/10))^4-N41^4)/4,0)+IF(O41&gt;($N$4*3/10),($N$4*3/10)^2*(1.5*(O41^2-MAX(N41,($N$4*3/10))^2)-($N$4*3/10)*(O41-MAX(N41,($N$4*3/10)))),0))*1000,0)</f>
        <v>0</v>
      </c>
      <c r="AQ41" s="120">
        <f>IF(AND(V41="OK",ISNUMBER($N$5),$N$5&gt;0,ISNUMBER($N$3),$N$3&gt;0),R41/(6*$N$3*1000000*$N$5)*(IF(N41&lt;($N$4*4/10),($N$4*4/10)*(MIN(O41,($N$4*4/10))^3-N41^3)-(MIN(O41,($N$4*4/10))^4-N41^4)/4,0)+IF(O41&gt;($N$4*4/10),($N$4*4/10)^2*(1.5*(O41^2-MAX(N41,($N$4*4/10))^2)-($N$4*4/10)*(O41-MAX(N41,($N$4*4/10)))),0))*1000,0)</f>
        <v>0</v>
      </c>
      <c r="AR41" s="120">
        <f>IF(AND(V41="OK",ISNUMBER($N$5),$N$5&gt;0,ISNUMBER($N$3),$N$3&gt;0),R41/(6*$N$3*1000000*$N$5)*(IF(N41&lt;($N$4*5/10),($N$4*5/10)*(MIN(O41,($N$4*5/10))^3-N41^3)-(MIN(O41,($N$4*5/10))^4-N41^4)/4,0)+IF(O41&gt;($N$4*5/10),($N$4*5/10)^2*(1.5*(O41^2-MAX(N41,($N$4*5/10))^2)-($N$4*5/10)*(O41-MAX(N41,($N$4*5/10)))),0))*1000,0)</f>
        <v>0</v>
      </c>
      <c r="AS41" s="120">
        <f>IF(AND(V41="OK",ISNUMBER($N$5),$N$5&gt;0,ISNUMBER($N$3),$N$3&gt;0),R41/(6*$N$3*1000000*$N$5)*(IF(N41&lt;($N$4*6/10),($N$4*6/10)*(MIN(O41,($N$4*6/10))^3-N41^3)-(MIN(O41,($N$4*6/10))^4-N41^4)/4,0)+IF(O41&gt;($N$4*6/10),($N$4*6/10)^2*(1.5*(O41^2-MAX(N41,($N$4*6/10))^2)-($N$4*6/10)*(O41-MAX(N41,($N$4*6/10)))),0))*1000,0)</f>
        <v>0</v>
      </c>
      <c r="AT41" s="120">
        <f>IF(AND(V41="OK",ISNUMBER($N$5),$N$5&gt;0,ISNUMBER($N$3),$N$3&gt;0),R41/(6*$N$3*1000000*$N$5)*(IF(N41&lt;($N$4*7/10),($N$4*7/10)*(MIN(O41,($N$4*7/10))^3-N41^3)-(MIN(O41,($N$4*7/10))^4-N41^4)/4,0)+IF(O41&gt;($N$4*7/10),($N$4*7/10)^2*(1.5*(O41^2-MAX(N41,($N$4*7/10))^2)-($N$4*7/10)*(O41-MAX(N41,($N$4*7/10)))),0))*1000,0)</f>
        <v>0</v>
      </c>
      <c r="AU41" s="120">
        <f>IF(AND(V41="OK",ISNUMBER($N$5),$N$5&gt;0,ISNUMBER($N$3),$N$3&gt;0),R41/(6*$N$3*1000000*$N$5)*(IF(N41&lt;($N$4*8/10),($N$4*8/10)*(MIN(O41,($N$4*8/10))^3-N41^3)-(MIN(O41,($N$4*8/10))^4-N41^4)/4,0)+IF(O41&gt;($N$4*8/10),($N$4*8/10)^2*(1.5*(O41^2-MAX(N41,($N$4*8/10))^2)-($N$4*8/10)*(O41-MAX(N41,($N$4*8/10)))),0))*1000,0)</f>
        <v>0</v>
      </c>
      <c r="AV41" s="120">
        <f>IF(AND(V41="OK",ISNUMBER($N$5),$N$5&gt;0,ISNUMBER($N$3),$N$3&gt;0),R41/(6*$N$3*1000000*$N$5)*(IF(N41&lt;($N$4*9/10),($N$4*9/10)*(MIN(O41,($N$4*9/10))^3-N41^3)-(MIN(O41,($N$4*9/10))^4-N41^4)/4,0)+IF(O41&gt;($N$4*9/10),($N$4*9/10)^2*(1.5*(O41^2-MAX(N41,($N$4*9/10))^2)-($N$4*9/10)*(O41-MAX(N41,($N$4*9/10)))),0))*1000,0)</f>
        <v>0</v>
      </c>
      <c r="AW41" s="120">
        <f>IF(AND(V41="OK",ISNUMBER($N$5),$N$5&gt;0,ISNUMBER($N$3),$N$3&gt;0),R41/(6*$N$3*1000000*$N$5)*(IF(N41&lt;($N$4*10/10),($N$4*10/10)*(MIN(O41,($N$4*10/10))^3-N41^3)-(MIN(O41,($N$4*10/10))^4-N41^4)/4,0)+IF(O41&gt;($N$4*10/10),($N$4*10/10)^2*(1.5*(O41^2-MAX(N41,($N$4*10/10))^2)-($N$4*10/10)*(O41-MAX(N41,($N$4*10/10)))),0))*1000,0)</f>
        <v>0</v>
      </c>
    </row>
    <row r="42" spans="1:49">
      <c r="A42" s="124"/>
      <c r="B42" s="125"/>
      <c r="C42" s="125"/>
      <c r="D42" s="125"/>
      <c r="E42" s="125"/>
      <c r="F42" s="126" t="str">
        <f>IF(J42="OK",D42*E42,"")</f>
        <v/>
      </c>
      <c r="G42" s="126" t="str">
        <f>IF(J42="OK",F42*(C42-B42),"")</f>
        <v/>
      </c>
      <c r="H42" s="126" t="str">
        <f>IF(J42="OK",G42*(C42+B42)/2,"")</f>
        <v/>
      </c>
      <c r="I42" s="126" t="str">
        <f>IF(AND(J42="OK",ISNUMBER($B$5),$B$5&gt;0,ISNUMBER($B$3),$B$3&gt;0),F42*(4*$B$4*(C42^3-B42^3)-(C42^4-B42^4))/(24*$B$3*1000000*$B$5)*1000,"")</f>
        <v/>
      </c>
      <c r="J42" s="120" t="str">
        <f>IF(COUNTA(A42:E42)=0,"",IF(AND(COUNT(B42:E42)=4,B42&gt;=0,C42&gt;B42,C42&lt;=$B$4,D42&gt;=0,E42&gt;0),IF(COUNTIFS($B$13:$B$41,"&lt;"&amp;C42,$C$13:$C$41,"&gt;"&amp;B42)&gt;0,"OVERLAP","OK"),"CHECK INPUTS"))</f>
        <v/>
      </c>
      <c r="M42" s="124"/>
      <c r="N42" s="125"/>
      <c r="O42" s="125"/>
      <c r="P42" s="125"/>
      <c r="Q42" s="125"/>
      <c r="R42" s="126" t="str">
        <f>IF(V42="OK",P42*Q42,"")</f>
        <v/>
      </c>
      <c r="S42" s="126" t="str">
        <f>IF(V42="OK",R42*(O42-N42),"")</f>
        <v/>
      </c>
      <c r="T42" s="126" t="str">
        <f>IF(V42="OK",S42*(O42+N42)/2,"")</f>
        <v/>
      </c>
      <c r="U42" s="126" t="str">
        <f>IF(AND(V42="OK",ISNUMBER($N$5),$N$5&gt;0,ISNUMBER($N$3),$N$3&gt;0),R42*(4*$N$4*(O42^3-N42^3)-(O42^4-N42^4))/(24*$N$3*1000000*$N$5)*1000,"")</f>
        <v/>
      </c>
      <c r="V42" s="120" t="str">
        <f>IF(COUNTA(M42:Q42)=0,"",IF(AND(COUNT(N42:Q42)=4,N42&gt;=0,O42&gt;N42,O42&lt;=$N$4,P42&gt;=0,Q42&gt;0),IF(COUNTIFS($N$13:$N$41,"&lt;"&amp;O42,$O$13:$O$41,"&gt;"&amp;N42)&gt;0,"OVERLAP","OK"),"CHECK INPUTS"))</f>
        <v/>
      </c>
      <c r="AA42" s="120">
        <f>IF(AND(J42="OK",ISNUMBER($B$5),$B$5&gt;0,ISNUMBER($B$3),$B$3&gt;0),F42/(6*$B$3*1000000*$B$5)*(IF(B42&lt;($B$4*0/10),($B$4*0/10)*(MIN(C42,($B$4*0/10))^3-B42^3)-(MIN(C42,($B$4*0/10))^4-B42^4)/4,0)+IF(C42&gt;($B$4*0/10),($B$4*0/10)^2*(1.5*(C42^2-MAX(B42,($B$4*0/10))^2)-($B$4*0/10)*(C42-MAX(B42,($B$4*0/10)))),0))*1000,0)</f>
        <v>0</v>
      </c>
      <c r="AB42" s="120">
        <f>IF(AND(J42="OK",ISNUMBER($B$5),$B$5&gt;0,ISNUMBER($B$3),$B$3&gt;0),F42/(6*$B$3*1000000*$B$5)*(IF(B42&lt;($B$4*1/10),($B$4*1/10)*(MIN(C42,($B$4*1/10))^3-B42^3)-(MIN(C42,($B$4*1/10))^4-B42^4)/4,0)+IF(C42&gt;($B$4*1/10),($B$4*1/10)^2*(1.5*(C42^2-MAX(B42,($B$4*1/10))^2)-($B$4*1/10)*(C42-MAX(B42,($B$4*1/10)))),0))*1000,0)</f>
        <v>0</v>
      </c>
      <c r="AC42" s="120">
        <f>IF(AND(J42="OK",ISNUMBER($B$5),$B$5&gt;0,ISNUMBER($B$3),$B$3&gt;0),F42/(6*$B$3*1000000*$B$5)*(IF(B42&lt;($B$4*2/10),($B$4*2/10)*(MIN(C42,($B$4*2/10))^3-B42^3)-(MIN(C42,($B$4*2/10))^4-B42^4)/4,0)+IF(C42&gt;($B$4*2/10),($B$4*2/10)^2*(1.5*(C42^2-MAX(B42,($B$4*2/10))^2)-($B$4*2/10)*(C42-MAX(B42,($B$4*2/10)))),0))*1000,0)</f>
        <v>0</v>
      </c>
      <c r="AD42" s="120">
        <f>IF(AND(J42="OK",ISNUMBER($B$5),$B$5&gt;0,ISNUMBER($B$3),$B$3&gt;0),F42/(6*$B$3*1000000*$B$5)*(IF(B42&lt;($B$4*3/10),($B$4*3/10)*(MIN(C42,($B$4*3/10))^3-B42^3)-(MIN(C42,($B$4*3/10))^4-B42^4)/4,0)+IF(C42&gt;($B$4*3/10),($B$4*3/10)^2*(1.5*(C42^2-MAX(B42,($B$4*3/10))^2)-($B$4*3/10)*(C42-MAX(B42,($B$4*3/10)))),0))*1000,0)</f>
        <v>0</v>
      </c>
      <c r="AE42" s="120">
        <f>IF(AND(J42="OK",ISNUMBER($B$5),$B$5&gt;0,ISNUMBER($B$3),$B$3&gt;0),F42/(6*$B$3*1000000*$B$5)*(IF(B42&lt;($B$4*4/10),($B$4*4/10)*(MIN(C42,($B$4*4/10))^3-B42^3)-(MIN(C42,($B$4*4/10))^4-B42^4)/4,0)+IF(C42&gt;($B$4*4/10),($B$4*4/10)^2*(1.5*(C42^2-MAX(B42,($B$4*4/10))^2)-($B$4*4/10)*(C42-MAX(B42,($B$4*4/10)))),0))*1000,0)</f>
        <v>0</v>
      </c>
      <c r="AF42" s="120">
        <f>IF(AND(J42="OK",ISNUMBER($B$5),$B$5&gt;0,ISNUMBER($B$3),$B$3&gt;0),F42/(6*$B$3*1000000*$B$5)*(IF(B42&lt;($B$4*5/10),($B$4*5/10)*(MIN(C42,($B$4*5/10))^3-B42^3)-(MIN(C42,($B$4*5/10))^4-B42^4)/4,0)+IF(C42&gt;($B$4*5/10),($B$4*5/10)^2*(1.5*(C42^2-MAX(B42,($B$4*5/10))^2)-($B$4*5/10)*(C42-MAX(B42,($B$4*5/10)))),0))*1000,0)</f>
        <v>0</v>
      </c>
      <c r="AG42" s="120">
        <f>IF(AND(J42="OK",ISNUMBER($B$5),$B$5&gt;0,ISNUMBER($B$3),$B$3&gt;0),F42/(6*$B$3*1000000*$B$5)*(IF(B42&lt;($B$4*6/10),($B$4*6/10)*(MIN(C42,($B$4*6/10))^3-B42^3)-(MIN(C42,($B$4*6/10))^4-B42^4)/4,0)+IF(C42&gt;($B$4*6/10),($B$4*6/10)^2*(1.5*(C42^2-MAX(B42,($B$4*6/10))^2)-($B$4*6/10)*(C42-MAX(B42,($B$4*6/10)))),0))*1000,0)</f>
        <v>0</v>
      </c>
      <c r="AH42" s="120">
        <f>IF(AND(J42="OK",ISNUMBER($B$5),$B$5&gt;0,ISNUMBER($B$3),$B$3&gt;0),F42/(6*$B$3*1000000*$B$5)*(IF(B42&lt;($B$4*7/10),($B$4*7/10)*(MIN(C42,($B$4*7/10))^3-B42^3)-(MIN(C42,($B$4*7/10))^4-B42^4)/4,0)+IF(C42&gt;($B$4*7/10),($B$4*7/10)^2*(1.5*(C42^2-MAX(B42,($B$4*7/10))^2)-($B$4*7/10)*(C42-MAX(B42,($B$4*7/10)))),0))*1000,0)</f>
        <v>0</v>
      </c>
      <c r="AI42" s="120">
        <f>IF(AND(J42="OK",ISNUMBER($B$5),$B$5&gt;0,ISNUMBER($B$3),$B$3&gt;0),F42/(6*$B$3*1000000*$B$5)*(IF(B42&lt;($B$4*8/10),($B$4*8/10)*(MIN(C42,($B$4*8/10))^3-B42^3)-(MIN(C42,($B$4*8/10))^4-B42^4)/4,0)+IF(C42&gt;($B$4*8/10),($B$4*8/10)^2*(1.5*(C42^2-MAX(B42,($B$4*8/10))^2)-($B$4*8/10)*(C42-MAX(B42,($B$4*8/10)))),0))*1000,0)</f>
        <v>0</v>
      </c>
      <c r="AJ42" s="120">
        <f>IF(AND(J42="OK",ISNUMBER($B$5),$B$5&gt;0,ISNUMBER($B$3),$B$3&gt;0),F42/(6*$B$3*1000000*$B$5)*(IF(B42&lt;($B$4*9/10),($B$4*9/10)*(MIN(C42,($B$4*9/10))^3-B42^3)-(MIN(C42,($B$4*9/10))^4-B42^4)/4,0)+IF(C42&gt;($B$4*9/10),($B$4*9/10)^2*(1.5*(C42^2-MAX(B42,($B$4*9/10))^2)-($B$4*9/10)*(C42-MAX(B42,($B$4*9/10)))),0))*1000,0)</f>
        <v>0</v>
      </c>
      <c r="AK42" s="120">
        <f>IF(AND(J42="OK",ISNUMBER($B$5),$B$5&gt;0,ISNUMBER($B$3),$B$3&gt;0),F42/(6*$B$3*1000000*$B$5)*(IF(B42&lt;($B$4*10/10),($B$4*10/10)*(MIN(C42,($B$4*10/10))^3-B42^3)-(MIN(C42,($B$4*10/10))^4-B42^4)/4,0)+IF(C42&gt;($B$4*10/10),($B$4*10/10)^2*(1.5*(C42^2-MAX(B42,($B$4*10/10))^2)-($B$4*10/10)*(C42-MAX(B42,($B$4*10/10)))),0))*1000,0)</f>
        <v>0</v>
      </c>
      <c r="AM42" s="120">
        <f>IF(AND(V42="OK",ISNUMBER($N$5),$N$5&gt;0,ISNUMBER($N$3),$N$3&gt;0),R42/(6*$N$3*1000000*$N$5)*(IF(N42&lt;($N$4*0/10),($N$4*0/10)*(MIN(O42,($N$4*0/10))^3-N42^3)-(MIN(O42,($N$4*0/10))^4-N42^4)/4,0)+IF(O42&gt;($N$4*0/10),($N$4*0/10)^2*(1.5*(O42^2-MAX(N42,($N$4*0/10))^2)-($N$4*0/10)*(O42-MAX(N42,($N$4*0/10)))),0))*1000,0)</f>
        <v>0</v>
      </c>
      <c r="AN42" s="120">
        <f>IF(AND(V42="OK",ISNUMBER($N$5),$N$5&gt;0,ISNUMBER($N$3),$N$3&gt;0),R42/(6*$N$3*1000000*$N$5)*(IF(N42&lt;($N$4*1/10),($N$4*1/10)*(MIN(O42,($N$4*1/10))^3-N42^3)-(MIN(O42,($N$4*1/10))^4-N42^4)/4,0)+IF(O42&gt;($N$4*1/10),($N$4*1/10)^2*(1.5*(O42^2-MAX(N42,($N$4*1/10))^2)-($N$4*1/10)*(O42-MAX(N42,($N$4*1/10)))),0))*1000,0)</f>
        <v>0</v>
      </c>
      <c r="AO42" s="120">
        <f>IF(AND(V42="OK",ISNUMBER($N$5),$N$5&gt;0,ISNUMBER($N$3),$N$3&gt;0),R42/(6*$N$3*1000000*$N$5)*(IF(N42&lt;($N$4*2/10),($N$4*2/10)*(MIN(O42,($N$4*2/10))^3-N42^3)-(MIN(O42,($N$4*2/10))^4-N42^4)/4,0)+IF(O42&gt;($N$4*2/10),($N$4*2/10)^2*(1.5*(O42^2-MAX(N42,($N$4*2/10))^2)-($N$4*2/10)*(O42-MAX(N42,($N$4*2/10)))),0))*1000,0)</f>
        <v>0</v>
      </c>
      <c r="AP42" s="120">
        <f>IF(AND(V42="OK",ISNUMBER($N$5),$N$5&gt;0,ISNUMBER($N$3),$N$3&gt;0),R42/(6*$N$3*1000000*$N$5)*(IF(N42&lt;($N$4*3/10),($N$4*3/10)*(MIN(O42,($N$4*3/10))^3-N42^3)-(MIN(O42,($N$4*3/10))^4-N42^4)/4,0)+IF(O42&gt;($N$4*3/10),($N$4*3/10)^2*(1.5*(O42^2-MAX(N42,($N$4*3/10))^2)-($N$4*3/10)*(O42-MAX(N42,($N$4*3/10)))),0))*1000,0)</f>
        <v>0</v>
      </c>
      <c r="AQ42" s="120">
        <f>IF(AND(V42="OK",ISNUMBER($N$5),$N$5&gt;0,ISNUMBER($N$3),$N$3&gt;0),R42/(6*$N$3*1000000*$N$5)*(IF(N42&lt;($N$4*4/10),($N$4*4/10)*(MIN(O42,($N$4*4/10))^3-N42^3)-(MIN(O42,($N$4*4/10))^4-N42^4)/4,0)+IF(O42&gt;($N$4*4/10),($N$4*4/10)^2*(1.5*(O42^2-MAX(N42,($N$4*4/10))^2)-($N$4*4/10)*(O42-MAX(N42,($N$4*4/10)))),0))*1000,0)</f>
        <v>0</v>
      </c>
      <c r="AR42" s="120">
        <f>IF(AND(V42="OK",ISNUMBER($N$5),$N$5&gt;0,ISNUMBER($N$3),$N$3&gt;0),R42/(6*$N$3*1000000*$N$5)*(IF(N42&lt;($N$4*5/10),($N$4*5/10)*(MIN(O42,($N$4*5/10))^3-N42^3)-(MIN(O42,($N$4*5/10))^4-N42^4)/4,0)+IF(O42&gt;($N$4*5/10),($N$4*5/10)^2*(1.5*(O42^2-MAX(N42,($N$4*5/10))^2)-($N$4*5/10)*(O42-MAX(N42,($N$4*5/10)))),0))*1000,0)</f>
        <v>0</v>
      </c>
      <c r="AS42" s="120">
        <f>IF(AND(V42="OK",ISNUMBER($N$5),$N$5&gt;0,ISNUMBER($N$3),$N$3&gt;0),R42/(6*$N$3*1000000*$N$5)*(IF(N42&lt;($N$4*6/10),($N$4*6/10)*(MIN(O42,($N$4*6/10))^3-N42^3)-(MIN(O42,($N$4*6/10))^4-N42^4)/4,0)+IF(O42&gt;($N$4*6/10),($N$4*6/10)^2*(1.5*(O42^2-MAX(N42,($N$4*6/10))^2)-($N$4*6/10)*(O42-MAX(N42,($N$4*6/10)))),0))*1000,0)</f>
        <v>0</v>
      </c>
      <c r="AT42" s="120">
        <f>IF(AND(V42="OK",ISNUMBER($N$5),$N$5&gt;0,ISNUMBER($N$3),$N$3&gt;0),R42/(6*$N$3*1000000*$N$5)*(IF(N42&lt;($N$4*7/10),($N$4*7/10)*(MIN(O42,($N$4*7/10))^3-N42^3)-(MIN(O42,($N$4*7/10))^4-N42^4)/4,0)+IF(O42&gt;($N$4*7/10),($N$4*7/10)^2*(1.5*(O42^2-MAX(N42,($N$4*7/10))^2)-($N$4*7/10)*(O42-MAX(N42,($N$4*7/10)))),0))*1000,0)</f>
        <v>0</v>
      </c>
      <c r="AU42" s="120">
        <f>IF(AND(V42="OK",ISNUMBER($N$5),$N$5&gt;0,ISNUMBER($N$3),$N$3&gt;0),R42/(6*$N$3*1000000*$N$5)*(IF(N42&lt;($N$4*8/10),($N$4*8/10)*(MIN(O42,($N$4*8/10))^3-N42^3)-(MIN(O42,($N$4*8/10))^4-N42^4)/4,0)+IF(O42&gt;($N$4*8/10),($N$4*8/10)^2*(1.5*(O42^2-MAX(N42,($N$4*8/10))^2)-($N$4*8/10)*(O42-MAX(N42,($N$4*8/10)))),0))*1000,0)</f>
        <v>0</v>
      </c>
      <c r="AV42" s="120">
        <f>IF(AND(V42="OK",ISNUMBER($N$5),$N$5&gt;0,ISNUMBER($N$3),$N$3&gt;0),R42/(6*$N$3*1000000*$N$5)*(IF(N42&lt;($N$4*9/10),($N$4*9/10)*(MIN(O42,($N$4*9/10))^3-N42^3)-(MIN(O42,($N$4*9/10))^4-N42^4)/4,0)+IF(O42&gt;($N$4*9/10),($N$4*9/10)^2*(1.5*(O42^2-MAX(N42,($N$4*9/10))^2)-($N$4*9/10)*(O42-MAX(N42,($N$4*9/10)))),0))*1000,0)</f>
        <v>0</v>
      </c>
      <c r="AW42" s="120">
        <f>IF(AND(V42="OK",ISNUMBER($N$5),$N$5&gt;0,ISNUMBER($N$3),$N$3&gt;0),R42/(6*$N$3*1000000*$N$5)*(IF(N42&lt;($N$4*10/10),($N$4*10/10)*(MIN(O42,($N$4*10/10))^3-N42^3)-(MIN(O42,($N$4*10/10))^4-N42^4)/4,0)+IF(O42&gt;($N$4*10/10),($N$4*10/10)^2*(1.5*(O42^2-MAX(N42,($N$4*10/10))^2)-($N$4*10/10)*(O42-MAX(N42,($N$4*10/10)))),0))*1000,0)</f>
        <v>0</v>
      </c>
    </row>
    <row r="43" spans="1:49">
      <c r="A43" s="124"/>
      <c r="B43" s="125"/>
      <c r="C43" s="125"/>
      <c r="D43" s="125"/>
      <c r="E43" s="125"/>
      <c r="F43" s="126" t="str">
        <f>IF(J43="OK",D43*E43,"")</f>
        <v/>
      </c>
      <c r="G43" s="126" t="str">
        <f>IF(J43="OK",F43*(C43-B43),"")</f>
        <v/>
      </c>
      <c r="H43" s="126" t="str">
        <f>IF(J43="OK",G43*(C43+B43)/2,"")</f>
        <v/>
      </c>
      <c r="I43" s="126" t="str">
        <f>IF(AND(J43="OK",ISNUMBER($B$5),$B$5&gt;0,ISNUMBER($B$3),$B$3&gt;0),F43*(4*$B$4*(C43^3-B43^3)-(C43^4-B43^4))/(24*$B$3*1000000*$B$5)*1000,"")</f>
        <v/>
      </c>
      <c r="J43" s="120" t="str">
        <f>IF(COUNTA(A43:E43)=0,"",IF(AND(COUNT(B43:E43)=4,B43&gt;=0,C43&gt;B43,C43&lt;=$B$4,D43&gt;=0,E43&gt;0),IF(COUNTIFS($B$13:$B$42,"&lt;"&amp;C43,$C$13:$C$42,"&gt;"&amp;B43)&gt;0,"OVERLAP","OK"),"CHECK INPUTS"))</f>
        <v/>
      </c>
      <c r="M43" s="124"/>
      <c r="N43" s="125"/>
      <c r="O43" s="125"/>
      <c r="P43" s="125"/>
      <c r="Q43" s="125"/>
      <c r="R43" s="126" t="str">
        <f>IF(V43="OK",P43*Q43,"")</f>
        <v/>
      </c>
      <c r="S43" s="126" t="str">
        <f>IF(V43="OK",R43*(O43-N43),"")</f>
        <v/>
      </c>
      <c r="T43" s="126" t="str">
        <f>IF(V43="OK",S43*(O43+N43)/2,"")</f>
        <v/>
      </c>
      <c r="U43" s="126" t="str">
        <f>IF(AND(V43="OK",ISNUMBER($N$5),$N$5&gt;0,ISNUMBER($N$3),$N$3&gt;0),R43*(4*$N$4*(O43^3-N43^3)-(O43^4-N43^4))/(24*$N$3*1000000*$N$5)*1000,"")</f>
        <v/>
      </c>
      <c r="V43" s="120" t="str">
        <f>IF(COUNTA(M43:Q43)=0,"",IF(AND(COUNT(N43:Q43)=4,N43&gt;=0,O43&gt;N43,O43&lt;=$N$4,P43&gt;=0,Q43&gt;0),IF(COUNTIFS($N$13:$N$42,"&lt;"&amp;O43,$O$13:$O$42,"&gt;"&amp;N43)&gt;0,"OVERLAP","OK"),"CHECK INPUTS"))</f>
        <v/>
      </c>
      <c r="AA43" s="120">
        <f>IF(AND(J43="OK",ISNUMBER($B$5),$B$5&gt;0,ISNUMBER($B$3),$B$3&gt;0),F43/(6*$B$3*1000000*$B$5)*(IF(B43&lt;($B$4*0/10),($B$4*0/10)*(MIN(C43,($B$4*0/10))^3-B43^3)-(MIN(C43,($B$4*0/10))^4-B43^4)/4,0)+IF(C43&gt;($B$4*0/10),($B$4*0/10)^2*(1.5*(C43^2-MAX(B43,($B$4*0/10))^2)-($B$4*0/10)*(C43-MAX(B43,($B$4*0/10)))),0))*1000,0)</f>
        <v>0</v>
      </c>
      <c r="AB43" s="120">
        <f>IF(AND(J43="OK",ISNUMBER($B$5),$B$5&gt;0,ISNUMBER($B$3),$B$3&gt;0),F43/(6*$B$3*1000000*$B$5)*(IF(B43&lt;($B$4*1/10),($B$4*1/10)*(MIN(C43,($B$4*1/10))^3-B43^3)-(MIN(C43,($B$4*1/10))^4-B43^4)/4,0)+IF(C43&gt;($B$4*1/10),($B$4*1/10)^2*(1.5*(C43^2-MAX(B43,($B$4*1/10))^2)-($B$4*1/10)*(C43-MAX(B43,($B$4*1/10)))),0))*1000,0)</f>
        <v>0</v>
      </c>
      <c r="AC43" s="120">
        <f>IF(AND(J43="OK",ISNUMBER($B$5),$B$5&gt;0,ISNUMBER($B$3),$B$3&gt;0),F43/(6*$B$3*1000000*$B$5)*(IF(B43&lt;($B$4*2/10),($B$4*2/10)*(MIN(C43,($B$4*2/10))^3-B43^3)-(MIN(C43,($B$4*2/10))^4-B43^4)/4,0)+IF(C43&gt;($B$4*2/10),($B$4*2/10)^2*(1.5*(C43^2-MAX(B43,($B$4*2/10))^2)-($B$4*2/10)*(C43-MAX(B43,($B$4*2/10)))),0))*1000,0)</f>
        <v>0</v>
      </c>
      <c r="AD43" s="120">
        <f>IF(AND(J43="OK",ISNUMBER($B$5),$B$5&gt;0,ISNUMBER($B$3),$B$3&gt;0),F43/(6*$B$3*1000000*$B$5)*(IF(B43&lt;($B$4*3/10),($B$4*3/10)*(MIN(C43,($B$4*3/10))^3-B43^3)-(MIN(C43,($B$4*3/10))^4-B43^4)/4,0)+IF(C43&gt;($B$4*3/10),($B$4*3/10)^2*(1.5*(C43^2-MAX(B43,($B$4*3/10))^2)-($B$4*3/10)*(C43-MAX(B43,($B$4*3/10)))),0))*1000,0)</f>
        <v>0</v>
      </c>
      <c r="AE43" s="120">
        <f>IF(AND(J43="OK",ISNUMBER($B$5),$B$5&gt;0,ISNUMBER($B$3),$B$3&gt;0),F43/(6*$B$3*1000000*$B$5)*(IF(B43&lt;($B$4*4/10),($B$4*4/10)*(MIN(C43,($B$4*4/10))^3-B43^3)-(MIN(C43,($B$4*4/10))^4-B43^4)/4,0)+IF(C43&gt;($B$4*4/10),($B$4*4/10)^2*(1.5*(C43^2-MAX(B43,($B$4*4/10))^2)-($B$4*4/10)*(C43-MAX(B43,($B$4*4/10)))),0))*1000,0)</f>
        <v>0</v>
      </c>
      <c r="AF43" s="120">
        <f>IF(AND(J43="OK",ISNUMBER($B$5),$B$5&gt;0,ISNUMBER($B$3),$B$3&gt;0),F43/(6*$B$3*1000000*$B$5)*(IF(B43&lt;($B$4*5/10),($B$4*5/10)*(MIN(C43,($B$4*5/10))^3-B43^3)-(MIN(C43,($B$4*5/10))^4-B43^4)/4,0)+IF(C43&gt;($B$4*5/10),($B$4*5/10)^2*(1.5*(C43^2-MAX(B43,($B$4*5/10))^2)-($B$4*5/10)*(C43-MAX(B43,($B$4*5/10)))),0))*1000,0)</f>
        <v>0</v>
      </c>
      <c r="AG43" s="120">
        <f>IF(AND(J43="OK",ISNUMBER($B$5),$B$5&gt;0,ISNUMBER($B$3),$B$3&gt;0),F43/(6*$B$3*1000000*$B$5)*(IF(B43&lt;($B$4*6/10),($B$4*6/10)*(MIN(C43,($B$4*6/10))^3-B43^3)-(MIN(C43,($B$4*6/10))^4-B43^4)/4,0)+IF(C43&gt;($B$4*6/10),($B$4*6/10)^2*(1.5*(C43^2-MAX(B43,($B$4*6/10))^2)-($B$4*6/10)*(C43-MAX(B43,($B$4*6/10)))),0))*1000,0)</f>
        <v>0</v>
      </c>
      <c r="AH43" s="120">
        <f>IF(AND(J43="OK",ISNUMBER($B$5),$B$5&gt;0,ISNUMBER($B$3),$B$3&gt;0),F43/(6*$B$3*1000000*$B$5)*(IF(B43&lt;($B$4*7/10),($B$4*7/10)*(MIN(C43,($B$4*7/10))^3-B43^3)-(MIN(C43,($B$4*7/10))^4-B43^4)/4,0)+IF(C43&gt;($B$4*7/10),($B$4*7/10)^2*(1.5*(C43^2-MAX(B43,($B$4*7/10))^2)-($B$4*7/10)*(C43-MAX(B43,($B$4*7/10)))),0))*1000,0)</f>
        <v>0</v>
      </c>
      <c r="AI43" s="120">
        <f>IF(AND(J43="OK",ISNUMBER($B$5),$B$5&gt;0,ISNUMBER($B$3),$B$3&gt;0),F43/(6*$B$3*1000000*$B$5)*(IF(B43&lt;($B$4*8/10),($B$4*8/10)*(MIN(C43,($B$4*8/10))^3-B43^3)-(MIN(C43,($B$4*8/10))^4-B43^4)/4,0)+IF(C43&gt;($B$4*8/10),($B$4*8/10)^2*(1.5*(C43^2-MAX(B43,($B$4*8/10))^2)-($B$4*8/10)*(C43-MAX(B43,($B$4*8/10)))),0))*1000,0)</f>
        <v>0</v>
      </c>
      <c r="AJ43" s="120">
        <f>IF(AND(J43="OK",ISNUMBER($B$5),$B$5&gt;0,ISNUMBER($B$3),$B$3&gt;0),F43/(6*$B$3*1000000*$B$5)*(IF(B43&lt;($B$4*9/10),($B$4*9/10)*(MIN(C43,($B$4*9/10))^3-B43^3)-(MIN(C43,($B$4*9/10))^4-B43^4)/4,0)+IF(C43&gt;($B$4*9/10),($B$4*9/10)^2*(1.5*(C43^2-MAX(B43,($B$4*9/10))^2)-($B$4*9/10)*(C43-MAX(B43,($B$4*9/10)))),0))*1000,0)</f>
        <v>0</v>
      </c>
      <c r="AK43" s="120">
        <f>IF(AND(J43="OK",ISNUMBER($B$5),$B$5&gt;0,ISNUMBER($B$3),$B$3&gt;0),F43/(6*$B$3*1000000*$B$5)*(IF(B43&lt;($B$4*10/10),($B$4*10/10)*(MIN(C43,($B$4*10/10))^3-B43^3)-(MIN(C43,($B$4*10/10))^4-B43^4)/4,0)+IF(C43&gt;($B$4*10/10),($B$4*10/10)^2*(1.5*(C43^2-MAX(B43,($B$4*10/10))^2)-($B$4*10/10)*(C43-MAX(B43,($B$4*10/10)))),0))*1000,0)</f>
        <v>0</v>
      </c>
      <c r="AM43" s="120">
        <f>IF(AND(V43="OK",ISNUMBER($N$5),$N$5&gt;0,ISNUMBER($N$3),$N$3&gt;0),R43/(6*$N$3*1000000*$N$5)*(IF(N43&lt;($N$4*0/10),($N$4*0/10)*(MIN(O43,($N$4*0/10))^3-N43^3)-(MIN(O43,($N$4*0/10))^4-N43^4)/4,0)+IF(O43&gt;($N$4*0/10),($N$4*0/10)^2*(1.5*(O43^2-MAX(N43,($N$4*0/10))^2)-($N$4*0/10)*(O43-MAX(N43,($N$4*0/10)))),0))*1000,0)</f>
        <v>0</v>
      </c>
      <c r="AN43" s="120">
        <f>IF(AND(V43="OK",ISNUMBER($N$5),$N$5&gt;0,ISNUMBER($N$3),$N$3&gt;0),R43/(6*$N$3*1000000*$N$5)*(IF(N43&lt;($N$4*1/10),($N$4*1/10)*(MIN(O43,($N$4*1/10))^3-N43^3)-(MIN(O43,($N$4*1/10))^4-N43^4)/4,0)+IF(O43&gt;($N$4*1/10),($N$4*1/10)^2*(1.5*(O43^2-MAX(N43,($N$4*1/10))^2)-($N$4*1/10)*(O43-MAX(N43,($N$4*1/10)))),0))*1000,0)</f>
        <v>0</v>
      </c>
      <c r="AO43" s="120">
        <f>IF(AND(V43="OK",ISNUMBER($N$5),$N$5&gt;0,ISNUMBER($N$3),$N$3&gt;0),R43/(6*$N$3*1000000*$N$5)*(IF(N43&lt;($N$4*2/10),($N$4*2/10)*(MIN(O43,($N$4*2/10))^3-N43^3)-(MIN(O43,($N$4*2/10))^4-N43^4)/4,0)+IF(O43&gt;($N$4*2/10),($N$4*2/10)^2*(1.5*(O43^2-MAX(N43,($N$4*2/10))^2)-($N$4*2/10)*(O43-MAX(N43,($N$4*2/10)))),0))*1000,0)</f>
        <v>0</v>
      </c>
      <c r="AP43" s="120">
        <f>IF(AND(V43="OK",ISNUMBER($N$5),$N$5&gt;0,ISNUMBER($N$3),$N$3&gt;0),R43/(6*$N$3*1000000*$N$5)*(IF(N43&lt;($N$4*3/10),($N$4*3/10)*(MIN(O43,($N$4*3/10))^3-N43^3)-(MIN(O43,($N$4*3/10))^4-N43^4)/4,0)+IF(O43&gt;($N$4*3/10),($N$4*3/10)^2*(1.5*(O43^2-MAX(N43,($N$4*3/10))^2)-($N$4*3/10)*(O43-MAX(N43,($N$4*3/10)))),0))*1000,0)</f>
        <v>0</v>
      </c>
      <c r="AQ43" s="120">
        <f>IF(AND(V43="OK",ISNUMBER($N$5),$N$5&gt;0,ISNUMBER($N$3),$N$3&gt;0),R43/(6*$N$3*1000000*$N$5)*(IF(N43&lt;($N$4*4/10),($N$4*4/10)*(MIN(O43,($N$4*4/10))^3-N43^3)-(MIN(O43,($N$4*4/10))^4-N43^4)/4,0)+IF(O43&gt;($N$4*4/10),($N$4*4/10)^2*(1.5*(O43^2-MAX(N43,($N$4*4/10))^2)-($N$4*4/10)*(O43-MAX(N43,($N$4*4/10)))),0))*1000,0)</f>
        <v>0</v>
      </c>
      <c r="AR43" s="120">
        <f>IF(AND(V43="OK",ISNUMBER($N$5),$N$5&gt;0,ISNUMBER($N$3),$N$3&gt;0),R43/(6*$N$3*1000000*$N$5)*(IF(N43&lt;($N$4*5/10),($N$4*5/10)*(MIN(O43,($N$4*5/10))^3-N43^3)-(MIN(O43,($N$4*5/10))^4-N43^4)/4,0)+IF(O43&gt;($N$4*5/10),($N$4*5/10)^2*(1.5*(O43^2-MAX(N43,($N$4*5/10))^2)-($N$4*5/10)*(O43-MAX(N43,($N$4*5/10)))),0))*1000,0)</f>
        <v>0</v>
      </c>
      <c r="AS43" s="120">
        <f>IF(AND(V43="OK",ISNUMBER($N$5),$N$5&gt;0,ISNUMBER($N$3),$N$3&gt;0),R43/(6*$N$3*1000000*$N$5)*(IF(N43&lt;($N$4*6/10),($N$4*6/10)*(MIN(O43,($N$4*6/10))^3-N43^3)-(MIN(O43,($N$4*6/10))^4-N43^4)/4,0)+IF(O43&gt;($N$4*6/10),($N$4*6/10)^2*(1.5*(O43^2-MAX(N43,($N$4*6/10))^2)-($N$4*6/10)*(O43-MAX(N43,($N$4*6/10)))),0))*1000,0)</f>
        <v>0</v>
      </c>
      <c r="AT43" s="120">
        <f>IF(AND(V43="OK",ISNUMBER($N$5),$N$5&gt;0,ISNUMBER($N$3),$N$3&gt;0),R43/(6*$N$3*1000000*$N$5)*(IF(N43&lt;($N$4*7/10),($N$4*7/10)*(MIN(O43,($N$4*7/10))^3-N43^3)-(MIN(O43,($N$4*7/10))^4-N43^4)/4,0)+IF(O43&gt;($N$4*7/10),($N$4*7/10)^2*(1.5*(O43^2-MAX(N43,($N$4*7/10))^2)-($N$4*7/10)*(O43-MAX(N43,($N$4*7/10)))),0))*1000,0)</f>
        <v>0</v>
      </c>
      <c r="AU43" s="120">
        <f>IF(AND(V43="OK",ISNUMBER($N$5),$N$5&gt;0,ISNUMBER($N$3),$N$3&gt;0),R43/(6*$N$3*1000000*$N$5)*(IF(N43&lt;($N$4*8/10),($N$4*8/10)*(MIN(O43,($N$4*8/10))^3-N43^3)-(MIN(O43,($N$4*8/10))^4-N43^4)/4,0)+IF(O43&gt;($N$4*8/10),($N$4*8/10)^2*(1.5*(O43^2-MAX(N43,($N$4*8/10))^2)-($N$4*8/10)*(O43-MAX(N43,($N$4*8/10)))),0))*1000,0)</f>
        <v>0</v>
      </c>
      <c r="AV43" s="120">
        <f>IF(AND(V43="OK",ISNUMBER($N$5),$N$5&gt;0,ISNUMBER($N$3),$N$3&gt;0),R43/(6*$N$3*1000000*$N$5)*(IF(N43&lt;($N$4*9/10),($N$4*9/10)*(MIN(O43,($N$4*9/10))^3-N43^3)-(MIN(O43,($N$4*9/10))^4-N43^4)/4,0)+IF(O43&gt;($N$4*9/10),($N$4*9/10)^2*(1.5*(O43^2-MAX(N43,($N$4*9/10))^2)-($N$4*9/10)*(O43-MAX(N43,($N$4*9/10)))),0))*1000,0)</f>
        <v>0</v>
      </c>
      <c r="AW43" s="120">
        <f>IF(AND(V43="OK",ISNUMBER($N$5),$N$5&gt;0,ISNUMBER($N$3),$N$3&gt;0),R43/(6*$N$3*1000000*$N$5)*(IF(N43&lt;($N$4*10/10),($N$4*10/10)*(MIN(O43,($N$4*10/10))^3-N43^3)-(MIN(O43,($N$4*10/10))^4-N43^4)/4,0)+IF(O43&gt;($N$4*10/10),($N$4*10/10)^2*(1.5*(O43^2-MAX(N43,($N$4*10/10))^2)-($N$4*10/10)*(O43-MAX(N43,($N$4*10/10)))),0))*1000,0)</f>
        <v>0</v>
      </c>
    </row>
    <row r="44" spans="1:49">
      <c r="A44" s="124"/>
      <c r="B44" s="125"/>
      <c r="C44" s="125"/>
      <c r="D44" s="125"/>
      <c r="E44" s="125"/>
      <c r="F44" s="126" t="str">
        <f>IF(J44="OK",D44*E44,"")</f>
        <v/>
      </c>
      <c r="G44" s="126" t="str">
        <f>IF(J44="OK",F44*(C44-B44),"")</f>
        <v/>
      </c>
      <c r="H44" s="126" t="str">
        <f>IF(J44="OK",G44*(C44+B44)/2,"")</f>
        <v/>
      </c>
      <c r="I44" s="126" t="str">
        <f>IF(AND(J44="OK",ISNUMBER($B$5),$B$5&gt;0,ISNUMBER($B$3),$B$3&gt;0),F44*(4*$B$4*(C44^3-B44^3)-(C44^4-B44^4))/(24*$B$3*1000000*$B$5)*1000,"")</f>
        <v/>
      </c>
      <c r="J44" s="120" t="str">
        <f>IF(COUNTA(A44:E44)=0,"",IF(AND(COUNT(B44:E44)=4,B44&gt;=0,C44&gt;B44,C44&lt;=$B$4,D44&gt;=0,E44&gt;0),IF(COUNTIFS($B$13:$B$43,"&lt;"&amp;C44,$C$13:$C$43,"&gt;"&amp;B44)&gt;0,"OVERLAP","OK"),"CHECK INPUTS"))</f>
        <v/>
      </c>
      <c r="M44" s="124"/>
      <c r="N44" s="125"/>
      <c r="O44" s="125"/>
      <c r="P44" s="125"/>
      <c r="Q44" s="125"/>
      <c r="R44" s="126" t="str">
        <f>IF(V44="OK",P44*Q44,"")</f>
        <v/>
      </c>
      <c r="S44" s="126" t="str">
        <f>IF(V44="OK",R44*(O44-N44),"")</f>
        <v/>
      </c>
      <c r="T44" s="126" t="str">
        <f>IF(V44="OK",S44*(O44+N44)/2,"")</f>
        <v/>
      </c>
      <c r="U44" s="126" t="str">
        <f>IF(AND(V44="OK",ISNUMBER($N$5),$N$5&gt;0,ISNUMBER($N$3),$N$3&gt;0),R44*(4*$N$4*(O44^3-N44^3)-(O44^4-N44^4))/(24*$N$3*1000000*$N$5)*1000,"")</f>
        <v/>
      </c>
      <c r="V44" s="120" t="str">
        <f>IF(COUNTA(M44:Q44)=0,"",IF(AND(COUNT(N44:Q44)=4,N44&gt;=0,O44&gt;N44,O44&lt;=$N$4,P44&gt;=0,Q44&gt;0),IF(COUNTIFS($N$13:$N$43,"&lt;"&amp;O44,$O$13:$O$43,"&gt;"&amp;N44)&gt;0,"OVERLAP","OK"),"CHECK INPUTS"))</f>
        <v/>
      </c>
      <c r="AA44" s="120">
        <f>IF(AND(J44="OK",ISNUMBER($B$5),$B$5&gt;0,ISNUMBER($B$3),$B$3&gt;0),F44/(6*$B$3*1000000*$B$5)*(IF(B44&lt;($B$4*0/10),($B$4*0/10)*(MIN(C44,($B$4*0/10))^3-B44^3)-(MIN(C44,($B$4*0/10))^4-B44^4)/4,0)+IF(C44&gt;($B$4*0/10),($B$4*0/10)^2*(1.5*(C44^2-MAX(B44,($B$4*0/10))^2)-($B$4*0/10)*(C44-MAX(B44,($B$4*0/10)))),0))*1000,0)</f>
        <v>0</v>
      </c>
      <c r="AB44" s="120">
        <f>IF(AND(J44="OK",ISNUMBER($B$5),$B$5&gt;0,ISNUMBER($B$3),$B$3&gt;0),F44/(6*$B$3*1000000*$B$5)*(IF(B44&lt;($B$4*1/10),($B$4*1/10)*(MIN(C44,($B$4*1/10))^3-B44^3)-(MIN(C44,($B$4*1/10))^4-B44^4)/4,0)+IF(C44&gt;($B$4*1/10),($B$4*1/10)^2*(1.5*(C44^2-MAX(B44,($B$4*1/10))^2)-($B$4*1/10)*(C44-MAX(B44,($B$4*1/10)))),0))*1000,0)</f>
        <v>0</v>
      </c>
      <c r="AC44" s="120">
        <f>IF(AND(J44="OK",ISNUMBER($B$5),$B$5&gt;0,ISNUMBER($B$3),$B$3&gt;0),F44/(6*$B$3*1000000*$B$5)*(IF(B44&lt;($B$4*2/10),($B$4*2/10)*(MIN(C44,($B$4*2/10))^3-B44^3)-(MIN(C44,($B$4*2/10))^4-B44^4)/4,0)+IF(C44&gt;($B$4*2/10),($B$4*2/10)^2*(1.5*(C44^2-MAX(B44,($B$4*2/10))^2)-($B$4*2/10)*(C44-MAX(B44,($B$4*2/10)))),0))*1000,0)</f>
        <v>0</v>
      </c>
      <c r="AD44" s="120">
        <f>IF(AND(J44="OK",ISNUMBER($B$5),$B$5&gt;0,ISNUMBER($B$3),$B$3&gt;0),F44/(6*$B$3*1000000*$B$5)*(IF(B44&lt;($B$4*3/10),($B$4*3/10)*(MIN(C44,($B$4*3/10))^3-B44^3)-(MIN(C44,($B$4*3/10))^4-B44^4)/4,0)+IF(C44&gt;($B$4*3/10),($B$4*3/10)^2*(1.5*(C44^2-MAX(B44,($B$4*3/10))^2)-($B$4*3/10)*(C44-MAX(B44,($B$4*3/10)))),0))*1000,0)</f>
        <v>0</v>
      </c>
      <c r="AE44" s="120">
        <f>IF(AND(J44="OK",ISNUMBER($B$5),$B$5&gt;0,ISNUMBER($B$3),$B$3&gt;0),F44/(6*$B$3*1000000*$B$5)*(IF(B44&lt;($B$4*4/10),($B$4*4/10)*(MIN(C44,($B$4*4/10))^3-B44^3)-(MIN(C44,($B$4*4/10))^4-B44^4)/4,0)+IF(C44&gt;($B$4*4/10),($B$4*4/10)^2*(1.5*(C44^2-MAX(B44,($B$4*4/10))^2)-($B$4*4/10)*(C44-MAX(B44,($B$4*4/10)))),0))*1000,0)</f>
        <v>0</v>
      </c>
      <c r="AF44" s="120">
        <f>IF(AND(J44="OK",ISNUMBER($B$5),$B$5&gt;0,ISNUMBER($B$3),$B$3&gt;0),F44/(6*$B$3*1000000*$B$5)*(IF(B44&lt;($B$4*5/10),($B$4*5/10)*(MIN(C44,($B$4*5/10))^3-B44^3)-(MIN(C44,($B$4*5/10))^4-B44^4)/4,0)+IF(C44&gt;($B$4*5/10),($B$4*5/10)^2*(1.5*(C44^2-MAX(B44,($B$4*5/10))^2)-($B$4*5/10)*(C44-MAX(B44,($B$4*5/10)))),0))*1000,0)</f>
        <v>0</v>
      </c>
      <c r="AG44" s="120">
        <f>IF(AND(J44="OK",ISNUMBER($B$5),$B$5&gt;0,ISNUMBER($B$3),$B$3&gt;0),F44/(6*$B$3*1000000*$B$5)*(IF(B44&lt;($B$4*6/10),($B$4*6/10)*(MIN(C44,($B$4*6/10))^3-B44^3)-(MIN(C44,($B$4*6/10))^4-B44^4)/4,0)+IF(C44&gt;($B$4*6/10),($B$4*6/10)^2*(1.5*(C44^2-MAX(B44,($B$4*6/10))^2)-($B$4*6/10)*(C44-MAX(B44,($B$4*6/10)))),0))*1000,0)</f>
        <v>0</v>
      </c>
      <c r="AH44" s="120">
        <f>IF(AND(J44="OK",ISNUMBER($B$5),$B$5&gt;0,ISNUMBER($B$3),$B$3&gt;0),F44/(6*$B$3*1000000*$B$5)*(IF(B44&lt;($B$4*7/10),($B$4*7/10)*(MIN(C44,($B$4*7/10))^3-B44^3)-(MIN(C44,($B$4*7/10))^4-B44^4)/4,0)+IF(C44&gt;($B$4*7/10),($B$4*7/10)^2*(1.5*(C44^2-MAX(B44,($B$4*7/10))^2)-($B$4*7/10)*(C44-MAX(B44,($B$4*7/10)))),0))*1000,0)</f>
        <v>0</v>
      </c>
      <c r="AI44" s="120">
        <f>IF(AND(J44="OK",ISNUMBER($B$5),$B$5&gt;0,ISNUMBER($B$3),$B$3&gt;0),F44/(6*$B$3*1000000*$B$5)*(IF(B44&lt;($B$4*8/10),($B$4*8/10)*(MIN(C44,($B$4*8/10))^3-B44^3)-(MIN(C44,($B$4*8/10))^4-B44^4)/4,0)+IF(C44&gt;($B$4*8/10),($B$4*8/10)^2*(1.5*(C44^2-MAX(B44,($B$4*8/10))^2)-($B$4*8/10)*(C44-MAX(B44,($B$4*8/10)))),0))*1000,0)</f>
        <v>0</v>
      </c>
      <c r="AJ44" s="120">
        <f>IF(AND(J44="OK",ISNUMBER($B$5),$B$5&gt;0,ISNUMBER($B$3),$B$3&gt;0),F44/(6*$B$3*1000000*$B$5)*(IF(B44&lt;($B$4*9/10),($B$4*9/10)*(MIN(C44,($B$4*9/10))^3-B44^3)-(MIN(C44,($B$4*9/10))^4-B44^4)/4,0)+IF(C44&gt;($B$4*9/10),($B$4*9/10)^2*(1.5*(C44^2-MAX(B44,($B$4*9/10))^2)-($B$4*9/10)*(C44-MAX(B44,($B$4*9/10)))),0))*1000,0)</f>
        <v>0</v>
      </c>
      <c r="AK44" s="120">
        <f>IF(AND(J44="OK",ISNUMBER($B$5),$B$5&gt;0,ISNUMBER($B$3),$B$3&gt;0),F44/(6*$B$3*1000000*$B$5)*(IF(B44&lt;($B$4*10/10),($B$4*10/10)*(MIN(C44,($B$4*10/10))^3-B44^3)-(MIN(C44,($B$4*10/10))^4-B44^4)/4,0)+IF(C44&gt;($B$4*10/10),($B$4*10/10)^2*(1.5*(C44^2-MAX(B44,($B$4*10/10))^2)-($B$4*10/10)*(C44-MAX(B44,($B$4*10/10)))),0))*1000,0)</f>
        <v>0</v>
      </c>
      <c r="AM44" s="120">
        <f>IF(AND(V44="OK",ISNUMBER($N$5),$N$5&gt;0,ISNUMBER($N$3),$N$3&gt;0),R44/(6*$N$3*1000000*$N$5)*(IF(N44&lt;($N$4*0/10),($N$4*0/10)*(MIN(O44,($N$4*0/10))^3-N44^3)-(MIN(O44,($N$4*0/10))^4-N44^4)/4,0)+IF(O44&gt;($N$4*0/10),($N$4*0/10)^2*(1.5*(O44^2-MAX(N44,($N$4*0/10))^2)-($N$4*0/10)*(O44-MAX(N44,($N$4*0/10)))),0))*1000,0)</f>
        <v>0</v>
      </c>
      <c r="AN44" s="120">
        <f>IF(AND(V44="OK",ISNUMBER($N$5),$N$5&gt;0,ISNUMBER($N$3),$N$3&gt;0),R44/(6*$N$3*1000000*$N$5)*(IF(N44&lt;($N$4*1/10),($N$4*1/10)*(MIN(O44,($N$4*1/10))^3-N44^3)-(MIN(O44,($N$4*1/10))^4-N44^4)/4,0)+IF(O44&gt;($N$4*1/10),($N$4*1/10)^2*(1.5*(O44^2-MAX(N44,($N$4*1/10))^2)-($N$4*1/10)*(O44-MAX(N44,($N$4*1/10)))),0))*1000,0)</f>
        <v>0</v>
      </c>
      <c r="AO44" s="120">
        <f>IF(AND(V44="OK",ISNUMBER($N$5),$N$5&gt;0,ISNUMBER($N$3),$N$3&gt;0),R44/(6*$N$3*1000000*$N$5)*(IF(N44&lt;($N$4*2/10),($N$4*2/10)*(MIN(O44,($N$4*2/10))^3-N44^3)-(MIN(O44,($N$4*2/10))^4-N44^4)/4,0)+IF(O44&gt;($N$4*2/10),($N$4*2/10)^2*(1.5*(O44^2-MAX(N44,($N$4*2/10))^2)-($N$4*2/10)*(O44-MAX(N44,($N$4*2/10)))),0))*1000,0)</f>
        <v>0</v>
      </c>
      <c r="AP44" s="120">
        <f>IF(AND(V44="OK",ISNUMBER($N$5),$N$5&gt;0,ISNUMBER($N$3),$N$3&gt;0),R44/(6*$N$3*1000000*$N$5)*(IF(N44&lt;($N$4*3/10),($N$4*3/10)*(MIN(O44,($N$4*3/10))^3-N44^3)-(MIN(O44,($N$4*3/10))^4-N44^4)/4,0)+IF(O44&gt;($N$4*3/10),($N$4*3/10)^2*(1.5*(O44^2-MAX(N44,($N$4*3/10))^2)-($N$4*3/10)*(O44-MAX(N44,($N$4*3/10)))),0))*1000,0)</f>
        <v>0</v>
      </c>
      <c r="AQ44" s="120">
        <f>IF(AND(V44="OK",ISNUMBER($N$5),$N$5&gt;0,ISNUMBER($N$3),$N$3&gt;0),R44/(6*$N$3*1000000*$N$5)*(IF(N44&lt;($N$4*4/10),($N$4*4/10)*(MIN(O44,($N$4*4/10))^3-N44^3)-(MIN(O44,($N$4*4/10))^4-N44^4)/4,0)+IF(O44&gt;($N$4*4/10),($N$4*4/10)^2*(1.5*(O44^2-MAX(N44,($N$4*4/10))^2)-($N$4*4/10)*(O44-MAX(N44,($N$4*4/10)))),0))*1000,0)</f>
        <v>0</v>
      </c>
      <c r="AR44" s="120">
        <f>IF(AND(V44="OK",ISNUMBER($N$5),$N$5&gt;0,ISNUMBER($N$3),$N$3&gt;0),R44/(6*$N$3*1000000*$N$5)*(IF(N44&lt;($N$4*5/10),($N$4*5/10)*(MIN(O44,($N$4*5/10))^3-N44^3)-(MIN(O44,($N$4*5/10))^4-N44^4)/4,0)+IF(O44&gt;($N$4*5/10),($N$4*5/10)^2*(1.5*(O44^2-MAX(N44,($N$4*5/10))^2)-($N$4*5/10)*(O44-MAX(N44,($N$4*5/10)))),0))*1000,0)</f>
        <v>0</v>
      </c>
      <c r="AS44" s="120">
        <f>IF(AND(V44="OK",ISNUMBER($N$5),$N$5&gt;0,ISNUMBER($N$3),$N$3&gt;0),R44/(6*$N$3*1000000*$N$5)*(IF(N44&lt;($N$4*6/10),($N$4*6/10)*(MIN(O44,($N$4*6/10))^3-N44^3)-(MIN(O44,($N$4*6/10))^4-N44^4)/4,0)+IF(O44&gt;($N$4*6/10),($N$4*6/10)^2*(1.5*(O44^2-MAX(N44,($N$4*6/10))^2)-($N$4*6/10)*(O44-MAX(N44,($N$4*6/10)))),0))*1000,0)</f>
        <v>0</v>
      </c>
      <c r="AT44" s="120">
        <f>IF(AND(V44="OK",ISNUMBER($N$5),$N$5&gt;0,ISNUMBER($N$3),$N$3&gt;0),R44/(6*$N$3*1000000*$N$5)*(IF(N44&lt;($N$4*7/10),($N$4*7/10)*(MIN(O44,($N$4*7/10))^3-N44^3)-(MIN(O44,($N$4*7/10))^4-N44^4)/4,0)+IF(O44&gt;($N$4*7/10),($N$4*7/10)^2*(1.5*(O44^2-MAX(N44,($N$4*7/10))^2)-($N$4*7/10)*(O44-MAX(N44,($N$4*7/10)))),0))*1000,0)</f>
        <v>0</v>
      </c>
      <c r="AU44" s="120">
        <f>IF(AND(V44="OK",ISNUMBER($N$5),$N$5&gt;0,ISNUMBER($N$3),$N$3&gt;0),R44/(6*$N$3*1000000*$N$5)*(IF(N44&lt;($N$4*8/10),($N$4*8/10)*(MIN(O44,($N$4*8/10))^3-N44^3)-(MIN(O44,($N$4*8/10))^4-N44^4)/4,0)+IF(O44&gt;($N$4*8/10),($N$4*8/10)^2*(1.5*(O44^2-MAX(N44,($N$4*8/10))^2)-($N$4*8/10)*(O44-MAX(N44,($N$4*8/10)))),0))*1000,0)</f>
        <v>0</v>
      </c>
      <c r="AV44" s="120">
        <f>IF(AND(V44="OK",ISNUMBER($N$5),$N$5&gt;0,ISNUMBER($N$3),$N$3&gt;0),R44/(6*$N$3*1000000*$N$5)*(IF(N44&lt;($N$4*9/10),($N$4*9/10)*(MIN(O44,($N$4*9/10))^3-N44^3)-(MIN(O44,($N$4*9/10))^4-N44^4)/4,0)+IF(O44&gt;($N$4*9/10),($N$4*9/10)^2*(1.5*(O44^2-MAX(N44,($N$4*9/10))^2)-($N$4*9/10)*(O44-MAX(N44,($N$4*9/10)))),0))*1000,0)</f>
        <v>0</v>
      </c>
      <c r="AW44" s="120">
        <f>IF(AND(V44="OK",ISNUMBER($N$5),$N$5&gt;0,ISNUMBER($N$3),$N$3&gt;0),R44/(6*$N$3*1000000*$N$5)*(IF(N44&lt;($N$4*10/10),($N$4*10/10)*(MIN(O44,($N$4*10/10))^3-N44^3)-(MIN(O44,($N$4*10/10))^4-N44^4)/4,0)+IF(O44&gt;($N$4*10/10),($N$4*10/10)^2*(1.5*(O44^2-MAX(N44,($N$4*10/10))^2)-($N$4*10/10)*(O44-MAX(N44,($N$4*10/10)))),0))*1000,0)</f>
        <v>0</v>
      </c>
    </row>
    <row r="45" spans="1:49">
      <c r="A45" s="124"/>
      <c r="B45" s="125"/>
      <c r="C45" s="125"/>
      <c r="D45" s="125"/>
      <c r="E45" s="125"/>
      <c r="F45" s="126" t="str">
        <f>IF(J45="OK",D45*E45,"")</f>
        <v/>
      </c>
      <c r="G45" s="126" t="str">
        <f>IF(J45="OK",F45*(C45-B45),"")</f>
        <v/>
      </c>
      <c r="H45" s="126" t="str">
        <f>IF(J45="OK",G45*(C45+B45)/2,"")</f>
        <v/>
      </c>
      <c r="I45" s="126" t="str">
        <f>IF(AND(J45="OK",ISNUMBER($B$5),$B$5&gt;0,ISNUMBER($B$3),$B$3&gt;0),F45*(4*$B$4*(C45^3-B45^3)-(C45^4-B45^4))/(24*$B$3*1000000*$B$5)*1000,"")</f>
        <v/>
      </c>
      <c r="J45" s="120" t="str">
        <f>IF(COUNTA(A45:E45)=0,"",IF(AND(COUNT(B45:E45)=4,B45&gt;=0,C45&gt;B45,C45&lt;=$B$4,D45&gt;=0,E45&gt;0),IF(COUNTIFS($B$13:$B$44,"&lt;"&amp;C45,$C$13:$C$44,"&gt;"&amp;B45)&gt;0,"OVERLAP","OK"),"CHECK INPUTS"))</f>
        <v/>
      </c>
      <c r="M45" s="124"/>
      <c r="N45" s="125"/>
      <c r="O45" s="125"/>
      <c r="P45" s="125"/>
      <c r="Q45" s="125"/>
      <c r="R45" s="126" t="str">
        <f>IF(V45="OK",P45*Q45,"")</f>
        <v/>
      </c>
      <c r="S45" s="126" t="str">
        <f>IF(V45="OK",R45*(O45-N45),"")</f>
        <v/>
      </c>
      <c r="T45" s="126" t="str">
        <f>IF(V45="OK",S45*(O45+N45)/2,"")</f>
        <v/>
      </c>
      <c r="U45" s="126" t="str">
        <f>IF(AND(V45="OK",ISNUMBER($N$5),$N$5&gt;0,ISNUMBER($N$3),$N$3&gt;0),R45*(4*$N$4*(O45^3-N45^3)-(O45^4-N45^4))/(24*$N$3*1000000*$N$5)*1000,"")</f>
        <v/>
      </c>
      <c r="V45" s="120" t="str">
        <f>IF(COUNTA(M45:Q45)=0,"",IF(AND(COUNT(N45:Q45)=4,N45&gt;=0,O45&gt;N45,O45&lt;=$N$4,P45&gt;=0,Q45&gt;0),IF(COUNTIFS($N$13:$N$44,"&lt;"&amp;O45,$O$13:$O$44,"&gt;"&amp;N45)&gt;0,"OVERLAP","OK"),"CHECK INPUTS"))</f>
        <v/>
      </c>
      <c r="AA45" s="120">
        <f>IF(AND(J45="OK",ISNUMBER($B$5),$B$5&gt;0,ISNUMBER($B$3),$B$3&gt;0),F45/(6*$B$3*1000000*$B$5)*(IF(B45&lt;($B$4*0/10),($B$4*0/10)*(MIN(C45,($B$4*0/10))^3-B45^3)-(MIN(C45,($B$4*0/10))^4-B45^4)/4,0)+IF(C45&gt;($B$4*0/10),($B$4*0/10)^2*(1.5*(C45^2-MAX(B45,($B$4*0/10))^2)-($B$4*0/10)*(C45-MAX(B45,($B$4*0/10)))),0))*1000,0)</f>
        <v>0</v>
      </c>
      <c r="AB45" s="120">
        <f>IF(AND(J45="OK",ISNUMBER($B$5),$B$5&gt;0,ISNUMBER($B$3),$B$3&gt;0),F45/(6*$B$3*1000000*$B$5)*(IF(B45&lt;($B$4*1/10),($B$4*1/10)*(MIN(C45,($B$4*1/10))^3-B45^3)-(MIN(C45,($B$4*1/10))^4-B45^4)/4,0)+IF(C45&gt;($B$4*1/10),($B$4*1/10)^2*(1.5*(C45^2-MAX(B45,($B$4*1/10))^2)-($B$4*1/10)*(C45-MAX(B45,($B$4*1/10)))),0))*1000,0)</f>
        <v>0</v>
      </c>
      <c r="AC45" s="120">
        <f>IF(AND(J45="OK",ISNUMBER($B$5),$B$5&gt;0,ISNUMBER($B$3),$B$3&gt;0),F45/(6*$B$3*1000000*$B$5)*(IF(B45&lt;($B$4*2/10),($B$4*2/10)*(MIN(C45,($B$4*2/10))^3-B45^3)-(MIN(C45,($B$4*2/10))^4-B45^4)/4,0)+IF(C45&gt;($B$4*2/10),($B$4*2/10)^2*(1.5*(C45^2-MAX(B45,($B$4*2/10))^2)-($B$4*2/10)*(C45-MAX(B45,($B$4*2/10)))),0))*1000,0)</f>
        <v>0</v>
      </c>
      <c r="AD45" s="120">
        <f>IF(AND(J45="OK",ISNUMBER($B$5),$B$5&gt;0,ISNUMBER($B$3),$B$3&gt;0),F45/(6*$B$3*1000000*$B$5)*(IF(B45&lt;($B$4*3/10),($B$4*3/10)*(MIN(C45,($B$4*3/10))^3-B45^3)-(MIN(C45,($B$4*3/10))^4-B45^4)/4,0)+IF(C45&gt;($B$4*3/10),($B$4*3/10)^2*(1.5*(C45^2-MAX(B45,($B$4*3/10))^2)-($B$4*3/10)*(C45-MAX(B45,($B$4*3/10)))),0))*1000,0)</f>
        <v>0</v>
      </c>
      <c r="AE45" s="120">
        <f>IF(AND(J45="OK",ISNUMBER($B$5),$B$5&gt;0,ISNUMBER($B$3),$B$3&gt;0),F45/(6*$B$3*1000000*$B$5)*(IF(B45&lt;($B$4*4/10),($B$4*4/10)*(MIN(C45,($B$4*4/10))^3-B45^3)-(MIN(C45,($B$4*4/10))^4-B45^4)/4,0)+IF(C45&gt;($B$4*4/10),($B$4*4/10)^2*(1.5*(C45^2-MAX(B45,($B$4*4/10))^2)-($B$4*4/10)*(C45-MAX(B45,($B$4*4/10)))),0))*1000,0)</f>
        <v>0</v>
      </c>
      <c r="AF45" s="120">
        <f>IF(AND(J45="OK",ISNUMBER($B$5),$B$5&gt;0,ISNUMBER($B$3),$B$3&gt;0),F45/(6*$B$3*1000000*$B$5)*(IF(B45&lt;($B$4*5/10),($B$4*5/10)*(MIN(C45,($B$4*5/10))^3-B45^3)-(MIN(C45,($B$4*5/10))^4-B45^4)/4,0)+IF(C45&gt;($B$4*5/10),($B$4*5/10)^2*(1.5*(C45^2-MAX(B45,($B$4*5/10))^2)-($B$4*5/10)*(C45-MAX(B45,($B$4*5/10)))),0))*1000,0)</f>
        <v>0</v>
      </c>
      <c r="AG45" s="120">
        <f>IF(AND(J45="OK",ISNUMBER($B$5),$B$5&gt;0,ISNUMBER($B$3),$B$3&gt;0),F45/(6*$B$3*1000000*$B$5)*(IF(B45&lt;($B$4*6/10),($B$4*6/10)*(MIN(C45,($B$4*6/10))^3-B45^3)-(MIN(C45,($B$4*6/10))^4-B45^4)/4,0)+IF(C45&gt;($B$4*6/10),($B$4*6/10)^2*(1.5*(C45^2-MAX(B45,($B$4*6/10))^2)-($B$4*6/10)*(C45-MAX(B45,($B$4*6/10)))),0))*1000,0)</f>
        <v>0</v>
      </c>
      <c r="AH45" s="120">
        <f>IF(AND(J45="OK",ISNUMBER($B$5),$B$5&gt;0,ISNUMBER($B$3),$B$3&gt;0),F45/(6*$B$3*1000000*$B$5)*(IF(B45&lt;($B$4*7/10),($B$4*7/10)*(MIN(C45,($B$4*7/10))^3-B45^3)-(MIN(C45,($B$4*7/10))^4-B45^4)/4,0)+IF(C45&gt;($B$4*7/10),($B$4*7/10)^2*(1.5*(C45^2-MAX(B45,($B$4*7/10))^2)-($B$4*7/10)*(C45-MAX(B45,($B$4*7/10)))),0))*1000,0)</f>
        <v>0</v>
      </c>
      <c r="AI45" s="120">
        <f>IF(AND(J45="OK",ISNUMBER($B$5),$B$5&gt;0,ISNUMBER($B$3),$B$3&gt;0),F45/(6*$B$3*1000000*$B$5)*(IF(B45&lt;($B$4*8/10),($B$4*8/10)*(MIN(C45,($B$4*8/10))^3-B45^3)-(MIN(C45,($B$4*8/10))^4-B45^4)/4,0)+IF(C45&gt;($B$4*8/10),($B$4*8/10)^2*(1.5*(C45^2-MAX(B45,($B$4*8/10))^2)-($B$4*8/10)*(C45-MAX(B45,($B$4*8/10)))),0))*1000,0)</f>
        <v>0</v>
      </c>
      <c r="AJ45" s="120">
        <f>IF(AND(J45="OK",ISNUMBER($B$5),$B$5&gt;0,ISNUMBER($B$3),$B$3&gt;0),F45/(6*$B$3*1000000*$B$5)*(IF(B45&lt;($B$4*9/10),($B$4*9/10)*(MIN(C45,($B$4*9/10))^3-B45^3)-(MIN(C45,($B$4*9/10))^4-B45^4)/4,0)+IF(C45&gt;($B$4*9/10),($B$4*9/10)^2*(1.5*(C45^2-MAX(B45,($B$4*9/10))^2)-($B$4*9/10)*(C45-MAX(B45,($B$4*9/10)))),0))*1000,0)</f>
        <v>0</v>
      </c>
      <c r="AK45" s="120">
        <f>IF(AND(J45="OK",ISNUMBER($B$5),$B$5&gt;0,ISNUMBER($B$3),$B$3&gt;0),F45/(6*$B$3*1000000*$B$5)*(IF(B45&lt;($B$4*10/10),($B$4*10/10)*(MIN(C45,($B$4*10/10))^3-B45^3)-(MIN(C45,($B$4*10/10))^4-B45^4)/4,0)+IF(C45&gt;($B$4*10/10),($B$4*10/10)^2*(1.5*(C45^2-MAX(B45,($B$4*10/10))^2)-($B$4*10/10)*(C45-MAX(B45,($B$4*10/10)))),0))*1000,0)</f>
        <v>0</v>
      </c>
      <c r="AM45" s="120">
        <f>IF(AND(V45="OK",ISNUMBER($N$5),$N$5&gt;0,ISNUMBER($N$3),$N$3&gt;0),R45/(6*$N$3*1000000*$N$5)*(IF(N45&lt;($N$4*0/10),($N$4*0/10)*(MIN(O45,($N$4*0/10))^3-N45^3)-(MIN(O45,($N$4*0/10))^4-N45^4)/4,0)+IF(O45&gt;($N$4*0/10),($N$4*0/10)^2*(1.5*(O45^2-MAX(N45,($N$4*0/10))^2)-($N$4*0/10)*(O45-MAX(N45,($N$4*0/10)))),0))*1000,0)</f>
        <v>0</v>
      </c>
      <c r="AN45" s="120">
        <f>IF(AND(V45="OK",ISNUMBER($N$5),$N$5&gt;0,ISNUMBER($N$3),$N$3&gt;0),R45/(6*$N$3*1000000*$N$5)*(IF(N45&lt;($N$4*1/10),($N$4*1/10)*(MIN(O45,($N$4*1/10))^3-N45^3)-(MIN(O45,($N$4*1/10))^4-N45^4)/4,0)+IF(O45&gt;($N$4*1/10),($N$4*1/10)^2*(1.5*(O45^2-MAX(N45,($N$4*1/10))^2)-($N$4*1/10)*(O45-MAX(N45,($N$4*1/10)))),0))*1000,0)</f>
        <v>0</v>
      </c>
      <c r="AO45" s="120">
        <f>IF(AND(V45="OK",ISNUMBER($N$5),$N$5&gt;0,ISNUMBER($N$3),$N$3&gt;0),R45/(6*$N$3*1000000*$N$5)*(IF(N45&lt;($N$4*2/10),($N$4*2/10)*(MIN(O45,($N$4*2/10))^3-N45^3)-(MIN(O45,($N$4*2/10))^4-N45^4)/4,0)+IF(O45&gt;($N$4*2/10),($N$4*2/10)^2*(1.5*(O45^2-MAX(N45,($N$4*2/10))^2)-($N$4*2/10)*(O45-MAX(N45,($N$4*2/10)))),0))*1000,0)</f>
        <v>0</v>
      </c>
      <c r="AP45" s="120">
        <f>IF(AND(V45="OK",ISNUMBER($N$5),$N$5&gt;0,ISNUMBER($N$3),$N$3&gt;0),R45/(6*$N$3*1000000*$N$5)*(IF(N45&lt;($N$4*3/10),($N$4*3/10)*(MIN(O45,($N$4*3/10))^3-N45^3)-(MIN(O45,($N$4*3/10))^4-N45^4)/4,0)+IF(O45&gt;($N$4*3/10),($N$4*3/10)^2*(1.5*(O45^2-MAX(N45,($N$4*3/10))^2)-($N$4*3/10)*(O45-MAX(N45,($N$4*3/10)))),0))*1000,0)</f>
        <v>0</v>
      </c>
      <c r="AQ45" s="120">
        <f>IF(AND(V45="OK",ISNUMBER($N$5),$N$5&gt;0,ISNUMBER($N$3),$N$3&gt;0),R45/(6*$N$3*1000000*$N$5)*(IF(N45&lt;($N$4*4/10),($N$4*4/10)*(MIN(O45,($N$4*4/10))^3-N45^3)-(MIN(O45,($N$4*4/10))^4-N45^4)/4,0)+IF(O45&gt;($N$4*4/10),($N$4*4/10)^2*(1.5*(O45^2-MAX(N45,($N$4*4/10))^2)-($N$4*4/10)*(O45-MAX(N45,($N$4*4/10)))),0))*1000,0)</f>
        <v>0</v>
      </c>
      <c r="AR45" s="120">
        <f>IF(AND(V45="OK",ISNUMBER($N$5),$N$5&gt;0,ISNUMBER($N$3),$N$3&gt;0),R45/(6*$N$3*1000000*$N$5)*(IF(N45&lt;($N$4*5/10),($N$4*5/10)*(MIN(O45,($N$4*5/10))^3-N45^3)-(MIN(O45,($N$4*5/10))^4-N45^4)/4,0)+IF(O45&gt;($N$4*5/10),($N$4*5/10)^2*(1.5*(O45^2-MAX(N45,($N$4*5/10))^2)-($N$4*5/10)*(O45-MAX(N45,($N$4*5/10)))),0))*1000,0)</f>
        <v>0</v>
      </c>
      <c r="AS45" s="120">
        <f>IF(AND(V45="OK",ISNUMBER($N$5),$N$5&gt;0,ISNUMBER($N$3),$N$3&gt;0),R45/(6*$N$3*1000000*$N$5)*(IF(N45&lt;($N$4*6/10),($N$4*6/10)*(MIN(O45,($N$4*6/10))^3-N45^3)-(MIN(O45,($N$4*6/10))^4-N45^4)/4,0)+IF(O45&gt;($N$4*6/10),($N$4*6/10)^2*(1.5*(O45^2-MAX(N45,($N$4*6/10))^2)-($N$4*6/10)*(O45-MAX(N45,($N$4*6/10)))),0))*1000,0)</f>
        <v>0</v>
      </c>
      <c r="AT45" s="120">
        <f>IF(AND(V45="OK",ISNUMBER($N$5),$N$5&gt;0,ISNUMBER($N$3),$N$3&gt;0),R45/(6*$N$3*1000000*$N$5)*(IF(N45&lt;($N$4*7/10),($N$4*7/10)*(MIN(O45,($N$4*7/10))^3-N45^3)-(MIN(O45,($N$4*7/10))^4-N45^4)/4,0)+IF(O45&gt;($N$4*7/10),($N$4*7/10)^2*(1.5*(O45^2-MAX(N45,($N$4*7/10))^2)-($N$4*7/10)*(O45-MAX(N45,($N$4*7/10)))),0))*1000,0)</f>
        <v>0</v>
      </c>
      <c r="AU45" s="120">
        <f>IF(AND(V45="OK",ISNUMBER($N$5),$N$5&gt;0,ISNUMBER($N$3),$N$3&gt;0),R45/(6*$N$3*1000000*$N$5)*(IF(N45&lt;($N$4*8/10),($N$4*8/10)*(MIN(O45,($N$4*8/10))^3-N45^3)-(MIN(O45,($N$4*8/10))^4-N45^4)/4,0)+IF(O45&gt;($N$4*8/10),($N$4*8/10)^2*(1.5*(O45^2-MAX(N45,($N$4*8/10))^2)-($N$4*8/10)*(O45-MAX(N45,($N$4*8/10)))),0))*1000,0)</f>
        <v>0</v>
      </c>
      <c r="AV45" s="120">
        <f>IF(AND(V45="OK",ISNUMBER($N$5),$N$5&gt;0,ISNUMBER($N$3),$N$3&gt;0),R45/(6*$N$3*1000000*$N$5)*(IF(N45&lt;($N$4*9/10),($N$4*9/10)*(MIN(O45,($N$4*9/10))^3-N45^3)-(MIN(O45,($N$4*9/10))^4-N45^4)/4,0)+IF(O45&gt;($N$4*9/10),($N$4*9/10)^2*(1.5*(O45^2-MAX(N45,($N$4*9/10))^2)-($N$4*9/10)*(O45-MAX(N45,($N$4*9/10)))),0))*1000,0)</f>
        <v>0</v>
      </c>
      <c r="AW45" s="120">
        <f>IF(AND(V45="OK",ISNUMBER($N$5),$N$5&gt;0,ISNUMBER($N$3),$N$3&gt;0),R45/(6*$N$3*1000000*$N$5)*(IF(N45&lt;($N$4*10/10),($N$4*10/10)*(MIN(O45,($N$4*10/10))^3-N45^3)-(MIN(O45,($N$4*10/10))^4-N45^4)/4,0)+IF(O45&gt;($N$4*10/10),($N$4*10/10)^2*(1.5*(O45^2-MAX(N45,($N$4*10/10))^2)-($N$4*10/10)*(O45-MAX(N45,($N$4*10/10)))),0))*1000,0)</f>
        <v>0</v>
      </c>
    </row>
    <row r="46" spans="1:49">
      <c r="A46" s="124"/>
      <c r="B46" s="125"/>
      <c r="C46" s="125"/>
      <c r="D46" s="125"/>
      <c r="E46" s="125"/>
      <c r="F46" s="126" t="str">
        <f>IF(J46="OK",D46*E46,"")</f>
        <v/>
      </c>
      <c r="G46" s="126" t="str">
        <f>IF(J46="OK",F46*(C46-B46),"")</f>
        <v/>
      </c>
      <c r="H46" s="126" t="str">
        <f>IF(J46="OK",G46*(C46+B46)/2,"")</f>
        <v/>
      </c>
      <c r="I46" s="126" t="str">
        <f>IF(AND(J46="OK",ISNUMBER($B$5),$B$5&gt;0,ISNUMBER($B$3),$B$3&gt;0),F46*(4*$B$4*(C46^3-B46^3)-(C46^4-B46^4))/(24*$B$3*1000000*$B$5)*1000,"")</f>
        <v/>
      </c>
      <c r="J46" s="120" t="str">
        <f>IF(COUNTA(A46:E46)=0,"",IF(AND(COUNT(B46:E46)=4,B46&gt;=0,C46&gt;B46,C46&lt;=$B$4,D46&gt;=0,E46&gt;0),IF(COUNTIFS($B$13:$B$45,"&lt;"&amp;C46,$C$13:$C$45,"&gt;"&amp;B46)&gt;0,"OVERLAP","OK"),"CHECK INPUTS"))</f>
        <v/>
      </c>
      <c r="M46" s="124"/>
      <c r="N46" s="125"/>
      <c r="O46" s="125"/>
      <c r="P46" s="125"/>
      <c r="Q46" s="125"/>
      <c r="R46" s="126" t="str">
        <f>IF(V46="OK",P46*Q46,"")</f>
        <v/>
      </c>
      <c r="S46" s="126" t="str">
        <f>IF(V46="OK",R46*(O46-N46),"")</f>
        <v/>
      </c>
      <c r="T46" s="126" t="str">
        <f>IF(V46="OK",S46*(O46+N46)/2,"")</f>
        <v/>
      </c>
      <c r="U46" s="126" t="str">
        <f>IF(AND(V46="OK",ISNUMBER($N$5),$N$5&gt;0,ISNUMBER($N$3),$N$3&gt;0),R46*(4*$N$4*(O46^3-N46^3)-(O46^4-N46^4))/(24*$N$3*1000000*$N$5)*1000,"")</f>
        <v/>
      </c>
      <c r="V46" s="120" t="str">
        <f>IF(COUNTA(M46:Q46)=0,"",IF(AND(COUNT(N46:Q46)=4,N46&gt;=0,O46&gt;N46,O46&lt;=$N$4,P46&gt;=0,Q46&gt;0),IF(COUNTIFS($N$13:$N$45,"&lt;"&amp;O46,$O$13:$O$45,"&gt;"&amp;N46)&gt;0,"OVERLAP","OK"),"CHECK INPUTS"))</f>
        <v/>
      </c>
      <c r="AA46" s="120">
        <f>IF(AND(J46="OK",ISNUMBER($B$5),$B$5&gt;0,ISNUMBER($B$3),$B$3&gt;0),F46/(6*$B$3*1000000*$B$5)*(IF(B46&lt;($B$4*0/10),($B$4*0/10)*(MIN(C46,($B$4*0/10))^3-B46^3)-(MIN(C46,($B$4*0/10))^4-B46^4)/4,0)+IF(C46&gt;($B$4*0/10),($B$4*0/10)^2*(1.5*(C46^2-MAX(B46,($B$4*0/10))^2)-($B$4*0/10)*(C46-MAX(B46,($B$4*0/10)))),0))*1000,0)</f>
        <v>0</v>
      </c>
      <c r="AB46" s="120">
        <f>IF(AND(J46="OK",ISNUMBER($B$5),$B$5&gt;0,ISNUMBER($B$3),$B$3&gt;0),F46/(6*$B$3*1000000*$B$5)*(IF(B46&lt;($B$4*1/10),($B$4*1/10)*(MIN(C46,($B$4*1/10))^3-B46^3)-(MIN(C46,($B$4*1/10))^4-B46^4)/4,0)+IF(C46&gt;($B$4*1/10),($B$4*1/10)^2*(1.5*(C46^2-MAX(B46,($B$4*1/10))^2)-($B$4*1/10)*(C46-MAX(B46,($B$4*1/10)))),0))*1000,0)</f>
        <v>0</v>
      </c>
      <c r="AC46" s="120">
        <f>IF(AND(J46="OK",ISNUMBER($B$5),$B$5&gt;0,ISNUMBER($B$3),$B$3&gt;0),F46/(6*$B$3*1000000*$B$5)*(IF(B46&lt;($B$4*2/10),($B$4*2/10)*(MIN(C46,($B$4*2/10))^3-B46^3)-(MIN(C46,($B$4*2/10))^4-B46^4)/4,0)+IF(C46&gt;($B$4*2/10),($B$4*2/10)^2*(1.5*(C46^2-MAX(B46,($B$4*2/10))^2)-($B$4*2/10)*(C46-MAX(B46,($B$4*2/10)))),0))*1000,0)</f>
        <v>0</v>
      </c>
      <c r="AD46" s="120">
        <f>IF(AND(J46="OK",ISNUMBER($B$5),$B$5&gt;0,ISNUMBER($B$3),$B$3&gt;0),F46/(6*$B$3*1000000*$B$5)*(IF(B46&lt;($B$4*3/10),($B$4*3/10)*(MIN(C46,($B$4*3/10))^3-B46^3)-(MIN(C46,($B$4*3/10))^4-B46^4)/4,0)+IF(C46&gt;($B$4*3/10),($B$4*3/10)^2*(1.5*(C46^2-MAX(B46,($B$4*3/10))^2)-($B$4*3/10)*(C46-MAX(B46,($B$4*3/10)))),0))*1000,0)</f>
        <v>0</v>
      </c>
      <c r="AE46" s="120">
        <f>IF(AND(J46="OK",ISNUMBER($B$5),$B$5&gt;0,ISNUMBER($B$3),$B$3&gt;0),F46/(6*$B$3*1000000*$B$5)*(IF(B46&lt;($B$4*4/10),($B$4*4/10)*(MIN(C46,($B$4*4/10))^3-B46^3)-(MIN(C46,($B$4*4/10))^4-B46^4)/4,0)+IF(C46&gt;($B$4*4/10),($B$4*4/10)^2*(1.5*(C46^2-MAX(B46,($B$4*4/10))^2)-($B$4*4/10)*(C46-MAX(B46,($B$4*4/10)))),0))*1000,0)</f>
        <v>0</v>
      </c>
      <c r="AF46" s="120">
        <f>IF(AND(J46="OK",ISNUMBER($B$5),$B$5&gt;0,ISNUMBER($B$3),$B$3&gt;0),F46/(6*$B$3*1000000*$B$5)*(IF(B46&lt;($B$4*5/10),($B$4*5/10)*(MIN(C46,($B$4*5/10))^3-B46^3)-(MIN(C46,($B$4*5/10))^4-B46^4)/4,0)+IF(C46&gt;($B$4*5/10),($B$4*5/10)^2*(1.5*(C46^2-MAX(B46,($B$4*5/10))^2)-($B$4*5/10)*(C46-MAX(B46,($B$4*5/10)))),0))*1000,0)</f>
        <v>0</v>
      </c>
      <c r="AG46" s="120">
        <f>IF(AND(J46="OK",ISNUMBER($B$5),$B$5&gt;0,ISNUMBER($B$3),$B$3&gt;0),F46/(6*$B$3*1000000*$B$5)*(IF(B46&lt;($B$4*6/10),($B$4*6/10)*(MIN(C46,($B$4*6/10))^3-B46^3)-(MIN(C46,($B$4*6/10))^4-B46^4)/4,0)+IF(C46&gt;($B$4*6/10),($B$4*6/10)^2*(1.5*(C46^2-MAX(B46,($B$4*6/10))^2)-($B$4*6/10)*(C46-MAX(B46,($B$4*6/10)))),0))*1000,0)</f>
        <v>0</v>
      </c>
      <c r="AH46" s="120">
        <f>IF(AND(J46="OK",ISNUMBER($B$5),$B$5&gt;0,ISNUMBER($B$3),$B$3&gt;0),F46/(6*$B$3*1000000*$B$5)*(IF(B46&lt;($B$4*7/10),($B$4*7/10)*(MIN(C46,($B$4*7/10))^3-B46^3)-(MIN(C46,($B$4*7/10))^4-B46^4)/4,0)+IF(C46&gt;($B$4*7/10),($B$4*7/10)^2*(1.5*(C46^2-MAX(B46,($B$4*7/10))^2)-($B$4*7/10)*(C46-MAX(B46,($B$4*7/10)))),0))*1000,0)</f>
        <v>0</v>
      </c>
      <c r="AI46" s="120">
        <f>IF(AND(J46="OK",ISNUMBER($B$5),$B$5&gt;0,ISNUMBER($B$3),$B$3&gt;0),F46/(6*$B$3*1000000*$B$5)*(IF(B46&lt;($B$4*8/10),($B$4*8/10)*(MIN(C46,($B$4*8/10))^3-B46^3)-(MIN(C46,($B$4*8/10))^4-B46^4)/4,0)+IF(C46&gt;($B$4*8/10),($B$4*8/10)^2*(1.5*(C46^2-MAX(B46,($B$4*8/10))^2)-($B$4*8/10)*(C46-MAX(B46,($B$4*8/10)))),0))*1000,0)</f>
        <v>0</v>
      </c>
      <c r="AJ46" s="120">
        <f>IF(AND(J46="OK",ISNUMBER($B$5),$B$5&gt;0,ISNUMBER($B$3),$B$3&gt;0),F46/(6*$B$3*1000000*$B$5)*(IF(B46&lt;($B$4*9/10),($B$4*9/10)*(MIN(C46,($B$4*9/10))^3-B46^3)-(MIN(C46,($B$4*9/10))^4-B46^4)/4,0)+IF(C46&gt;($B$4*9/10),($B$4*9/10)^2*(1.5*(C46^2-MAX(B46,($B$4*9/10))^2)-($B$4*9/10)*(C46-MAX(B46,($B$4*9/10)))),0))*1000,0)</f>
        <v>0</v>
      </c>
      <c r="AK46" s="120">
        <f>IF(AND(J46="OK",ISNUMBER($B$5),$B$5&gt;0,ISNUMBER($B$3),$B$3&gt;0),F46/(6*$B$3*1000000*$B$5)*(IF(B46&lt;($B$4*10/10),($B$4*10/10)*(MIN(C46,($B$4*10/10))^3-B46^3)-(MIN(C46,($B$4*10/10))^4-B46^4)/4,0)+IF(C46&gt;($B$4*10/10),($B$4*10/10)^2*(1.5*(C46^2-MAX(B46,($B$4*10/10))^2)-($B$4*10/10)*(C46-MAX(B46,($B$4*10/10)))),0))*1000,0)</f>
        <v>0</v>
      </c>
      <c r="AM46" s="120">
        <f>IF(AND(V46="OK",ISNUMBER($N$5),$N$5&gt;0,ISNUMBER($N$3),$N$3&gt;0),R46/(6*$N$3*1000000*$N$5)*(IF(N46&lt;($N$4*0/10),($N$4*0/10)*(MIN(O46,($N$4*0/10))^3-N46^3)-(MIN(O46,($N$4*0/10))^4-N46^4)/4,0)+IF(O46&gt;($N$4*0/10),($N$4*0/10)^2*(1.5*(O46^2-MAX(N46,($N$4*0/10))^2)-($N$4*0/10)*(O46-MAX(N46,($N$4*0/10)))),0))*1000,0)</f>
        <v>0</v>
      </c>
      <c r="AN46" s="120">
        <f>IF(AND(V46="OK",ISNUMBER($N$5),$N$5&gt;0,ISNUMBER($N$3),$N$3&gt;0),R46/(6*$N$3*1000000*$N$5)*(IF(N46&lt;($N$4*1/10),($N$4*1/10)*(MIN(O46,($N$4*1/10))^3-N46^3)-(MIN(O46,($N$4*1/10))^4-N46^4)/4,0)+IF(O46&gt;($N$4*1/10),($N$4*1/10)^2*(1.5*(O46^2-MAX(N46,($N$4*1/10))^2)-($N$4*1/10)*(O46-MAX(N46,($N$4*1/10)))),0))*1000,0)</f>
        <v>0</v>
      </c>
      <c r="AO46" s="120">
        <f>IF(AND(V46="OK",ISNUMBER($N$5),$N$5&gt;0,ISNUMBER($N$3),$N$3&gt;0),R46/(6*$N$3*1000000*$N$5)*(IF(N46&lt;($N$4*2/10),($N$4*2/10)*(MIN(O46,($N$4*2/10))^3-N46^3)-(MIN(O46,($N$4*2/10))^4-N46^4)/4,0)+IF(O46&gt;($N$4*2/10),($N$4*2/10)^2*(1.5*(O46^2-MAX(N46,($N$4*2/10))^2)-($N$4*2/10)*(O46-MAX(N46,($N$4*2/10)))),0))*1000,0)</f>
        <v>0</v>
      </c>
      <c r="AP46" s="120">
        <f>IF(AND(V46="OK",ISNUMBER($N$5),$N$5&gt;0,ISNUMBER($N$3),$N$3&gt;0),R46/(6*$N$3*1000000*$N$5)*(IF(N46&lt;($N$4*3/10),($N$4*3/10)*(MIN(O46,($N$4*3/10))^3-N46^3)-(MIN(O46,($N$4*3/10))^4-N46^4)/4,0)+IF(O46&gt;($N$4*3/10),($N$4*3/10)^2*(1.5*(O46^2-MAX(N46,($N$4*3/10))^2)-($N$4*3/10)*(O46-MAX(N46,($N$4*3/10)))),0))*1000,0)</f>
        <v>0</v>
      </c>
      <c r="AQ46" s="120">
        <f>IF(AND(V46="OK",ISNUMBER($N$5),$N$5&gt;0,ISNUMBER($N$3),$N$3&gt;0),R46/(6*$N$3*1000000*$N$5)*(IF(N46&lt;($N$4*4/10),($N$4*4/10)*(MIN(O46,($N$4*4/10))^3-N46^3)-(MIN(O46,($N$4*4/10))^4-N46^4)/4,0)+IF(O46&gt;($N$4*4/10),($N$4*4/10)^2*(1.5*(O46^2-MAX(N46,($N$4*4/10))^2)-($N$4*4/10)*(O46-MAX(N46,($N$4*4/10)))),0))*1000,0)</f>
        <v>0</v>
      </c>
      <c r="AR46" s="120">
        <f>IF(AND(V46="OK",ISNUMBER($N$5),$N$5&gt;0,ISNUMBER($N$3),$N$3&gt;0),R46/(6*$N$3*1000000*$N$5)*(IF(N46&lt;($N$4*5/10),($N$4*5/10)*(MIN(O46,($N$4*5/10))^3-N46^3)-(MIN(O46,($N$4*5/10))^4-N46^4)/4,0)+IF(O46&gt;($N$4*5/10),($N$4*5/10)^2*(1.5*(O46^2-MAX(N46,($N$4*5/10))^2)-($N$4*5/10)*(O46-MAX(N46,($N$4*5/10)))),0))*1000,0)</f>
        <v>0</v>
      </c>
      <c r="AS46" s="120">
        <f>IF(AND(V46="OK",ISNUMBER($N$5),$N$5&gt;0,ISNUMBER($N$3),$N$3&gt;0),R46/(6*$N$3*1000000*$N$5)*(IF(N46&lt;($N$4*6/10),($N$4*6/10)*(MIN(O46,($N$4*6/10))^3-N46^3)-(MIN(O46,($N$4*6/10))^4-N46^4)/4,0)+IF(O46&gt;($N$4*6/10),($N$4*6/10)^2*(1.5*(O46^2-MAX(N46,($N$4*6/10))^2)-($N$4*6/10)*(O46-MAX(N46,($N$4*6/10)))),0))*1000,0)</f>
        <v>0</v>
      </c>
      <c r="AT46" s="120">
        <f>IF(AND(V46="OK",ISNUMBER($N$5),$N$5&gt;0,ISNUMBER($N$3),$N$3&gt;0),R46/(6*$N$3*1000000*$N$5)*(IF(N46&lt;($N$4*7/10),($N$4*7/10)*(MIN(O46,($N$4*7/10))^3-N46^3)-(MIN(O46,($N$4*7/10))^4-N46^4)/4,0)+IF(O46&gt;($N$4*7/10),($N$4*7/10)^2*(1.5*(O46^2-MAX(N46,($N$4*7/10))^2)-($N$4*7/10)*(O46-MAX(N46,($N$4*7/10)))),0))*1000,0)</f>
        <v>0</v>
      </c>
      <c r="AU46" s="120">
        <f>IF(AND(V46="OK",ISNUMBER($N$5),$N$5&gt;0,ISNUMBER($N$3),$N$3&gt;0),R46/(6*$N$3*1000000*$N$5)*(IF(N46&lt;($N$4*8/10),($N$4*8/10)*(MIN(O46,($N$4*8/10))^3-N46^3)-(MIN(O46,($N$4*8/10))^4-N46^4)/4,0)+IF(O46&gt;($N$4*8/10),($N$4*8/10)^2*(1.5*(O46^2-MAX(N46,($N$4*8/10))^2)-($N$4*8/10)*(O46-MAX(N46,($N$4*8/10)))),0))*1000,0)</f>
        <v>0</v>
      </c>
      <c r="AV46" s="120">
        <f>IF(AND(V46="OK",ISNUMBER($N$5),$N$5&gt;0,ISNUMBER($N$3),$N$3&gt;0),R46/(6*$N$3*1000000*$N$5)*(IF(N46&lt;($N$4*9/10),($N$4*9/10)*(MIN(O46,($N$4*9/10))^3-N46^3)-(MIN(O46,($N$4*9/10))^4-N46^4)/4,0)+IF(O46&gt;($N$4*9/10),($N$4*9/10)^2*(1.5*(O46^2-MAX(N46,($N$4*9/10))^2)-($N$4*9/10)*(O46-MAX(N46,($N$4*9/10)))),0))*1000,0)</f>
        <v>0</v>
      </c>
      <c r="AW46" s="120">
        <f>IF(AND(V46="OK",ISNUMBER($N$5),$N$5&gt;0,ISNUMBER($N$3),$N$3&gt;0),R46/(6*$N$3*1000000*$N$5)*(IF(N46&lt;($N$4*10/10),($N$4*10/10)*(MIN(O46,($N$4*10/10))^3-N46^3)-(MIN(O46,($N$4*10/10))^4-N46^4)/4,0)+IF(O46&gt;($N$4*10/10),($N$4*10/10)^2*(1.5*(O46^2-MAX(N46,($N$4*10/10))^2)-($N$4*10/10)*(O46-MAX(N46,($N$4*10/10)))),0))*1000,0)</f>
        <v>0</v>
      </c>
    </row>
    <row r="47" spans="1:49">
      <c r="A47" s="124"/>
      <c r="B47" s="125"/>
      <c r="C47" s="125"/>
      <c r="D47" s="125"/>
      <c r="E47" s="125"/>
      <c r="F47" s="126" t="str">
        <f>IF(J47="OK",D47*E47,"")</f>
        <v/>
      </c>
      <c r="G47" s="126" t="str">
        <f>IF(J47="OK",F47*(C47-B47),"")</f>
        <v/>
      </c>
      <c r="H47" s="126" t="str">
        <f>IF(J47="OK",G47*(C47+B47)/2,"")</f>
        <v/>
      </c>
      <c r="I47" s="126" t="str">
        <f>IF(AND(J47="OK",ISNUMBER($B$5),$B$5&gt;0,ISNUMBER($B$3),$B$3&gt;0),F47*(4*$B$4*(C47^3-B47^3)-(C47^4-B47^4))/(24*$B$3*1000000*$B$5)*1000,"")</f>
        <v/>
      </c>
      <c r="J47" s="120" t="str">
        <f>IF(COUNTA(A47:E47)=0,"",IF(AND(COUNT(B47:E47)=4,B47&gt;=0,C47&gt;B47,C47&lt;=$B$4,D47&gt;=0,E47&gt;0),IF(COUNTIFS($B$13:$B$46,"&lt;"&amp;C47,$C$13:$C$46,"&gt;"&amp;B47)&gt;0,"OVERLAP","OK"),"CHECK INPUTS"))</f>
        <v/>
      </c>
      <c r="M47" s="124"/>
      <c r="N47" s="125"/>
      <c r="O47" s="125"/>
      <c r="P47" s="125"/>
      <c r="Q47" s="125"/>
      <c r="R47" s="126" t="str">
        <f>IF(V47="OK",P47*Q47,"")</f>
        <v/>
      </c>
      <c r="S47" s="126" t="str">
        <f>IF(V47="OK",R47*(O47-N47),"")</f>
        <v/>
      </c>
      <c r="T47" s="126" t="str">
        <f>IF(V47="OK",S47*(O47+N47)/2,"")</f>
        <v/>
      </c>
      <c r="U47" s="126" t="str">
        <f>IF(AND(V47="OK",ISNUMBER($N$5),$N$5&gt;0,ISNUMBER($N$3),$N$3&gt;0),R47*(4*$N$4*(O47^3-N47^3)-(O47^4-N47^4))/(24*$N$3*1000000*$N$5)*1000,"")</f>
        <v/>
      </c>
      <c r="V47" s="120" t="str">
        <f>IF(COUNTA(M47:Q47)=0,"",IF(AND(COUNT(N47:Q47)=4,N47&gt;=0,O47&gt;N47,O47&lt;=$N$4,P47&gt;=0,Q47&gt;0),IF(COUNTIFS($N$13:$N$46,"&lt;"&amp;O47,$O$13:$O$46,"&gt;"&amp;N47)&gt;0,"OVERLAP","OK"),"CHECK INPUTS"))</f>
        <v/>
      </c>
      <c r="AA47" s="120">
        <f>IF(AND(J47="OK",ISNUMBER($B$5),$B$5&gt;0,ISNUMBER($B$3),$B$3&gt;0),F47/(6*$B$3*1000000*$B$5)*(IF(B47&lt;($B$4*0/10),($B$4*0/10)*(MIN(C47,($B$4*0/10))^3-B47^3)-(MIN(C47,($B$4*0/10))^4-B47^4)/4,0)+IF(C47&gt;($B$4*0/10),($B$4*0/10)^2*(1.5*(C47^2-MAX(B47,($B$4*0/10))^2)-($B$4*0/10)*(C47-MAX(B47,($B$4*0/10)))),0))*1000,0)</f>
        <v>0</v>
      </c>
      <c r="AB47" s="120">
        <f>IF(AND(J47="OK",ISNUMBER($B$5),$B$5&gt;0,ISNUMBER($B$3),$B$3&gt;0),F47/(6*$B$3*1000000*$B$5)*(IF(B47&lt;($B$4*1/10),($B$4*1/10)*(MIN(C47,($B$4*1/10))^3-B47^3)-(MIN(C47,($B$4*1/10))^4-B47^4)/4,0)+IF(C47&gt;($B$4*1/10),($B$4*1/10)^2*(1.5*(C47^2-MAX(B47,($B$4*1/10))^2)-($B$4*1/10)*(C47-MAX(B47,($B$4*1/10)))),0))*1000,0)</f>
        <v>0</v>
      </c>
      <c r="AC47" s="120">
        <f>IF(AND(J47="OK",ISNUMBER($B$5),$B$5&gt;0,ISNUMBER($B$3),$B$3&gt;0),F47/(6*$B$3*1000000*$B$5)*(IF(B47&lt;($B$4*2/10),($B$4*2/10)*(MIN(C47,($B$4*2/10))^3-B47^3)-(MIN(C47,($B$4*2/10))^4-B47^4)/4,0)+IF(C47&gt;($B$4*2/10),($B$4*2/10)^2*(1.5*(C47^2-MAX(B47,($B$4*2/10))^2)-($B$4*2/10)*(C47-MAX(B47,($B$4*2/10)))),0))*1000,0)</f>
        <v>0</v>
      </c>
      <c r="AD47" s="120">
        <f>IF(AND(J47="OK",ISNUMBER($B$5),$B$5&gt;0,ISNUMBER($B$3),$B$3&gt;0),F47/(6*$B$3*1000000*$B$5)*(IF(B47&lt;($B$4*3/10),($B$4*3/10)*(MIN(C47,($B$4*3/10))^3-B47^3)-(MIN(C47,($B$4*3/10))^4-B47^4)/4,0)+IF(C47&gt;($B$4*3/10),($B$4*3/10)^2*(1.5*(C47^2-MAX(B47,($B$4*3/10))^2)-($B$4*3/10)*(C47-MAX(B47,($B$4*3/10)))),0))*1000,0)</f>
        <v>0</v>
      </c>
      <c r="AE47" s="120">
        <f>IF(AND(J47="OK",ISNUMBER($B$5),$B$5&gt;0,ISNUMBER($B$3),$B$3&gt;0),F47/(6*$B$3*1000000*$B$5)*(IF(B47&lt;($B$4*4/10),($B$4*4/10)*(MIN(C47,($B$4*4/10))^3-B47^3)-(MIN(C47,($B$4*4/10))^4-B47^4)/4,0)+IF(C47&gt;($B$4*4/10),($B$4*4/10)^2*(1.5*(C47^2-MAX(B47,($B$4*4/10))^2)-($B$4*4/10)*(C47-MAX(B47,($B$4*4/10)))),0))*1000,0)</f>
        <v>0</v>
      </c>
      <c r="AF47" s="120">
        <f>IF(AND(J47="OK",ISNUMBER($B$5),$B$5&gt;0,ISNUMBER($B$3),$B$3&gt;0),F47/(6*$B$3*1000000*$B$5)*(IF(B47&lt;($B$4*5/10),($B$4*5/10)*(MIN(C47,($B$4*5/10))^3-B47^3)-(MIN(C47,($B$4*5/10))^4-B47^4)/4,0)+IF(C47&gt;($B$4*5/10),($B$4*5/10)^2*(1.5*(C47^2-MAX(B47,($B$4*5/10))^2)-($B$4*5/10)*(C47-MAX(B47,($B$4*5/10)))),0))*1000,0)</f>
        <v>0</v>
      </c>
      <c r="AG47" s="120">
        <f>IF(AND(J47="OK",ISNUMBER($B$5),$B$5&gt;0,ISNUMBER($B$3),$B$3&gt;0),F47/(6*$B$3*1000000*$B$5)*(IF(B47&lt;($B$4*6/10),($B$4*6/10)*(MIN(C47,($B$4*6/10))^3-B47^3)-(MIN(C47,($B$4*6/10))^4-B47^4)/4,0)+IF(C47&gt;($B$4*6/10),($B$4*6/10)^2*(1.5*(C47^2-MAX(B47,($B$4*6/10))^2)-($B$4*6/10)*(C47-MAX(B47,($B$4*6/10)))),0))*1000,0)</f>
        <v>0</v>
      </c>
      <c r="AH47" s="120">
        <f>IF(AND(J47="OK",ISNUMBER($B$5),$B$5&gt;0,ISNUMBER($B$3),$B$3&gt;0),F47/(6*$B$3*1000000*$B$5)*(IF(B47&lt;($B$4*7/10),($B$4*7/10)*(MIN(C47,($B$4*7/10))^3-B47^3)-(MIN(C47,($B$4*7/10))^4-B47^4)/4,0)+IF(C47&gt;($B$4*7/10),($B$4*7/10)^2*(1.5*(C47^2-MAX(B47,($B$4*7/10))^2)-($B$4*7/10)*(C47-MAX(B47,($B$4*7/10)))),0))*1000,0)</f>
        <v>0</v>
      </c>
      <c r="AI47" s="120">
        <f>IF(AND(J47="OK",ISNUMBER($B$5),$B$5&gt;0,ISNUMBER($B$3),$B$3&gt;0),F47/(6*$B$3*1000000*$B$5)*(IF(B47&lt;($B$4*8/10),($B$4*8/10)*(MIN(C47,($B$4*8/10))^3-B47^3)-(MIN(C47,($B$4*8/10))^4-B47^4)/4,0)+IF(C47&gt;($B$4*8/10),($B$4*8/10)^2*(1.5*(C47^2-MAX(B47,($B$4*8/10))^2)-($B$4*8/10)*(C47-MAX(B47,($B$4*8/10)))),0))*1000,0)</f>
        <v>0</v>
      </c>
      <c r="AJ47" s="120">
        <f>IF(AND(J47="OK",ISNUMBER($B$5),$B$5&gt;0,ISNUMBER($B$3),$B$3&gt;0),F47/(6*$B$3*1000000*$B$5)*(IF(B47&lt;($B$4*9/10),($B$4*9/10)*(MIN(C47,($B$4*9/10))^3-B47^3)-(MIN(C47,($B$4*9/10))^4-B47^4)/4,0)+IF(C47&gt;($B$4*9/10),($B$4*9/10)^2*(1.5*(C47^2-MAX(B47,($B$4*9/10))^2)-($B$4*9/10)*(C47-MAX(B47,($B$4*9/10)))),0))*1000,0)</f>
        <v>0</v>
      </c>
      <c r="AK47" s="120">
        <f>IF(AND(J47="OK",ISNUMBER($B$5),$B$5&gt;0,ISNUMBER($B$3),$B$3&gt;0),F47/(6*$B$3*1000000*$B$5)*(IF(B47&lt;($B$4*10/10),($B$4*10/10)*(MIN(C47,($B$4*10/10))^3-B47^3)-(MIN(C47,($B$4*10/10))^4-B47^4)/4,0)+IF(C47&gt;($B$4*10/10),($B$4*10/10)^2*(1.5*(C47^2-MAX(B47,($B$4*10/10))^2)-($B$4*10/10)*(C47-MAX(B47,($B$4*10/10)))),0))*1000,0)</f>
        <v>0</v>
      </c>
      <c r="AM47" s="120">
        <f>IF(AND(V47="OK",ISNUMBER($N$5),$N$5&gt;0,ISNUMBER($N$3),$N$3&gt;0),R47/(6*$N$3*1000000*$N$5)*(IF(N47&lt;($N$4*0/10),($N$4*0/10)*(MIN(O47,($N$4*0/10))^3-N47^3)-(MIN(O47,($N$4*0/10))^4-N47^4)/4,0)+IF(O47&gt;($N$4*0/10),($N$4*0/10)^2*(1.5*(O47^2-MAX(N47,($N$4*0/10))^2)-($N$4*0/10)*(O47-MAX(N47,($N$4*0/10)))),0))*1000,0)</f>
        <v>0</v>
      </c>
      <c r="AN47" s="120">
        <f>IF(AND(V47="OK",ISNUMBER($N$5),$N$5&gt;0,ISNUMBER($N$3),$N$3&gt;0),R47/(6*$N$3*1000000*$N$5)*(IF(N47&lt;($N$4*1/10),($N$4*1/10)*(MIN(O47,($N$4*1/10))^3-N47^3)-(MIN(O47,($N$4*1/10))^4-N47^4)/4,0)+IF(O47&gt;($N$4*1/10),($N$4*1/10)^2*(1.5*(O47^2-MAX(N47,($N$4*1/10))^2)-($N$4*1/10)*(O47-MAX(N47,($N$4*1/10)))),0))*1000,0)</f>
        <v>0</v>
      </c>
      <c r="AO47" s="120">
        <f>IF(AND(V47="OK",ISNUMBER($N$5),$N$5&gt;0,ISNUMBER($N$3),$N$3&gt;0),R47/(6*$N$3*1000000*$N$5)*(IF(N47&lt;($N$4*2/10),($N$4*2/10)*(MIN(O47,($N$4*2/10))^3-N47^3)-(MIN(O47,($N$4*2/10))^4-N47^4)/4,0)+IF(O47&gt;($N$4*2/10),($N$4*2/10)^2*(1.5*(O47^2-MAX(N47,($N$4*2/10))^2)-($N$4*2/10)*(O47-MAX(N47,($N$4*2/10)))),0))*1000,0)</f>
        <v>0</v>
      </c>
      <c r="AP47" s="120">
        <f>IF(AND(V47="OK",ISNUMBER($N$5),$N$5&gt;0,ISNUMBER($N$3),$N$3&gt;0),R47/(6*$N$3*1000000*$N$5)*(IF(N47&lt;($N$4*3/10),($N$4*3/10)*(MIN(O47,($N$4*3/10))^3-N47^3)-(MIN(O47,($N$4*3/10))^4-N47^4)/4,0)+IF(O47&gt;($N$4*3/10),($N$4*3/10)^2*(1.5*(O47^2-MAX(N47,($N$4*3/10))^2)-($N$4*3/10)*(O47-MAX(N47,($N$4*3/10)))),0))*1000,0)</f>
        <v>0</v>
      </c>
      <c r="AQ47" s="120">
        <f>IF(AND(V47="OK",ISNUMBER($N$5),$N$5&gt;0,ISNUMBER($N$3),$N$3&gt;0),R47/(6*$N$3*1000000*$N$5)*(IF(N47&lt;($N$4*4/10),($N$4*4/10)*(MIN(O47,($N$4*4/10))^3-N47^3)-(MIN(O47,($N$4*4/10))^4-N47^4)/4,0)+IF(O47&gt;($N$4*4/10),($N$4*4/10)^2*(1.5*(O47^2-MAX(N47,($N$4*4/10))^2)-($N$4*4/10)*(O47-MAX(N47,($N$4*4/10)))),0))*1000,0)</f>
        <v>0</v>
      </c>
      <c r="AR47" s="120">
        <f>IF(AND(V47="OK",ISNUMBER($N$5),$N$5&gt;0,ISNUMBER($N$3),$N$3&gt;0),R47/(6*$N$3*1000000*$N$5)*(IF(N47&lt;($N$4*5/10),($N$4*5/10)*(MIN(O47,($N$4*5/10))^3-N47^3)-(MIN(O47,($N$4*5/10))^4-N47^4)/4,0)+IF(O47&gt;($N$4*5/10),($N$4*5/10)^2*(1.5*(O47^2-MAX(N47,($N$4*5/10))^2)-($N$4*5/10)*(O47-MAX(N47,($N$4*5/10)))),0))*1000,0)</f>
        <v>0</v>
      </c>
      <c r="AS47" s="120">
        <f>IF(AND(V47="OK",ISNUMBER($N$5),$N$5&gt;0,ISNUMBER($N$3),$N$3&gt;0),R47/(6*$N$3*1000000*$N$5)*(IF(N47&lt;($N$4*6/10),($N$4*6/10)*(MIN(O47,($N$4*6/10))^3-N47^3)-(MIN(O47,($N$4*6/10))^4-N47^4)/4,0)+IF(O47&gt;($N$4*6/10),($N$4*6/10)^2*(1.5*(O47^2-MAX(N47,($N$4*6/10))^2)-($N$4*6/10)*(O47-MAX(N47,($N$4*6/10)))),0))*1000,0)</f>
        <v>0</v>
      </c>
      <c r="AT47" s="120">
        <f>IF(AND(V47="OK",ISNUMBER($N$5),$N$5&gt;0,ISNUMBER($N$3),$N$3&gt;0),R47/(6*$N$3*1000000*$N$5)*(IF(N47&lt;($N$4*7/10),($N$4*7/10)*(MIN(O47,($N$4*7/10))^3-N47^3)-(MIN(O47,($N$4*7/10))^4-N47^4)/4,0)+IF(O47&gt;($N$4*7/10),($N$4*7/10)^2*(1.5*(O47^2-MAX(N47,($N$4*7/10))^2)-($N$4*7/10)*(O47-MAX(N47,($N$4*7/10)))),0))*1000,0)</f>
        <v>0</v>
      </c>
      <c r="AU47" s="120">
        <f>IF(AND(V47="OK",ISNUMBER($N$5),$N$5&gt;0,ISNUMBER($N$3),$N$3&gt;0),R47/(6*$N$3*1000000*$N$5)*(IF(N47&lt;($N$4*8/10),($N$4*8/10)*(MIN(O47,($N$4*8/10))^3-N47^3)-(MIN(O47,($N$4*8/10))^4-N47^4)/4,0)+IF(O47&gt;($N$4*8/10),($N$4*8/10)^2*(1.5*(O47^2-MAX(N47,($N$4*8/10))^2)-($N$4*8/10)*(O47-MAX(N47,($N$4*8/10)))),0))*1000,0)</f>
        <v>0</v>
      </c>
      <c r="AV47" s="120">
        <f>IF(AND(V47="OK",ISNUMBER($N$5),$N$5&gt;0,ISNUMBER($N$3),$N$3&gt;0),R47/(6*$N$3*1000000*$N$5)*(IF(N47&lt;($N$4*9/10),($N$4*9/10)*(MIN(O47,($N$4*9/10))^3-N47^3)-(MIN(O47,($N$4*9/10))^4-N47^4)/4,0)+IF(O47&gt;($N$4*9/10),($N$4*9/10)^2*(1.5*(O47^2-MAX(N47,($N$4*9/10))^2)-($N$4*9/10)*(O47-MAX(N47,($N$4*9/10)))),0))*1000,0)</f>
        <v>0</v>
      </c>
      <c r="AW47" s="120">
        <f>IF(AND(V47="OK",ISNUMBER($N$5),$N$5&gt;0,ISNUMBER($N$3),$N$3&gt;0),R47/(6*$N$3*1000000*$N$5)*(IF(N47&lt;($N$4*10/10),($N$4*10/10)*(MIN(O47,($N$4*10/10))^3-N47^3)-(MIN(O47,($N$4*10/10))^4-N47^4)/4,0)+IF(O47&gt;($N$4*10/10),($N$4*10/10)^2*(1.5*(O47^2-MAX(N47,($N$4*10/10))^2)-($N$4*10/10)*(O47-MAX(N47,($N$4*10/10)))),0))*1000,0)</f>
        <v>0</v>
      </c>
    </row>
    <row r="48" spans="1:49">
      <c r="A48" s="124"/>
      <c r="B48" s="125"/>
      <c r="C48" s="125"/>
      <c r="D48" s="125"/>
      <c r="E48" s="125"/>
      <c r="F48" s="126" t="str">
        <f>IF(J48="OK",D48*E48,"")</f>
        <v/>
      </c>
      <c r="G48" s="126" t="str">
        <f>IF(J48="OK",F48*(C48-B48),"")</f>
        <v/>
      </c>
      <c r="H48" s="126" t="str">
        <f>IF(J48="OK",G48*(C48+B48)/2,"")</f>
        <v/>
      </c>
      <c r="I48" s="126" t="str">
        <f>IF(AND(J48="OK",ISNUMBER($B$5),$B$5&gt;0,ISNUMBER($B$3),$B$3&gt;0),F48*(4*$B$4*(C48^3-B48^3)-(C48^4-B48^4))/(24*$B$3*1000000*$B$5)*1000,"")</f>
        <v/>
      </c>
      <c r="J48" s="120" t="str">
        <f>IF(COUNTA(A48:E48)=0,"",IF(AND(COUNT(B48:E48)=4,B48&gt;=0,C48&gt;B48,C48&lt;=$B$4,D48&gt;=0,E48&gt;0),IF(COUNTIFS($B$13:$B$47,"&lt;"&amp;C48,$C$13:$C$47,"&gt;"&amp;B48)&gt;0,"OVERLAP","OK"),"CHECK INPUTS"))</f>
        <v/>
      </c>
      <c r="M48" s="124"/>
      <c r="N48" s="125"/>
      <c r="O48" s="125"/>
      <c r="P48" s="125"/>
      <c r="Q48" s="125"/>
      <c r="R48" s="126" t="str">
        <f>IF(V48="OK",P48*Q48,"")</f>
        <v/>
      </c>
      <c r="S48" s="126" t="str">
        <f>IF(V48="OK",R48*(O48-N48),"")</f>
        <v/>
      </c>
      <c r="T48" s="126" t="str">
        <f>IF(V48="OK",S48*(O48+N48)/2,"")</f>
        <v/>
      </c>
      <c r="U48" s="126" t="str">
        <f>IF(AND(V48="OK",ISNUMBER($N$5),$N$5&gt;0,ISNUMBER($N$3),$N$3&gt;0),R48*(4*$N$4*(O48^3-N48^3)-(O48^4-N48^4))/(24*$N$3*1000000*$N$5)*1000,"")</f>
        <v/>
      </c>
      <c r="V48" s="120" t="str">
        <f>IF(COUNTA(M48:Q48)=0,"",IF(AND(COUNT(N48:Q48)=4,N48&gt;=0,O48&gt;N48,O48&lt;=$N$4,P48&gt;=0,Q48&gt;0),IF(COUNTIFS($N$13:$N$47,"&lt;"&amp;O48,$O$13:$O$47,"&gt;"&amp;N48)&gt;0,"OVERLAP","OK"),"CHECK INPUTS"))</f>
        <v/>
      </c>
      <c r="AA48" s="120">
        <f>IF(AND(J48="OK",ISNUMBER($B$5),$B$5&gt;0,ISNUMBER($B$3),$B$3&gt;0),F48/(6*$B$3*1000000*$B$5)*(IF(B48&lt;($B$4*0/10),($B$4*0/10)*(MIN(C48,($B$4*0/10))^3-B48^3)-(MIN(C48,($B$4*0/10))^4-B48^4)/4,0)+IF(C48&gt;($B$4*0/10),($B$4*0/10)^2*(1.5*(C48^2-MAX(B48,($B$4*0/10))^2)-($B$4*0/10)*(C48-MAX(B48,($B$4*0/10)))),0))*1000,0)</f>
        <v>0</v>
      </c>
      <c r="AB48" s="120">
        <f>IF(AND(J48="OK",ISNUMBER($B$5),$B$5&gt;0,ISNUMBER($B$3),$B$3&gt;0),F48/(6*$B$3*1000000*$B$5)*(IF(B48&lt;($B$4*1/10),($B$4*1/10)*(MIN(C48,($B$4*1/10))^3-B48^3)-(MIN(C48,($B$4*1/10))^4-B48^4)/4,0)+IF(C48&gt;($B$4*1/10),($B$4*1/10)^2*(1.5*(C48^2-MAX(B48,($B$4*1/10))^2)-($B$4*1/10)*(C48-MAX(B48,($B$4*1/10)))),0))*1000,0)</f>
        <v>0</v>
      </c>
      <c r="AC48" s="120">
        <f>IF(AND(J48="OK",ISNUMBER($B$5),$B$5&gt;0,ISNUMBER($B$3),$B$3&gt;0),F48/(6*$B$3*1000000*$B$5)*(IF(B48&lt;($B$4*2/10),($B$4*2/10)*(MIN(C48,($B$4*2/10))^3-B48^3)-(MIN(C48,($B$4*2/10))^4-B48^4)/4,0)+IF(C48&gt;($B$4*2/10),($B$4*2/10)^2*(1.5*(C48^2-MAX(B48,($B$4*2/10))^2)-($B$4*2/10)*(C48-MAX(B48,($B$4*2/10)))),0))*1000,0)</f>
        <v>0</v>
      </c>
      <c r="AD48" s="120">
        <f>IF(AND(J48="OK",ISNUMBER($B$5),$B$5&gt;0,ISNUMBER($B$3),$B$3&gt;0),F48/(6*$B$3*1000000*$B$5)*(IF(B48&lt;($B$4*3/10),($B$4*3/10)*(MIN(C48,($B$4*3/10))^3-B48^3)-(MIN(C48,($B$4*3/10))^4-B48^4)/4,0)+IF(C48&gt;($B$4*3/10),($B$4*3/10)^2*(1.5*(C48^2-MAX(B48,($B$4*3/10))^2)-($B$4*3/10)*(C48-MAX(B48,($B$4*3/10)))),0))*1000,0)</f>
        <v>0</v>
      </c>
      <c r="AE48" s="120">
        <f>IF(AND(J48="OK",ISNUMBER($B$5),$B$5&gt;0,ISNUMBER($B$3),$B$3&gt;0),F48/(6*$B$3*1000000*$B$5)*(IF(B48&lt;($B$4*4/10),($B$4*4/10)*(MIN(C48,($B$4*4/10))^3-B48^3)-(MIN(C48,($B$4*4/10))^4-B48^4)/4,0)+IF(C48&gt;($B$4*4/10),($B$4*4/10)^2*(1.5*(C48^2-MAX(B48,($B$4*4/10))^2)-($B$4*4/10)*(C48-MAX(B48,($B$4*4/10)))),0))*1000,0)</f>
        <v>0</v>
      </c>
      <c r="AF48" s="120">
        <f>IF(AND(J48="OK",ISNUMBER($B$5),$B$5&gt;0,ISNUMBER($B$3),$B$3&gt;0),F48/(6*$B$3*1000000*$B$5)*(IF(B48&lt;($B$4*5/10),($B$4*5/10)*(MIN(C48,($B$4*5/10))^3-B48^3)-(MIN(C48,($B$4*5/10))^4-B48^4)/4,0)+IF(C48&gt;($B$4*5/10),($B$4*5/10)^2*(1.5*(C48^2-MAX(B48,($B$4*5/10))^2)-($B$4*5/10)*(C48-MAX(B48,($B$4*5/10)))),0))*1000,0)</f>
        <v>0</v>
      </c>
      <c r="AG48" s="120">
        <f>IF(AND(J48="OK",ISNUMBER($B$5),$B$5&gt;0,ISNUMBER($B$3),$B$3&gt;0),F48/(6*$B$3*1000000*$B$5)*(IF(B48&lt;($B$4*6/10),($B$4*6/10)*(MIN(C48,($B$4*6/10))^3-B48^3)-(MIN(C48,($B$4*6/10))^4-B48^4)/4,0)+IF(C48&gt;($B$4*6/10),($B$4*6/10)^2*(1.5*(C48^2-MAX(B48,($B$4*6/10))^2)-($B$4*6/10)*(C48-MAX(B48,($B$4*6/10)))),0))*1000,0)</f>
        <v>0</v>
      </c>
      <c r="AH48" s="120">
        <f>IF(AND(J48="OK",ISNUMBER($B$5),$B$5&gt;0,ISNUMBER($B$3),$B$3&gt;0),F48/(6*$B$3*1000000*$B$5)*(IF(B48&lt;($B$4*7/10),($B$4*7/10)*(MIN(C48,($B$4*7/10))^3-B48^3)-(MIN(C48,($B$4*7/10))^4-B48^4)/4,0)+IF(C48&gt;($B$4*7/10),($B$4*7/10)^2*(1.5*(C48^2-MAX(B48,($B$4*7/10))^2)-($B$4*7/10)*(C48-MAX(B48,($B$4*7/10)))),0))*1000,0)</f>
        <v>0</v>
      </c>
      <c r="AI48" s="120">
        <f>IF(AND(J48="OK",ISNUMBER($B$5),$B$5&gt;0,ISNUMBER($B$3),$B$3&gt;0),F48/(6*$B$3*1000000*$B$5)*(IF(B48&lt;($B$4*8/10),($B$4*8/10)*(MIN(C48,($B$4*8/10))^3-B48^3)-(MIN(C48,($B$4*8/10))^4-B48^4)/4,0)+IF(C48&gt;($B$4*8/10),($B$4*8/10)^2*(1.5*(C48^2-MAX(B48,($B$4*8/10))^2)-($B$4*8/10)*(C48-MAX(B48,($B$4*8/10)))),0))*1000,0)</f>
        <v>0</v>
      </c>
      <c r="AJ48" s="120">
        <f>IF(AND(J48="OK",ISNUMBER($B$5),$B$5&gt;0,ISNUMBER($B$3),$B$3&gt;0),F48/(6*$B$3*1000000*$B$5)*(IF(B48&lt;($B$4*9/10),($B$4*9/10)*(MIN(C48,($B$4*9/10))^3-B48^3)-(MIN(C48,($B$4*9/10))^4-B48^4)/4,0)+IF(C48&gt;($B$4*9/10),($B$4*9/10)^2*(1.5*(C48^2-MAX(B48,($B$4*9/10))^2)-($B$4*9/10)*(C48-MAX(B48,($B$4*9/10)))),0))*1000,0)</f>
        <v>0</v>
      </c>
      <c r="AK48" s="120">
        <f>IF(AND(J48="OK",ISNUMBER($B$5),$B$5&gt;0,ISNUMBER($B$3),$B$3&gt;0),F48/(6*$B$3*1000000*$B$5)*(IF(B48&lt;($B$4*10/10),($B$4*10/10)*(MIN(C48,($B$4*10/10))^3-B48^3)-(MIN(C48,($B$4*10/10))^4-B48^4)/4,0)+IF(C48&gt;($B$4*10/10),($B$4*10/10)^2*(1.5*(C48^2-MAX(B48,($B$4*10/10))^2)-($B$4*10/10)*(C48-MAX(B48,($B$4*10/10)))),0))*1000,0)</f>
        <v>0</v>
      </c>
      <c r="AM48" s="120">
        <f>IF(AND(V48="OK",ISNUMBER($N$5),$N$5&gt;0,ISNUMBER($N$3),$N$3&gt;0),R48/(6*$N$3*1000000*$N$5)*(IF(N48&lt;($N$4*0/10),($N$4*0/10)*(MIN(O48,($N$4*0/10))^3-N48^3)-(MIN(O48,($N$4*0/10))^4-N48^4)/4,0)+IF(O48&gt;($N$4*0/10),($N$4*0/10)^2*(1.5*(O48^2-MAX(N48,($N$4*0/10))^2)-($N$4*0/10)*(O48-MAX(N48,($N$4*0/10)))),0))*1000,0)</f>
        <v>0</v>
      </c>
      <c r="AN48" s="120">
        <f>IF(AND(V48="OK",ISNUMBER($N$5),$N$5&gt;0,ISNUMBER($N$3),$N$3&gt;0),R48/(6*$N$3*1000000*$N$5)*(IF(N48&lt;($N$4*1/10),($N$4*1/10)*(MIN(O48,($N$4*1/10))^3-N48^3)-(MIN(O48,($N$4*1/10))^4-N48^4)/4,0)+IF(O48&gt;($N$4*1/10),($N$4*1/10)^2*(1.5*(O48^2-MAX(N48,($N$4*1/10))^2)-($N$4*1/10)*(O48-MAX(N48,($N$4*1/10)))),0))*1000,0)</f>
        <v>0</v>
      </c>
      <c r="AO48" s="120">
        <f>IF(AND(V48="OK",ISNUMBER($N$5),$N$5&gt;0,ISNUMBER($N$3),$N$3&gt;0),R48/(6*$N$3*1000000*$N$5)*(IF(N48&lt;($N$4*2/10),($N$4*2/10)*(MIN(O48,($N$4*2/10))^3-N48^3)-(MIN(O48,($N$4*2/10))^4-N48^4)/4,0)+IF(O48&gt;($N$4*2/10),($N$4*2/10)^2*(1.5*(O48^2-MAX(N48,($N$4*2/10))^2)-($N$4*2/10)*(O48-MAX(N48,($N$4*2/10)))),0))*1000,0)</f>
        <v>0</v>
      </c>
      <c r="AP48" s="120">
        <f>IF(AND(V48="OK",ISNUMBER($N$5),$N$5&gt;0,ISNUMBER($N$3),$N$3&gt;0),R48/(6*$N$3*1000000*$N$5)*(IF(N48&lt;($N$4*3/10),($N$4*3/10)*(MIN(O48,($N$4*3/10))^3-N48^3)-(MIN(O48,($N$4*3/10))^4-N48^4)/4,0)+IF(O48&gt;($N$4*3/10),($N$4*3/10)^2*(1.5*(O48^2-MAX(N48,($N$4*3/10))^2)-($N$4*3/10)*(O48-MAX(N48,($N$4*3/10)))),0))*1000,0)</f>
        <v>0</v>
      </c>
      <c r="AQ48" s="120">
        <f>IF(AND(V48="OK",ISNUMBER($N$5),$N$5&gt;0,ISNUMBER($N$3),$N$3&gt;0),R48/(6*$N$3*1000000*$N$5)*(IF(N48&lt;($N$4*4/10),($N$4*4/10)*(MIN(O48,($N$4*4/10))^3-N48^3)-(MIN(O48,($N$4*4/10))^4-N48^4)/4,0)+IF(O48&gt;($N$4*4/10),($N$4*4/10)^2*(1.5*(O48^2-MAX(N48,($N$4*4/10))^2)-($N$4*4/10)*(O48-MAX(N48,($N$4*4/10)))),0))*1000,0)</f>
        <v>0</v>
      </c>
      <c r="AR48" s="120">
        <f>IF(AND(V48="OK",ISNUMBER($N$5),$N$5&gt;0,ISNUMBER($N$3),$N$3&gt;0),R48/(6*$N$3*1000000*$N$5)*(IF(N48&lt;($N$4*5/10),($N$4*5/10)*(MIN(O48,($N$4*5/10))^3-N48^3)-(MIN(O48,($N$4*5/10))^4-N48^4)/4,0)+IF(O48&gt;($N$4*5/10),($N$4*5/10)^2*(1.5*(O48^2-MAX(N48,($N$4*5/10))^2)-($N$4*5/10)*(O48-MAX(N48,($N$4*5/10)))),0))*1000,0)</f>
        <v>0</v>
      </c>
      <c r="AS48" s="120">
        <f>IF(AND(V48="OK",ISNUMBER($N$5),$N$5&gt;0,ISNUMBER($N$3),$N$3&gt;0),R48/(6*$N$3*1000000*$N$5)*(IF(N48&lt;($N$4*6/10),($N$4*6/10)*(MIN(O48,($N$4*6/10))^3-N48^3)-(MIN(O48,($N$4*6/10))^4-N48^4)/4,0)+IF(O48&gt;($N$4*6/10),($N$4*6/10)^2*(1.5*(O48^2-MAX(N48,($N$4*6/10))^2)-($N$4*6/10)*(O48-MAX(N48,($N$4*6/10)))),0))*1000,0)</f>
        <v>0</v>
      </c>
      <c r="AT48" s="120">
        <f>IF(AND(V48="OK",ISNUMBER($N$5),$N$5&gt;0,ISNUMBER($N$3),$N$3&gt;0),R48/(6*$N$3*1000000*$N$5)*(IF(N48&lt;($N$4*7/10),($N$4*7/10)*(MIN(O48,($N$4*7/10))^3-N48^3)-(MIN(O48,($N$4*7/10))^4-N48^4)/4,0)+IF(O48&gt;($N$4*7/10),($N$4*7/10)^2*(1.5*(O48^2-MAX(N48,($N$4*7/10))^2)-($N$4*7/10)*(O48-MAX(N48,($N$4*7/10)))),0))*1000,0)</f>
        <v>0</v>
      </c>
      <c r="AU48" s="120">
        <f>IF(AND(V48="OK",ISNUMBER($N$5),$N$5&gt;0,ISNUMBER($N$3),$N$3&gt;0),R48/(6*$N$3*1000000*$N$5)*(IF(N48&lt;($N$4*8/10),($N$4*8/10)*(MIN(O48,($N$4*8/10))^3-N48^3)-(MIN(O48,($N$4*8/10))^4-N48^4)/4,0)+IF(O48&gt;($N$4*8/10),($N$4*8/10)^2*(1.5*(O48^2-MAX(N48,($N$4*8/10))^2)-($N$4*8/10)*(O48-MAX(N48,($N$4*8/10)))),0))*1000,0)</f>
        <v>0</v>
      </c>
      <c r="AV48" s="120">
        <f>IF(AND(V48="OK",ISNUMBER($N$5),$N$5&gt;0,ISNUMBER($N$3),$N$3&gt;0),R48/(6*$N$3*1000000*$N$5)*(IF(N48&lt;($N$4*9/10),($N$4*9/10)*(MIN(O48,($N$4*9/10))^3-N48^3)-(MIN(O48,($N$4*9/10))^4-N48^4)/4,0)+IF(O48&gt;($N$4*9/10),($N$4*9/10)^2*(1.5*(O48^2-MAX(N48,($N$4*9/10))^2)-($N$4*9/10)*(O48-MAX(N48,($N$4*9/10)))),0))*1000,0)</f>
        <v>0</v>
      </c>
      <c r="AW48" s="120">
        <f>IF(AND(V48="OK",ISNUMBER($N$5),$N$5&gt;0,ISNUMBER($N$3),$N$3&gt;0),R48/(6*$N$3*1000000*$N$5)*(IF(N48&lt;($N$4*10/10),($N$4*10/10)*(MIN(O48,($N$4*10/10))^3-N48^3)-(MIN(O48,($N$4*10/10))^4-N48^4)/4,0)+IF(O48&gt;($N$4*10/10),($N$4*10/10)^2*(1.5*(O48^2-MAX(N48,($N$4*10/10))^2)-($N$4*10/10)*(O48-MAX(N48,($N$4*10/10)))),0))*1000,0)</f>
        <v>0</v>
      </c>
    </row>
    <row r="49" spans="1:49">
      <c r="A49" s="124"/>
      <c r="B49" s="125"/>
      <c r="C49" s="125"/>
      <c r="D49" s="125"/>
      <c r="E49" s="125"/>
      <c r="F49" s="126" t="str">
        <f>IF(J49="OK",D49*E49,"")</f>
        <v/>
      </c>
      <c r="G49" s="126" t="str">
        <f>IF(J49="OK",F49*(C49-B49),"")</f>
        <v/>
      </c>
      <c r="H49" s="126" t="str">
        <f>IF(J49="OK",G49*(C49+B49)/2,"")</f>
        <v/>
      </c>
      <c r="I49" s="126" t="str">
        <f>IF(AND(J49="OK",ISNUMBER($B$5),$B$5&gt;0,ISNUMBER($B$3),$B$3&gt;0),F49*(4*$B$4*(C49^3-B49^3)-(C49^4-B49^4))/(24*$B$3*1000000*$B$5)*1000,"")</f>
        <v/>
      </c>
      <c r="J49" s="120" t="str">
        <f>IF(COUNTA(A49:E49)=0,"",IF(AND(COUNT(B49:E49)=4,B49&gt;=0,C49&gt;B49,C49&lt;=$B$4,D49&gt;=0,E49&gt;0),IF(COUNTIFS($B$13:$B$48,"&lt;"&amp;C49,$C$13:$C$48,"&gt;"&amp;B49)&gt;0,"OVERLAP","OK"),"CHECK INPUTS"))</f>
        <v/>
      </c>
      <c r="M49" s="124"/>
      <c r="N49" s="125"/>
      <c r="O49" s="125"/>
      <c r="P49" s="125"/>
      <c r="Q49" s="125"/>
      <c r="R49" s="126" t="str">
        <f>IF(V49="OK",P49*Q49,"")</f>
        <v/>
      </c>
      <c r="S49" s="126" t="str">
        <f>IF(V49="OK",R49*(O49-N49),"")</f>
        <v/>
      </c>
      <c r="T49" s="126" t="str">
        <f>IF(V49="OK",S49*(O49+N49)/2,"")</f>
        <v/>
      </c>
      <c r="U49" s="126" t="str">
        <f>IF(AND(V49="OK",ISNUMBER($N$5),$N$5&gt;0,ISNUMBER($N$3),$N$3&gt;0),R49*(4*$N$4*(O49^3-N49^3)-(O49^4-N49^4))/(24*$N$3*1000000*$N$5)*1000,"")</f>
        <v/>
      </c>
      <c r="V49" s="120" t="str">
        <f>IF(COUNTA(M49:Q49)=0,"",IF(AND(COUNT(N49:Q49)=4,N49&gt;=0,O49&gt;N49,O49&lt;=$N$4,P49&gt;=0,Q49&gt;0),IF(COUNTIFS($N$13:$N$48,"&lt;"&amp;O49,$O$13:$O$48,"&gt;"&amp;N49)&gt;0,"OVERLAP","OK"),"CHECK INPUTS"))</f>
        <v/>
      </c>
      <c r="AA49" s="120">
        <f>IF(AND(J49="OK",ISNUMBER($B$5),$B$5&gt;0,ISNUMBER($B$3),$B$3&gt;0),F49/(6*$B$3*1000000*$B$5)*(IF(B49&lt;($B$4*0/10),($B$4*0/10)*(MIN(C49,($B$4*0/10))^3-B49^3)-(MIN(C49,($B$4*0/10))^4-B49^4)/4,0)+IF(C49&gt;($B$4*0/10),($B$4*0/10)^2*(1.5*(C49^2-MAX(B49,($B$4*0/10))^2)-($B$4*0/10)*(C49-MAX(B49,($B$4*0/10)))),0))*1000,0)</f>
        <v>0</v>
      </c>
      <c r="AB49" s="120">
        <f>IF(AND(J49="OK",ISNUMBER($B$5),$B$5&gt;0,ISNUMBER($B$3),$B$3&gt;0),F49/(6*$B$3*1000000*$B$5)*(IF(B49&lt;($B$4*1/10),($B$4*1/10)*(MIN(C49,($B$4*1/10))^3-B49^3)-(MIN(C49,($B$4*1/10))^4-B49^4)/4,0)+IF(C49&gt;($B$4*1/10),($B$4*1/10)^2*(1.5*(C49^2-MAX(B49,($B$4*1/10))^2)-($B$4*1/10)*(C49-MAX(B49,($B$4*1/10)))),0))*1000,0)</f>
        <v>0</v>
      </c>
      <c r="AC49" s="120">
        <f>IF(AND(J49="OK",ISNUMBER($B$5),$B$5&gt;0,ISNUMBER($B$3),$B$3&gt;0),F49/(6*$B$3*1000000*$B$5)*(IF(B49&lt;($B$4*2/10),($B$4*2/10)*(MIN(C49,($B$4*2/10))^3-B49^3)-(MIN(C49,($B$4*2/10))^4-B49^4)/4,0)+IF(C49&gt;($B$4*2/10),($B$4*2/10)^2*(1.5*(C49^2-MAX(B49,($B$4*2/10))^2)-($B$4*2/10)*(C49-MAX(B49,($B$4*2/10)))),0))*1000,0)</f>
        <v>0</v>
      </c>
      <c r="AD49" s="120">
        <f>IF(AND(J49="OK",ISNUMBER($B$5),$B$5&gt;0,ISNUMBER($B$3),$B$3&gt;0),F49/(6*$B$3*1000000*$B$5)*(IF(B49&lt;($B$4*3/10),($B$4*3/10)*(MIN(C49,($B$4*3/10))^3-B49^3)-(MIN(C49,($B$4*3/10))^4-B49^4)/4,0)+IF(C49&gt;($B$4*3/10),($B$4*3/10)^2*(1.5*(C49^2-MAX(B49,($B$4*3/10))^2)-($B$4*3/10)*(C49-MAX(B49,($B$4*3/10)))),0))*1000,0)</f>
        <v>0</v>
      </c>
      <c r="AE49" s="120">
        <f>IF(AND(J49="OK",ISNUMBER($B$5),$B$5&gt;0,ISNUMBER($B$3),$B$3&gt;0),F49/(6*$B$3*1000000*$B$5)*(IF(B49&lt;($B$4*4/10),($B$4*4/10)*(MIN(C49,($B$4*4/10))^3-B49^3)-(MIN(C49,($B$4*4/10))^4-B49^4)/4,0)+IF(C49&gt;($B$4*4/10),($B$4*4/10)^2*(1.5*(C49^2-MAX(B49,($B$4*4/10))^2)-($B$4*4/10)*(C49-MAX(B49,($B$4*4/10)))),0))*1000,0)</f>
        <v>0</v>
      </c>
      <c r="AF49" s="120">
        <f>IF(AND(J49="OK",ISNUMBER($B$5),$B$5&gt;0,ISNUMBER($B$3),$B$3&gt;0),F49/(6*$B$3*1000000*$B$5)*(IF(B49&lt;($B$4*5/10),($B$4*5/10)*(MIN(C49,($B$4*5/10))^3-B49^3)-(MIN(C49,($B$4*5/10))^4-B49^4)/4,0)+IF(C49&gt;($B$4*5/10),($B$4*5/10)^2*(1.5*(C49^2-MAX(B49,($B$4*5/10))^2)-($B$4*5/10)*(C49-MAX(B49,($B$4*5/10)))),0))*1000,0)</f>
        <v>0</v>
      </c>
      <c r="AG49" s="120">
        <f>IF(AND(J49="OK",ISNUMBER($B$5),$B$5&gt;0,ISNUMBER($B$3),$B$3&gt;0),F49/(6*$B$3*1000000*$B$5)*(IF(B49&lt;($B$4*6/10),($B$4*6/10)*(MIN(C49,($B$4*6/10))^3-B49^3)-(MIN(C49,($B$4*6/10))^4-B49^4)/4,0)+IF(C49&gt;($B$4*6/10),($B$4*6/10)^2*(1.5*(C49^2-MAX(B49,($B$4*6/10))^2)-($B$4*6/10)*(C49-MAX(B49,($B$4*6/10)))),0))*1000,0)</f>
        <v>0</v>
      </c>
      <c r="AH49" s="120">
        <f>IF(AND(J49="OK",ISNUMBER($B$5),$B$5&gt;0,ISNUMBER($B$3),$B$3&gt;0),F49/(6*$B$3*1000000*$B$5)*(IF(B49&lt;($B$4*7/10),($B$4*7/10)*(MIN(C49,($B$4*7/10))^3-B49^3)-(MIN(C49,($B$4*7/10))^4-B49^4)/4,0)+IF(C49&gt;($B$4*7/10),($B$4*7/10)^2*(1.5*(C49^2-MAX(B49,($B$4*7/10))^2)-($B$4*7/10)*(C49-MAX(B49,($B$4*7/10)))),0))*1000,0)</f>
        <v>0</v>
      </c>
      <c r="AI49" s="120">
        <f>IF(AND(J49="OK",ISNUMBER($B$5),$B$5&gt;0,ISNUMBER($B$3),$B$3&gt;0),F49/(6*$B$3*1000000*$B$5)*(IF(B49&lt;($B$4*8/10),($B$4*8/10)*(MIN(C49,($B$4*8/10))^3-B49^3)-(MIN(C49,($B$4*8/10))^4-B49^4)/4,0)+IF(C49&gt;($B$4*8/10),($B$4*8/10)^2*(1.5*(C49^2-MAX(B49,($B$4*8/10))^2)-($B$4*8/10)*(C49-MAX(B49,($B$4*8/10)))),0))*1000,0)</f>
        <v>0</v>
      </c>
      <c r="AJ49" s="120">
        <f>IF(AND(J49="OK",ISNUMBER($B$5),$B$5&gt;0,ISNUMBER($B$3),$B$3&gt;0),F49/(6*$B$3*1000000*$B$5)*(IF(B49&lt;($B$4*9/10),($B$4*9/10)*(MIN(C49,($B$4*9/10))^3-B49^3)-(MIN(C49,($B$4*9/10))^4-B49^4)/4,0)+IF(C49&gt;($B$4*9/10),($B$4*9/10)^2*(1.5*(C49^2-MAX(B49,($B$4*9/10))^2)-($B$4*9/10)*(C49-MAX(B49,($B$4*9/10)))),0))*1000,0)</f>
        <v>0</v>
      </c>
      <c r="AK49" s="120">
        <f>IF(AND(J49="OK",ISNUMBER($B$5),$B$5&gt;0,ISNUMBER($B$3),$B$3&gt;0),F49/(6*$B$3*1000000*$B$5)*(IF(B49&lt;($B$4*10/10),($B$4*10/10)*(MIN(C49,($B$4*10/10))^3-B49^3)-(MIN(C49,($B$4*10/10))^4-B49^4)/4,0)+IF(C49&gt;($B$4*10/10),($B$4*10/10)^2*(1.5*(C49^2-MAX(B49,($B$4*10/10))^2)-($B$4*10/10)*(C49-MAX(B49,($B$4*10/10)))),0))*1000,0)</f>
        <v>0</v>
      </c>
      <c r="AM49" s="120">
        <f>IF(AND(V49="OK",ISNUMBER($N$5),$N$5&gt;0,ISNUMBER($N$3),$N$3&gt;0),R49/(6*$N$3*1000000*$N$5)*(IF(N49&lt;($N$4*0/10),($N$4*0/10)*(MIN(O49,($N$4*0/10))^3-N49^3)-(MIN(O49,($N$4*0/10))^4-N49^4)/4,0)+IF(O49&gt;($N$4*0/10),($N$4*0/10)^2*(1.5*(O49^2-MAX(N49,($N$4*0/10))^2)-($N$4*0/10)*(O49-MAX(N49,($N$4*0/10)))),0))*1000,0)</f>
        <v>0</v>
      </c>
      <c r="AN49" s="120">
        <f>IF(AND(V49="OK",ISNUMBER($N$5),$N$5&gt;0,ISNUMBER($N$3),$N$3&gt;0),R49/(6*$N$3*1000000*$N$5)*(IF(N49&lt;($N$4*1/10),($N$4*1/10)*(MIN(O49,($N$4*1/10))^3-N49^3)-(MIN(O49,($N$4*1/10))^4-N49^4)/4,0)+IF(O49&gt;($N$4*1/10),($N$4*1/10)^2*(1.5*(O49^2-MAX(N49,($N$4*1/10))^2)-($N$4*1/10)*(O49-MAX(N49,($N$4*1/10)))),0))*1000,0)</f>
        <v>0</v>
      </c>
      <c r="AO49" s="120">
        <f>IF(AND(V49="OK",ISNUMBER($N$5),$N$5&gt;0,ISNUMBER($N$3),$N$3&gt;0),R49/(6*$N$3*1000000*$N$5)*(IF(N49&lt;($N$4*2/10),($N$4*2/10)*(MIN(O49,($N$4*2/10))^3-N49^3)-(MIN(O49,($N$4*2/10))^4-N49^4)/4,0)+IF(O49&gt;($N$4*2/10),($N$4*2/10)^2*(1.5*(O49^2-MAX(N49,($N$4*2/10))^2)-($N$4*2/10)*(O49-MAX(N49,($N$4*2/10)))),0))*1000,0)</f>
        <v>0</v>
      </c>
      <c r="AP49" s="120">
        <f>IF(AND(V49="OK",ISNUMBER($N$5),$N$5&gt;0,ISNUMBER($N$3),$N$3&gt;0),R49/(6*$N$3*1000000*$N$5)*(IF(N49&lt;($N$4*3/10),($N$4*3/10)*(MIN(O49,($N$4*3/10))^3-N49^3)-(MIN(O49,($N$4*3/10))^4-N49^4)/4,0)+IF(O49&gt;($N$4*3/10),($N$4*3/10)^2*(1.5*(O49^2-MAX(N49,($N$4*3/10))^2)-($N$4*3/10)*(O49-MAX(N49,($N$4*3/10)))),0))*1000,0)</f>
        <v>0</v>
      </c>
      <c r="AQ49" s="120">
        <f>IF(AND(V49="OK",ISNUMBER($N$5),$N$5&gt;0,ISNUMBER($N$3),$N$3&gt;0),R49/(6*$N$3*1000000*$N$5)*(IF(N49&lt;($N$4*4/10),($N$4*4/10)*(MIN(O49,($N$4*4/10))^3-N49^3)-(MIN(O49,($N$4*4/10))^4-N49^4)/4,0)+IF(O49&gt;($N$4*4/10),($N$4*4/10)^2*(1.5*(O49^2-MAX(N49,($N$4*4/10))^2)-($N$4*4/10)*(O49-MAX(N49,($N$4*4/10)))),0))*1000,0)</f>
        <v>0</v>
      </c>
      <c r="AR49" s="120">
        <f>IF(AND(V49="OK",ISNUMBER($N$5),$N$5&gt;0,ISNUMBER($N$3),$N$3&gt;0),R49/(6*$N$3*1000000*$N$5)*(IF(N49&lt;($N$4*5/10),($N$4*5/10)*(MIN(O49,($N$4*5/10))^3-N49^3)-(MIN(O49,($N$4*5/10))^4-N49^4)/4,0)+IF(O49&gt;($N$4*5/10),($N$4*5/10)^2*(1.5*(O49^2-MAX(N49,($N$4*5/10))^2)-($N$4*5/10)*(O49-MAX(N49,($N$4*5/10)))),0))*1000,0)</f>
        <v>0</v>
      </c>
      <c r="AS49" s="120">
        <f>IF(AND(V49="OK",ISNUMBER($N$5),$N$5&gt;0,ISNUMBER($N$3),$N$3&gt;0),R49/(6*$N$3*1000000*$N$5)*(IF(N49&lt;($N$4*6/10),($N$4*6/10)*(MIN(O49,($N$4*6/10))^3-N49^3)-(MIN(O49,($N$4*6/10))^4-N49^4)/4,0)+IF(O49&gt;($N$4*6/10),($N$4*6/10)^2*(1.5*(O49^2-MAX(N49,($N$4*6/10))^2)-($N$4*6/10)*(O49-MAX(N49,($N$4*6/10)))),0))*1000,0)</f>
        <v>0</v>
      </c>
      <c r="AT49" s="120">
        <f>IF(AND(V49="OK",ISNUMBER($N$5),$N$5&gt;0,ISNUMBER($N$3),$N$3&gt;0),R49/(6*$N$3*1000000*$N$5)*(IF(N49&lt;($N$4*7/10),($N$4*7/10)*(MIN(O49,($N$4*7/10))^3-N49^3)-(MIN(O49,($N$4*7/10))^4-N49^4)/4,0)+IF(O49&gt;($N$4*7/10),($N$4*7/10)^2*(1.5*(O49^2-MAX(N49,($N$4*7/10))^2)-($N$4*7/10)*(O49-MAX(N49,($N$4*7/10)))),0))*1000,0)</f>
        <v>0</v>
      </c>
      <c r="AU49" s="120">
        <f>IF(AND(V49="OK",ISNUMBER($N$5),$N$5&gt;0,ISNUMBER($N$3),$N$3&gt;0),R49/(6*$N$3*1000000*$N$5)*(IF(N49&lt;($N$4*8/10),($N$4*8/10)*(MIN(O49,($N$4*8/10))^3-N49^3)-(MIN(O49,($N$4*8/10))^4-N49^4)/4,0)+IF(O49&gt;($N$4*8/10),($N$4*8/10)^2*(1.5*(O49^2-MAX(N49,($N$4*8/10))^2)-($N$4*8/10)*(O49-MAX(N49,($N$4*8/10)))),0))*1000,0)</f>
        <v>0</v>
      </c>
      <c r="AV49" s="120">
        <f>IF(AND(V49="OK",ISNUMBER($N$5),$N$5&gt;0,ISNUMBER($N$3),$N$3&gt;0),R49/(6*$N$3*1000000*$N$5)*(IF(N49&lt;($N$4*9/10),($N$4*9/10)*(MIN(O49,($N$4*9/10))^3-N49^3)-(MIN(O49,($N$4*9/10))^4-N49^4)/4,0)+IF(O49&gt;($N$4*9/10),($N$4*9/10)^2*(1.5*(O49^2-MAX(N49,($N$4*9/10))^2)-($N$4*9/10)*(O49-MAX(N49,($N$4*9/10)))),0))*1000,0)</f>
        <v>0</v>
      </c>
      <c r="AW49" s="120">
        <f>IF(AND(V49="OK",ISNUMBER($N$5),$N$5&gt;0,ISNUMBER($N$3),$N$3&gt;0),R49/(6*$N$3*1000000*$N$5)*(IF(N49&lt;($N$4*10/10),($N$4*10/10)*(MIN(O49,($N$4*10/10))^3-N49^3)-(MIN(O49,($N$4*10/10))^4-N49^4)/4,0)+IF(O49&gt;($N$4*10/10),($N$4*10/10)^2*(1.5*(O49^2-MAX(N49,($N$4*10/10))^2)-($N$4*10/10)*(O49-MAX(N49,($N$4*10/10)))),0))*1000,0)</f>
        <v>0</v>
      </c>
    </row>
    <row r="50" spans="1:49">
      <c r="A50" s="124"/>
      <c r="B50" s="125"/>
      <c r="C50" s="125"/>
      <c r="D50" s="125"/>
      <c r="E50" s="125"/>
      <c r="F50" s="126" t="str">
        <f>IF(J50="OK",D50*E50,"")</f>
        <v/>
      </c>
      <c r="G50" s="126" t="str">
        <f>IF(J50="OK",F50*(C50-B50),"")</f>
        <v/>
      </c>
      <c r="H50" s="126" t="str">
        <f>IF(J50="OK",G50*(C50+B50)/2,"")</f>
        <v/>
      </c>
      <c r="I50" s="126" t="str">
        <f>IF(AND(J50="OK",ISNUMBER($B$5),$B$5&gt;0,ISNUMBER($B$3),$B$3&gt;0),F50*(4*$B$4*(C50^3-B50^3)-(C50^4-B50^4))/(24*$B$3*1000000*$B$5)*1000,"")</f>
        <v/>
      </c>
      <c r="J50" s="120" t="str">
        <f>IF(COUNTA(A50:E50)=0,"",IF(AND(COUNT(B50:E50)=4,B50&gt;=0,C50&gt;B50,C50&lt;=$B$4,D50&gt;=0,E50&gt;0),IF(COUNTIFS($B$13:$B$49,"&lt;"&amp;C50,$C$13:$C$49,"&gt;"&amp;B50)&gt;0,"OVERLAP","OK"),"CHECK INPUTS"))</f>
        <v/>
      </c>
      <c r="M50" s="124"/>
      <c r="N50" s="125"/>
      <c r="O50" s="125"/>
      <c r="P50" s="125"/>
      <c r="Q50" s="125"/>
      <c r="R50" s="126" t="str">
        <f>IF(V50="OK",P50*Q50,"")</f>
        <v/>
      </c>
      <c r="S50" s="126" t="str">
        <f>IF(V50="OK",R50*(O50-N50),"")</f>
        <v/>
      </c>
      <c r="T50" s="126" t="str">
        <f>IF(V50="OK",S50*(O50+N50)/2,"")</f>
        <v/>
      </c>
      <c r="U50" s="126" t="str">
        <f>IF(AND(V50="OK",ISNUMBER($N$5),$N$5&gt;0,ISNUMBER($N$3),$N$3&gt;0),R50*(4*$N$4*(O50^3-N50^3)-(O50^4-N50^4))/(24*$N$3*1000000*$N$5)*1000,"")</f>
        <v/>
      </c>
      <c r="V50" s="120" t="str">
        <f>IF(COUNTA(M50:Q50)=0,"",IF(AND(COUNT(N50:Q50)=4,N50&gt;=0,O50&gt;N50,O50&lt;=$N$4,P50&gt;=0,Q50&gt;0),IF(COUNTIFS($N$13:$N$49,"&lt;"&amp;O50,$O$13:$O$49,"&gt;"&amp;N50)&gt;0,"OVERLAP","OK"),"CHECK INPUTS"))</f>
        <v/>
      </c>
      <c r="AA50" s="120">
        <f>IF(AND(J50="OK",ISNUMBER($B$5),$B$5&gt;0,ISNUMBER($B$3),$B$3&gt;0),F50/(6*$B$3*1000000*$B$5)*(IF(B50&lt;($B$4*0/10),($B$4*0/10)*(MIN(C50,($B$4*0/10))^3-B50^3)-(MIN(C50,($B$4*0/10))^4-B50^4)/4,0)+IF(C50&gt;($B$4*0/10),($B$4*0/10)^2*(1.5*(C50^2-MAX(B50,($B$4*0/10))^2)-($B$4*0/10)*(C50-MAX(B50,($B$4*0/10)))),0))*1000,0)</f>
        <v>0</v>
      </c>
      <c r="AB50" s="120">
        <f>IF(AND(J50="OK",ISNUMBER($B$5),$B$5&gt;0,ISNUMBER($B$3),$B$3&gt;0),F50/(6*$B$3*1000000*$B$5)*(IF(B50&lt;($B$4*1/10),($B$4*1/10)*(MIN(C50,($B$4*1/10))^3-B50^3)-(MIN(C50,($B$4*1/10))^4-B50^4)/4,0)+IF(C50&gt;($B$4*1/10),($B$4*1/10)^2*(1.5*(C50^2-MAX(B50,($B$4*1/10))^2)-($B$4*1/10)*(C50-MAX(B50,($B$4*1/10)))),0))*1000,0)</f>
        <v>0</v>
      </c>
      <c r="AC50" s="120">
        <f>IF(AND(J50="OK",ISNUMBER($B$5),$B$5&gt;0,ISNUMBER($B$3),$B$3&gt;0),F50/(6*$B$3*1000000*$B$5)*(IF(B50&lt;($B$4*2/10),($B$4*2/10)*(MIN(C50,($B$4*2/10))^3-B50^3)-(MIN(C50,($B$4*2/10))^4-B50^4)/4,0)+IF(C50&gt;($B$4*2/10),($B$4*2/10)^2*(1.5*(C50^2-MAX(B50,($B$4*2/10))^2)-($B$4*2/10)*(C50-MAX(B50,($B$4*2/10)))),0))*1000,0)</f>
        <v>0</v>
      </c>
      <c r="AD50" s="120">
        <f>IF(AND(J50="OK",ISNUMBER($B$5),$B$5&gt;0,ISNUMBER($B$3),$B$3&gt;0),F50/(6*$B$3*1000000*$B$5)*(IF(B50&lt;($B$4*3/10),($B$4*3/10)*(MIN(C50,($B$4*3/10))^3-B50^3)-(MIN(C50,($B$4*3/10))^4-B50^4)/4,0)+IF(C50&gt;($B$4*3/10),($B$4*3/10)^2*(1.5*(C50^2-MAX(B50,($B$4*3/10))^2)-($B$4*3/10)*(C50-MAX(B50,($B$4*3/10)))),0))*1000,0)</f>
        <v>0</v>
      </c>
      <c r="AE50" s="120">
        <f>IF(AND(J50="OK",ISNUMBER($B$5),$B$5&gt;0,ISNUMBER($B$3),$B$3&gt;0),F50/(6*$B$3*1000000*$B$5)*(IF(B50&lt;($B$4*4/10),($B$4*4/10)*(MIN(C50,($B$4*4/10))^3-B50^3)-(MIN(C50,($B$4*4/10))^4-B50^4)/4,0)+IF(C50&gt;($B$4*4/10),($B$4*4/10)^2*(1.5*(C50^2-MAX(B50,($B$4*4/10))^2)-($B$4*4/10)*(C50-MAX(B50,($B$4*4/10)))),0))*1000,0)</f>
        <v>0</v>
      </c>
      <c r="AF50" s="120">
        <f>IF(AND(J50="OK",ISNUMBER($B$5),$B$5&gt;0,ISNUMBER($B$3),$B$3&gt;0),F50/(6*$B$3*1000000*$B$5)*(IF(B50&lt;($B$4*5/10),($B$4*5/10)*(MIN(C50,($B$4*5/10))^3-B50^3)-(MIN(C50,($B$4*5/10))^4-B50^4)/4,0)+IF(C50&gt;($B$4*5/10),($B$4*5/10)^2*(1.5*(C50^2-MAX(B50,($B$4*5/10))^2)-($B$4*5/10)*(C50-MAX(B50,($B$4*5/10)))),0))*1000,0)</f>
        <v>0</v>
      </c>
      <c r="AG50" s="120">
        <f>IF(AND(J50="OK",ISNUMBER($B$5),$B$5&gt;0,ISNUMBER($B$3),$B$3&gt;0),F50/(6*$B$3*1000000*$B$5)*(IF(B50&lt;($B$4*6/10),($B$4*6/10)*(MIN(C50,($B$4*6/10))^3-B50^3)-(MIN(C50,($B$4*6/10))^4-B50^4)/4,0)+IF(C50&gt;($B$4*6/10),($B$4*6/10)^2*(1.5*(C50^2-MAX(B50,($B$4*6/10))^2)-($B$4*6/10)*(C50-MAX(B50,($B$4*6/10)))),0))*1000,0)</f>
        <v>0</v>
      </c>
      <c r="AH50" s="120">
        <f>IF(AND(J50="OK",ISNUMBER($B$5),$B$5&gt;0,ISNUMBER($B$3),$B$3&gt;0),F50/(6*$B$3*1000000*$B$5)*(IF(B50&lt;($B$4*7/10),($B$4*7/10)*(MIN(C50,($B$4*7/10))^3-B50^3)-(MIN(C50,($B$4*7/10))^4-B50^4)/4,0)+IF(C50&gt;($B$4*7/10),($B$4*7/10)^2*(1.5*(C50^2-MAX(B50,($B$4*7/10))^2)-($B$4*7/10)*(C50-MAX(B50,($B$4*7/10)))),0))*1000,0)</f>
        <v>0</v>
      </c>
      <c r="AI50" s="120">
        <f>IF(AND(J50="OK",ISNUMBER($B$5),$B$5&gt;0,ISNUMBER($B$3),$B$3&gt;0),F50/(6*$B$3*1000000*$B$5)*(IF(B50&lt;($B$4*8/10),($B$4*8/10)*(MIN(C50,($B$4*8/10))^3-B50^3)-(MIN(C50,($B$4*8/10))^4-B50^4)/4,0)+IF(C50&gt;($B$4*8/10),($B$4*8/10)^2*(1.5*(C50^2-MAX(B50,($B$4*8/10))^2)-($B$4*8/10)*(C50-MAX(B50,($B$4*8/10)))),0))*1000,0)</f>
        <v>0</v>
      </c>
      <c r="AJ50" s="120">
        <f>IF(AND(J50="OK",ISNUMBER($B$5),$B$5&gt;0,ISNUMBER($B$3),$B$3&gt;0),F50/(6*$B$3*1000000*$B$5)*(IF(B50&lt;($B$4*9/10),($B$4*9/10)*(MIN(C50,($B$4*9/10))^3-B50^3)-(MIN(C50,($B$4*9/10))^4-B50^4)/4,0)+IF(C50&gt;($B$4*9/10),($B$4*9/10)^2*(1.5*(C50^2-MAX(B50,($B$4*9/10))^2)-($B$4*9/10)*(C50-MAX(B50,($B$4*9/10)))),0))*1000,0)</f>
        <v>0</v>
      </c>
      <c r="AK50" s="120">
        <f>IF(AND(J50="OK",ISNUMBER($B$5),$B$5&gt;0,ISNUMBER($B$3),$B$3&gt;0),F50/(6*$B$3*1000000*$B$5)*(IF(B50&lt;($B$4*10/10),($B$4*10/10)*(MIN(C50,($B$4*10/10))^3-B50^3)-(MIN(C50,($B$4*10/10))^4-B50^4)/4,0)+IF(C50&gt;($B$4*10/10),($B$4*10/10)^2*(1.5*(C50^2-MAX(B50,($B$4*10/10))^2)-($B$4*10/10)*(C50-MAX(B50,($B$4*10/10)))),0))*1000,0)</f>
        <v>0</v>
      </c>
      <c r="AM50" s="120">
        <f>IF(AND(V50="OK",ISNUMBER($N$5),$N$5&gt;0,ISNUMBER($N$3),$N$3&gt;0),R50/(6*$N$3*1000000*$N$5)*(IF(N50&lt;($N$4*0/10),($N$4*0/10)*(MIN(O50,($N$4*0/10))^3-N50^3)-(MIN(O50,($N$4*0/10))^4-N50^4)/4,0)+IF(O50&gt;($N$4*0/10),($N$4*0/10)^2*(1.5*(O50^2-MAX(N50,($N$4*0/10))^2)-($N$4*0/10)*(O50-MAX(N50,($N$4*0/10)))),0))*1000,0)</f>
        <v>0</v>
      </c>
      <c r="AN50" s="120">
        <f>IF(AND(V50="OK",ISNUMBER($N$5),$N$5&gt;0,ISNUMBER($N$3),$N$3&gt;0),R50/(6*$N$3*1000000*$N$5)*(IF(N50&lt;($N$4*1/10),($N$4*1/10)*(MIN(O50,($N$4*1/10))^3-N50^3)-(MIN(O50,($N$4*1/10))^4-N50^4)/4,0)+IF(O50&gt;($N$4*1/10),($N$4*1/10)^2*(1.5*(O50^2-MAX(N50,($N$4*1/10))^2)-($N$4*1/10)*(O50-MAX(N50,($N$4*1/10)))),0))*1000,0)</f>
        <v>0</v>
      </c>
      <c r="AO50" s="120">
        <f>IF(AND(V50="OK",ISNUMBER($N$5),$N$5&gt;0,ISNUMBER($N$3),$N$3&gt;0),R50/(6*$N$3*1000000*$N$5)*(IF(N50&lt;($N$4*2/10),($N$4*2/10)*(MIN(O50,($N$4*2/10))^3-N50^3)-(MIN(O50,($N$4*2/10))^4-N50^4)/4,0)+IF(O50&gt;($N$4*2/10),($N$4*2/10)^2*(1.5*(O50^2-MAX(N50,($N$4*2/10))^2)-($N$4*2/10)*(O50-MAX(N50,($N$4*2/10)))),0))*1000,0)</f>
        <v>0</v>
      </c>
      <c r="AP50" s="120">
        <f>IF(AND(V50="OK",ISNUMBER($N$5),$N$5&gt;0,ISNUMBER($N$3),$N$3&gt;0),R50/(6*$N$3*1000000*$N$5)*(IF(N50&lt;($N$4*3/10),($N$4*3/10)*(MIN(O50,($N$4*3/10))^3-N50^3)-(MIN(O50,($N$4*3/10))^4-N50^4)/4,0)+IF(O50&gt;($N$4*3/10),($N$4*3/10)^2*(1.5*(O50^2-MAX(N50,($N$4*3/10))^2)-($N$4*3/10)*(O50-MAX(N50,($N$4*3/10)))),0))*1000,0)</f>
        <v>0</v>
      </c>
      <c r="AQ50" s="120">
        <f>IF(AND(V50="OK",ISNUMBER($N$5),$N$5&gt;0,ISNUMBER($N$3),$N$3&gt;0),R50/(6*$N$3*1000000*$N$5)*(IF(N50&lt;($N$4*4/10),($N$4*4/10)*(MIN(O50,($N$4*4/10))^3-N50^3)-(MIN(O50,($N$4*4/10))^4-N50^4)/4,0)+IF(O50&gt;($N$4*4/10),($N$4*4/10)^2*(1.5*(O50^2-MAX(N50,($N$4*4/10))^2)-($N$4*4/10)*(O50-MAX(N50,($N$4*4/10)))),0))*1000,0)</f>
        <v>0</v>
      </c>
      <c r="AR50" s="120">
        <f>IF(AND(V50="OK",ISNUMBER($N$5),$N$5&gt;0,ISNUMBER($N$3),$N$3&gt;0),R50/(6*$N$3*1000000*$N$5)*(IF(N50&lt;($N$4*5/10),($N$4*5/10)*(MIN(O50,($N$4*5/10))^3-N50^3)-(MIN(O50,($N$4*5/10))^4-N50^4)/4,0)+IF(O50&gt;($N$4*5/10),($N$4*5/10)^2*(1.5*(O50^2-MAX(N50,($N$4*5/10))^2)-($N$4*5/10)*(O50-MAX(N50,($N$4*5/10)))),0))*1000,0)</f>
        <v>0</v>
      </c>
      <c r="AS50" s="120">
        <f>IF(AND(V50="OK",ISNUMBER($N$5),$N$5&gt;0,ISNUMBER($N$3),$N$3&gt;0),R50/(6*$N$3*1000000*$N$5)*(IF(N50&lt;($N$4*6/10),($N$4*6/10)*(MIN(O50,($N$4*6/10))^3-N50^3)-(MIN(O50,($N$4*6/10))^4-N50^4)/4,0)+IF(O50&gt;($N$4*6/10),($N$4*6/10)^2*(1.5*(O50^2-MAX(N50,($N$4*6/10))^2)-($N$4*6/10)*(O50-MAX(N50,($N$4*6/10)))),0))*1000,0)</f>
        <v>0</v>
      </c>
      <c r="AT50" s="120">
        <f>IF(AND(V50="OK",ISNUMBER($N$5),$N$5&gt;0,ISNUMBER($N$3),$N$3&gt;0),R50/(6*$N$3*1000000*$N$5)*(IF(N50&lt;($N$4*7/10),($N$4*7/10)*(MIN(O50,($N$4*7/10))^3-N50^3)-(MIN(O50,($N$4*7/10))^4-N50^4)/4,0)+IF(O50&gt;($N$4*7/10),($N$4*7/10)^2*(1.5*(O50^2-MAX(N50,($N$4*7/10))^2)-($N$4*7/10)*(O50-MAX(N50,($N$4*7/10)))),0))*1000,0)</f>
        <v>0</v>
      </c>
      <c r="AU50" s="120">
        <f>IF(AND(V50="OK",ISNUMBER($N$5),$N$5&gt;0,ISNUMBER($N$3),$N$3&gt;0),R50/(6*$N$3*1000000*$N$5)*(IF(N50&lt;($N$4*8/10),($N$4*8/10)*(MIN(O50,($N$4*8/10))^3-N50^3)-(MIN(O50,($N$4*8/10))^4-N50^4)/4,0)+IF(O50&gt;($N$4*8/10),($N$4*8/10)^2*(1.5*(O50^2-MAX(N50,($N$4*8/10))^2)-($N$4*8/10)*(O50-MAX(N50,($N$4*8/10)))),0))*1000,0)</f>
        <v>0</v>
      </c>
      <c r="AV50" s="120">
        <f>IF(AND(V50="OK",ISNUMBER($N$5),$N$5&gt;0,ISNUMBER($N$3),$N$3&gt;0),R50/(6*$N$3*1000000*$N$5)*(IF(N50&lt;($N$4*9/10),($N$4*9/10)*(MIN(O50,($N$4*9/10))^3-N50^3)-(MIN(O50,($N$4*9/10))^4-N50^4)/4,0)+IF(O50&gt;($N$4*9/10),($N$4*9/10)^2*(1.5*(O50^2-MAX(N50,($N$4*9/10))^2)-($N$4*9/10)*(O50-MAX(N50,($N$4*9/10)))),0))*1000,0)</f>
        <v>0</v>
      </c>
      <c r="AW50" s="120">
        <f>IF(AND(V50="OK",ISNUMBER($N$5),$N$5&gt;0,ISNUMBER($N$3),$N$3&gt;0),R50/(6*$N$3*1000000*$N$5)*(IF(N50&lt;($N$4*10/10),($N$4*10/10)*(MIN(O50,($N$4*10/10))^3-N50^3)-(MIN(O50,($N$4*10/10))^4-N50^4)/4,0)+IF(O50&gt;($N$4*10/10),($N$4*10/10)^2*(1.5*(O50^2-MAX(N50,($N$4*10/10))^2)-($N$4*10/10)*(O50-MAX(N50,($N$4*10/10)))),0))*1000,0)</f>
        <v>0</v>
      </c>
    </row>
    <row r="51" spans="1:49">
      <c r="A51" s="124"/>
      <c r="B51" s="125"/>
      <c r="C51" s="125"/>
      <c r="D51" s="125"/>
      <c r="E51" s="125"/>
      <c r="F51" s="126" t="str">
        <f>IF(J51="OK",D51*E51,"")</f>
        <v/>
      </c>
      <c r="G51" s="126" t="str">
        <f>IF(J51="OK",F51*(C51-B51),"")</f>
        <v/>
      </c>
      <c r="H51" s="126" t="str">
        <f>IF(J51="OK",G51*(C51+B51)/2,"")</f>
        <v/>
      </c>
      <c r="I51" s="126" t="str">
        <f>IF(AND(J51="OK",ISNUMBER($B$5),$B$5&gt;0,ISNUMBER($B$3),$B$3&gt;0),F51*(4*$B$4*(C51^3-B51^3)-(C51^4-B51^4))/(24*$B$3*1000000*$B$5)*1000,"")</f>
        <v/>
      </c>
      <c r="J51" s="120" t="str">
        <f>IF(COUNTA(A51:E51)=0,"",IF(AND(COUNT(B51:E51)=4,B51&gt;=0,C51&gt;B51,C51&lt;=$B$4,D51&gt;=0,E51&gt;0),IF(COUNTIFS($B$13:$B$50,"&lt;"&amp;C51,$C$13:$C$50,"&gt;"&amp;B51)&gt;0,"OVERLAP","OK"),"CHECK INPUTS"))</f>
        <v/>
      </c>
      <c r="M51" s="124"/>
      <c r="N51" s="125"/>
      <c r="O51" s="125"/>
      <c r="P51" s="125"/>
      <c r="Q51" s="125"/>
      <c r="R51" s="126" t="str">
        <f>IF(V51="OK",P51*Q51,"")</f>
        <v/>
      </c>
      <c r="S51" s="126" t="str">
        <f>IF(V51="OK",R51*(O51-N51),"")</f>
        <v/>
      </c>
      <c r="T51" s="126" t="str">
        <f>IF(V51="OK",S51*(O51+N51)/2,"")</f>
        <v/>
      </c>
      <c r="U51" s="126" t="str">
        <f>IF(AND(V51="OK",ISNUMBER($N$5),$N$5&gt;0,ISNUMBER($N$3),$N$3&gt;0),R51*(4*$N$4*(O51^3-N51^3)-(O51^4-N51^4))/(24*$N$3*1000000*$N$5)*1000,"")</f>
        <v/>
      </c>
      <c r="V51" s="120" t="str">
        <f>IF(COUNTA(M51:Q51)=0,"",IF(AND(COUNT(N51:Q51)=4,N51&gt;=0,O51&gt;N51,O51&lt;=$N$4,P51&gt;=0,Q51&gt;0),IF(COUNTIFS($N$13:$N$50,"&lt;"&amp;O51,$O$13:$O$50,"&gt;"&amp;N51)&gt;0,"OVERLAP","OK"),"CHECK INPUTS"))</f>
        <v/>
      </c>
      <c r="AA51" s="120">
        <f>IF(AND(J51="OK",ISNUMBER($B$5),$B$5&gt;0,ISNUMBER($B$3),$B$3&gt;0),F51/(6*$B$3*1000000*$B$5)*(IF(B51&lt;($B$4*0/10),($B$4*0/10)*(MIN(C51,($B$4*0/10))^3-B51^3)-(MIN(C51,($B$4*0/10))^4-B51^4)/4,0)+IF(C51&gt;($B$4*0/10),($B$4*0/10)^2*(1.5*(C51^2-MAX(B51,($B$4*0/10))^2)-($B$4*0/10)*(C51-MAX(B51,($B$4*0/10)))),0))*1000,0)</f>
        <v>0</v>
      </c>
      <c r="AB51" s="120">
        <f>IF(AND(J51="OK",ISNUMBER($B$5),$B$5&gt;0,ISNUMBER($B$3),$B$3&gt;0),F51/(6*$B$3*1000000*$B$5)*(IF(B51&lt;($B$4*1/10),($B$4*1/10)*(MIN(C51,($B$4*1/10))^3-B51^3)-(MIN(C51,($B$4*1/10))^4-B51^4)/4,0)+IF(C51&gt;($B$4*1/10),($B$4*1/10)^2*(1.5*(C51^2-MAX(B51,($B$4*1/10))^2)-($B$4*1/10)*(C51-MAX(B51,($B$4*1/10)))),0))*1000,0)</f>
        <v>0</v>
      </c>
      <c r="AC51" s="120">
        <f>IF(AND(J51="OK",ISNUMBER($B$5),$B$5&gt;0,ISNUMBER($B$3),$B$3&gt;0),F51/(6*$B$3*1000000*$B$5)*(IF(B51&lt;($B$4*2/10),($B$4*2/10)*(MIN(C51,($B$4*2/10))^3-B51^3)-(MIN(C51,($B$4*2/10))^4-B51^4)/4,0)+IF(C51&gt;($B$4*2/10),($B$4*2/10)^2*(1.5*(C51^2-MAX(B51,($B$4*2/10))^2)-($B$4*2/10)*(C51-MAX(B51,($B$4*2/10)))),0))*1000,0)</f>
        <v>0</v>
      </c>
      <c r="AD51" s="120">
        <f>IF(AND(J51="OK",ISNUMBER($B$5),$B$5&gt;0,ISNUMBER($B$3),$B$3&gt;0),F51/(6*$B$3*1000000*$B$5)*(IF(B51&lt;($B$4*3/10),($B$4*3/10)*(MIN(C51,($B$4*3/10))^3-B51^3)-(MIN(C51,($B$4*3/10))^4-B51^4)/4,0)+IF(C51&gt;($B$4*3/10),($B$4*3/10)^2*(1.5*(C51^2-MAX(B51,($B$4*3/10))^2)-($B$4*3/10)*(C51-MAX(B51,($B$4*3/10)))),0))*1000,0)</f>
        <v>0</v>
      </c>
      <c r="AE51" s="120">
        <f>IF(AND(J51="OK",ISNUMBER($B$5),$B$5&gt;0,ISNUMBER($B$3),$B$3&gt;0),F51/(6*$B$3*1000000*$B$5)*(IF(B51&lt;($B$4*4/10),($B$4*4/10)*(MIN(C51,($B$4*4/10))^3-B51^3)-(MIN(C51,($B$4*4/10))^4-B51^4)/4,0)+IF(C51&gt;($B$4*4/10),($B$4*4/10)^2*(1.5*(C51^2-MAX(B51,($B$4*4/10))^2)-($B$4*4/10)*(C51-MAX(B51,($B$4*4/10)))),0))*1000,0)</f>
        <v>0</v>
      </c>
      <c r="AF51" s="120">
        <f>IF(AND(J51="OK",ISNUMBER($B$5),$B$5&gt;0,ISNUMBER($B$3),$B$3&gt;0),F51/(6*$B$3*1000000*$B$5)*(IF(B51&lt;($B$4*5/10),($B$4*5/10)*(MIN(C51,($B$4*5/10))^3-B51^3)-(MIN(C51,($B$4*5/10))^4-B51^4)/4,0)+IF(C51&gt;($B$4*5/10),($B$4*5/10)^2*(1.5*(C51^2-MAX(B51,($B$4*5/10))^2)-($B$4*5/10)*(C51-MAX(B51,($B$4*5/10)))),0))*1000,0)</f>
        <v>0</v>
      </c>
      <c r="AG51" s="120">
        <f>IF(AND(J51="OK",ISNUMBER($B$5),$B$5&gt;0,ISNUMBER($B$3),$B$3&gt;0),F51/(6*$B$3*1000000*$B$5)*(IF(B51&lt;($B$4*6/10),($B$4*6/10)*(MIN(C51,($B$4*6/10))^3-B51^3)-(MIN(C51,($B$4*6/10))^4-B51^4)/4,0)+IF(C51&gt;($B$4*6/10),($B$4*6/10)^2*(1.5*(C51^2-MAX(B51,($B$4*6/10))^2)-($B$4*6/10)*(C51-MAX(B51,($B$4*6/10)))),0))*1000,0)</f>
        <v>0</v>
      </c>
      <c r="AH51" s="120">
        <f>IF(AND(J51="OK",ISNUMBER($B$5),$B$5&gt;0,ISNUMBER($B$3),$B$3&gt;0),F51/(6*$B$3*1000000*$B$5)*(IF(B51&lt;($B$4*7/10),($B$4*7/10)*(MIN(C51,($B$4*7/10))^3-B51^3)-(MIN(C51,($B$4*7/10))^4-B51^4)/4,0)+IF(C51&gt;($B$4*7/10),($B$4*7/10)^2*(1.5*(C51^2-MAX(B51,($B$4*7/10))^2)-($B$4*7/10)*(C51-MAX(B51,($B$4*7/10)))),0))*1000,0)</f>
        <v>0</v>
      </c>
      <c r="AI51" s="120">
        <f>IF(AND(J51="OK",ISNUMBER($B$5),$B$5&gt;0,ISNUMBER($B$3),$B$3&gt;0),F51/(6*$B$3*1000000*$B$5)*(IF(B51&lt;($B$4*8/10),($B$4*8/10)*(MIN(C51,($B$4*8/10))^3-B51^3)-(MIN(C51,($B$4*8/10))^4-B51^4)/4,0)+IF(C51&gt;($B$4*8/10),($B$4*8/10)^2*(1.5*(C51^2-MAX(B51,($B$4*8/10))^2)-($B$4*8/10)*(C51-MAX(B51,($B$4*8/10)))),0))*1000,0)</f>
        <v>0</v>
      </c>
      <c r="AJ51" s="120">
        <f>IF(AND(J51="OK",ISNUMBER($B$5),$B$5&gt;0,ISNUMBER($B$3),$B$3&gt;0),F51/(6*$B$3*1000000*$B$5)*(IF(B51&lt;($B$4*9/10),($B$4*9/10)*(MIN(C51,($B$4*9/10))^3-B51^3)-(MIN(C51,($B$4*9/10))^4-B51^4)/4,0)+IF(C51&gt;($B$4*9/10),($B$4*9/10)^2*(1.5*(C51^2-MAX(B51,($B$4*9/10))^2)-($B$4*9/10)*(C51-MAX(B51,($B$4*9/10)))),0))*1000,0)</f>
        <v>0</v>
      </c>
      <c r="AK51" s="120">
        <f>IF(AND(J51="OK",ISNUMBER($B$5),$B$5&gt;0,ISNUMBER($B$3),$B$3&gt;0),F51/(6*$B$3*1000000*$B$5)*(IF(B51&lt;($B$4*10/10),($B$4*10/10)*(MIN(C51,($B$4*10/10))^3-B51^3)-(MIN(C51,($B$4*10/10))^4-B51^4)/4,0)+IF(C51&gt;($B$4*10/10),($B$4*10/10)^2*(1.5*(C51^2-MAX(B51,($B$4*10/10))^2)-($B$4*10/10)*(C51-MAX(B51,($B$4*10/10)))),0))*1000,0)</f>
        <v>0</v>
      </c>
      <c r="AM51" s="120">
        <f>IF(AND(V51="OK",ISNUMBER($N$5),$N$5&gt;0,ISNUMBER($N$3),$N$3&gt;0),R51/(6*$N$3*1000000*$N$5)*(IF(N51&lt;($N$4*0/10),($N$4*0/10)*(MIN(O51,($N$4*0/10))^3-N51^3)-(MIN(O51,($N$4*0/10))^4-N51^4)/4,0)+IF(O51&gt;($N$4*0/10),($N$4*0/10)^2*(1.5*(O51^2-MAX(N51,($N$4*0/10))^2)-($N$4*0/10)*(O51-MAX(N51,($N$4*0/10)))),0))*1000,0)</f>
        <v>0</v>
      </c>
      <c r="AN51" s="120">
        <f>IF(AND(V51="OK",ISNUMBER($N$5),$N$5&gt;0,ISNUMBER($N$3),$N$3&gt;0),R51/(6*$N$3*1000000*$N$5)*(IF(N51&lt;($N$4*1/10),($N$4*1/10)*(MIN(O51,($N$4*1/10))^3-N51^3)-(MIN(O51,($N$4*1/10))^4-N51^4)/4,0)+IF(O51&gt;($N$4*1/10),($N$4*1/10)^2*(1.5*(O51^2-MAX(N51,($N$4*1/10))^2)-($N$4*1/10)*(O51-MAX(N51,($N$4*1/10)))),0))*1000,0)</f>
        <v>0</v>
      </c>
      <c r="AO51" s="120">
        <f>IF(AND(V51="OK",ISNUMBER($N$5),$N$5&gt;0,ISNUMBER($N$3),$N$3&gt;0),R51/(6*$N$3*1000000*$N$5)*(IF(N51&lt;($N$4*2/10),($N$4*2/10)*(MIN(O51,($N$4*2/10))^3-N51^3)-(MIN(O51,($N$4*2/10))^4-N51^4)/4,0)+IF(O51&gt;($N$4*2/10),($N$4*2/10)^2*(1.5*(O51^2-MAX(N51,($N$4*2/10))^2)-($N$4*2/10)*(O51-MAX(N51,($N$4*2/10)))),0))*1000,0)</f>
        <v>0</v>
      </c>
      <c r="AP51" s="120">
        <f>IF(AND(V51="OK",ISNUMBER($N$5),$N$5&gt;0,ISNUMBER($N$3),$N$3&gt;0),R51/(6*$N$3*1000000*$N$5)*(IF(N51&lt;($N$4*3/10),($N$4*3/10)*(MIN(O51,($N$4*3/10))^3-N51^3)-(MIN(O51,($N$4*3/10))^4-N51^4)/4,0)+IF(O51&gt;($N$4*3/10),($N$4*3/10)^2*(1.5*(O51^2-MAX(N51,($N$4*3/10))^2)-($N$4*3/10)*(O51-MAX(N51,($N$4*3/10)))),0))*1000,0)</f>
        <v>0</v>
      </c>
      <c r="AQ51" s="120">
        <f>IF(AND(V51="OK",ISNUMBER($N$5),$N$5&gt;0,ISNUMBER($N$3),$N$3&gt;0),R51/(6*$N$3*1000000*$N$5)*(IF(N51&lt;($N$4*4/10),($N$4*4/10)*(MIN(O51,($N$4*4/10))^3-N51^3)-(MIN(O51,($N$4*4/10))^4-N51^4)/4,0)+IF(O51&gt;($N$4*4/10),($N$4*4/10)^2*(1.5*(O51^2-MAX(N51,($N$4*4/10))^2)-($N$4*4/10)*(O51-MAX(N51,($N$4*4/10)))),0))*1000,0)</f>
        <v>0</v>
      </c>
      <c r="AR51" s="120">
        <f>IF(AND(V51="OK",ISNUMBER($N$5),$N$5&gt;0,ISNUMBER($N$3),$N$3&gt;0),R51/(6*$N$3*1000000*$N$5)*(IF(N51&lt;($N$4*5/10),($N$4*5/10)*(MIN(O51,($N$4*5/10))^3-N51^3)-(MIN(O51,($N$4*5/10))^4-N51^4)/4,0)+IF(O51&gt;($N$4*5/10),($N$4*5/10)^2*(1.5*(O51^2-MAX(N51,($N$4*5/10))^2)-($N$4*5/10)*(O51-MAX(N51,($N$4*5/10)))),0))*1000,0)</f>
        <v>0</v>
      </c>
      <c r="AS51" s="120">
        <f>IF(AND(V51="OK",ISNUMBER($N$5),$N$5&gt;0,ISNUMBER($N$3),$N$3&gt;0),R51/(6*$N$3*1000000*$N$5)*(IF(N51&lt;($N$4*6/10),($N$4*6/10)*(MIN(O51,($N$4*6/10))^3-N51^3)-(MIN(O51,($N$4*6/10))^4-N51^4)/4,0)+IF(O51&gt;($N$4*6/10),($N$4*6/10)^2*(1.5*(O51^2-MAX(N51,($N$4*6/10))^2)-($N$4*6/10)*(O51-MAX(N51,($N$4*6/10)))),0))*1000,0)</f>
        <v>0</v>
      </c>
      <c r="AT51" s="120">
        <f>IF(AND(V51="OK",ISNUMBER($N$5),$N$5&gt;0,ISNUMBER($N$3),$N$3&gt;0),R51/(6*$N$3*1000000*$N$5)*(IF(N51&lt;($N$4*7/10),($N$4*7/10)*(MIN(O51,($N$4*7/10))^3-N51^3)-(MIN(O51,($N$4*7/10))^4-N51^4)/4,0)+IF(O51&gt;($N$4*7/10),($N$4*7/10)^2*(1.5*(O51^2-MAX(N51,($N$4*7/10))^2)-($N$4*7/10)*(O51-MAX(N51,($N$4*7/10)))),0))*1000,0)</f>
        <v>0</v>
      </c>
      <c r="AU51" s="120">
        <f>IF(AND(V51="OK",ISNUMBER($N$5),$N$5&gt;0,ISNUMBER($N$3),$N$3&gt;0),R51/(6*$N$3*1000000*$N$5)*(IF(N51&lt;($N$4*8/10),($N$4*8/10)*(MIN(O51,($N$4*8/10))^3-N51^3)-(MIN(O51,($N$4*8/10))^4-N51^4)/4,0)+IF(O51&gt;($N$4*8/10),($N$4*8/10)^2*(1.5*(O51^2-MAX(N51,($N$4*8/10))^2)-($N$4*8/10)*(O51-MAX(N51,($N$4*8/10)))),0))*1000,0)</f>
        <v>0</v>
      </c>
      <c r="AV51" s="120">
        <f>IF(AND(V51="OK",ISNUMBER($N$5),$N$5&gt;0,ISNUMBER($N$3),$N$3&gt;0),R51/(6*$N$3*1000000*$N$5)*(IF(N51&lt;($N$4*9/10),($N$4*9/10)*(MIN(O51,($N$4*9/10))^3-N51^3)-(MIN(O51,($N$4*9/10))^4-N51^4)/4,0)+IF(O51&gt;($N$4*9/10),($N$4*9/10)^2*(1.5*(O51^2-MAX(N51,($N$4*9/10))^2)-($N$4*9/10)*(O51-MAX(N51,($N$4*9/10)))),0))*1000,0)</f>
        <v>0</v>
      </c>
      <c r="AW51" s="120">
        <f>IF(AND(V51="OK",ISNUMBER($N$5),$N$5&gt;0,ISNUMBER($N$3),$N$3&gt;0),R51/(6*$N$3*1000000*$N$5)*(IF(N51&lt;($N$4*10/10),($N$4*10/10)*(MIN(O51,($N$4*10/10))^3-N51^3)-(MIN(O51,($N$4*10/10))^4-N51^4)/4,0)+IF(O51&gt;($N$4*10/10),($N$4*10/10)^2*(1.5*(O51^2-MAX(N51,($N$4*10/10))^2)-($N$4*10/10)*(O51-MAX(N51,($N$4*10/10)))),0))*1000,0)</f>
        <v>0</v>
      </c>
    </row>
    <row r="52" spans="1:49">
      <c r="A52" s="124"/>
      <c r="B52" s="125"/>
      <c r="C52" s="125"/>
      <c r="D52" s="125"/>
      <c r="E52" s="125"/>
      <c r="F52" s="126" t="str">
        <f>IF(J52="OK",D52*E52,"")</f>
        <v/>
      </c>
      <c r="G52" s="126" t="str">
        <f>IF(J52="OK",F52*(C52-B52),"")</f>
        <v/>
      </c>
      <c r="H52" s="126" t="str">
        <f>IF(J52="OK",G52*(C52+B52)/2,"")</f>
        <v/>
      </c>
      <c r="I52" s="126" t="str">
        <f>IF(AND(J52="OK",ISNUMBER($B$5),$B$5&gt;0,ISNUMBER($B$3),$B$3&gt;0),F52*(4*$B$4*(C52^3-B52^3)-(C52^4-B52^4))/(24*$B$3*1000000*$B$5)*1000,"")</f>
        <v/>
      </c>
      <c r="J52" s="120" t="str">
        <f>IF(COUNTA(A52:E52)=0,"",IF(AND(COUNT(B52:E52)=4,B52&gt;=0,C52&gt;B52,C52&lt;=$B$4,D52&gt;=0,E52&gt;0),IF(COUNTIFS($B$13:$B$51,"&lt;"&amp;C52,$C$13:$C$51,"&gt;"&amp;B52)&gt;0,"OVERLAP","OK"),"CHECK INPUTS"))</f>
        <v/>
      </c>
      <c r="M52" s="124"/>
      <c r="N52" s="125"/>
      <c r="O52" s="125"/>
      <c r="P52" s="125"/>
      <c r="Q52" s="125"/>
      <c r="R52" s="126" t="str">
        <f>IF(V52="OK",P52*Q52,"")</f>
        <v/>
      </c>
      <c r="S52" s="126" t="str">
        <f>IF(V52="OK",R52*(O52-N52),"")</f>
        <v/>
      </c>
      <c r="T52" s="126" t="str">
        <f>IF(V52="OK",S52*(O52+N52)/2,"")</f>
        <v/>
      </c>
      <c r="U52" s="126" t="str">
        <f>IF(AND(V52="OK",ISNUMBER($N$5),$N$5&gt;0,ISNUMBER($N$3),$N$3&gt;0),R52*(4*$N$4*(O52^3-N52^3)-(O52^4-N52^4))/(24*$N$3*1000000*$N$5)*1000,"")</f>
        <v/>
      </c>
      <c r="V52" s="120" t="str">
        <f>IF(COUNTA(M52:Q52)=0,"",IF(AND(COUNT(N52:Q52)=4,N52&gt;=0,O52&gt;N52,O52&lt;=$N$4,P52&gt;=0,Q52&gt;0),IF(COUNTIFS($N$13:$N$51,"&lt;"&amp;O52,$O$13:$O$51,"&gt;"&amp;N52)&gt;0,"OVERLAP","OK"),"CHECK INPUTS"))</f>
        <v/>
      </c>
      <c r="AA52" s="120">
        <f>IF(AND(J52="OK",ISNUMBER($B$5),$B$5&gt;0,ISNUMBER($B$3),$B$3&gt;0),F52/(6*$B$3*1000000*$B$5)*(IF(B52&lt;($B$4*0/10),($B$4*0/10)*(MIN(C52,($B$4*0/10))^3-B52^3)-(MIN(C52,($B$4*0/10))^4-B52^4)/4,0)+IF(C52&gt;($B$4*0/10),($B$4*0/10)^2*(1.5*(C52^2-MAX(B52,($B$4*0/10))^2)-($B$4*0/10)*(C52-MAX(B52,($B$4*0/10)))),0))*1000,0)</f>
        <v>0</v>
      </c>
      <c r="AB52" s="120">
        <f>IF(AND(J52="OK",ISNUMBER($B$5),$B$5&gt;0,ISNUMBER($B$3),$B$3&gt;0),F52/(6*$B$3*1000000*$B$5)*(IF(B52&lt;($B$4*1/10),($B$4*1/10)*(MIN(C52,($B$4*1/10))^3-B52^3)-(MIN(C52,($B$4*1/10))^4-B52^4)/4,0)+IF(C52&gt;($B$4*1/10),($B$4*1/10)^2*(1.5*(C52^2-MAX(B52,($B$4*1/10))^2)-($B$4*1/10)*(C52-MAX(B52,($B$4*1/10)))),0))*1000,0)</f>
        <v>0</v>
      </c>
      <c r="AC52" s="120">
        <f>IF(AND(J52="OK",ISNUMBER($B$5),$B$5&gt;0,ISNUMBER($B$3),$B$3&gt;0),F52/(6*$B$3*1000000*$B$5)*(IF(B52&lt;($B$4*2/10),($B$4*2/10)*(MIN(C52,($B$4*2/10))^3-B52^3)-(MIN(C52,($B$4*2/10))^4-B52^4)/4,0)+IF(C52&gt;($B$4*2/10),($B$4*2/10)^2*(1.5*(C52^2-MAX(B52,($B$4*2/10))^2)-($B$4*2/10)*(C52-MAX(B52,($B$4*2/10)))),0))*1000,0)</f>
        <v>0</v>
      </c>
      <c r="AD52" s="120">
        <f>IF(AND(J52="OK",ISNUMBER($B$5),$B$5&gt;0,ISNUMBER($B$3),$B$3&gt;0),F52/(6*$B$3*1000000*$B$5)*(IF(B52&lt;($B$4*3/10),($B$4*3/10)*(MIN(C52,($B$4*3/10))^3-B52^3)-(MIN(C52,($B$4*3/10))^4-B52^4)/4,0)+IF(C52&gt;($B$4*3/10),($B$4*3/10)^2*(1.5*(C52^2-MAX(B52,($B$4*3/10))^2)-($B$4*3/10)*(C52-MAX(B52,($B$4*3/10)))),0))*1000,0)</f>
        <v>0</v>
      </c>
      <c r="AE52" s="120">
        <f>IF(AND(J52="OK",ISNUMBER($B$5),$B$5&gt;0,ISNUMBER($B$3),$B$3&gt;0),F52/(6*$B$3*1000000*$B$5)*(IF(B52&lt;($B$4*4/10),($B$4*4/10)*(MIN(C52,($B$4*4/10))^3-B52^3)-(MIN(C52,($B$4*4/10))^4-B52^4)/4,0)+IF(C52&gt;($B$4*4/10),($B$4*4/10)^2*(1.5*(C52^2-MAX(B52,($B$4*4/10))^2)-($B$4*4/10)*(C52-MAX(B52,($B$4*4/10)))),0))*1000,0)</f>
        <v>0</v>
      </c>
      <c r="AF52" s="120">
        <f>IF(AND(J52="OK",ISNUMBER($B$5),$B$5&gt;0,ISNUMBER($B$3),$B$3&gt;0),F52/(6*$B$3*1000000*$B$5)*(IF(B52&lt;($B$4*5/10),($B$4*5/10)*(MIN(C52,($B$4*5/10))^3-B52^3)-(MIN(C52,($B$4*5/10))^4-B52^4)/4,0)+IF(C52&gt;($B$4*5/10),($B$4*5/10)^2*(1.5*(C52^2-MAX(B52,($B$4*5/10))^2)-($B$4*5/10)*(C52-MAX(B52,($B$4*5/10)))),0))*1000,0)</f>
        <v>0</v>
      </c>
      <c r="AG52" s="120">
        <f>IF(AND(J52="OK",ISNUMBER($B$5),$B$5&gt;0,ISNUMBER($B$3),$B$3&gt;0),F52/(6*$B$3*1000000*$B$5)*(IF(B52&lt;($B$4*6/10),($B$4*6/10)*(MIN(C52,($B$4*6/10))^3-B52^3)-(MIN(C52,($B$4*6/10))^4-B52^4)/4,0)+IF(C52&gt;($B$4*6/10),($B$4*6/10)^2*(1.5*(C52^2-MAX(B52,($B$4*6/10))^2)-($B$4*6/10)*(C52-MAX(B52,($B$4*6/10)))),0))*1000,0)</f>
        <v>0</v>
      </c>
      <c r="AH52" s="120">
        <f>IF(AND(J52="OK",ISNUMBER($B$5),$B$5&gt;0,ISNUMBER($B$3),$B$3&gt;0),F52/(6*$B$3*1000000*$B$5)*(IF(B52&lt;($B$4*7/10),($B$4*7/10)*(MIN(C52,($B$4*7/10))^3-B52^3)-(MIN(C52,($B$4*7/10))^4-B52^4)/4,0)+IF(C52&gt;($B$4*7/10),($B$4*7/10)^2*(1.5*(C52^2-MAX(B52,($B$4*7/10))^2)-($B$4*7/10)*(C52-MAX(B52,($B$4*7/10)))),0))*1000,0)</f>
        <v>0</v>
      </c>
      <c r="AI52" s="120">
        <f>IF(AND(J52="OK",ISNUMBER($B$5),$B$5&gt;0,ISNUMBER($B$3),$B$3&gt;0),F52/(6*$B$3*1000000*$B$5)*(IF(B52&lt;($B$4*8/10),($B$4*8/10)*(MIN(C52,($B$4*8/10))^3-B52^3)-(MIN(C52,($B$4*8/10))^4-B52^4)/4,0)+IF(C52&gt;($B$4*8/10),($B$4*8/10)^2*(1.5*(C52^2-MAX(B52,($B$4*8/10))^2)-($B$4*8/10)*(C52-MAX(B52,($B$4*8/10)))),0))*1000,0)</f>
        <v>0</v>
      </c>
      <c r="AJ52" s="120">
        <f>IF(AND(J52="OK",ISNUMBER($B$5),$B$5&gt;0,ISNUMBER($B$3),$B$3&gt;0),F52/(6*$B$3*1000000*$B$5)*(IF(B52&lt;($B$4*9/10),($B$4*9/10)*(MIN(C52,($B$4*9/10))^3-B52^3)-(MIN(C52,($B$4*9/10))^4-B52^4)/4,0)+IF(C52&gt;($B$4*9/10),($B$4*9/10)^2*(1.5*(C52^2-MAX(B52,($B$4*9/10))^2)-($B$4*9/10)*(C52-MAX(B52,($B$4*9/10)))),0))*1000,0)</f>
        <v>0</v>
      </c>
      <c r="AK52" s="120">
        <f>IF(AND(J52="OK",ISNUMBER($B$5),$B$5&gt;0,ISNUMBER($B$3),$B$3&gt;0),F52/(6*$B$3*1000000*$B$5)*(IF(B52&lt;($B$4*10/10),($B$4*10/10)*(MIN(C52,($B$4*10/10))^3-B52^3)-(MIN(C52,($B$4*10/10))^4-B52^4)/4,0)+IF(C52&gt;($B$4*10/10),($B$4*10/10)^2*(1.5*(C52^2-MAX(B52,($B$4*10/10))^2)-($B$4*10/10)*(C52-MAX(B52,($B$4*10/10)))),0))*1000,0)</f>
        <v>0</v>
      </c>
      <c r="AM52" s="120">
        <f>IF(AND(V52="OK",ISNUMBER($N$5),$N$5&gt;0,ISNUMBER($N$3),$N$3&gt;0),R52/(6*$N$3*1000000*$N$5)*(IF(N52&lt;($N$4*0/10),($N$4*0/10)*(MIN(O52,($N$4*0/10))^3-N52^3)-(MIN(O52,($N$4*0/10))^4-N52^4)/4,0)+IF(O52&gt;($N$4*0/10),($N$4*0/10)^2*(1.5*(O52^2-MAX(N52,($N$4*0/10))^2)-($N$4*0/10)*(O52-MAX(N52,($N$4*0/10)))),0))*1000,0)</f>
        <v>0</v>
      </c>
      <c r="AN52" s="120">
        <f>IF(AND(V52="OK",ISNUMBER($N$5),$N$5&gt;0,ISNUMBER($N$3),$N$3&gt;0),R52/(6*$N$3*1000000*$N$5)*(IF(N52&lt;($N$4*1/10),($N$4*1/10)*(MIN(O52,($N$4*1/10))^3-N52^3)-(MIN(O52,($N$4*1/10))^4-N52^4)/4,0)+IF(O52&gt;($N$4*1/10),($N$4*1/10)^2*(1.5*(O52^2-MAX(N52,($N$4*1/10))^2)-($N$4*1/10)*(O52-MAX(N52,($N$4*1/10)))),0))*1000,0)</f>
        <v>0</v>
      </c>
      <c r="AO52" s="120">
        <f>IF(AND(V52="OK",ISNUMBER($N$5),$N$5&gt;0,ISNUMBER($N$3),$N$3&gt;0),R52/(6*$N$3*1000000*$N$5)*(IF(N52&lt;($N$4*2/10),($N$4*2/10)*(MIN(O52,($N$4*2/10))^3-N52^3)-(MIN(O52,($N$4*2/10))^4-N52^4)/4,0)+IF(O52&gt;($N$4*2/10),($N$4*2/10)^2*(1.5*(O52^2-MAX(N52,($N$4*2/10))^2)-($N$4*2/10)*(O52-MAX(N52,($N$4*2/10)))),0))*1000,0)</f>
        <v>0</v>
      </c>
      <c r="AP52" s="120">
        <f>IF(AND(V52="OK",ISNUMBER($N$5),$N$5&gt;0,ISNUMBER($N$3),$N$3&gt;0),R52/(6*$N$3*1000000*$N$5)*(IF(N52&lt;($N$4*3/10),($N$4*3/10)*(MIN(O52,($N$4*3/10))^3-N52^3)-(MIN(O52,($N$4*3/10))^4-N52^4)/4,0)+IF(O52&gt;($N$4*3/10),($N$4*3/10)^2*(1.5*(O52^2-MAX(N52,($N$4*3/10))^2)-($N$4*3/10)*(O52-MAX(N52,($N$4*3/10)))),0))*1000,0)</f>
        <v>0</v>
      </c>
      <c r="AQ52" s="120">
        <f>IF(AND(V52="OK",ISNUMBER($N$5),$N$5&gt;0,ISNUMBER($N$3),$N$3&gt;0),R52/(6*$N$3*1000000*$N$5)*(IF(N52&lt;($N$4*4/10),($N$4*4/10)*(MIN(O52,($N$4*4/10))^3-N52^3)-(MIN(O52,($N$4*4/10))^4-N52^4)/4,0)+IF(O52&gt;($N$4*4/10),($N$4*4/10)^2*(1.5*(O52^2-MAX(N52,($N$4*4/10))^2)-($N$4*4/10)*(O52-MAX(N52,($N$4*4/10)))),0))*1000,0)</f>
        <v>0</v>
      </c>
      <c r="AR52" s="120">
        <f>IF(AND(V52="OK",ISNUMBER($N$5),$N$5&gt;0,ISNUMBER($N$3),$N$3&gt;0),R52/(6*$N$3*1000000*$N$5)*(IF(N52&lt;($N$4*5/10),($N$4*5/10)*(MIN(O52,($N$4*5/10))^3-N52^3)-(MIN(O52,($N$4*5/10))^4-N52^4)/4,0)+IF(O52&gt;($N$4*5/10),($N$4*5/10)^2*(1.5*(O52^2-MAX(N52,($N$4*5/10))^2)-($N$4*5/10)*(O52-MAX(N52,($N$4*5/10)))),0))*1000,0)</f>
        <v>0</v>
      </c>
      <c r="AS52" s="120">
        <f>IF(AND(V52="OK",ISNUMBER($N$5),$N$5&gt;0,ISNUMBER($N$3),$N$3&gt;0),R52/(6*$N$3*1000000*$N$5)*(IF(N52&lt;($N$4*6/10),($N$4*6/10)*(MIN(O52,($N$4*6/10))^3-N52^3)-(MIN(O52,($N$4*6/10))^4-N52^4)/4,0)+IF(O52&gt;($N$4*6/10),($N$4*6/10)^2*(1.5*(O52^2-MAX(N52,($N$4*6/10))^2)-($N$4*6/10)*(O52-MAX(N52,($N$4*6/10)))),0))*1000,0)</f>
        <v>0</v>
      </c>
      <c r="AT52" s="120">
        <f>IF(AND(V52="OK",ISNUMBER($N$5),$N$5&gt;0,ISNUMBER($N$3),$N$3&gt;0),R52/(6*$N$3*1000000*$N$5)*(IF(N52&lt;($N$4*7/10),($N$4*7/10)*(MIN(O52,($N$4*7/10))^3-N52^3)-(MIN(O52,($N$4*7/10))^4-N52^4)/4,0)+IF(O52&gt;($N$4*7/10),($N$4*7/10)^2*(1.5*(O52^2-MAX(N52,($N$4*7/10))^2)-($N$4*7/10)*(O52-MAX(N52,($N$4*7/10)))),0))*1000,0)</f>
        <v>0</v>
      </c>
      <c r="AU52" s="120">
        <f>IF(AND(V52="OK",ISNUMBER($N$5),$N$5&gt;0,ISNUMBER($N$3),$N$3&gt;0),R52/(6*$N$3*1000000*$N$5)*(IF(N52&lt;($N$4*8/10),($N$4*8/10)*(MIN(O52,($N$4*8/10))^3-N52^3)-(MIN(O52,($N$4*8/10))^4-N52^4)/4,0)+IF(O52&gt;($N$4*8/10),($N$4*8/10)^2*(1.5*(O52^2-MAX(N52,($N$4*8/10))^2)-($N$4*8/10)*(O52-MAX(N52,($N$4*8/10)))),0))*1000,0)</f>
        <v>0</v>
      </c>
      <c r="AV52" s="120">
        <f>IF(AND(V52="OK",ISNUMBER($N$5),$N$5&gt;0,ISNUMBER($N$3),$N$3&gt;0),R52/(6*$N$3*1000000*$N$5)*(IF(N52&lt;($N$4*9/10),($N$4*9/10)*(MIN(O52,($N$4*9/10))^3-N52^3)-(MIN(O52,($N$4*9/10))^4-N52^4)/4,0)+IF(O52&gt;($N$4*9/10),($N$4*9/10)^2*(1.5*(O52^2-MAX(N52,($N$4*9/10))^2)-($N$4*9/10)*(O52-MAX(N52,($N$4*9/10)))),0))*1000,0)</f>
        <v>0</v>
      </c>
      <c r="AW52" s="120">
        <f>IF(AND(V52="OK",ISNUMBER($N$5),$N$5&gt;0,ISNUMBER($N$3),$N$3&gt;0),R52/(6*$N$3*1000000*$N$5)*(IF(N52&lt;($N$4*10/10),($N$4*10/10)*(MIN(O52,($N$4*10/10))^3-N52^3)-(MIN(O52,($N$4*10/10))^4-N52^4)/4,0)+IF(O52&gt;($N$4*10/10),($N$4*10/10)^2*(1.5*(O52^2-MAX(N52,($N$4*10/10))^2)-($N$4*10/10)*(O52-MAX(N52,($N$4*10/10)))),0))*1000,0)</f>
        <v>0</v>
      </c>
    </row>
    <row r="53" spans="1:49">
      <c r="A53" s="124"/>
      <c r="B53" s="125"/>
      <c r="C53" s="125"/>
      <c r="D53" s="125"/>
      <c r="E53" s="125"/>
      <c r="F53" s="126" t="str">
        <f>IF(J53="OK",D53*E53,"")</f>
        <v/>
      </c>
      <c r="G53" s="126" t="str">
        <f>IF(J53="OK",F53*(C53-B53),"")</f>
        <v/>
      </c>
      <c r="H53" s="126" t="str">
        <f>IF(J53="OK",G53*(C53+B53)/2,"")</f>
        <v/>
      </c>
      <c r="I53" s="126" t="str">
        <f>IF(AND(J53="OK",ISNUMBER($B$5),$B$5&gt;0,ISNUMBER($B$3),$B$3&gt;0),F53*(4*$B$4*(C53^3-B53^3)-(C53^4-B53^4))/(24*$B$3*1000000*$B$5)*1000,"")</f>
        <v/>
      </c>
      <c r="J53" s="120" t="str">
        <f>IF(COUNTA(A53:E53)=0,"",IF(AND(COUNT(B53:E53)=4,B53&gt;=0,C53&gt;B53,C53&lt;=$B$4,D53&gt;=0,E53&gt;0),IF(COUNTIFS($B$13:$B$52,"&lt;"&amp;C53,$C$13:$C$52,"&gt;"&amp;B53)&gt;0,"OVERLAP","OK"),"CHECK INPUTS"))</f>
        <v/>
      </c>
      <c r="M53" s="124"/>
      <c r="N53" s="125"/>
      <c r="O53" s="125"/>
      <c r="P53" s="125"/>
      <c r="Q53" s="125"/>
      <c r="R53" s="126" t="str">
        <f>IF(V53="OK",P53*Q53,"")</f>
        <v/>
      </c>
      <c r="S53" s="126" t="str">
        <f>IF(V53="OK",R53*(O53-N53),"")</f>
        <v/>
      </c>
      <c r="T53" s="126" t="str">
        <f>IF(V53="OK",S53*(O53+N53)/2,"")</f>
        <v/>
      </c>
      <c r="U53" s="126" t="str">
        <f>IF(AND(V53="OK",ISNUMBER($N$5),$N$5&gt;0,ISNUMBER($N$3),$N$3&gt;0),R53*(4*$N$4*(O53^3-N53^3)-(O53^4-N53^4))/(24*$N$3*1000000*$N$5)*1000,"")</f>
        <v/>
      </c>
      <c r="V53" s="120" t="str">
        <f>IF(COUNTA(M53:Q53)=0,"",IF(AND(COUNT(N53:Q53)=4,N53&gt;=0,O53&gt;N53,O53&lt;=$N$4,P53&gt;=0,Q53&gt;0),IF(COUNTIFS($N$13:$N$52,"&lt;"&amp;O53,$O$13:$O$52,"&gt;"&amp;N53)&gt;0,"OVERLAP","OK"),"CHECK INPUTS"))</f>
        <v/>
      </c>
      <c r="AA53" s="120">
        <f>IF(AND(J53="OK",ISNUMBER($B$5),$B$5&gt;0,ISNUMBER($B$3),$B$3&gt;0),F53/(6*$B$3*1000000*$B$5)*(IF(B53&lt;($B$4*0/10),($B$4*0/10)*(MIN(C53,($B$4*0/10))^3-B53^3)-(MIN(C53,($B$4*0/10))^4-B53^4)/4,0)+IF(C53&gt;($B$4*0/10),($B$4*0/10)^2*(1.5*(C53^2-MAX(B53,($B$4*0/10))^2)-($B$4*0/10)*(C53-MAX(B53,($B$4*0/10)))),0))*1000,0)</f>
        <v>0</v>
      </c>
      <c r="AB53" s="120">
        <f>IF(AND(J53="OK",ISNUMBER($B$5),$B$5&gt;0,ISNUMBER($B$3),$B$3&gt;0),F53/(6*$B$3*1000000*$B$5)*(IF(B53&lt;($B$4*1/10),($B$4*1/10)*(MIN(C53,($B$4*1/10))^3-B53^3)-(MIN(C53,($B$4*1/10))^4-B53^4)/4,0)+IF(C53&gt;($B$4*1/10),($B$4*1/10)^2*(1.5*(C53^2-MAX(B53,($B$4*1/10))^2)-($B$4*1/10)*(C53-MAX(B53,($B$4*1/10)))),0))*1000,0)</f>
        <v>0</v>
      </c>
      <c r="AC53" s="120">
        <f>IF(AND(J53="OK",ISNUMBER($B$5),$B$5&gt;0,ISNUMBER($B$3),$B$3&gt;0),F53/(6*$B$3*1000000*$B$5)*(IF(B53&lt;($B$4*2/10),($B$4*2/10)*(MIN(C53,($B$4*2/10))^3-B53^3)-(MIN(C53,($B$4*2/10))^4-B53^4)/4,0)+IF(C53&gt;($B$4*2/10),($B$4*2/10)^2*(1.5*(C53^2-MAX(B53,($B$4*2/10))^2)-($B$4*2/10)*(C53-MAX(B53,($B$4*2/10)))),0))*1000,0)</f>
        <v>0</v>
      </c>
      <c r="AD53" s="120">
        <f>IF(AND(J53="OK",ISNUMBER($B$5),$B$5&gt;0,ISNUMBER($B$3),$B$3&gt;0),F53/(6*$B$3*1000000*$B$5)*(IF(B53&lt;($B$4*3/10),($B$4*3/10)*(MIN(C53,($B$4*3/10))^3-B53^3)-(MIN(C53,($B$4*3/10))^4-B53^4)/4,0)+IF(C53&gt;($B$4*3/10),($B$4*3/10)^2*(1.5*(C53^2-MAX(B53,($B$4*3/10))^2)-($B$4*3/10)*(C53-MAX(B53,($B$4*3/10)))),0))*1000,0)</f>
        <v>0</v>
      </c>
      <c r="AE53" s="120">
        <f>IF(AND(J53="OK",ISNUMBER($B$5),$B$5&gt;0,ISNUMBER($B$3),$B$3&gt;0),F53/(6*$B$3*1000000*$B$5)*(IF(B53&lt;($B$4*4/10),($B$4*4/10)*(MIN(C53,($B$4*4/10))^3-B53^3)-(MIN(C53,($B$4*4/10))^4-B53^4)/4,0)+IF(C53&gt;($B$4*4/10),($B$4*4/10)^2*(1.5*(C53^2-MAX(B53,($B$4*4/10))^2)-($B$4*4/10)*(C53-MAX(B53,($B$4*4/10)))),0))*1000,0)</f>
        <v>0</v>
      </c>
      <c r="AF53" s="120">
        <f>IF(AND(J53="OK",ISNUMBER($B$5),$B$5&gt;0,ISNUMBER($B$3),$B$3&gt;0),F53/(6*$B$3*1000000*$B$5)*(IF(B53&lt;($B$4*5/10),($B$4*5/10)*(MIN(C53,($B$4*5/10))^3-B53^3)-(MIN(C53,($B$4*5/10))^4-B53^4)/4,0)+IF(C53&gt;($B$4*5/10),($B$4*5/10)^2*(1.5*(C53^2-MAX(B53,($B$4*5/10))^2)-($B$4*5/10)*(C53-MAX(B53,($B$4*5/10)))),0))*1000,0)</f>
        <v>0</v>
      </c>
      <c r="AG53" s="120">
        <f>IF(AND(J53="OK",ISNUMBER($B$5),$B$5&gt;0,ISNUMBER($B$3),$B$3&gt;0),F53/(6*$B$3*1000000*$B$5)*(IF(B53&lt;($B$4*6/10),($B$4*6/10)*(MIN(C53,($B$4*6/10))^3-B53^3)-(MIN(C53,($B$4*6/10))^4-B53^4)/4,0)+IF(C53&gt;($B$4*6/10),($B$4*6/10)^2*(1.5*(C53^2-MAX(B53,($B$4*6/10))^2)-($B$4*6/10)*(C53-MAX(B53,($B$4*6/10)))),0))*1000,0)</f>
        <v>0</v>
      </c>
      <c r="AH53" s="120">
        <f>IF(AND(J53="OK",ISNUMBER($B$5),$B$5&gt;0,ISNUMBER($B$3),$B$3&gt;0),F53/(6*$B$3*1000000*$B$5)*(IF(B53&lt;($B$4*7/10),($B$4*7/10)*(MIN(C53,($B$4*7/10))^3-B53^3)-(MIN(C53,($B$4*7/10))^4-B53^4)/4,0)+IF(C53&gt;($B$4*7/10),($B$4*7/10)^2*(1.5*(C53^2-MAX(B53,($B$4*7/10))^2)-($B$4*7/10)*(C53-MAX(B53,($B$4*7/10)))),0))*1000,0)</f>
        <v>0</v>
      </c>
      <c r="AI53" s="120">
        <f>IF(AND(J53="OK",ISNUMBER($B$5),$B$5&gt;0,ISNUMBER($B$3),$B$3&gt;0),F53/(6*$B$3*1000000*$B$5)*(IF(B53&lt;($B$4*8/10),($B$4*8/10)*(MIN(C53,($B$4*8/10))^3-B53^3)-(MIN(C53,($B$4*8/10))^4-B53^4)/4,0)+IF(C53&gt;($B$4*8/10),($B$4*8/10)^2*(1.5*(C53^2-MAX(B53,($B$4*8/10))^2)-($B$4*8/10)*(C53-MAX(B53,($B$4*8/10)))),0))*1000,0)</f>
        <v>0</v>
      </c>
      <c r="AJ53" s="120">
        <f>IF(AND(J53="OK",ISNUMBER($B$5),$B$5&gt;0,ISNUMBER($B$3),$B$3&gt;0),F53/(6*$B$3*1000000*$B$5)*(IF(B53&lt;($B$4*9/10),($B$4*9/10)*(MIN(C53,($B$4*9/10))^3-B53^3)-(MIN(C53,($B$4*9/10))^4-B53^4)/4,0)+IF(C53&gt;($B$4*9/10),($B$4*9/10)^2*(1.5*(C53^2-MAX(B53,($B$4*9/10))^2)-($B$4*9/10)*(C53-MAX(B53,($B$4*9/10)))),0))*1000,0)</f>
        <v>0</v>
      </c>
      <c r="AK53" s="120">
        <f>IF(AND(J53="OK",ISNUMBER($B$5),$B$5&gt;0,ISNUMBER($B$3),$B$3&gt;0),F53/(6*$B$3*1000000*$B$5)*(IF(B53&lt;($B$4*10/10),($B$4*10/10)*(MIN(C53,($B$4*10/10))^3-B53^3)-(MIN(C53,($B$4*10/10))^4-B53^4)/4,0)+IF(C53&gt;($B$4*10/10),($B$4*10/10)^2*(1.5*(C53^2-MAX(B53,($B$4*10/10))^2)-($B$4*10/10)*(C53-MAX(B53,($B$4*10/10)))),0))*1000,0)</f>
        <v>0</v>
      </c>
      <c r="AM53" s="120">
        <f>IF(AND(V53="OK",ISNUMBER($N$5),$N$5&gt;0,ISNUMBER($N$3),$N$3&gt;0),R53/(6*$N$3*1000000*$N$5)*(IF(N53&lt;($N$4*0/10),($N$4*0/10)*(MIN(O53,($N$4*0/10))^3-N53^3)-(MIN(O53,($N$4*0/10))^4-N53^4)/4,0)+IF(O53&gt;($N$4*0/10),($N$4*0/10)^2*(1.5*(O53^2-MAX(N53,($N$4*0/10))^2)-($N$4*0/10)*(O53-MAX(N53,($N$4*0/10)))),0))*1000,0)</f>
        <v>0</v>
      </c>
      <c r="AN53" s="120">
        <f>IF(AND(V53="OK",ISNUMBER($N$5),$N$5&gt;0,ISNUMBER($N$3),$N$3&gt;0),R53/(6*$N$3*1000000*$N$5)*(IF(N53&lt;($N$4*1/10),($N$4*1/10)*(MIN(O53,($N$4*1/10))^3-N53^3)-(MIN(O53,($N$4*1/10))^4-N53^4)/4,0)+IF(O53&gt;($N$4*1/10),($N$4*1/10)^2*(1.5*(O53^2-MAX(N53,($N$4*1/10))^2)-($N$4*1/10)*(O53-MAX(N53,($N$4*1/10)))),0))*1000,0)</f>
        <v>0</v>
      </c>
      <c r="AO53" s="120">
        <f>IF(AND(V53="OK",ISNUMBER($N$5),$N$5&gt;0,ISNUMBER($N$3),$N$3&gt;0),R53/(6*$N$3*1000000*$N$5)*(IF(N53&lt;($N$4*2/10),($N$4*2/10)*(MIN(O53,($N$4*2/10))^3-N53^3)-(MIN(O53,($N$4*2/10))^4-N53^4)/4,0)+IF(O53&gt;($N$4*2/10),($N$4*2/10)^2*(1.5*(O53^2-MAX(N53,($N$4*2/10))^2)-($N$4*2/10)*(O53-MAX(N53,($N$4*2/10)))),0))*1000,0)</f>
        <v>0</v>
      </c>
      <c r="AP53" s="120">
        <f>IF(AND(V53="OK",ISNUMBER($N$5),$N$5&gt;0,ISNUMBER($N$3),$N$3&gt;0),R53/(6*$N$3*1000000*$N$5)*(IF(N53&lt;($N$4*3/10),($N$4*3/10)*(MIN(O53,($N$4*3/10))^3-N53^3)-(MIN(O53,($N$4*3/10))^4-N53^4)/4,0)+IF(O53&gt;($N$4*3/10),($N$4*3/10)^2*(1.5*(O53^2-MAX(N53,($N$4*3/10))^2)-($N$4*3/10)*(O53-MAX(N53,($N$4*3/10)))),0))*1000,0)</f>
        <v>0</v>
      </c>
      <c r="AQ53" s="120">
        <f>IF(AND(V53="OK",ISNUMBER($N$5),$N$5&gt;0,ISNUMBER($N$3),$N$3&gt;0),R53/(6*$N$3*1000000*$N$5)*(IF(N53&lt;($N$4*4/10),($N$4*4/10)*(MIN(O53,($N$4*4/10))^3-N53^3)-(MIN(O53,($N$4*4/10))^4-N53^4)/4,0)+IF(O53&gt;($N$4*4/10),($N$4*4/10)^2*(1.5*(O53^2-MAX(N53,($N$4*4/10))^2)-($N$4*4/10)*(O53-MAX(N53,($N$4*4/10)))),0))*1000,0)</f>
        <v>0</v>
      </c>
      <c r="AR53" s="120">
        <f>IF(AND(V53="OK",ISNUMBER($N$5),$N$5&gt;0,ISNUMBER($N$3),$N$3&gt;0),R53/(6*$N$3*1000000*$N$5)*(IF(N53&lt;($N$4*5/10),($N$4*5/10)*(MIN(O53,($N$4*5/10))^3-N53^3)-(MIN(O53,($N$4*5/10))^4-N53^4)/4,0)+IF(O53&gt;($N$4*5/10),($N$4*5/10)^2*(1.5*(O53^2-MAX(N53,($N$4*5/10))^2)-($N$4*5/10)*(O53-MAX(N53,($N$4*5/10)))),0))*1000,0)</f>
        <v>0</v>
      </c>
      <c r="AS53" s="120">
        <f>IF(AND(V53="OK",ISNUMBER($N$5),$N$5&gt;0,ISNUMBER($N$3),$N$3&gt;0),R53/(6*$N$3*1000000*$N$5)*(IF(N53&lt;($N$4*6/10),($N$4*6/10)*(MIN(O53,($N$4*6/10))^3-N53^3)-(MIN(O53,($N$4*6/10))^4-N53^4)/4,0)+IF(O53&gt;($N$4*6/10),($N$4*6/10)^2*(1.5*(O53^2-MAX(N53,($N$4*6/10))^2)-($N$4*6/10)*(O53-MAX(N53,($N$4*6/10)))),0))*1000,0)</f>
        <v>0</v>
      </c>
      <c r="AT53" s="120">
        <f>IF(AND(V53="OK",ISNUMBER($N$5),$N$5&gt;0,ISNUMBER($N$3),$N$3&gt;0),R53/(6*$N$3*1000000*$N$5)*(IF(N53&lt;($N$4*7/10),($N$4*7/10)*(MIN(O53,($N$4*7/10))^3-N53^3)-(MIN(O53,($N$4*7/10))^4-N53^4)/4,0)+IF(O53&gt;($N$4*7/10),($N$4*7/10)^2*(1.5*(O53^2-MAX(N53,($N$4*7/10))^2)-($N$4*7/10)*(O53-MAX(N53,($N$4*7/10)))),0))*1000,0)</f>
        <v>0</v>
      </c>
      <c r="AU53" s="120">
        <f>IF(AND(V53="OK",ISNUMBER($N$5),$N$5&gt;0,ISNUMBER($N$3),$N$3&gt;0),R53/(6*$N$3*1000000*$N$5)*(IF(N53&lt;($N$4*8/10),($N$4*8/10)*(MIN(O53,($N$4*8/10))^3-N53^3)-(MIN(O53,($N$4*8/10))^4-N53^4)/4,0)+IF(O53&gt;($N$4*8/10),($N$4*8/10)^2*(1.5*(O53^2-MAX(N53,($N$4*8/10))^2)-($N$4*8/10)*(O53-MAX(N53,($N$4*8/10)))),0))*1000,0)</f>
        <v>0</v>
      </c>
      <c r="AV53" s="120">
        <f>IF(AND(V53="OK",ISNUMBER($N$5),$N$5&gt;0,ISNUMBER($N$3),$N$3&gt;0),R53/(6*$N$3*1000000*$N$5)*(IF(N53&lt;($N$4*9/10),($N$4*9/10)*(MIN(O53,($N$4*9/10))^3-N53^3)-(MIN(O53,($N$4*9/10))^4-N53^4)/4,0)+IF(O53&gt;($N$4*9/10),($N$4*9/10)^2*(1.5*(O53^2-MAX(N53,($N$4*9/10))^2)-($N$4*9/10)*(O53-MAX(N53,($N$4*9/10)))),0))*1000,0)</f>
        <v>0</v>
      </c>
      <c r="AW53" s="120">
        <f>IF(AND(V53="OK",ISNUMBER($N$5),$N$5&gt;0,ISNUMBER($N$3),$N$3&gt;0),R53/(6*$N$3*1000000*$N$5)*(IF(N53&lt;($N$4*10/10),($N$4*10/10)*(MIN(O53,($N$4*10/10))^3-N53^3)-(MIN(O53,($N$4*10/10))^4-N53^4)/4,0)+IF(O53&gt;($N$4*10/10),($N$4*10/10)^2*(1.5*(O53^2-MAX(N53,($N$4*10/10))^2)-($N$4*10/10)*(O53-MAX(N53,($N$4*10/10)))),0))*1000,0)</f>
        <v>0</v>
      </c>
    </row>
    <row r="54" spans="1:49">
      <c r="A54" s="124"/>
      <c r="B54" s="125"/>
      <c r="C54" s="125"/>
      <c r="D54" s="125"/>
      <c r="E54" s="125"/>
      <c r="F54" s="126" t="str">
        <f>IF(J54="OK",D54*E54,"")</f>
        <v/>
      </c>
      <c r="G54" s="126" t="str">
        <f>IF(J54="OK",F54*(C54-B54),"")</f>
        <v/>
      </c>
      <c r="H54" s="126" t="str">
        <f>IF(J54="OK",G54*(C54+B54)/2,"")</f>
        <v/>
      </c>
      <c r="I54" s="126" t="str">
        <f>IF(AND(J54="OK",ISNUMBER($B$5),$B$5&gt;0,ISNUMBER($B$3),$B$3&gt;0),F54*(4*$B$4*(C54^3-B54^3)-(C54^4-B54^4))/(24*$B$3*1000000*$B$5)*1000,"")</f>
        <v/>
      </c>
      <c r="J54" s="120" t="str">
        <f>IF(COUNTA(A54:E54)=0,"",IF(AND(COUNT(B54:E54)=4,B54&gt;=0,C54&gt;B54,C54&lt;=$B$4,D54&gt;=0,E54&gt;0),IF(COUNTIFS($B$13:$B$53,"&lt;"&amp;C54,$C$13:$C$53,"&gt;"&amp;B54)&gt;0,"OVERLAP","OK"),"CHECK INPUTS"))</f>
        <v/>
      </c>
      <c r="M54" s="124"/>
      <c r="N54" s="125"/>
      <c r="O54" s="125"/>
      <c r="P54" s="125"/>
      <c r="Q54" s="125"/>
      <c r="R54" s="126" t="str">
        <f>IF(V54="OK",P54*Q54,"")</f>
        <v/>
      </c>
      <c r="S54" s="126" t="str">
        <f>IF(V54="OK",R54*(O54-N54),"")</f>
        <v/>
      </c>
      <c r="T54" s="126" t="str">
        <f>IF(V54="OK",S54*(O54+N54)/2,"")</f>
        <v/>
      </c>
      <c r="U54" s="126" t="str">
        <f>IF(AND(V54="OK",ISNUMBER($N$5),$N$5&gt;0,ISNUMBER($N$3),$N$3&gt;0),R54*(4*$N$4*(O54^3-N54^3)-(O54^4-N54^4))/(24*$N$3*1000000*$N$5)*1000,"")</f>
        <v/>
      </c>
      <c r="V54" s="120" t="str">
        <f>IF(COUNTA(M54:Q54)=0,"",IF(AND(COUNT(N54:Q54)=4,N54&gt;=0,O54&gt;N54,O54&lt;=$N$4,P54&gt;=0,Q54&gt;0),IF(COUNTIFS($N$13:$N$53,"&lt;"&amp;O54,$O$13:$O$53,"&gt;"&amp;N54)&gt;0,"OVERLAP","OK"),"CHECK INPUTS"))</f>
        <v/>
      </c>
      <c r="AA54" s="120">
        <f>IF(AND(J54="OK",ISNUMBER($B$5),$B$5&gt;0,ISNUMBER($B$3),$B$3&gt;0),F54/(6*$B$3*1000000*$B$5)*(IF(B54&lt;($B$4*0/10),($B$4*0/10)*(MIN(C54,($B$4*0/10))^3-B54^3)-(MIN(C54,($B$4*0/10))^4-B54^4)/4,0)+IF(C54&gt;($B$4*0/10),($B$4*0/10)^2*(1.5*(C54^2-MAX(B54,($B$4*0/10))^2)-($B$4*0/10)*(C54-MAX(B54,($B$4*0/10)))),0))*1000,0)</f>
        <v>0</v>
      </c>
      <c r="AB54" s="120">
        <f>IF(AND(J54="OK",ISNUMBER($B$5),$B$5&gt;0,ISNUMBER($B$3),$B$3&gt;0),F54/(6*$B$3*1000000*$B$5)*(IF(B54&lt;($B$4*1/10),($B$4*1/10)*(MIN(C54,($B$4*1/10))^3-B54^3)-(MIN(C54,($B$4*1/10))^4-B54^4)/4,0)+IF(C54&gt;($B$4*1/10),($B$4*1/10)^2*(1.5*(C54^2-MAX(B54,($B$4*1/10))^2)-($B$4*1/10)*(C54-MAX(B54,($B$4*1/10)))),0))*1000,0)</f>
        <v>0</v>
      </c>
      <c r="AC54" s="120">
        <f>IF(AND(J54="OK",ISNUMBER($B$5),$B$5&gt;0,ISNUMBER($B$3),$B$3&gt;0),F54/(6*$B$3*1000000*$B$5)*(IF(B54&lt;($B$4*2/10),($B$4*2/10)*(MIN(C54,($B$4*2/10))^3-B54^3)-(MIN(C54,($B$4*2/10))^4-B54^4)/4,0)+IF(C54&gt;($B$4*2/10),($B$4*2/10)^2*(1.5*(C54^2-MAX(B54,($B$4*2/10))^2)-($B$4*2/10)*(C54-MAX(B54,($B$4*2/10)))),0))*1000,0)</f>
        <v>0</v>
      </c>
      <c r="AD54" s="120">
        <f>IF(AND(J54="OK",ISNUMBER($B$5),$B$5&gt;0,ISNUMBER($B$3),$B$3&gt;0),F54/(6*$B$3*1000000*$B$5)*(IF(B54&lt;($B$4*3/10),($B$4*3/10)*(MIN(C54,($B$4*3/10))^3-B54^3)-(MIN(C54,($B$4*3/10))^4-B54^4)/4,0)+IF(C54&gt;($B$4*3/10),($B$4*3/10)^2*(1.5*(C54^2-MAX(B54,($B$4*3/10))^2)-($B$4*3/10)*(C54-MAX(B54,($B$4*3/10)))),0))*1000,0)</f>
        <v>0</v>
      </c>
      <c r="AE54" s="120">
        <f>IF(AND(J54="OK",ISNUMBER($B$5),$B$5&gt;0,ISNUMBER($B$3),$B$3&gt;0),F54/(6*$B$3*1000000*$B$5)*(IF(B54&lt;($B$4*4/10),($B$4*4/10)*(MIN(C54,($B$4*4/10))^3-B54^3)-(MIN(C54,($B$4*4/10))^4-B54^4)/4,0)+IF(C54&gt;($B$4*4/10),($B$4*4/10)^2*(1.5*(C54^2-MAX(B54,($B$4*4/10))^2)-($B$4*4/10)*(C54-MAX(B54,($B$4*4/10)))),0))*1000,0)</f>
        <v>0</v>
      </c>
      <c r="AF54" s="120">
        <f>IF(AND(J54="OK",ISNUMBER($B$5),$B$5&gt;0,ISNUMBER($B$3),$B$3&gt;0),F54/(6*$B$3*1000000*$B$5)*(IF(B54&lt;($B$4*5/10),($B$4*5/10)*(MIN(C54,($B$4*5/10))^3-B54^3)-(MIN(C54,($B$4*5/10))^4-B54^4)/4,0)+IF(C54&gt;($B$4*5/10),($B$4*5/10)^2*(1.5*(C54^2-MAX(B54,($B$4*5/10))^2)-($B$4*5/10)*(C54-MAX(B54,($B$4*5/10)))),0))*1000,0)</f>
        <v>0</v>
      </c>
      <c r="AG54" s="120">
        <f>IF(AND(J54="OK",ISNUMBER($B$5),$B$5&gt;0,ISNUMBER($B$3),$B$3&gt;0),F54/(6*$B$3*1000000*$B$5)*(IF(B54&lt;($B$4*6/10),($B$4*6/10)*(MIN(C54,($B$4*6/10))^3-B54^3)-(MIN(C54,($B$4*6/10))^4-B54^4)/4,0)+IF(C54&gt;($B$4*6/10),($B$4*6/10)^2*(1.5*(C54^2-MAX(B54,($B$4*6/10))^2)-($B$4*6/10)*(C54-MAX(B54,($B$4*6/10)))),0))*1000,0)</f>
        <v>0</v>
      </c>
      <c r="AH54" s="120">
        <f>IF(AND(J54="OK",ISNUMBER($B$5),$B$5&gt;0,ISNUMBER($B$3),$B$3&gt;0),F54/(6*$B$3*1000000*$B$5)*(IF(B54&lt;($B$4*7/10),($B$4*7/10)*(MIN(C54,($B$4*7/10))^3-B54^3)-(MIN(C54,($B$4*7/10))^4-B54^4)/4,0)+IF(C54&gt;($B$4*7/10),($B$4*7/10)^2*(1.5*(C54^2-MAX(B54,($B$4*7/10))^2)-($B$4*7/10)*(C54-MAX(B54,($B$4*7/10)))),0))*1000,0)</f>
        <v>0</v>
      </c>
      <c r="AI54" s="120">
        <f>IF(AND(J54="OK",ISNUMBER($B$5),$B$5&gt;0,ISNUMBER($B$3),$B$3&gt;0),F54/(6*$B$3*1000000*$B$5)*(IF(B54&lt;($B$4*8/10),($B$4*8/10)*(MIN(C54,($B$4*8/10))^3-B54^3)-(MIN(C54,($B$4*8/10))^4-B54^4)/4,0)+IF(C54&gt;($B$4*8/10),($B$4*8/10)^2*(1.5*(C54^2-MAX(B54,($B$4*8/10))^2)-($B$4*8/10)*(C54-MAX(B54,($B$4*8/10)))),0))*1000,0)</f>
        <v>0</v>
      </c>
      <c r="AJ54" s="120">
        <f>IF(AND(J54="OK",ISNUMBER($B$5),$B$5&gt;0,ISNUMBER($B$3),$B$3&gt;0),F54/(6*$B$3*1000000*$B$5)*(IF(B54&lt;($B$4*9/10),($B$4*9/10)*(MIN(C54,($B$4*9/10))^3-B54^3)-(MIN(C54,($B$4*9/10))^4-B54^4)/4,0)+IF(C54&gt;($B$4*9/10),($B$4*9/10)^2*(1.5*(C54^2-MAX(B54,($B$4*9/10))^2)-($B$4*9/10)*(C54-MAX(B54,($B$4*9/10)))),0))*1000,0)</f>
        <v>0</v>
      </c>
      <c r="AK54" s="120">
        <f>IF(AND(J54="OK",ISNUMBER($B$5),$B$5&gt;0,ISNUMBER($B$3),$B$3&gt;0),F54/(6*$B$3*1000000*$B$5)*(IF(B54&lt;($B$4*10/10),($B$4*10/10)*(MIN(C54,($B$4*10/10))^3-B54^3)-(MIN(C54,($B$4*10/10))^4-B54^4)/4,0)+IF(C54&gt;($B$4*10/10),($B$4*10/10)^2*(1.5*(C54^2-MAX(B54,($B$4*10/10))^2)-($B$4*10/10)*(C54-MAX(B54,($B$4*10/10)))),0))*1000,0)</f>
        <v>0</v>
      </c>
      <c r="AM54" s="120">
        <f>IF(AND(V54="OK",ISNUMBER($N$5),$N$5&gt;0,ISNUMBER($N$3),$N$3&gt;0),R54/(6*$N$3*1000000*$N$5)*(IF(N54&lt;($N$4*0/10),($N$4*0/10)*(MIN(O54,($N$4*0/10))^3-N54^3)-(MIN(O54,($N$4*0/10))^4-N54^4)/4,0)+IF(O54&gt;($N$4*0/10),($N$4*0/10)^2*(1.5*(O54^2-MAX(N54,($N$4*0/10))^2)-($N$4*0/10)*(O54-MAX(N54,($N$4*0/10)))),0))*1000,0)</f>
        <v>0</v>
      </c>
      <c r="AN54" s="120">
        <f>IF(AND(V54="OK",ISNUMBER($N$5),$N$5&gt;0,ISNUMBER($N$3),$N$3&gt;0),R54/(6*$N$3*1000000*$N$5)*(IF(N54&lt;($N$4*1/10),($N$4*1/10)*(MIN(O54,($N$4*1/10))^3-N54^3)-(MIN(O54,($N$4*1/10))^4-N54^4)/4,0)+IF(O54&gt;($N$4*1/10),($N$4*1/10)^2*(1.5*(O54^2-MAX(N54,($N$4*1/10))^2)-($N$4*1/10)*(O54-MAX(N54,($N$4*1/10)))),0))*1000,0)</f>
        <v>0</v>
      </c>
      <c r="AO54" s="120">
        <f>IF(AND(V54="OK",ISNUMBER($N$5),$N$5&gt;0,ISNUMBER($N$3),$N$3&gt;0),R54/(6*$N$3*1000000*$N$5)*(IF(N54&lt;($N$4*2/10),($N$4*2/10)*(MIN(O54,($N$4*2/10))^3-N54^3)-(MIN(O54,($N$4*2/10))^4-N54^4)/4,0)+IF(O54&gt;($N$4*2/10),($N$4*2/10)^2*(1.5*(O54^2-MAX(N54,($N$4*2/10))^2)-($N$4*2/10)*(O54-MAX(N54,($N$4*2/10)))),0))*1000,0)</f>
        <v>0</v>
      </c>
      <c r="AP54" s="120">
        <f>IF(AND(V54="OK",ISNUMBER($N$5),$N$5&gt;0,ISNUMBER($N$3),$N$3&gt;0),R54/(6*$N$3*1000000*$N$5)*(IF(N54&lt;($N$4*3/10),($N$4*3/10)*(MIN(O54,($N$4*3/10))^3-N54^3)-(MIN(O54,($N$4*3/10))^4-N54^4)/4,0)+IF(O54&gt;($N$4*3/10),($N$4*3/10)^2*(1.5*(O54^2-MAX(N54,($N$4*3/10))^2)-($N$4*3/10)*(O54-MAX(N54,($N$4*3/10)))),0))*1000,0)</f>
        <v>0</v>
      </c>
      <c r="AQ54" s="120">
        <f>IF(AND(V54="OK",ISNUMBER($N$5),$N$5&gt;0,ISNUMBER($N$3),$N$3&gt;0),R54/(6*$N$3*1000000*$N$5)*(IF(N54&lt;($N$4*4/10),($N$4*4/10)*(MIN(O54,($N$4*4/10))^3-N54^3)-(MIN(O54,($N$4*4/10))^4-N54^4)/4,0)+IF(O54&gt;($N$4*4/10),($N$4*4/10)^2*(1.5*(O54^2-MAX(N54,($N$4*4/10))^2)-($N$4*4/10)*(O54-MAX(N54,($N$4*4/10)))),0))*1000,0)</f>
        <v>0</v>
      </c>
      <c r="AR54" s="120">
        <f>IF(AND(V54="OK",ISNUMBER($N$5),$N$5&gt;0,ISNUMBER($N$3),$N$3&gt;0),R54/(6*$N$3*1000000*$N$5)*(IF(N54&lt;($N$4*5/10),($N$4*5/10)*(MIN(O54,($N$4*5/10))^3-N54^3)-(MIN(O54,($N$4*5/10))^4-N54^4)/4,0)+IF(O54&gt;($N$4*5/10),($N$4*5/10)^2*(1.5*(O54^2-MAX(N54,($N$4*5/10))^2)-($N$4*5/10)*(O54-MAX(N54,($N$4*5/10)))),0))*1000,0)</f>
        <v>0</v>
      </c>
      <c r="AS54" s="120">
        <f>IF(AND(V54="OK",ISNUMBER($N$5),$N$5&gt;0,ISNUMBER($N$3),$N$3&gt;0),R54/(6*$N$3*1000000*$N$5)*(IF(N54&lt;($N$4*6/10),($N$4*6/10)*(MIN(O54,($N$4*6/10))^3-N54^3)-(MIN(O54,($N$4*6/10))^4-N54^4)/4,0)+IF(O54&gt;($N$4*6/10),($N$4*6/10)^2*(1.5*(O54^2-MAX(N54,($N$4*6/10))^2)-($N$4*6/10)*(O54-MAX(N54,($N$4*6/10)))),0))*1000,0)</f>
        <v>0</v>
      </c>
      <c r="AT54" s="120">
        <f>IF(AND(V54="OK",ISNUMBER($N$5),$N$5&gt;0,ISNUMBER($N$3),$N$3&gt;0),R54/(6*$N$3*1000000*$N$5)*(IF(N54&lt;($N$4*7/10),($N$4*7/10)*(MIN(O54,($N$4*7/10))^3-N54^3)-(MIN(O54,($N$4*7/10))^4-N54^4)/4,0)+IF(O54&gt;($N$4*7/10),($N$4*7/10)^2*(1.5*(O54^2-MAX(N54,($N$4*7/10))^2)-($N$4*7/10)*(O54-MAX(N54,($N$4*7/10)))),0))*1000,0)</f>
        <v>0</v>
      </c>
      <c r="AU54" s="120">
        <f>IF(AND(V54="OK",ISNUMBER($N$5),$N$5&gt;0,ISNUMBER($N$3),$N$3&gt;0),R54/(6*$N$3*1000000*$N$5)*(IF(N54&lt;($N$4*8/10),($N$4*8/10)*(MIN(O54,($N$4*8/10))^3-N54^3)-(MIN(O54,($N$4*8/10))^4-N54^4)/4,0)+IF(O54&gt;($N$4*8/10),($N$4*8/10)^2*(1.5*(O54^2-MAX(N54,($N$4*8/10))^2)-($N$4*8/10)*(O54-MAX(N54,($N$4*8/10)))),0))*1000,0)</f>
        <v>0</v>
      </c>
      <c r="AV54" s="120">
        <f>IF(AND(V54="OK",ISNUMBER($N$5),$N$5&gt;0,ISNUMBER($N$3),$N$3&gt;0),R54/(6*$N$3*1000000*$N$5)*(IF(N54&lt;($N$4*9/10),($N$4*9/10)*(MIN(O54,($N$4*9/10))^3-N54^3)-(MIN(O54,($N$4*9/10))^4-N54^4)/4,0)+IF(O54&gt;($N$4*9/10),($N$4*9/10)^2*(1.5*(O54^2-MAX(N54,($N$4*9/10))^2)-($N$4*9/10)*(O54-MAX(N54,($N$4*9/10)))),0))*1000,0)</f>
        <v>0</v>
      </c>
      <c r="AW54" s="120">
        <f>IF(AND(V54="OK",ISNUMBER($N$5),$N$5&gt;0,ISNUMBER($N$3),$N$3&gt;0),R54/(6*$N$3*1000000*$N$5)*(IF(N54&lt;($N$4*10/10),($N$4*10/10)*(MIN(O54,($N$4*10/10))^3-N54^3)-(MIN(O54,($N$4*10/10))^4-N54^4)/4,0)+IF(O54&gt;($N$4*10/10),($N$4*10/10)^2*(1.5*(O54^2-MAX(N54,($N$4*10/10))^2)-($N$4*10/10)*(O54-MAX(N54,($N$4*10/10)))),0))*1000,0)</f>
        <v>0</v>
      </c>
    </row>
    <row r="55" spans="1:49">
      <c r="A55" s="124"/>
      <c r="B55" s="125"/>
      <c r="C55" s="125"/>
      <c r="D55" s="125"/>
      <c r="E55" s="125"/>
      <c r="F55" s="126" t="str">
        <f>IF(J55="OK",D55*E55,"")</f>
        <v/>
      </c>
      <c r="G55" s="126" t="str">
        <f>IF(J55="OK",F55*(C55-B55),"")</f>
        <v/>
      </c>
      <c r="H55" s="126" t="str">
        <f>IF(J55="OK",G55*(C55+B55)/2,"")</f>
        <v/>
      </c>
      <c r="I55" s="126" t="str">
        <f>IF(AND(J55="OK",ISNUMBER($B$5),$B$5&gt;0,ISNUMBER($B$3),$B$3&gt;0),F55*(4*$B$4*(C55^3-B55^3)-(C55^4-B55^4))/(24*$B$3*1000000*$B$5)*1000,"")</f>
        <v/>
      </c>
      <c r="J55" s="120" t="str">
        <f>IF(COUNTA(A55:E55)=0,"",IF(AND(COUNT(B55:E55)=4,B55&gt;=0,C55&gt;B55,C55&lt;=$B$4,D55&gt;=0,E55&gt;0),IF(COUNTIFS($B$13:$B$54,"&lt;"&amp;C55,$C$13:$C$54,"&gt;"&amp;B55)&gt;0,"OVERLAP","OK"),"CHECK INPUTS"))</f>
        <v/>
      </c>
      <c r="M55" s="124"/>
      <c r="N55" s="125"/>
      <c r="O55" s="125"/>
      <c r="P55" s="125"/>
      <c r="Q55" s="125"/>
      <c r="R55" s="126" t="str">
        <f>IF(V55="OK",P55*Q55,"")</f>
        <v/>
      </c>
      <c r="S55" s="126" t="str">
        <f>IF(V55="OK",R55*(O55-N55),"")</f>
        <v/>
      </c>
      <c r="T55" s="126" t="str">
        <f>IF(V55="OK",S55*(O55+N55)/2,"")</f>
        <v/>
      </c>
      <c r="U55" s="126" t="str">
        <f>IF(AND(V55="OK",ISNUMBER($N$5),$N$5&gt;0,ISNUMBER($N$3),$N$3&gt;0),R55*(4*$N$4*(O55^3-N55^3)-(O55^4-N55^4))/(24*$N$3*1000000*$N$5)*1000,"")</f>
        <v/>
      </c>
      <c r="V55" s="120" t="str">
        <f>IF(COUNTA(M55:Q55)=0,"",IF(AND(COUNT(N55:Q55)=4,N55&gt;=0,O55&gt;N55,O55&lt;=$N$4,P55&gt;=0,Q55&gt;0),IF(COUNTIFS($N$13:$N$54,"&lt;"&amp;O55,$O$13:$O$54,"&gt;"&amp;N55)&gt;0,"OVERLAP","OK"),"CHECK INPUTS"))</f>
        <v/>
      </c>
      <c r="AA55" s="120">
        <f>IF(AND(J55="OK",ISNUMBER($B$5),$B$5&gt;0,ISNUMBER($B$3),$B$3&gt;0),F55/(6*$B$3*1000000*$B$5)*(IF(B55&lt;($B$4*0/10),($B$4*0/10)*(MIN(C55,($B$4*0/10))^3-B55^3)-(MIN(C55,($B$4*0/10))^4-B55^4)/4,0)+IF(C55&gt;($B$4*0/10),($B$4*0/10)^2*(1.5*(C55^2-MAX(B55,($B$4*0/10))^2)-($B$4*0/10)*(C55-MAX(B55,($B$4*0/10)))),0))*1000,0)</f>
        <v>0</v>
      </c>
      <c r="AB55" s="120">
        <f>IF(AND(J55="OK",ISNUMBER($B$5),$B$5&gt;0,ISNUMBER($B$3),$B$3&gt;0),F55/(6*$B$3*1000000*$B$5)*(IF(B55&lt;($B$4*1/10),($B$4*1/10)*(MIN(C55,($B$4*1/10))^3-B55^3)-(MIN(C55,($B$4*1/10))^4-B55^4)/4,0)+IF(C55&gt;($B$4*1/10),($B$4*1/10)^2*(1.5*(C55^2-MAX(B55,($B$4*1/10))^2)-($B$4*1/10)*(C55-MAX(B55,($B$4*1/10)))),0))*1000,0)</f>
        <v>0</v>
      </c>
      <c r="AC55" s="120">
        <f>IF(AND(J55="OK",ISNUMBER($B$5),$B$5&gt;0,ISNUMBER($B$3),$B$3&gt;0),F55/(6*$B$3*1000000*$B$5)*(IF(B55&lt;($B$4*2/10),($B$4*2/10)*(MIN(C55,($B$4*2/10))^3-B55^3)-(MIN(C55,($B$4*2/10))^4-B55^4)/4,0)+IF(C55&gt;($B$4*2/10),($B$4*2/10)^2*(1.5*(C55^2-MAX(B55,($B$4*2/10))^2)-($B$4*2/10)*(C55-MAX(B55,($B$4*2/10)))),0))*1000,0)</f>
        <v>0</v>
      </c>
      <c r="AD55" s="120">
        <f>IF(AND(J55="OK",ISNUMBER($B$5),$B$5&gt;0,ISNUMBER($B$3),$B$3&gt;0),F55/(6*$B$3*1000000*$B$5)*(IF(B55&lt;($B$4*3/10),($B$4*3/10)*(MIN(C55,($B$4*3/10))^3-B55^3)-(MIN(C55,($B$4*3/10))^4-B55^4)/4,0)+IF(C55&gt;($B$4*3/10),($B$4*3/10)^2*(1.5*(C55^2-MAX(B55,($B$4*3/10))^2)-($B$4*3/10)*(C55-MAX(B55,($B$4*3/10)))),0))*1000,0)</f>
        <v>0</v>
      </c>
      <c r="AE55" s="120">
        <f>IF(AND(J55="OK",ISNUMBER($B$5),$B$5&gt;0,ISNUMBER($B$3),$B$3&gt;0),F55/(6*$B$3*1000000*$B$5)*(IF(B55&lt;($B$4*4/10),($B$4*4/10)*(MIN(C55,($B$4*4/10))^3-B55^3)-(MIN(C55,($B$4*4/10))^4-B55^4)/4,0)+IF(C55&gt;($B$4*4/10),($B$4*4/10)^2*(1.5*(C55^2-MAX(B55,($B$4*4/10))^2)-($B$4*4/10)*(C55-MAX(B55,($B$4*4/10)))),0))*1000,0)</f>
        <v>0</v>
      </c>
      <c r="AF55" s="120">
        <f>IF(AND(J55="OK",ISNUMBER($B$5),$B$5&gt;0,ISNUMBER($B$3),$B$3&gt;0),F55/(6*$B$3*1000000*$B$5)*(IF(B55&lt;($B$4*5/10),($B$4*5/10)*(MIN(C55,($B$4*5/10))^3-B55^3)-(MIN(C55,($B$4*5/10))^4-B55^4)/4,0)+IF(C55&gt;($B$4*5/10),($B$4*5/10)^2*(1.5*(C55^2-MAX(B55,($B$4*5/10))^2)-($B$4*5/10)*(C55-MAX(B55,($B$4*5/10)))),0))*1000,0)</f>
        <v>0</v>
      </c>
      <c r="AG55" s="120">
        <f>IF(AND(J55="OK",ISNUMBER($B$5),$B$5&gt;0,ISNUMBER($B$3),$B$3&gt;0),F55/(6*$B$3*1000000*$B$5)*(IF(B55&lt;($B$4*6/10),($B$4*6/10)*(MIN(C55,($B$4*6/10))^3-B55^3)-(MIN(C55,($B$4*6/10))^4-B55^4)/4,0)+IF(C55&gt;($B$4*6/10),($B$4*6/10)^2*(1.5*(C55^2-MAX(B55,($B$4*6/10))^2)-($B$4*6/10)*(C55-MAX(B55,($B$4*6/10)))),0))*1000,0)</f>
        <v>0</v>
      </c>
      <c r="AH55" s="120">
        <f>IF(AND(J55="OK",ISNUMBER($B$5),$B$5&gt;0,ISNUMBER($B$3),$B$3&gt;0),F55/(6*$B$3*1000000*$B$5)*(IF(B55&lt;($B$4*7/10),($B$4*7/10)*(MIN(C55,($B$4*7/10))^3-B55^3)-(MIN(C55,($B$4*7/10))^4-B55^4)/4,0)+IF(C55&gt;($B$4*7/10),($B$4*7/10)^2*(1.5*(C55^2-MAX(B55,($B$4*7/10))^2)-($B$4*7/10)*(C55-MAX(B55,($B$4*7/10)))),0))*1000,0)</f>
        <v>0</v>
      </c>
      <c r="AI55" s="120">
        <f>IF(AND(J55="OK",ISNUMBER($B$5),$B$5&gt;0,ISNUMBER($B$3),$B$3&gt;0),F55/(6*$B$3*1000000*$B$5)*(IF(B55&lt;($B$4*8/10),($B$4*8/10)*(MIN(C55,($B$4*8/10))^3-B55^3)-(MIN(C55,($B$4*8/10))^4-B55^4)/4,0)+IF(C55&gt;($B$4*8/10),($B$4*8/10)^2*(1.5*(C55^2-MAX(B55,($B$4*8/10))^2)-($B$4*8/10)*(C55-MAX(B55,($B$4*8/10)))),0))*1000,0)</f>
        <v>0</v>
      </c>
      <c r="AJ55" s="120">
        <f>IF(AND(J55="OK",ISNUMBER($B$5),$B$5&gt;0,ISNUMBER($B$3),$B$3&gt;0),F55/(6*$B$3*1000000*$B$5)*(IF(B55&lt;($B$4*9/10),($B$4*9/10)*(MIN(C55,($B$4*9/10))^3-B55^3)-(MIN(C55,($B$4*9/10))^4-B55^4)/4,0)+IF(C55&gt;($B$4*9/10),($B$4*9/10)^2*(1.5*(C55^2-MAX(B55,($B$4*9/10))^2)-($B$4*9/10)*(C55-MAX(B55,($B$4*9/10)))),0))*1000,0)</f>
        <v>0</v>
      </c>
      <c r="AK55" s="120">
        <f>IF(AND(J55="OK",ISNUMBER($B$5),$B$5&gt;0,ISNUMBER($B$3),$B$3&gt;0),F55/(6*$B$3*1000000*$B$5)*(IF(B55&lt;($B$4*10/10),($B$4*10/10)*(MIN(C55,($B$4*10/10))^3-B55^3)-(MIN(C55,($B$4*10/10))^4-B55^4)/4,0)+IF(C55&gt;($B$4*10/10),($B$4*10/10)^2*(1.5*(C55^2-MAX(B55,($B$4*10/10))^2)-($B$4*10/10)*(C55-MAX(B55,($B$4*10/10)))),0))*1000,0)</f>
        <v>0</v>
      </c>
      <c r="AM55" s="120">
        <f>IF(AND(V55="OK",ISNUMBER($N$5),$N$5&gt;0,ISNUMBER($N$3),$N$3&gt;0),R55/(6*$N$3*1000000*$N$5)*(IF(N55&lt;($N$4*0/10),($N$4*0/10)*(MIN(O55,($N$4*0/10))^3-N55^3)-(MIN(O55,($N$4*0/10))^4-N55^4)/4,0)+IF(O55&gt;($N$4*0/10),($N$4*0/10)^2*(1.5*(O55^2-MAX(N55,($N$4*0/10))^2)-($N$4*0/10)*(O55-MAX(N55,($N$4*0/10)))),0))*1000,0)</f>
        <v>0</v>
      </c>
      <c r="AN55" s="120">
        <f>IF(AND(V55="OK",ISNUMBER($N$5),$N$5&gt;0,ISNUMBER($N$3),$N$3&gt;0),R55/(6*$N$3*1000000*$N$5)*(IF(N55&lt;($N$4*1/10),($N$4*1/10)*(MIN(O55,($N$4*1/10))^3-N55^3)-(MIN(O55,($N$4*1/10))^4-N55^4)/4,0)+IF(O55&gt;($N$4*1/10),($N$4*1/10)^2*(1.5*(O55^2-MAX(N55,($N$4*1/10))^2)-($N$4*1/10)*(O55-MAX(N55,($N$4*1/10)))),0))*1000,0)</f>
        <v>0</v>
      </c>
      <c r="AO55" s="120">
        <f>IF(AND(V55="OK",ISNUMBER($N$5),$N$5&gt;0,ISNUMBER($N$3),$N$3&gt;0),R55/(6*$N$3*1000000*$N$5)*(IF(N55&lt;($N$4*2/10),($N$4*2/10)*(MIN(O55,($N$4*2/10))^3-N55^3)-(MIN(O55,($N$4*2/10))^4-N55^4)/4,0)+IF(O55&gt;($N$4*2/10),($N$4*2/10)^2*(1.5*(O55^2-MAX(N55,($N$4*2/10))^2)-($N$4*2/10)*(O55-MAX(N55,($N$4*2/10)))),0))*1000,0)</f>
        <v>0</v>
      </c>
      <c r="AP55" s="120">
        <f>IF(AND(V55="OK",ISNUMBER($N$5),$N$5&gt;0,ISNUMBER($N$3),$N$3&gt;0),R55/(6*$N$3*1000000*$N$5)*(IF(N55&lt;($N$4*3/10),($N$4*3/10)*(MIN(O55,($N$4*3/10))^3-N55^3)-(MIN(O55,($N$4*3/10))^4-N55^4)/4,0)+IF(O55&gt;($N$4*3/10),($N$4*3/10)^2*(1.5*(O55^2-MAX(N55,($N$4*3/10))^2)-($N$4*3/10)*(O55-MAX(N55,($N$4*3/10)))),0))*1000,0)</f>
        <v>0</v>
      </c>
      <c r="AQ55" s="120">
        <f>IF(AND(V55="OK",ISNUMBER($N$5),$N$5&gt;0,ISNUMBER($N$3),$N$3&gt;0),R55/(6*$N$3*1000000*$N$5)*(IF(N55&lt;($N$4*4/10),($N$4*4/10)*(MIN(O55,($N$4*4/10))^3-N55^3)-(MIN(O55,($N$4*4/10))^4-N55^4)/4,0)+IF(O55&gt;($N$4*4/10),($N$4*4/10)^2*(1.5*(O55^2-MAX(N55,($N$4*4/10))^2)-($N$4*4/10)*(O55-MAX(N55,($N$4*4/10)))),0))*1000,0)</f>
        <v>0</v>
      </c>
      <c r="AR55" s="120">
        <f>IF(AND(V55="OK",ISNUMBER($N$5),$N$5&gt;0,ISNUMBER($N$3),$N$3&gt;0),R55/(6*$N$3*1000000*$N$5)*(IF(N55&lt;($N$4*5/10),($N$4*5/10)*(MIN(O55,($N$4*5/10))^3-N55^3)-(MIN(O55,($N$4*5/10))^4-N55^4)/4,0)+IF(O55&gt;($N$4*5/10),($N$4*5/10)^2*(1.5*(O55^2-MAX(N55,($N$4*5/10))^2)-($N$4*5/10)*(O55-MAX(N55,($N$4*5/10)))),0))*1000,0)</f>
        <v>0</v>
      </c>
      <c r="AS55" s="120">
        <f>IF(AND(V55="OK",ISNUMBER($N$5),$N$5&gt;0,ISNUMBER($N$3),$N$3&gt;0),R55/(6*$N$3*1000000*$N$5)*(IF(N55&lt;($N$4*6/10),($N$4*6/10)*(MIN(O55,($N$4*6/10))^3-N55^3)-(MIN(O55,($N$4*6/10))^4-N55^4)/4,0)+IF(O55&gt;($N$4*6/10),($N$4*6/10)^2*(1.5*(O55^2-MAX(N55,($N$4*6/10))^2)-($N$4*6/10)*(O55-MAX(N55,($N$4*6/10)))),0))*1000,0)</f>
        <v>0</v>
      </c>
      <c r="AT55" s="120">
        <f>IF(AND(V55="OK",ISNUMBER($N$5),$N$5&gt;0,ISNUMBER($N$3),$N$3&gt;0),R55/(6*$N$3*1000000*$N$5)*(IF(N55&lt;($N$4*7/10),($N$4*7/10)*(MIN(O55,($N$4*7/10))^3-N55^3)-(MIN(O55,($N$4*7/10))^4-N55^4)/4,0)+IF(O55&gt;($N$4*7/10),($N$4*7/10)^2*(1.5*(O55^2-MAX(N55,($N$4*7/10))^2)-($N$4*7/10)*(O55-MAX(N55,($N$4*7/10)))),0))*1000,0)</f>
        <v>0</v>
      </c>
      <c r="AU55" s="120">
        <f>IF(AND(V55="OK",ISNUMBER($N$5),$N$5&gt;0,ISNUMBER($N$3),$N$3&gt;0),R55/(6*$N$3*1000000*$N$5)*(IF(N55&lt;($N$4*8/10),($N$4*8/10)*(MIN(O55,($N$4*8/10))^3-N55^3)-(MIN(O55,($N$4*8/10))^4-N55^4)/4,0)+IF(O55&gt;($N$4*8/10),($N$4*8/10)^2*(1.5*(O55^2-MAX(N55,($N$4*8/10))^2)-($N$4*8/10)*(O55-MAX(N55,($N$4*8/10)))),0))*1000,0)</f>
        <v>0</v>
      </c>
      <c r="AV55" s="120">
        <f>IF(AND(V55="OK",ISNUMBER($N$5),$N$5&gt;0,ISNUMBER($N$3),$N$3&gt;0),R55/(6*$N$3*1000000*$N$5)*(IF(N55&lt;($N$4*9/10),($N$4*9/10)*(MIN(O55,($N$4*9/10))^3-N55^3)-(MIN(O55,($N$4*9/10))^4-N55^4)/4,0)+IF(O55&gt;($N$4*9/10),($N$4*9/10)^2*(1.5*(O55^2-MAX(N55,($N$4*9/10))^2)-($N$4*9/10)*(O55-MAX(N55,($N$4*9/10)))),0))*1000,0)</f>
        <v>0</v>
      </c>
      <c r="AW55" s="120">
        <f>IF(AND(V55="OK",ISNUMBER($N$5),$N$5&gt;0,ISNUMBER($N$3),$N$3&gt;0),R55/(6*$N$3*1000000*$N$5)*(IF(N55&lt;($N$4*10/10),($N$4*10/10)*(MIN(O55,($N$4*10/10))^3-N55^3)-(MIN(O55,($N$4*10/10))^4-N55^4)/4,0)+IF(O55&gt;($N$4*10/10),($N$4*10/10)^2*(1.5*(O55^2-MAX(N55,($N$4*10/10))^2)-($N$4*10/10)*(O55-MAX(N55,($N$4*10/10)))),0))*1000,0)</f>
        <v>0</v>
      </c>
    </row>
    <row r="56" spans="1:49">
      <c r="A56" s="124"/>
      <c r="B56" s="125"/>
      <c r="C56" s="125"/>
      <c r="D56" s="125"/>
      <c r="E56" s="125"/>
      <c r="F56" s="126" t="str">
        <f>IF(J56="OK",D56*E56,"")</f>
        <v/>
      </c>
      <c r="G56" s="126" t="str">
        <f>IF(J56="OK",F56*(C56-B56),"")</f>
        <v/>
      </c>
      <c r="H56" s="126" t="str">
        <f>IF(J56="OK",G56*(C56+B56)/2,"")</f>
        <v/>
      </c>
      <c r="I56" s="126" t="str">
        <f>IF(AND(J56="OK",ISNUMBER($B$5),$B$5&gt;0,ISNUMBER($B$3),$B$3&gt;0),F56*(4*$B$4*(C56^3-B56^3)-(C56^4-B56^4))/(24*$B$3*1000000*$B$5)*1000,"")</f>
        <v/>
      </c>
      <c r="J56" s="120" t="str">
        <f>IF(COUNTA(A56:E56)=0,"",IF(AND(COUNT(B56:E56)=4,B56&gt;=0,C56&gt;B56,C56&lt;=$B$4,D56&gt;=0,E56&gt;0),IF(COUNTIFS($B$13:$B$55,"&lt;"&amp;C56,$C$13:$C$55,"&gt;"&amp;B56)&gt;0,"OVERLAP","OK"),"CHECK INPUTS"))</f>
        <v/>
      </c>
      <c r="M56" s="124"/>
      <c r="N56" s="125"/>
      <c r="O56" s="125"/>
      <c r="P56" s="125"/>
      <c r="Q56" s="125"/>
      <c r="R56" s="126" t="str">
        <f>IF(V56="OK",P56*Q56,"")</f>
        <v/>
      </c>
      <c r="S56" s="126" t="str">
        <f>IF(V56="OK",R56*(O56-N56),"")</f>
        <v/>
      </c>
      <c r="T56" s="126" t="str">
        <f>IF(V56="OK",S56*(O56+N56)/2,"")</f>
        <v/>
      </c>
      <c r="U56" s="126" t="str">
        <f>IF(AND(V56="OK",ISNUMBER($N$5),$N$5&gt;0,ISNUMBER($N$3),$N$3&gt;0),R56*(4*$N$4*(O56^3-N56^3)-(O56^4-N56^4))/(24*$N$3*1000000*$N$5)*1000,"")</f>
        <v/>
      </c>
      <c r="V56" s="120" t="str">
        <f>IF(COUNTA(M56:Q56)=0,"",IF(AND(COUNT(N56:Q56)=4,N56&gt;=0,O56&gt;N56,O56&lt;=$N$4,P56&gt;=0,Q56&gt;0),IF(COUNTIFS($N$13:$N$55,"&lt;"&amp;O56,$O$13:$O$55,"&gt;"&amp;N56)&gt;0,"OVERLAP","OK"),"CHECK INPUTS"))</f>
        <v/>
      </c>
      <c r="AA56" s="120">
        <f>IF(AND(J56="OK",ISNUMBER($B$5),$B$5&gt;0,ISNUMBER($B$3),$B$3&gt;0),F56/(6*$B$3*1000000*$B$5)*(IF(B56&lt;($B$4*0/10),($B$4*0/10)*(MIN(C56,($B$4*0/10))^3-B56^3)-(MIN(C56,($B$4*0/10))^4-B56^4)/4,0)+IF(C56&gt;($B$4*0/10),($B$4*0/10)^2*(1.5*(C56^2-MAX(B56,($B$4*0/10))^2)-($B$4*0/10)*(C56-MAX(B56,($B$4*0/10)))),0))*1000,0)</f>
        <v>0</v>
      </c>
      <c r="AB56" s="120">
        <f>IF(AND(J56="OK",ISNUMBER($B$5),$B$5&gt;0,ISNUMBER($B$3),$B$3&gt;0),F56/(6*$B$3*1000000*$B$5)*(IF(B56&lt;($B$4*1/10),($B$4*1/10)*(MIN(C56,($B$4*1/10))^3-B56^3)-(MIN(C56,($B$4*1/10))^4-B56^4)/4,0)+IF(C56&gt;($B$4*1/10),($B$4*1/10)^2*(1.5*(C56^2-MAX(B56,($B$4*1/10))^2)-($B$4*1/10)*(C56-MAX(B56,($B$4*1/10)))),0))*1000,0)</f>
        <v>0</v>
      </c>
      <c r="AC56" s="120">
        <f>IF(AND(J56="OK",ISNUMBER($B$5),$B$5&gt;0,ISNUMBER($B$3),$B$3&gt;0),F56/(6*$B$3*1000000*$B$5)*(IF(B56&lt;($B$4*2/10),($B$4*2/10)*(MIN(C56,($B$4*2/10))^3-B56^3)-(MIN(C56,($B$4*2/10))^4-B56^4)/4,0)+IF(C56&gt;($B$4*2/10),($B$4*2/10)^2*(1.5*(C56^2-MAX(B56,($B$4*2/10))^2)-($B$4*2/10)*(C56-MAX(B56,($B$4*2/10)))),0))*1000,0)</f>
        <v>0</v>
      </c>
      <c r="AD56" s="120">
        <f>IF(AND(J56="OK",ISNUMBER($B$5),$B$5&gt;0,ISNUMBER($B$3),$B$3&gt;0),F56/(6*$B$3*1000000*$B$5)*(IF(B56&lt;($B$4*3/10),($B$4*3/10)*(MIN(C56,($B$4*3/10))^3-B56^3)-(MIN(C56,($B$4*3/10))^4-B56^4)/4,0)+IF(C56&gt;($B$4*3/10),($B$4*3/10)^2*(1.5*(C56^2-MAX(B56,($B$4*3/10))^2)-($B$4*3/10)*(C56-MAX(B56,($B$4*3/10)))),0))*1000,0)</f>
        <v>0</v>
      </c>
      <c r="AE56" s="120">
        <f>IF(AND(J56="OK",ISNUMBER($B$5),$B$5&gt;0,ISNUMBER($B$3),$B$3&gt;0),F56/(6*$B$3*1000000*$B$5)*(IF(B56&lt;($B$4*4/10),($B$4*4/10)*(MIN(C56,($B$4*4/10))^3-B56^3)-(MIN(C56,($B$4*4/10))^4-B56^4)/4,0)+IF(C56&gt;($B$4*4/10),($B$4*4/10)^2*(1.5*(C56^2-MAX(B56,($B$4*4/10))^2)-($B$4*4/10)*(C56-MAX(B56,($B$4*4/10)))),0))*1000,0)</f>
        <v>0</v>
      </c>
      <c r="AF56" s="120">
        <f>IF(AND(J56="OK",ISNUMBER($B$5),$B$5&gt;0,ISNUMBER($B$3),$B$3&gt;0),F56/(6*$B$3*1000000*$B$5)*(IF(B56&lt;($B$4*5/10),($B$4*5/10)*(MIN(C56,($B$4*5/10))^3-B56^3)-(MIN(C56,($B$4*5/10))^4-B56^4)/4,0)+IF(C56&gt;($B$4*5/10),($B$4*5/10)^2*(1.5*(C56^2-MAX(B56,($B$4*5/10))^2)-($B$4*5/10)*(C56-MAX(B56,($B$4*5/10)))),0))*1000,0)</f>
        <v>0</v>
      </c>
      <c r="AG56" s="120">
        <f>IF(AND(J56="OK",ISNUMBER($B$5),$B$5&gt;0,ISNUMBER($B$3),$B$3&gt;0),F56/(6*$B$3*1000000*$B$5)*(IF(B56&lt;($B$4*6/10),($B$4*6/10)*(MIN(C56,($B$4*6/10))^3-B56^3)-(MIN(C56,($B$4*6/10))^4-B56^4)/4,0)+IF(C56&gt;($B$4*6/10),($B$4*6/10)^2*(1.5*(C56^2-MAX(B56,($B$4*6/10))^2)-($B$4*6/10)*(C56-MAX(B56,($B$4*6/10)))),0))*1000,0)</f>
        <v>0</v>
      </c>
      <c r="AH56" s="120">
        <f>IF(AND(J56="OK",ISNUMBER($B$5),$B$5&gt;0,ISNUMBER($B$3),$B$3&gt;0),F56/(6*$B$3*1000000*$B$5)*(IF(B56&lt;($B$4*7/10),($B$4*7/10)*(MIN(C56,($B$4*7/10))^3-B56^3)-(MIN(C56,($B$4*7/10))^4-B56^4)/4,0)+IF(C56&gt;($B$4*7/10),($B$4*7/10)^2*(1.5*(C56^2-MAX(B56,($B$4*7/10))^2)-($B$4*7/10)*(C56-MAX(B56,($B$4*7/10)))),0))*1000,0)</f>
        <v>0</v>
      </c>
      <c r="AI56" s="120">
        <f>IF(AND(J56="OK",ISNUMBER($B$5),$B$5&gt;0,ISNUMBER($B$3),$B$3&gt;0),F56/(6*$B$3*1000000*$B$5)*(IF(B56&lt;($B$4*8/10),($B$4*8/10)*(MIN(C56,($B$4*8/10))^3-B56^3)-(MIN(C56,($B$4*8/10))^4-B56^4)/4,0)+IF(C56&gt;($B$4*8/10),($B$4*8/10)^2*(1.5*(C56^2-MAX(B56,($B$4*8/10))^2)-($B$4*8/10)*(C56-MAX(B56,($B$4*8/10)))),0))*1000,0)</f>
        <v>0</v>
      </c>
      <c r="AJ56" s="120">
        <f>IF(AND(J56="OK",ISNUMBER($B$5),$B$5&gt;0,ISNUMBER($B$3),$B$3&gt;0),F56/(6*$B$3*1000000*$B$5)*(IF(B56&lt;($B$4*9/10),($B$4*9/10)*(MIN(C56,($B$4*9/10))^3-B56^3)-(MIN(C56,($B$4*9/10))^4-B56^4)/4,0)+IF(C56&gt;($B$4*9/10),($B$4*9/10)^2*(1.5*(C56^2-MAX(B56,($B$4*9/10))^2)-($B$4*9/10)*(C56-MAX(B56,($B$4*9/10)))),0))*1000,0)</f>
        <v>0</v>
      </c>
      <c r="AK56" s="120">
        <f>IF(AND(J56="OK",ISNUMBER($B$5),$B$5&gt;0,ISNUMBER($B$3),$B$3&gt;0),F56/(6*$B$3*1000000*$B$5)*(IF(B56&lt;($B$4*10/10),($B$4*10/10)*(MIN(C56,($B$4*10/10))^3-B56^3)-(MIN(C56,($B$4*10/10))^4-B56^4)/4,0)+IF(C56&gt;($B$4*10/10),($B$4*10/10)^2*(1.5*(C56^2-MAX(B56,($B$4*10/10))^2)-($B$4*10/10)*(C56-MAX(B56,($B$4*10/10)))),0))*1000,0)</f>
        <v>0</v>
      </c>
      <c r="AM56" s="120">
        <f>IF(AND(V56="OK",ISNUMBER($N$5),$N$5&gt;0,ISNUMBER($N$3),$N$3&gt;0),R56/(6*$N$3*1000000*$N$5)*(IF(N56&lt;($N$4*0/10),($N$4*0/10)*(MIN(O56,($N$4*0/10))^3-N56^3)-(MIN(O56,($N$4*0/10))^4-N56^4)/4,0)+IF(O56&gt;($N$4*0/10),($N$4*0/10)^2*(1.5*(O56^2-MAX(N56,($N$4*0/10))^2)-($N$4*0/10)*(O56-MAX(N56,($N$4*0/10)))),0))*1000,0)</f>
        <v>0</v>
      </c>
      <c r="AN56" s="120">
        <f>IF(AND(V56="OK",ISNUMBER($N$5),$N$5&gt;0,ISNUMBER($N$3),$N$3&gt;0),R56/(6*$N$3*1000000*$N$5)*(IF(N56&lt;($N$4*1/10),($N$4*1/10)*(MIN(O56,($N$4*1/10))^3-N56^3)-(MIN(O56,($N$4*1/10))^4-N56^4)/4,0)+IF(O56&gt;($N$4*1/10),($N$4*1/10)^2*(1.5*(O56^2-MAX(N56,($N$4*1/10))^2)-($N$4*1/10)*(O56-MAX(N56,($N$4*1/10)))),0))*1000,0)</f>
        <v>0</v>
      </c>
      <c r="AO56" s="120">
        <f>IF(AND(V56="OK",ISNUMBER($N$5),$N$5&gt;0,ISNUMBER($N$3),$N$3&gt;0),R56/(6*$N$3*1000000*$N$5)*(IF(N56&lt;($N$4*2/10),($N$4*2/10)*(MIN(O56,($N$4*2/10))^3-N56^3)-(MIN(O56,($N$4*2/10))^4-N56^4)/4,0)+IF(O56&gt;($N$4*2/10),($N$4*2/10)^2*(1.5*(O56^2-MAX(N56,($N$4*2/10))^2)-($N$4*2/10)*(O56-MAX(N56,($N$4*2/10)))),0))*1000,0)</f>
        <v>0</v>
      </c>
      <c r="AP56" s="120">
        <f>IF(AND(V56="OK",ISNUMBER($N$5),$N$5&gt;0,ISNUMBER($N$3),$N$3&gt;0),R56/(6*$N$3*1000000*$N$5)*(IF(N56&lt;($N$4*3/10),($N$4*3/10)*(MIN(O56,($N$4*3/10))^3-N56^3)-(MIN(O56,($N$4*3/10))^4-N56^4)/4,0)+IF(O56&gt;($N$4*3/10),($N$4*3/10)^2*(1.5*(O56^2-MAX(N56,($N$4*3/10))^2)-($N$4*3/10)*(O56-MAX(N56,($N$4*3/10)))),0))*1000,0)</f>
        <v>0</v>
      </c>
      <c r="AQ56" s="120">
        <f>IF(AND(V56="OK",ISNUMBER($N$5),$N$5&gt;0,ISNUMBER($N$3),$N$3&gt;0),R56/(6*$N$3*1000000*$N$5)*(IF(N56&lt;($N$4*4/10),($N$4*4/10)*(MIN(O56,($N$4*4/10))^3-N56^3)-(MIN(O56,($N$4*4/10))^4-N56^4)/4,0)+IF(O56&gt;($N$4*4/10),($N$4*4/10)^2*(1.5*(O56^2-MAX(N56,($N$4*4/10))^2)-($N$4*4/10)*(O56-MAX(N56,($N$4*4/10)))),0))*1000,0)</f>
        <v>0</v>
      </c>
      <c r="AR56" s="120">
        <f>IF(AND(V56="OK",ISNUMBER($N$5),$N$5&gt;0,ISNUMBER($N$3),$N$3&gt;0),R56/(6*$N$3*1000000*$N$5)*(IF(N56&lt;($N$4*5/10),($N$4*5/10)*(MIN(O56,($N$4*5/10))^3-N56^3)-(MIN(O56,($N$4*5/10))^4-N56^4)/4,0)+IF(O56&gt;($N$4*5/10),($N$4*5/10)^2*(1.5*(O56^2-MAX(N56,($N$4*5/10))^2)-($N$4*5/10)*(O56-MAX(N56,($N$4*5/10)))),0))*1000,0)</f>
        <v>0</v>
      </c>
      <c r="AS56" s="120">
        <f>IF(AND(V56="OK",ISNUMBER($N$5),$N$5&gt;0,ISNUMBER($N$3),$N$3&gt;0),R56/(6*$N$3*1000000*$N$5)*(IF(N56&lt;($N$4*6/10),($N$4*6/10)*(MIN(O56,($N$4*6/10))^3-N56^3)-(MIN(O56,($N$4*6/10))^4-N56^4)/4,0)+IF(O56&gt;($N$4*6/10),($N$4*6/10)^2*(1.5*(O56^2-MAX(N56,($N$4*6/10))^2)-($N$4*6/10)*(O56-MAX(N56,($N$4*6/10)))),0))*1000,0)</f>
        <v>0</v>
      </c>
      <c r="AT56" s="120">
        <f>IF(AND(V56="OK",ISNUMBER($N$5),$N$5&gt;0,ISNUMBER($N$3),$N$3&gt;0),R56/(6*$N$3*1000000*$N$5)*(IF(N56&lt;($N$4*7/10),($N$4*7/10)*(MIN(O56,($N$4*7/10))^3-N56^3)-(MIN(O56,($N$4*7/10))^4-N56^4)/4,0)+IF(O56&gt;($N$4*7/10),($N$4*7/10)^2*(1.5*(O56^2-MAX(N56,($N$4*7/10))^2)-($N$4*7/10)*(O56-MAX(N56,($N$4*7/10)))),0))*1000,0)</f>
        <v>0</v>
      </c>
      <c r="AU56" s="120">
        <f>IF(AND(V56="OK",ISNUMBER($N$5),$N$5&gt;0,ISNUMBER($N$3),$N$3&gt;0),R56/(6*$N$3*1000000*$N$5)*(IF(N56&lt;($N$4*8/10),($N$4*8/10)*(MIN(O56,($N$4*8/10))^3-N56^3)-(MIN(O56,($N$4*8/10))^4-N56^4)/4,0)+IF(O56&gt;($N$4*8/10),($N$4*8/10)^2*(1.5*(O56^2-MAX(N56,($N$4*8/10))^2)-($N$4*8/10)*(O56-MAX(N56,($N$4*8/10)))),0))*1000,0)</f>
        <v>0</v>
      </c>
      <c r="AV56" s="120">
        <f>IF(AND(V56="OK",ISNUMBER($N$5),$N$5&gt;0,ISNUMBER($N$3),$N$3&gt;0),R56/(6*$N$3*1000000*$N$5)*(IF(N56&lt;($N$4*9/10),($N$4*9/10)*(MIN(O56,($N$4*9/10))^3-N56^3)-(MIN(O56,($N$4*9/10))^4-N56^4)/4,0)+IF(O56&gt;($N$4*9/10),($N$4*9/10)^2*(1.5*(O56^2-MAX(N56,($N$4*9/10))^2)-($N$4*9/10)*(O56-MAX(N56,($N$4*9/10)))),0))*1000,0)</f>
        <v>0</v>
      </c>
      <c r="AW56" s="120">
        <f>IF(AND(V56="OK",ISNUMBER($N$5),$N$5&gt;0,ISNUMBER($N$3),$N$3&gt;0),R56/(6*$N$3*1000000*$N$5)*(IF(N56&lt;($N$4*10/10),($N$4*10/10)*(MIN(O56,($N$4*10/10))^3-N56^3)-(MIN(O56,($N$4*10/10))^4-N56^4)/4,0)+IF(O56&gt;($N$4*10/10),($N$4*10/10)^2*(1.5*(O56^2-MAX(N56,($N$4*10/10))^2)-($N$4*10/10)*(O56-MAX(N56,($N$4*10/10)))),0))*1000,0)</f>
        <v>0</v>
      </c>
    </row>
    <row r="57" spans="1:49">
      <c r="A57" s="124"/>
      <c r="B57" s="125"/>
      <c r="C57" s="125"/>
      <c r="D57" s="125"/>
      <c r="E57" s="125"/>
      <c r="F57" s="126" t="str">
        <f>IF(J57="OK",D57*E57,"")</f>
        <v/>
      </c>
      <c r="G57" s="126" t="str">
        <f>IF(J57="OK",F57*(C57-B57),"")</f>
        <v/>
      </c>
      <c r="H57" s="126" t="str">
        <f>IF(J57="OK",G57*(C57+B57)/2,"")</f>
        <v/>
      </c>
      <c r="I57" s="126" t="str">
        <f>IF(AND(J57="OK",ISNUMBER($B$5),$B$5&gt;0,ISNUMBER($B$3),$B$3&gt;0),F57*(4*$B$4*(C57^3-B57^3)-(C57^4-B57^4))/(24*$B$3*1000000*$B$5)*1000,"")</f>
        <v/>
      </c>
      <c r="J57" s="120" t="str">
        <f>IF(COUNTA(A57:E57)=0,"",IF(AND(COUNT(B57:E57)=4,B57&gt;=0,C57&gt;B57,C57&lt;=$B$4,D57&gt;=0,E57&gt;0),IF(COUNTIFS($B$13:$B$56,"&lt;"&amp;C57,$C$13:$C$56,"&gt;"&amp;B57)&gt;0,"OVERLAP","OK"),"CHECK INPUTS"))</f>
        <v/>
      </c>
      <c r="M57" s="124"/>
      <c r="N57" s="125"/>
      <c r="O57" s="125"/>
      <c r="P57" s="125"/>
      <c r="Q57" s="125"/>
      <c r="R57" s="126" t="str">
        <f>IF(V57="OK",P57*Q57,"")</f>
        <v/>
      </c>
      <c r="S57" s="126" t="str">
        <f>IF(V57="OK",R57*(O57-N57),"")</f>
        <v/>
      </c>
      <c r="T57" s="126" t="str">
        <f>IF(V57="OK",S57*(O57+N57)/2,"")</f>
        <v/>
      </c>
      <c r="U57" s="126" t="str">
        <f>IF(AND(V57="OK",ISNUMBER($N$5),$N$5&gt;0,ISNUMBER($N$3),$N$3&gt;0),R57*(4*$N$4*(O57^3-N57^3)-(O57^4-N57^4))/(24*$N$3*1000000*$N$5)*1000,"")</f>
        <v/>
      </c>
      <c r="V57" s="120" t="str">
        <f>IF(COUNTA(M57:Q57)=0,"",IF(AND(COUNT(N57:Q57)=4,N57&gt;=0,O57&gt;N57,O57&lt;=$N$4,P57&gt;=0,Q57&gt;0),IF(COUNTIFS($N$13:$N$56,"&lt;"&amp;O57,$O$13:$O$56,"&gt;"&amp;N57)&gt;0,"OVERLAP","OK"),"CHECK INPUTS"))</f>
        <v/>
      </c>
      <c r="AA57" s="120">
        <f>IF(AND(J57="OK",ISNUMBER($B$5),$B$5&gt;0,ISNUMBER($B$3),$B$3&gt;0),F57/(6*$B$3*1000000*$B$5)*(IF(B57&lt;($B$4*0/10),($B$4*0/10)*(MIN(C57,($B$4*0/10))^3-B57^3)-(MIN(C57,($B$4*0/10))^4-B57^4)/4,0)+IF(C57&gt;($B$4*0/10),($B$4*0/10)^2*(1.5*(C57^2-MAX(B57,($B$4*0/10))^2)-($B$4*0/10)*(C57-MAX(B57,($B$4*0/10)))),0))*1000,0)</f>
        <v>0</v>
      </c>
      <c r="AB57" s="120">
        <f>IF(AND(J57="OK",ISNUMBER($B$5),$B$5&gt;0,ISNUMBER($B$3),$B$3&gt;0),F57/(6*$B$3*1000000*$B$5)*(IF(B57&lt;($B$4*1/10),($B$4*1/10)*(MIN(C57,($B$4*1/10))^3-B57^3)-(MIN(C57,($B$4*1/10))^4-B57^4)/4,0)+IF(C57&gt;($B$4*1/10),($B$4*1/10)^2*(1.5*(C57^2-MAX(B57,($B$4*1/10))^2)-($B$4*1/10)*(C57-MAX(B57,($B$4*1/10)))),0))*1000,0)</f>
        <v>0</v>
      </c>
      <c r="AC57" s="120">
        <f>IF(AND(J57="OK",ISNUMBER($B$5),$B$5&gt;0,ISNUMBER($B$3),$B$3&gt;0),F57/(6*$B$3*1000000*$B$5)*(IF(B57&lt;($B$4*2/10),($B$4*2/10)*(MIN(C57,($B$4*2/10))^3-B57^3)-(MIN(C57,($B$4*2/10))^4-B57^4)/4,0)+IF(C57&gt;($B$4*2/10),($B$4*2/10)^2*(1.5*(C57^2-MAX(B57,($B$4*2/10))^2)-($B$4*2/10)*(C57-MAX(B57,($B$4*2/10)))),0))*1000,0)</f>
        <v>0</v>
      </c>
      <c r="AD57" s="120">
        <f>IF(AND(J57="OK",ISNUMBER($B$5),$B$5&gt;0,ISNUMBER($B$3),$B$3&gt;0),F57/(6*$B$3*1000000*$B$5)*(IF(B57&lt;($B$4*3/10),($B$4*3/10)*(MIN(C57,($B$4*3/10))^3-B57^3)-(MIN(C57,($B$4*3/10))^4-B57^4)/4,0)+IF(C57&gt;($B$4*3/10),($B$4*3/10)^2*(1.5*(C57^2-MAX(B57,($B$4*3/10))^2)-($B$4*3/10)*(C57-MAX(B57,($B$4*3/10)))),0))*1000,0)</f>
        <v>0</v>
      </c>
      <c r="AE57" s="120">
        <f>IF(AND(J57="OK",ISNUMBER($B$5),$B$5&gt;0,ISNUMBER($B$3),$B$3&gt;0),F57/(6*$B$3*1000000*$B$5)*(IF(B57&lt;($B$4*4/10),($B$4*4/10)*(MIN(C57,($B$4*4/10))^3-B57^3)-(MIN(C57,($B$4*4/10))^4-B57^4)/4,0)+IF(C57&gt;($B$4*4/10),($B$4*4/10)^2*(1.5*(C57^2-MAX(B57,($B$4*4/10))^2)-($B$4*4/10)*(C57-MAX(B57,($B$4*4/10)))),0))*1000,0)</f>
        <v>0</v>
      </c>
      <c r="AF57" s="120">
        <f>IF(AND(J57="OK",ISNUMBER($B$5),$B$5&gt;0,ISNUMBER($B$3),$B$3&gt;0),F57/(6*$B$3*1000000*$B$5)*(IF(B57&lt;($B$4*5/10),($B$4*5/10)*(MIN(C57,($B$4*5/10))^3-B57^3)-(MIN(C57,($B$4*5/10))^4-B57^4)/4,0)+IF(C57&gt;($B$4*5/10),($B$4*5/10)^2*(1.5*(C57^2-MAX(B57,($B$4*5/10))^2)-($B$4*5/10)*(C57-MAX(B57,($B$4*5/10)))),0))*1000,0)</f>
        <v>0</v>
      </c>
      <c r="AG57" s="120">
        <f>IF(AND(J57="OK",ISNUMBER($B$5),$B$5&gt;0,ISNUMBER($B$3),$B$3&gt;0),F57/(6*$B$3*1000000*$B$5)*(IF(B57&lt;($B$4*6/10),($B$4*6/10)*(MIN(C57,($B$4*6/10))^3-B57^3)-(MIN(C57,($B$4*6/10))^4-B57^4)/4,0)+IF(C57&gt;($B$4*6/10),($B$4*6/10)^2*(1.5*(C57^2-MAX(B57,($B$4*6/10))^2)-($B$4*6/10)*(C57-MAX(B57,($B$4*6/10)))),0))*1000,0)</f>
        <v>0</v>
      </c>
      <c r="AH57" s="120">
        <f>IF(AND(J57="OK",ISNUMBER($B$5),$B$5&gt;0,ISNUMBER($B$3),$B$3&gt;0),F57/(6*$B$3*1000000*$B$5)*(IF(B57&lt;($B$4*7/10),($B$4*7/10)*(MIN(C57,($B$4*7/10))^3-B57^3)-(MIN(C57,($B$4*7/10))^4-B57^4)/4,0)+IF(C57&gt;($B$4*7/10),($B$4*7/10)^2*(1.5*(C57^2-MAX(B57,($B$4*7/10))^2)-($B$4*7/10)*(C57-MAX(B57,($B$4*7/10)))),0))*1000,0)</f>
        <v>0</v>
      </c>
      <c r="AI57" s="120">
        <f>IF(AND(J57="OK",ISNUMBER($B$5),$B$5&gt;0,ISNUMBER($B$3),$B$3&gt;0),F57/(6*$B$3*1000000*$B$5)*(IF(B57&lt;($B$4*8/10),($B$4*8/10)*(MIN(C57,($B$4*8/10))^3-B57^3)-(MIN(C57,($B$4*8/10))^4-B57^4)/4,0)+IF(C57&gt;($B$4*8/10),($B$4*8/10)^2*(1.5*(C57^2-MAX(B57,($B$4*8/10))^2)-($B$4*8/10)*(C57-MAX(B57,($B$4*8/10)))),0))*1000,0)</f>
        <v>0</v>
      </c>
      <c r="AJ57" s="120">
        <f>IF(AND(J57="OK",ISNUMBER($B$5),$B$5&gt;0,ISNUMBER($B$3),$B$3&gt;0),F57/(6*$B$3*1000000*$B$5)*(IF(B57&lt;($B$4*9/10),($B$4*9/10)*(MIN(C57,($B$4*9/10))^3-B57^3)-(MIN(C57,($B$4*9/10))^4-B57^4)/4,0)+IF(C57&gt;($B$4*9/10),($B$4*9/10)^2*(1.5*(C57^2-MAX(B57,($B$4*9/10))^2)-($B$4*9/10)*(C57-MAX(B57,($B$4*9/10)))),0))*1000,0)</f>
        <v>0</v>
      </c>
      <c r="AK57" s="120">
        <f>IF(AND(J57="OK",ISNUMBER($B$5),$B$5&gt;0,ISNUMBER($B$3),$B$3&gt;0),F57/(6*$B$3*1000000*$B$5)*(IF(B57&lt;($B$4*10/10),($B$4*10/10)*(MIN(C57,($B$4*10/10))^3-B57^3)-(MIN(C57,($B$4*10/10))^4-B57^4)/4,0)+IF(C57&gt;($B$4*10/10),($B$4*10/10)^2*(1.5*(C57^2-MAX(B57,($B$4*10/10))^2)-($B$4*10/10)*(C57-MAX(B57,($B$4*10/10)))),0))*1000,0)</f>
        <v>0</v>
      </c>
      <c r="AM57" s="120">
        <f>IF(AND(V57="OK",ISNUMBER($N$5),$N$5&gt;0,ISNUMBER($N$3),$N$3&gt;0),R57/(6*$N$3*1000000*$N$5)*(IF(N57&lt;($N$4*0/10),($N$4*0/10)*(MIN(O57,($N$4*0/10))^3-N57^3)-(MIN(O57,($N$4*0/10))^4-N57^4)/4,0)+IF(O57&gt;($N$4*0/10),($N$4*0/10)^2*(1.5*(O57^2-MAX(N57,($N$4*0/10))^2)-($N$4*0/10)*(O57-MAX(N57,($N$4*0/10)))),0))*1000,0)</f>
        <v>0</v>
      </c>
      <c r="AN57" s="120">
        <f>IF(AND(V57="OK",ISNUMBER($N$5),$N$5&gt;0,ISNUMBER($N$3),$N$3&gt;0),R57/(6*$N$3*1000000*$N$5)*(IF(N57&lt;($N$4*1/10),($N$4*1/10)*(MIN(O57,($N$4*1/10))^3-N57^3)-(MIN(O57,($N$4*1/10))^4-N57^4)/4,0)+IF(O57&gt;($N$4*1/10),($N$4*1/10)^2*(1.5*(O57^2-MAX(N57,($N$4*1/10))^2)-($N$4*1/10)*(O57-MAX(N57,($N$4*1/10)))),0))*1000,0)</f>
        <v>0</v>
      </c>
      <c r="AO57" s="120">
        <f>IF(AND(V57="OK",ISNUMBER($N$5),$N$5&gt;0,ISNUMBER($N$3),$N$3&gt;0),R57/(6*$N$3*1000000*$N$5)*(IF(N57&lt;($N$4*2/10),($N$4*2/10)*(MIN(O57,($N$4*2/10))^3-N57^3)-(MIN(O57,($N$4*2/10))^4-N57^4)/4,0)+IF(O57&gt;($N$4*2/10),($N$4*2/10)^2*(1.5*(O57^2-MAX(N57,($N$4*2/10))^2)-($N$4*2/10)*(O57-MAX(N57,($N$4*2/10)))),0))*1000,0)</f>
        <v>0</v>
      </c>
      <c r="AP57" s="120">
        <f>IF(AND(V57="OK",ISNUMBER($N$5),$N$5&gt;0,ISNUMBER($N$3),$N$3&gt;0),R57/(6*$N$3*1000000*$N$5)*(IF(N57&lt;($N$4*3/10),($N$4*3/10)*(MIN(O57,($N$4*3/10))^3-N57^3)-(MIN(O57,($N$4*3/10))^4-N57^4)/4,0)+IF(O57&gt;($N$4*3/10),($N$4*3/10)^2*(1.5*(O57^2-MAX(N57,($N$4*3/10))^2)-($N$4*3/10)*(O57-MAX(N57,($N$4*3/10)))),0))*1000,0)</f>
        <v>0</v>
      </c>
      <c r="AQ57" s="120">
        <f>IF(AND(V57="OK",ISNUMBER($N$5),$N$5&gt;0,ISNUMBER($N$3),$N$3&gt;0),R57/(6*$N$3*1000000*$N$5)*(IF(N57&lt;($N$4*4/10),($N$4*4/10)*(MIN(O57,($N$4*4/10))^3-N57^3)-(MIN(O57,($N$4*4/10))^4-N57^4)/4,0)+IF(O57&gt;($N$4*4/10),($N$4*4/10)^2*(1.5*(O57^2-MAX(N57,($N$4*4/10))^2)-($N$4*4/10)*(O57-MAX(N57,($N$4*4/10)))),0))*1000,0)</f>
        <v>0</v>
      </c>
      <c r="AR57" s="120">
        <f>IF(AND(V57="OK",ISNUMBER($N$5),$N$5&gt;0,ISNUMBER($N$3),$N$3&gt;0),R57/(6*$N$3*1000000*$N$5)*(IF(N57&lt;($N$4*5/10),($N$4*5/10)*(MIN(O57,($N$4*5/10))^3-N57^3)-(MIN(O57,($N$4*5/10))^4-N57^4)/4,0)+IF(O57&gt;($N$4*5/10),($N$4*5/10)^2*(1.5*(O57^2-MAX(N57,($N$4*5/10))^2)-($N$4*5/10)*(O57-MAX(N57,($N$4*5/10)))),0))*1000,0)</f>
        <v>0</v>
      </c>
      <c r="AS57" s="120">
        <f>IF(AND(V57="OK",ISNUMBER($N$5),$N$5&gt;0,ISNUMBER($N$3),$N$3&gt;0),R57/(6*$N$3*1000000*$N$5)*(IF(N57&lt;($N$4*6/10),($N$4*6/10)*(MIN(O57,($N$4*6/10))^3-N57^3)-(MIN(O57,($N$4*6/10))^4-N57^4)/4,0)+IF(O57&gt;($N$4*6/10),($N$4*6/10)^2*(1.5*(O57^2-MAX(N57,($N$4*6/10))^2)-($N$4*6/10)*(O57-MAX(N57,($N$4*6/10)))),0))*1000,0)</f>
        <v>0</v>
      </c>
      <c r="AT57" s="120">
        <f>IF(AND(V57="OK",ISNUMBER($N$5),$N$5&gt;0,ISNUMBER($N$3),$N$3&gt;0),R57/(6*$N$3*1000000*$N$5)*(IF(N57&lt;($N$4*7/10),($N$4*7/10)*(MIN(O57,($N$4*7/10))^3-N57^3)-(MIN(O57,($N$4*7/10))^4-N57^4)/4,0)+IF(O57&gt;($N$4*7/10),($N$4*7/10)^2*(1.5*(O57^2-MAX(N57,($N$4*7/10))^2)-($N$4*7/10)*(O57-MAX(N57,($N$4*7/10)))),0))*1000,0)</f>
        <v>0</v>
      </c>
      <c r="AU57" s="120">
        <f>IF(AND(V57="OK",ISNUMBER($N$5),$N$5&gt;0,ISNUMBER($N$3),$N$3&gt;0),R57/(6*$N$3*1000000*$N$5)*(IF(N57&lt;($N$4*8/10),($N$4*8/10)*(MIN(O57,($N$4*8/10))^3-N57^3)-(MIN(O57,($N$4*8/10))^4-N57^4)/4,0)+IF(O57&gt;($N$4*8/10),($N$4*8/10)^2*(1.5*(O57^2-MAX(N57,($N$4*8/10))^2)-($N$4*8/10)*(O57-MAX(N57,($N$4*8/10)))),0))*1000,0)</f>
        <v>0</v>
      </c>
      <c r="AV57" s="120">
        <f>IF(AND(V57="OK",ISNUMBER($N$5),$N$5&gt;0,ISNUMBER($N$3),$N$3&gt;0),R57/(6*$N$3*1000000*$N$5)*(IF(N57&lt;($N$4*9/10),($N$4*9/10)*(MIN(O57,($N$4*9/10))^3-N57^3)-(MIN(O57,($N$4*9/10))^4-N57^4)/4,0)+IF(O57&gt;($N$4*9/10),($N$4*9/10)^2*(1.5*(O57^2-MAX(N57,($N$4*9/10))^2)-($N$4*9/10)*(O57-MAX(N57,($N$4*9/10)))),0))*1000,0)</f>
        <v>0</v>
      </c>
      <c r="AW57" s="120">
        <f>IF(AND(V57="OK",ISNUMBER($N$5),$N$5&gt;0,ISNUMBER($N$3),$N$3&gt;0),R57/(6*$N$3*1000000*$N$5)*(IF(N57&lt;($N$4*10/10),($N$4*10/10)*(MIN(O57,($N$4*10/10))^3-N57^3)-(MIN(O57,($N$4*10/10))^4-N57^4)/4,0)+IF(O57&gt;($N$4*10/10),($N$4*10/10)^2*(1.5*(O57^2-MAX(N57,($N$4*10/10))^2)-($N$4*10/10)*(O57-MAX(N57,($N$4*10/10)))),0))*1000,0)</f>
        <v>0</v>
      </c>
    </row>
    <row r="58" spans="1:49">
      <c r="A58" s="124"/>
      <c r="B58" s="125"/>
      <c r="C58" s="125"/>
      <c r="D58" s="125"/>
      <c r="E58" s="125"/>
      <c r="F58" s="126" t="str">
        <f>IF(J58="OK",D58*E58,"")</f>
        <v/>
      </c>
      <c r="G58" s="126" t="str">
        <f>IF(J58="OK",F58*(C58-B58),"")</f>
        <v/>
      </c>
      <c r="H58" s="126" t="str">
        <f>IF(J58="OK",G58*(C58+B58)/2,"")</f>
        <v/>
      </c>
      <c r="I58" s="126" t="str">
        <f>IF(AND(J58="OK",ISNUMBER($B$5),$B$5&gt;0,ISNUMBER($B$3),$B$3&gt;0),F58*(4*$B$4*(C58^3-B58^3)-(C58^4-B58^4))/(24*$B$3*1000000*$B$5)*1000,"")</f>
        <v/>
      </c>
      <c r="J58" s="120" t="str">
        <f>IF(COUNTA(A58:E58)=0,"",IF(AND(COUNT(B58:E58)=4,B58&gt;=0,C58&gt;B58,C58&lt;=$B$4,D58&gt;=0,E58&gt;0),IF(COUNTIFS($B$13:$B$57,"&lt;"&amp;C58,$C$13:$C$57,"&gt;"&amp;B58)&gt;0,"OVERLAP","OK"),"CHECK INPUTS"))</f>
        <v/>
      </c>
      <c r="M58" s="124"/>
      <c r="N58" s="125"/>
      <c r="O58" s="125"/>
      <c r="P58" s="125"/>
      <c r="Q58" s="125"/>
      <c r="R58" s="126" t="str">
        <f>IF(V58="OK",P58*Q58,"")</f>
        <v/>
      </c>
      <c r="S58" s="126" t="str">
        <f>IF(V58="OK",R58*(O58-N58),"")</f>
        <v/>
      </c>
      <c r="T58" s="126" t="str">
        <f>IF(V58="OK",S58*(O58+N58)/2,"")</f>
        <v/>
      </c>
      <c r="U58" s="126" t="str">
        <f>IF(AND(V58="OK",ISNUMBER($N$5),$N$5&gt;0,ISNUMBER($N$3),$N$3&gt;0),R58*(4*$N$4*(O58^3-N58^3)-(O58^4-N58^4))/(24*$N$3*1000000*$N$5)*1000,"")</f>
        <v/>
      </c>
      <c r="V58" s="120" t="str">
        <f>IF(COUNTA(M58:Q58)=0,"",IF(AND(COUNT(N58:Q58)=4,N58&gt;=0,O58&gt;N58,O58&lt;=$N$4,P58&gt;=0,Q58&gt;0),IF(COUNTIFS($N$13:$N$57,"&lt;"&amp;O58,$O$13:$O$57,"&gt;"&amp;N58)&gt;0,"OVERLAP","OK"),"CHECK INPUTS"))</f>
        <v/>
      </c>
      <c r="AA58" s="120">
        <f>IF(AND(J58="OK",ISNUMBER($B$5),$B$5&gt;0,ISNUMBER($B$3),$B$3&gt;0),F58/(6*$B$3*1000000*$B$5)*(IF(B58&lt;($B$4*0/10),($B$4*0/10)*(MIN(C58,($B$4*0/10))^3-B58^3)-(MIN(C58,($B$4*0/10))^4-B58^4)/4,0)+IF(C58&gt;($B$4*0/10),($B$4*0/10)^2*(1.5*(C58^2-MAX(B58,($B$4*0/10))^2)-($B$4*0/10)*(C58-MAX(B58,($B$4*0/10)))),0))*1000,0)</f>
        <v>0</v>
      </c>
      <c r="AB58" s="120">
        <f>IF(AND(J58="OK",ISNUMBER($B$5),$B$5&gt;0,ISNUMBER($B$3),$B$3&gt;0),F58/(6*$B$3*1000000*$B$5)*(IF(B58&lt;($B$4*1/10),($B$4*1/10)*(MIN(C58,($B$4*1/10))^3-B58^3)-(MIN(C58,($B$4*1/10))^4-B58^4)/4,0)+IF(C58&gt;($B$4*1/10),($B$4*1/10)^2*(1.5*(C58^2-MAX(B58,($B$4*1/10))^2)-($B$4*1/10)*(C58-MAX(B58,($B$4*1/10)))),0))*1000,0)</f>
        <v>0</v>
      </c>
      <c r="AC58" s="120">
        <f>IF(AND(J58="OK",ISNUMBER($B$5),$B$5&gt;0,ISNUMBER($B$3),$B$3&gt;0),F58/(6*$B$3*1000000*$B$5)*(IF(B58&lt;($B$4*2/10),($B$4*2/10)*(MIN(C58,($B$4*2/10))^3-B58^3)-(MIN(C58,($B$4*2/10))^4-B58^4)/4,0)+IF(C58&gt;($B$4*2/10),($B$4*2/10)^2*(1.5*(C58^2-MAX(B58,($B$4*2/10))^2)-($B$4*2/10)*(C58-MAX(B58,($B$4*2/10)))),0))*1000,0)</f>
        <v>0</v>
      </c>
      <c r="AD58" s="120">
        <f>IF(AND(J58="OK",ISNUMBER($B$5),$B$5&gt;0,ISNUMBER($B$3),$B$3&gt;0),F58/(6*$B$3*1000000*$B$5)*(IF(B58&lt;($B$4*3/10),($B$4*3/10)*(MIN(C58,($B$4*3/10))^3-B58^3)-(MIN(C58,($B$4*3/10))^4-B58^4)/4,0)+IF(C58&gt;($B$4*3/10),($B$4*3/10)^2*(1.5*(C58^2-MAX(B58,($B$4*3/10))^2)-($B$4*3/10)*(C58-MAX(B58,($B$4*3/10)))),0))*1000,0)</f>
        <v>0</v>
      </c>
      <c r="AE58" s="120">
        <f>IF(AND(J58="OK",ISNUMBER($B$5),$B$5&gt;0,ISNUMBER($B$3),$B$3&gt;0),F58/(6*$B$3*1000000*$B$5)*(IF(B58&lt;($B$4*4/10),($B$4*4/10)*(MIN(C58,($B$4*4/10))^3-B58^3)-(MIN(C58,($B$4*4/10))^4-B58^4)/4,0)+IF(C58&gt;($B$4*4/10),($B$4*4/10)^2*(1.5*(C58^2-MAX(B58,($B$4*4/10))^2)-($B$4*4/10)*(C58-MAX(B58,($B$4*4/10)))),0))*1000,0)</f>
        <v>0</v>
      </c>
      <c r="AF58" s="120">
        <f>IF(AND(J58="OK",ISNUMBER($B$5),$B$5&gt;0,ISNUMBER($B$3),$B$3&gt;0),F58/(6*$B$3*1000000*$B$5)*(IF(B58&lt;($B$4*5/10),($B$4*5/10)*(MIN(C58,($B$4*5/10))^3-B58^3)-(MIN(C58,($B$4*5/10))^4-B58^4)/4,0)+IF(C58&gt;($B$4*5/10),($B$4*5/10)^2*(1.5*(C58^2-MAX(B58,($B$4*5/10))^2)-($B$4*5/10)*(C58-MAX(B58,($B$4*5/10)))),0))*1000,0)</f>
        <v>0</v>
      </c>
      <c r="AG58" s="120">
        <f>IF(AND(J58="OK",ISNUMBER($B$5),$B$5&gt;0,ISNUMBER($B$3),$B$3&gt;0),F58/(6*$B$3*1000000*$B$5)*(IF(B58&lt;($B$4*6/10),($B$4*6/10)*(MIN(C58,($B$4*6/10))^3-B58^3)-(MIN(C58,($B$4*6/10))^4-B58^4)/4,0)+IF(C58&gt;($B$4*6/10),($B$4*6/10)^2*(1.5*(C58^2-MAX(B58,($B$4*6/10))^2)-($B$4*6/10)*(C58-MAX(B58,($B$4*6/10)))),0))*1000,0)</f>
        <v>0</v>
      </c>
      <c r="AH58" s="120">
        <f>IF(AND(J58="OK",ISNUMBER($B$5),$B$5&gt;0,ISNUMBER($B$3),$B$3&gt;0),F58/(6*$B$3*1000000*$B$5)*(IF(B58&lt;($B$4*7/10),($B$4*7/10)*(MIN(C58,($B$4*7/10))^3-B58^3)-(MIN(C58,($B$4*7/10))^4-B58^4)/4,0)+IF(C58&gt;($B$4*7/10),($B$4*7/10)^2*(1.5*(C58^2-MAX(B58,($B$4*7/10))^2)-($B$4*7/10)*(C58-MAX(B58,($B$4*7/10)))),0))*1000,0)</f>
        <v>0</v>
      </c>
      <c r="AI58" s="120">
        <f>IF(AND(J58="OK",ISNUMBER($B$5),$B$5&gt;0,ISNUMBER($B$3),$B$3&gt;0),F58/(6*$B$3*1000000*$B$5)*(IF(B58&lt;($B$4*8/10),($B$4*8/10)*(MIN(C58,($B$4*8/10))^3-B58^3)-(MIN(C58,($B$4*8/10))^4-B58^4)/4,0)+IF(C58&gt;($B$4*8/10),($B$4*8/10)^2*(1.5*(C58^2-MAX(B58,($B$4*8/10))^2)-($B$4*8/10)*(C58-MAX(B58,($B$4*8/10)))),0))*1000,0)</f>
        <v>0</v>
      </c>
      <c r="AJ58" s="120">
        <f>IF(AND(J58="OK",ISNUMBER($B$5),$B$5&gt;0,ISNUMBER($B$3),$B$3&gt;0),F58/(6*$B$3*1000000*$B$5)*(IF(B58&lt;($B$4*9/10),($B$4*9/10)*(MIN(C58,($B$4*9/10))^3-B58^3)-(MIN(C58,($B$4*9/10))^4-B58^4)/4,0)+IF(C58&gt;($B$4*9/10),($B$4*9/10)^2*(1.5*(C58^2-MAX(B58,($B$4*9/10))^2)-($B$4*9/10)*(C58-MAX(B58,($B$4*9/10)))),0))*1000,0)</f>
        <v>0</v>
      </c>
      <c r="AK58" s="120">
        <f>IF(AND(J58="OK",ISNUMBER($B$5),$B$5&gt;0,ISNUMBER($B$3),$B$3&gt;0),F58/(6*$B$3*1000000*$B$5)*(IF(B58&lt;($B$4*10/10),($B$4*10/10)*(MIN(C58,($B$4*10/10))^3-B58^3)-(MIN(C58,($B$4*10/10))^4-B58^4)/4,0)+IF(C58&gt;($B$4*10/10),($B$4*10/10)^2*(1.5*(C58^2-MAX(B58,($B$4*10/10))^2)-($B$4*10/10)*(C58-MAX(B58,($B$4*10/10)))),0))*1000,0)</f>
        <v>0</v>
      </c>
      <c r="AM58" s="120">
        <f>IF(AND(V58="OK",ISNUMBER($N$5),$N$5&gt;0,ISNUMBER($N$3),$N$3&gt;0),R58/(6*$N$3*1000000*$N$5)*(IF(N58&lt;($N$4*0/10),($N$4*0/10)*(MIN(O58,($N$4*0/10))^3-N58^3)-(MIN(O58,($N$4*0/10))^4-N58^4)/4,0)+IF(O58&gt;($N$4*0/10),($N$4*0/10)^2*(1.5*(O58^2-MAX(N58,($N$4*0/10))^2)-($N$4*0/10)*(O58-MAX(N58,($N$4*0/10)))),0))*1000,0)</f>
        <v>0</v>
      </c>
      <c r="AN58" s="120">
        <f>IF(AND(V58="OK",ISNUMBER($N$5),$N$5&gt;0,ISNUMBER($N$3),$N$3&gt;0),R58/(6*$N$3*1000000*$N$5)*(IF(N58&lt;($N$4*1/10),($N$4*1/10)*(MIN(O58,($N$4*1/10))^3-N58^3)-(MIN(O58,($N$4*1/10))^4-N58^4)/4,0)+IF(O58&gt;($N$4*1/10),($N$4*1/10)^2*(1.5*(O58^2-MAX(N58,($N$4*1/10))^2)-($N$4*1/10)*(O58-MAX(N58,($N$4*1/10)))),0))*1000,0)</f>
        <v>0</v>
      </c>
      <c r="AO58" s="120">
        <f>IF(AND(V58="OK",ISNUMBER($N$5),$N$5&gt;0,ISNUMBER($N$3),$N$3&gt;0),R58/(6*$N$3*1000000*$N$5)*(IF(N58&lt;($N$4*2/10),($N$4*2/10)*(MIN(O58,($N$4*2/10))^3-N58^3)-(MIN(O58,($N$4*2/10))^4-N58^4)/4,0)+IF(O58&gt;($N$4*2/10),($N$4*2/10)^2*(1.5*(O58^2-MAX(N58,($N$4*2/10))^2)-($N$4*2/10)*(O58-MAX(N58,($N$4*2/10)))),0))*1000,0)</f>
        <v>0</v>
      </c>
      <c r="AP58" s="120">
        <f>IF(AND(V58="OK",ISNUMBER($N$5),$N$5&gt;0,ISNUMBER($N$3),$N$3&gt;0),R58/(6*$N$3*1000000*$N$5)*(IF(N58&lt;($N$4*3/10),($N$4*3/10)*(MIN(O58,($N$4*3/10))^3-N58^3)-(MIN(O58,($N$4*3/10))^4-N58^4)/4,0)+IF(O58&gt;($N$4*3/10),($N$4*3/10)^2*(1.5*(O58^2-MAX(N58,($N$4*3/10))^2)-($N$4*3/10)*(O58-MAX(N58,($N$4*3/10)))),0))*1000,0)</f>
        <v>0</v>
      </c>
      <c r="AQ58" s="120">
        <f>IF(AND(V58="OK",ISNUMBER($N$5),$N$5&gt;0,ISNUMBER($N$3),$N$3&gt;0),R58/(6*$N$3*1000000*$N$5)*(IF(N58&lt;($N$4*4/10),($N$4*4/10)*(MIN(O58,($N$4*4/10))^3-N58^3)-(MIN(O58,($N$4*4/10))^4-N58^4)/4,0)+IF(O58&gt;($N$4*4/10),($N$4*4/10)^2*(1.5*(O58^2-MAX(N58,($N$4*4/10))^2)-($N$4*4/10)*(O58-MAX(N58,($N$4*4/10)))),0))*1000,0)</f>
        <v>0</v>
      </c>
      <c r="AR58" s="120">
        <f>IF(AND(V58="OK",ISNUMBER($N$5),$N$5&gt;0,ISNUMBER($N$3),$N$3&gt;0),R58/(6*$N$3*1000000*$N$5)*(IF(N58&lt;($N$4*5/10),($N$4*5/10)*(MIN(O58,($N$4*5/10))^3-N58^3)-(MIN(O58,($N$4*5/10))^4-N58^4)/4,0)+IF(O58&gt;($N$4*5/10),($N$4*5/10)^2*(1.5*(O58^2-MAX(N58,($N$4*5/10))^2)-($N$4*5/10)*(O58-MAX(N58,($N$4*5/10)))),0))*1000,0)</f>
        <v>0</v>
      </c>
      <c r="AS58" s="120">
        <f>IF(AND(V58="OK",ISNUMBER($N$5),$N$5&gt;0,ISNUMBER($N$3),$N$3&gt;0),R58/(6*$N$3*1000000*$N$5)*(IF(N58&lt;($N$4*6/10),($N$4*6/10)*(MIN(O58,($N$4*6/10))^3-N58^3)-(MIN(O58,($N$4*6/10))^4-N58^4)/4,0)+IF(O58&gt;($N$4*6/10),($N$4*6/10)^2*(1.5*(O58^2-MAX(N58,($N$4*6/10))^2)-($N$4*6/10)*(O58-MAX(N58,($N$4*6/10)))),0))*1000,0)</f>
        <v>0</v>
      </c>
      <c r="AT58" s="120">
        <f>IF(AND(V58="OK",ISNUMBER($N$5),$N$5&gt;0,ISNUMBER($N$3),$N$3&gt;0),R58/(6*$N$3*1000000*$N$5)*(IF(N58&lt;($N$4*7/10),($N$4*7/10)*(MIN(O58,($N$4*7/10))^3-N58^3)-(MIN(O58,($N$4*7/10))^4-N58^4)/4,0)+IF(O58&gt;($N$4*7/10),($N$4*7/10)^2*(1.5*(O58^2-MAX(N58,($N$4*7/10))^2)-($N$4*7/10)*(O58-MAX(N58,($N$4*7/10)))),0))*1000,0)</f>
        <v>0</v>
      </c>
      <c r="AU58" s="120">
        <f>IF(AND(V58="OK",ISNUMBER($N$5),$N$5&gt;0,ISNUMBER($N$3),$N$3&gt;0),R58/(6*$N$3*1000000*$N$5)*(IF(N58&lt;($N$4*8/10),($N$4*8/10)*(MIN(O58,($N$4*8/10))^3-N58^3)-(MIN(O58,($N$4*8/10))^4-N58^4)/4,0)+IF(O58&gt;($N$4*8/10),($N$4*8/10)^2*(1.5*(O58^2-MAX(N58,($N$4*8/10))^2)-($N$4*8/10)*(O58-MAX(N58,($N$4*8/10)))),0))*1000,0)</f>
        <v>0</v>
      </c>
      <c r="AV58" s="120">
        <f>IF(AND(V58="OK",ISNUMBER($N$5),$N$5&gt;0,ISNUMBER($N$3),$N$3&gt;0),R58/(6*$N$3*1000000*$N$5)*(IF(N58&lt;($N$4*9/10),($N$4*9/10)*(MIN(O58,($N$4*9/10))^3-N58^3)-(MIN(O58,($N$4*9/10))^4-N58^4)/4,0)+IF(O58&gt;($N$4*9/10),($N$4*9/10)^2*(1.5*(O58^2-MAX(N58,($N$4*9/10))^2)-($N$4*9/10)*(O58-MAX(N58,($N$4*9/10)))),0))*1000,0)</f>
        <v>0</v>
      </c>
      <c r="AW58" s="120">
        <f>IF(AND(V58="OK",ISNUMBER($N$5),$N$5&gt;0,ISNUMBER($N$3),$N$3&gt;0),R58/(6*$N$3*1000000*$N$5)*(IF(N58&lt;($N$4*10/10),($N$4*10/10)*(MIN(O58,($N$4*10/10))^3-N58^3)-(MIN(O58,($N$4*10/10))^4-N58^4)/4,0)+IF(O58&gt;($N$4*10/10),($N$4*10/10)^2*(1.5*(O58^2-MAX(N58,($N$4*10/10))^2)-($N$4*10/10)*(O58-MAX(N58,($N$4*10/10)))),0))*1000,0)</f>
        <v>0</v>
      </c>
    </row>
    <row r="59" spans="1:49">
      <c r="A59" s="124"/>
      <c r="B59" s="125"/>
      <c r="C59" s="125"/>
      <c r="D59" s="125"/>
      <c r="E59" s="125"/>
      <c r="F59" s="126" t="str">
        <f>IF(J59="OK",D59*E59,"")</f>
        <v/>
      </c>
      <c r="G59" s="126" t="str">
        <f>IF(J59="OK",F59*(C59-B59),"")</f>
        <v/>
      </c>
      <c r="H59" s="126" t="str">
        <f>IF(J59="OK",G59*(C59+B59)/2,"")</f>
        <v/>
      </c>
      <c r="I59" s="126" t="str">
        <f>IF(AND(J59="OK",ISNUMBER($B$5),$B$5&gt;0,ISNUMBER($B$3),$B$3&gt;0),F59*(4*$B$4*(C59^3-B59^3)-(C59^4-B59^4))/(24*$B$3*1000000*$B$5)*1000,"")</f>
        <v/>
      </c>
      <c r="J59" s="120" t="str">
        <f>IF(COUNTA(A59:E59)=0,"",IF(AND(COUNT(B59:E59)=4,B59&gt;=0,C59&gt;B59,C59&lt;=$B$4,D59&gt;=0,E59&gt;0),IF(COUNTIFS($B$13:$B$58,"&lt;"&amp;C59,$C$13:$C$58,"&gt;"&amp;B59)&gt;0,"OVERLAP","OK"),"CHECK INPUTS"))</f>
        <v/>
      </c>
      <c r="M59" s="124"/>
      <c r="N59" s="125"/>
      <c r="O59" s="125"/>
      <c r="P59" s="125"/>
      <c r="Q59" s="125"/>
      <c r="R59" s="126" t="str">
        <f>IF(V59="OK",P59*Q59,"")</f>
        <v/>
      </c>
      <c r="S59" s="126" t="str">
        <f>IF(V59="OK",R59*(O59-N59),"")</f>
        <v/>
      </c>
      <c r="T59" s="126" t="str">
        <f>IF(V59="OK",S59*(O59+N59)/2,"")</f>
        <v/>
      </c>
      <c r="U59" s="126" t="str">
        <f>IF(AND(V59="OK",ISNUMBER($N$5),$N$5&gt;0,ISNUMBER($N$3),$N$3&gt;0),R59*(4*$N$4*(O59^3-N59^3)-(O59^4-N59^4))/(24*$N$3*1000000*$N$5)*1000,"")</f>
        <v/>
      </c>
      <c r="V59" s="120" t="str">
        <f>IF(COUNTA(M59:Q59)=0,"",IF(AND(COUNT(N59:Q59)=4,N59&gt;=0,O59&gt;N59,O59&lt;=$N$4,P59&gt;=0,Q59&gt;0),IF(COUNTIFS($N$13:$N$58,"&lt;"&amp;O59,$O$13:$O$58,"&gt;"&amp;N59)&gt;0,"OVERLAP","OK"),"CHECK INPUTS"))</f>
        <v/>
      </c>
      <c r="AA59" s="120">
        <f>IF(AND(J59="OK",ISNUMBER($B$5),$B$5&gt;0,ISNUMBER($B$3),$B$3&gt;0),F59/(6*$B$3*1000000*$B$5)*(IF(B59&lt;($B$4*0/10),($B$4*0/10)*(MIN(C59,($B$4*0/10))^3-B59^3)-(MIN(C59,($B$4*0/10))^4-B59^4)/4,0)+IF(C59&gt;($B$4*0/10),($B$4*0/10)^2*(1.5*(C59^2-MAX(B59,($B$4*0/10))^2)-($B$4*0/10)*(C59-MAX(B59,($B$4*0/10)))),0))*1000,0)</f>
        <v>0</v>
      </c>
      <c r="AB59" s="120">
        <f>IF(AND(J59="OK",ISNUMBER($B$5),$B$5&gt;0,ISNUMBER($B$3),$B$3&gt;0),F59/(6*$B$3*1000000*$B$5)*(IF(B59&lt;($B$4*1/10),($B$4*1/10)*(MIN(C59,($B$4*1/10))^3-B59^3)-(MIN(C59,($B$4*1/10))^4-B59^4)/4,0)+IF(C59&gt;($B$4*1/10),($B$4*1/10)^2*(1.5*(C59^2-MAX(B59,($B$4*1/10))^2)-($B$4*1/10)*(C59-MAX(B59,($B$4*1/10)))),0))*1000,0)</f>
        <v>0</v>
      </c>
      <c r="AC59" s="120">
        <f>IF(AND(J59="OK",ISNUMBER($B$5),$B$5&gt;0,ISNUMBER($B$3),$B$3&gt;0),F59/(6*$B$3*1000000*$B$5)*(IF(B59&lt;($B$4*2/10),($B$4*2/10)*(MIN(C59,($B$4*2/10))^3-B59^3)-(MIN(C59,($B$4*2/10))^4-B59^4)/4,0)+IF(C59&gt;($B$4*2/10),($B$4*2/10)^2*(1.5*(C59^2-MAX(B59,($B$4*2/10))^2)-($B$4*2/10)*(C59-MAX(B59,($B$4*2/10)))),0))*1000,0)</f>
        <v>0</v>
      </c>
      <c r="AD59" s="120">
        <f>IF(AND(J59="OK",ISNUMBER($B$5),$B$5&gt;0,ISNUMBER($B$3),$B$3&gt;0),F59/(6*$B$3*1000000*$B$5)*(IF(B59&lt;($B$4*3/10),($B$4*3/10)*(MIN(C59,($B$4*3/10))^3-B59^3)-(MIN(C59,($B$4*3/10))^4-B59^4)/4,0)+IF(C59&gt;($B$4*3/10),($B$4*3/10)^2*(1.5*(C59^2-MAX(B59,($B$4*3/10))^2)-($B$4*3/10)*(C59-MAX(B59,($B$4*3/10)))),0))*1000,0)</f>
        <v>0</v>
      </c>
      <c r="AE59" s="120">
        <f>IF(AND(J59="OK",ISNUMBER($B$5),$B$5&gt;0,ISNUMBER($B$3),$B$3&gt;0),F59/(6*$B$3*1000000*$B$5)*(IF(B59&lt;($B$4*4/10),($B$4*4/10)*(MIN(C59,($B$4*4/10))^3-B59^3)-(MIN(C59,($B$4*4/10))^4-B59^4)/4,0)+IF(C59&gt;($B$4*4/10),($B$4*4/10)^2*(1.5*(C59^2-MAX(B59,($B$4*4/10))^2)-($B$4*4/10)*(C59-MAX(B59,($B$4*4/10)))),0))*1000,0)</f>
        <v>0</v>
      </c>
      <c r="AF59" s="120">
        <f>IF(AND(J59="OK",ISNUMBER($B$5),$B$5&gt;0,ISNUMBER($B$3),$B$3&gt;0),F59/(6*$B$3*1000000*$B$5)*(IF(B59&lt;($B$4*5/10),($B$4*5/10)*(MIN(C59,($B$4*5/10))^3-B59^3)-(MIN(C59,($B$4*5/10))^4-B59^4)/4,0)+IF(C59&gt;($B$4*5/10),($B$4*5/10)^2*(1.5*(C59^2-MAX(B59,($B$4*5/10))^2)-($B$4*5/10)*(C59-MAX(B59,($B$4*5/10)))),0))*1000,0)</f>
        <v>0</v>
      </c>
      <c r="AG59" s="120">
        <f>IF(AND(J59="OK",ISNUMBER($B$5),$B$5&gt;0,ISNUMBER($B$3),$B$3&gt;0),F59/(6*$B$3*1000000*$B$5)*(IF(B59&lt;($B$4*6/10),($B$4*6/10)*(MIN(C59,($B$4*6/10))^3-B59^3)-(MIN(C59,($B$4*6/10))^4-B59^4)/4,0)+IF(C59&gt;($B$4*6/10),($B$4*6/10)^2*(1.5*(C59^2-MAX(B59,($B$4*6/10))^2)-($B$4*6/10)*(C59-MAX(B59,($B$4*6/10)))),0))*1000,0)</f>
        <v>0</v>
      </c>
      <c r="AH59" s="120">
        <f>IF(AND(J59="OK",ISNUMBER($B$5),$B$5&gt;0,ISNUMBER($B$3),$B$3&gt;0),F59/(6*$B$3*1000000*$B$5)*(IF(B59&lt;($B$4*7/10),($B$4*7/10)*(MIN(C59,($B$4*7/10))^3-B59^3)-(MIN(C59,($B$4*7/10))^4-B59^4)/4,0)+IF(C59&gt;($B$4*7/10),($B$4*7/10)^2*(1.5*(C59^2-MAX(B59,($B$4*7/10))^2)-($B$4*7/10)*(C59-MAX(B59,($B$4*7/10)))),0))*1000,0)</f>
        <v>0</v>
      </c>
      <c r="AI59" s="120">
        <f>IF(AND(J59="OK",ISNUMBER($B$5),$B$5&gt;0,ISNUMBER($B$3),$B$3&gt;0),F59/(6*$B$3*1000000*$B$5)*(IF(B59&lt;($B$4*8/10),($B$4*8/10)*(MIN(C59,($B$4*8/10))^3-B59^3)-(MIN(C59,($B$4*8/10))^4-B59^4)/4,0)+IF(C59&gt;($B$4*8/10),($B$4*8/10)^2*(1.5*(C59^2-MAX(B59,($B$4*8/10))^2)-($B$4*8/10)*(C59-MAX(B59,($B$4*8/10)))),0))*1000,0)</f>
        <v>0</v>
      </c>
      <c r="AJ59" s="120">
        <f>IF(AND(J59="OK",ISNUMBER($B$5),$B$5&gt;0,ISNUMBER($B$3),$B$3&gt;0),F59/(6*$B$3*1000000*$B$5)*(IF(B59&lt;($B$4*9/10),($B$4*9/10)*(MIN(C59,($B$4*9/10))^3-B59^3)-(MIN(C59,($B$4*9/10))^4-B59^4)/4,0)+IF(C59&gt;($B$4*9/10),($B$4*9/10)^2*(1.5*(C59^2-MAX(B59,($B$4*9/10))^2)-($B$4*9/10)*(C59-MAX(B59,($B$4*9/10)))),0))*1000,0)</f>
        <v>0</v>
      </c>
      <c r="AK59" s="120">
        <f>IF(AND(J59="OK",ISNUMBER($B$5),$B$5&gt;0,ISNUMBER($B$3),$B$3&gt;0),F59/(6*$B$3*1000000*$B$5)*(IF(B59&lt;($B$4*10/10),($B$4*10/10)*(MIN(C59,($B$4*10/10))^3-B59^3)-(MIN(C59,($B$4*10/10))^4-B59^4)/4,0)+IF(C59&gt;($B$4*10/10),($B$4*10/10)^2*(1.5*(C59^2-MAX(B59,($B$4*10/10))^2)-($B$4*10/10)*(C59-MAX(B59,($B$4*10/10)))),0))*1000,0)</f>
        <v>0</v>
      </c>
      <c r="AM59" s="120">
        <f>IF(AND(V59="OK",ISNUMBER($N$5),$N$5&gt;0,ISNUMBER($N$3),$N$3&gt;0),R59/(6*$N$3*1000000*$N$5)*(IF(N59&lt;($N$4*0/10),($N$4*0/10)*(MIN(O59,($N$4*0/10))^3-N59^3)-(MIN(O59,($N$4*0/10))^4-N59^4)/4,0)+IF(O59&gt;($N$4*0/10),($N$4*0/10)^2*(1.5*(O59^2-MAX(N59,($N$4*0/10))^2)-($N$4*0/10)*(O59-MAX(N59,($N$4*0/10)))),0))*1000,0)</f>
        <v>0</v>
      </c>
      <c r="AN59" s="120">
        <f>IF(AND(V59="OK",ISNUMBER($N$5),$N$5&gt;0,ISNUMBER($N$3),$N$3&gt;0),R59/(6*$N$3*1000000*$N$5)*(IF(N59&lt;($N$4*1/10),($N$4*1/10)*(MIN(O59,($N$4*1/10))^3-N59^3)-(MIN(O59,($N$4*1/10))^4-N59^4)/4,0)+IF(O59&gt;($N$4*1/10),($N$4*1/10)^2*(1.5*(O59^2-MAX(N59,($N$4*1/10))^2)-($N$4*1/10)*(O59-MAX(N59,($N$4*1/10)))),0))*1000,0)</f>
        <v>0</v>
      </c>
      <c r="AO59" s="120">
        <f>IF(AND(V59="OK",ISNUMBER($N$5),$N$5&gt;0,ISNUMBER($N$3),$N$3&gt;0),R59/(6*$N$3*1000000*$N$5)*(IF(N59&lt;($N$4*2/10),($N$4*2/10)*(MIN(O59,($N$4*2/10))^3-N59^3)-(MIN(O59,($N$4*2/10))^4-N59^4)/4,0)+IF(O59&gt;($N$4*2/10),($N$4*2/10)^2*(1.5*(O59^2-MAX(N59,($N$4*2/10))^2)-($N$4*2/10)*(O59-MAX(N59,($N$4*2/10)))),0))*1000,0)</f>
        <v>0</v>
      </c>
      <c r="AP59" s="120">
        <f>IF(AND(V59="OK",ISNUMBER($N$5),$N$5&gt;0,ISNUMBER($N$3),$N$3&gt;0),R59/(6*$N$3*1000000*$N$5)*(IF(N59&lt;($N$4*3/10),($N$4*3/10)*(MIN(O59,($N$4*3/10))^3-N59^3)-(MIN(O59,($N$4*3/10))^4-N59^4)/4,0)+IF(O59&gt;($N$4*3/10),($N$4*3/10)^2*(1.5*(O59^2-MAX(N59,($N$4*3/10))^2)-($N$4*3/10)*(O59-MAX(N59,($N$4*3/10)))),0))*1000,0)</f>
        <v>0</v>
      </c>
      <c r="AQ59" s="120">
        <f>IF(AND(V59="OK",ISNUMBER($N$5),$N$5&gt;0,ISNUMBER($N$3),$N$3&gt;0),R59/(6*$N$3*1000000*$N$5)*(IF(N59&lt;($N$4*4/10),($N$4*4/10)*(MIN(O59,($N$4*4/10))^3-N59^3)-(MIN(O59,($N$4*4/10))^4-N59^4)/4,0)+IF(O59&gt;($N$4*4/10),($N$4*4/10)^2*(1.5*(O59^2-MAX(N59,($N$4*4/10))^2)-($N$4*4/10)*(O59-MAX(N59,($N$4*4/10)))),0))*1000,0)</f>
        <v>0</v>
      </c>
      <c r="AR59" s="120">
        <f>IF(AND(V59="OK",ISNUMBER($N$5),$N$5&gt;0,ISNUMBER($N$3),$N$3&gt;0),R59/(6*$N$3*1000000*$N$5)*(IF(N59&lt;($N$4*5/10),($N$4*5/10)*(MIN(O59,($N$4*5/10))^3-N59^3)-(MIN(O59,($N$4*5/10))^4-N59^4)/4,0)+IF(O59&gt;($N$4*5/10),($N$4*5/10)^2*(1.5*(O59^2-MAX(N59,($N$4*5/10))^2)-($N$4*5/10)*(O59-MAX(N59,($N$4*5/10)))),0))*1000,0)</f>
        <v>0</v>
      </c>
      <c r="AS59" s="120">
        <f>IF(AND(V59="OK",ISNUMBER($N$5),$N$5&gt;0,ISNUMBER($N$3),$N$3&gt;0),R59/(6*$N$3*1000000*$N$5)*(IF(N59&lt;($N$4*6/10),($N$4*6/10)*(MIN(O59,($N$4*6/10))^3-N59^3)-(MIN(O59,($N$4*6/10))^4-N59^4)/4,0)+IF(O59&gt;($N$4*6/10),($N$4*6/10)^2*(1.5*(O59^2-MAX(N59,($N$4*6/10))^2)-($N$4*6/10)*(O59-MAX(N59,($N$4*6/10)))),0))*1000,0)</f>
        <v>0</v>
      </c>
      <c r="AT59" s="120">
        <f>IF(AND(V59="OK",ISNUMBER($N$5),$N$5&gt;0,ISNUMBER($N$3),$N$3&gt;0),R59/(6*$N$3*1000000*$N$5)*(IF(N59&lt;($N$4*7/10),($N$4*7/10)*(MIN(O59,($N$4*7/10))^3-N59^3)-(MIN(O59,($N$4*7/10))^4-N59^4)/4,0)+IF(O59&gt;($N$4*7/10),($N$4*7/10)^2*(1.5*(O59^2-MAX(N59,($N$4*7/10))^2)-($N$4*7/10)*(O59-MAX(N59,($N$4*7/10)))),0))*1000,0)</f>
        <v>0</v>
      </c>
      <c r="AU59" s="120">
        <f>IF(AND(V59="OK",ISNUMBER($N$5),$N$5&gt;0,ISNUMBER($N$3),$N$3&gt;0),R59/(6*$N$3*1000000*$N$5)*(IF(N59&lt;($N$4*8/10),($N$4*8/10)*(MIN(O59,($N$4*8/10))^3-N59^3)-(MIN(O59,($N$4*8/10))^4-N59^4)/4,0)+IF(O59&gt;($N$4*8/10),($N$4*8/10)^2*(1.5*(O59^2-MAX(N59,($N$4*8/10))^2)-($N$4*8/10)*(O59-MAX(N59,($N$4*8/10)))),0))*1000,0)</f>
        <v>0</v>
      </c>
      <c r="AV59" s="120">
        <f>IF(AND(V59="OK",ISNUMBER($N$5),$N$5&gt;0,ISNUMBER($N$3),$N$3&gt;0),R59/(6*$N$3*1000000*$N$5)*(IF(N59&lt;($N$4*9/10),($N$4*9/10)*(MIN(O59,($N$4*9/10))^3-N59^3)-(MIN(O59,($N$4*9/10))^4-N59^4)/4,0)+IF(O59&gt;($N$4*9/10),($N$4*9/10)^2*(1.5*(O59^2-MAX(N59,($N$4*9/10))^2)-($N$4*9/10)*(O59-MAX(N59,($N$4*9/10)))),0))*1000,0)</f>
        <v>0</v>
      </c>
      <c r="AW59" s="120">
        <f>IF(AND(V59="OK",ISNUMBER($N$5),$N$5&gt;0,ISNUMBER($N$3),$N$3&gt;0),R59/(6*$N$3*1000000*$N$5)*(IF(N59&lt;($N$4*10/10),($N$4*10/10)*(MIN(O59,($N$4*10/10))^3-N59^3)-(MIN(O59,($N$4*10/10))^4-N59^4)/4,0)+IF(O59&gt;($N$4*10/10),($N$4*10/10)^2*(1.5*(O59^2-MAX(N59,($N$4*10/10))^2)-($N$4*10/10)*(O59-MAX(N59,($N$4*10/10)))),0))*1000,0)</f>
        <v>0</v>
      </c>
    </row>
    <row r="60" spans="1:49">
      <c r="A60" s="124"/>
      <c r="B60" s="125"/>
      <c r="C60" s="125"/>
      <c r="D60" s="125"/>
      <c r="E60" s="125"/>
      <c r="F60" s="126" t="str">
        <f>IF(J60="OK",D60*E60,"")</f>
        <v/>
      </c>
      <c r="G60" s="126" t="str">
        <f>IF(J60="OK",F60*(C60-B60),"")</f>
        <v/>
      </c>
      <c r="H60" s="126" t="str">
        <f>IF(J60="OK",G60*(C60+B60)/2,"")</f>
        <v/>
      </c>
      <c r="I60" s="126" t="str">
        <f>IF(AND(J60="OK",ISNUMBER($B$5),$B$5&gt;0,ISNUMBER($B$3),$B$3&gt;0),F60*(4*$B$4*(C60^3-B60^3)-(C60^4-B60^4))/(24*$B$3*1000000*$B$5)*1000,"")</f>
        <v/>
      </c>
      <c r="J60" s="120" t="str">
        <f>IF(COUNTA(A60:E60)=0,"",IF(AND(COUNT(B60:E60)=4,B60&gt;=0,C60&gt;B60,C60&lt;=$B$4,D60&gt;=0,E60&gt;0),IF(COUNTIFS($B$13:$B$59,"&lt;"&amp;C60,$C$13:$C$59,"&gt;"&amp;B60)&gt;0,"OVERLAP","OK"),"CHECK INPUTS"))</f>
        <v/>
      </c>
      <c r="M60" s="124"/>
      <c r="N60" s="125"/>
      <c r="O60" s="125"/>
      <c r="P60" s="125"/>
      <c r="Q60" s="125"/>
      <c r="R60" s="126" t="str">
        <f>IF(V60="OK",P60*Q60,"")</f>
        <v/>
      </c>
      <c r="S60" s="126" t="str">
        <f>IF(V60="OK",R60*(O60-N60),"")</f>
        <v/>
      </c>
      <c r="T60" s="126" t="str">
        <f>IF(V60="OK",S60*(O60+N60)/2,"")</f>
        <v/>
      </c>
      <c r="U60" s="126" t="str">
        <f>IF(AND(V60="OK",ISNUMBER($N$5),$N$5&gt;0,ISNUMBER($N$3),$N$3&gt;0),R60*(4*$N$4*(O60^3-N60^3)-(O60^4-N60^4))/(24*$N$3*1000000*$N$5)*1000,"")</f>
        <v/>
      </c>
      <c r="V60" s="120" t="str">
        <f>IF(COUNTA(M60:Q60)=0,"",IF(AND(COUNT(N60:Q60)=4,N60&gt;=0,O60&gt;N60,O60&lt;=$N$4,P60&gt;=0,Q60&gt;0),IF(COUNTIFS($N$13:$N$59,"&lt;"&amp;O60,$O$13:$O$59,"&gt;"&amp;N60)&gt;0,"OVERLAP","OK"),"CHECK INPUTS"))</f>
        <v/>
      </c>
      <c r="AA60" s="120">
        <f>IF(AND(J60="OK",ISNUMBER($B$5),$B$5&gt;0,ISNUMBER($B$3),$B$3&gt;0),F60/(6*$B$3*1000000*$B$5)*(IF(B60&lt;($B$4*0/10),($B$4*0/10)*(MIN(C60,($B$4*0/10))^3-B60^3)-(MIN(C60,($B$4*0/10))^4-B60^4)/4,0)+IF(C60&gt;($B$4*0/10),($B$4*0/10)^2*(1.5*(C60^2-MAX(B60,($B$4*0/10))^2)-($B$4*0/10)*(C60-MAX(B60,($B$4*0/10)))),0))*1000,0)</f>
        <v>0</v>
      </c>
      <c r="AB60" s="120">
        <f>IF(AND(J60="OK",ISNUMBER($B$5),$B$5&gt;0,ISNUMBER($B$3),$B$3&gt;0),F60/(6*$B$3*1000000*$B$5)*(IF(B60&lt;($B$4*1/10),($B$4*1/10)*(MIN(C60,($B$4*1/10))^3-B60^3)-(MIN(C60,($B$4*1/10))^4-B60^4)/4,0)+IF(C60&gt;($B$4*1/10),($B$4*1/10)^2*(1.5*(C60^2-MAX(B60,($B$4*1/10))^2)-($B$4*1/10)*(C60-MAX(B60,($B$4*1/10)))),0))*1000,0)</f>
        <v>0</v>
      </c>
      <c r="AC60" s="120">
        <f>IF(AND(J60="OK",ISNUMBER($B$5),$B$5&gt;0,ISNUMBER($B$3),$B$3&gt;0),F60/(6*$B$3*1000000*$B$5)*(IF(B60&lt;($B$4*2/10),($B$4*2/10)*(MIN(C60,($B$4*2/10))^3-B60^3)-(MIN(C60,($B$4*2/10))^4-B60^4)/4,0)+IF(C60&gt;($B$4*2/10),($B$4*2/10)^2*(1.5*(C60^2-MAX(B60,($B$4*2/10))^2)-($B$4*2/10)*(C60-MAX(B60,($B$4*2/10)))),0))*1000,0)</f>
        <v>0</v>
      </c>
      <c r="AD60" s="120">
        <f>IF(AND(J60="OK",ISNUMBER($B$5),$B$5&gt;0,ISNUMBER($B$3),$B$3&gt;0),F60/(6*$B$3*1000000*$B$5)*(IF(B60&lt;($B$4*3/10),($B$4*3/10)*(MIN(C60,($B$4*3/10))^3-B60^3)-(MIN(C60,($B$4*3/10))^4-B60^4)/4,0)+IF(C60&gt;($B$4*3/10),($B$4*3/10)^2*(1.5*(C60^2-MAX(B60,($B$4*3/10))^2)-($B$4*3/10)*(C60-MAX(B60,($B$4*3/10)))),0))*1000,0)</f>
        <v>0</v>
      </c>
      <c r="AE60" s="120">
        <f>IF(AND(J60="OK",ISNUMBER($B$5),$B$5&gt;0,ISNUMBER($B$3),$B$3&gt;0),F60/(6*$B$3*1000000*$B$5)*(IF(B60&lt;($B$4*4/10),($B$4*4/10)*(MIN(C60,($B$4*4/10))^3-B60^3)-(MIN(C60,($B$4*4/10))^4-B60^4)/4,0)+IF(C60&gt;($B$4*4/10),($B$4*4/10)^2*(1.5*(C60^2-MAX(B60,($B$4*4/10))^2)-($B$4*4/10)*(C60-MAX(B60,($B$4*4/10)))),0))*1000,0)</f>
        <v>0</v>
      </c>
      <c r="AF60" s="120">
        <f>IF(AND(J60="OK",ISNUMBER($B$5),$B$5&gt;0,ISNUMBER($B$3),$B$3&gt;0),F60/(6*$B$3*1000000*$B$5)*(IF(B60&lt;($B$4*5/10),($B$4*5/10)*(MIN(C60,($B$4*5/10))^3-B60^3)-(MIN(C60,($B$4*5/10))^4-B60^4)/4,0)+IF(C60&gt;($B$4*5/10),($B$4*5/10)^2*(1.5*(C60^2-MAX(B60,($B$4*5/10))^2)-($B$4*5/10)*(C60-MAX(B60,($B$4*5/10)))),0))*1000,0)</f>
        <v>0</v>
      </c>
      <c r="AG60" s="120">
        <f>IF(AND(J60="OK",ISNUMBER($B$5),$B$5&gt;0,ISNUMBER($B$3),$B$3&gt;0),F60/(6*$B$3*1000000*$B$5)*(IF(B60&lt;($B$4*6/10),($B$4*6/10)*(MIN(C60,($B$4*6/10))^3-B60^3)-(MIN(C60,($B$4*6/10))^4-B60^4)/4,0)+IF(C60&gt;($B$4*6/10),($B$4*6/10)^2*(1.5*(C60^2-MAX(B60,($B$4*6/10))^2)-($B$4*6/10)*(C60-MAX(B60,($B$4*6/10)))),0))*1000,0)</f>
        <v>0</v>
      </c>
      <c r="AH60" s="120">
        <f>IF(AND(J60="OK",ISNUMBER($B$5),$B$5&gt;0,ISNUMBER($B$3),$B$3&gt;0),F60/(6*$B$3*1000000*$B$5)*(IF(B60&lt;($B$4*7/10),($B$4*7/10)*(MIN(C60,($B$4*7/10))^3-B60^3)-(MIN(C60,($B$4*7/10))^4-B60^4)/4,0)+IF(C60&gt;($B$4*7/10),($B$4*7/10)^2*(1.5*(C60^2-MAX(B60,($B$4*7/10))^2)-($B$4*7/10)*(C60-MAX(B60,($B$4*7/10)))),0))*1000,0)</f>
        <v>0</v>
      </c>
      <c r="AI60" s="120">
        <f>IF(AND(J60="OK",ISNUMBER($B$5),$B$5&gt;0,ISNUMBER($B$3),$B$3&gt;0),F60/(6*$B$3*1000000*$B$5)*(IF(B60&lt;($B$4*8/10),($B$4*8/10)*(MIN(C60,($B$4*8/10))^3-B60^3)-(MIN(C60,($B$4*8/10))^4-B60^4)/4,0)+IF(C60&gt;($B$4*8/10),($B$4*8/10)^2*(1.5*(C60^2-MAX(B60,($B$4*8/10))^2)-($B$4*8/10)*(C60-MAX(B60,($B$4*8/10)))),0))*1000,0)</f>
        <v>0</v>
      </c>
      <c r="AJ60" s="120">
        <f>IF(AND(J60="OK",ISNUMBER($B$5),$B$5&gt;0,ISNUMBER($B$3),$B$3&gt;0),F60/(6*$B$3*1000000*$B$5)*(IF(B60&lt;($B$4*9/10),($B$4*9/10)*(MIN(C60,($B$4*9/10))^3-B60^3)-(MIN(C60,($B$4*9/10))^4-B60^4)/4,0)+IF(C60&gt;($B$4*9/10),($B$4*9/10)^2*(1.5*(C60^2-MAX(B60,($B$4*9/10))^2)-($B$4*9/10)*(C60-MAX(B60,($B$4*9/10)))),0))*1000,0)</f>
        <v>0</v>
      </c>
      <c r="AK60" s="120">
        <f>IF(AND(J60="OK",ISNUMBER($B$5),$B$5&gt;0,ISNUMBER($B$3),$B$3&gt;0),F60/(6*$B$3*1000000*$B$5)*(IF(B60&lt;($B$4*10/10),($B$4*10/10)*(MIN(C60,($B$4*10/10))^3-B60^3)-(MIN(C60,($B$4*10/10))^4-B60^4)/4,0)+IF(C60&gt;($B$4*10/10),($B$4*10/10)^2*(1.5*(C60^2-MAX(B60,($B$4*10/10))^2)-($B$4*10/10)*(C60-MAX(B60,($B$4*10/10)))),0))*1000,0)</f>
        <v>0</v>
      </c>
      <c r="AM60" s="120">
        <f>IF(AND(V60="OK",ISNUMBER($N$5),$N$5&gt;0,ISNUMBER($N$3),$N$3&gt;0),R60/(6*$N$3*1000000*$N$5)*(IF(N60&lt;($N$4*0/10),($N$4*0/10)*(MIN(O60,($N$4*0/10))^3-N60^3)-(MIN(O60,($N$4*0/10))^4-N60^4)/4,0)+IF(O60&gt;($N$4*0/10),($N$4*0/10)^2*(1.5*(O60^2-MAX(N60,($N$4*0/10))^2)-($N$4*0/10)*(O60-MAX(N60,($N$4*0/10)))),0))*1000,0)</f>
        <v>0</v>
      </c>
      <c r="AN60" s="120">
        <f>IF(AND(V60="OK",ISNUMBER($N$5),$N$5&gt;0,ISNUMBER($N$3),$N$3&gt;0),R60/(6*$N$3*1000000*$N$5)*(IF(N60&lt;($N$4*1/10),($N$4*1/10)*(MIN(O60,($N$4*1/10))^3-N60^3)-(MIN(O60,($N$4*1/10))^4-N60^4)/4,0)+IF(O60&gt;($N$4*1/10),($N$4*1/10)^2*(1.5*(O60^2-MAX(N60,($N$4*1/10))^2)-($N$4*1/10)*(O60-MAX(N60,($N$4*1/10)))),0))*1000,0)</f>
        <v>0</v>
      </c>
      <c r="AO60" s="120">
        <f>IF(AND(V60="OK",ISNUMBER($N$5),$N$5&gt;0,ISNUMBER($N$3),$N$3&gt;0),R60/(6*$N$3*1000000*$N$5)*(IF(N60&lt;($N$4*2/10),($N$4*2/10)*(MIN(O60,($N$4*2/10))^3-N60^3)-(MIN(O60,($N$4*2/10))^4-N60^4)/4,0)+IF(O60&gt;($N$4*2/10),($N$4*2/10)^2*(1.5*(O60^2-MAX(N60,($N$4*2/10))^2)-($N$4*2/10)*(O60-MAX(N60,($N$4*2/10)))),0))*1000,0)</f>
        <v>0</v>
      </c>
      <c r="AP60" s="120">
        <f>IF(AND(V60="OK",ISNUMBER($N$5),$N$5&gt;0,ISNUMBER($N$3),$N$3&gt;0),R60/(6*$N$3*1000000*$N$5)*(IF(N60&lt;($N$4*3/10),($N$4*3/10)*(MIN(O60,($N$4*3/10))^3-N60^3)-(MIN(O60,($N$4*3/10))^4-N60^4)/4,0)+IF(O60&gt;($N$4*3/10),($N$4*3/10)^2*(1.5*(O60^2-MAX(N60,($N$4*3/10))^2)-($N$4*3/10)*(O60-MAX(N60,($N$4*3/10)))),0))*1000,0)</f>
        <v>0</v>
      </c>
      <c r="AQ60" s="120">
        <f>IF(AND(V60="OK",ISNUMBER($N$5),$N$5&gt;0,ISNUMBER($N$3),$N$3&gt;0),R60/(6*$N$3*1000000*$N$5)*(IF(N60&lt;($N$4*4/10),($N$4*4/10)*(MIN(O60,($N$4*4/10))^3-N60^3)-(MIN(O60,($N$4*4/10))^4-N60^4)/4,0)+IF(O60&gt;($N$4*4/10),($N$4*4/10)^2*(1.5*(O60^2-MAX(N60,($N$4*4/10))^2)-($N$4*4/10)*(O60-MAX(N60,($N$4*4/10)))),0))*1000,0)</f>
        <v>0</v>
      </c>
      <c r="AR60" s="120">
        <f>IF(AND(V60="OK",ISNUMBER($N$5),$N$5&gt;0,ISNUMBER($N$3),$N$3&gt;0),R60/(6*$N$3*1000000*$N$5)*(IF(N60&lt;($N$4*5/10),($N$4*5/10)*(MIN(O60,($N$4*5/10))^3-N60^3)-(MIN(O60,($N$4*5/10))^4-N60^4)/4,0)+IF(O60&gt;($N$4*5/10),($N$4*5/10)^2*(1.5*(O60^2-MAX(N60,($N$4*5/10))^2)-($N$4*5/10)*(O60-MAX(N60,($N$4*5/10)))),0))*1000,0)</f>
        <v>0</v>
      </c>
      <c r="AS60" s="120">
        <f>IF(AND(V60="OK",ISNUMBER($N$5),$N$5&gt;0,ISNUMBER($N$3),$N$3&gt;0),R60/(6*$N$3*1000000*$N$5)*(IF(N60&lt;($N$4*6/10),($N$4*6/10)*(MIN(O60,($N$4*6/10))^3-N60^3)-(MIN(O60,($N$4*6/10))^4-N60^4)/4,0)+IF(O60&gt;($N$4*6/10),($N$4*6/10)^2*(1.5*(O60^2-MAX(N60,($N$4*6/10))^2)-($N$4*6/10)*(O60-MAX(N60,($N$4*6/10)))),0))*1000,0)</f>
        <v>0</v>
      </c>
      <c r="AT60" s="120">
        <f>IF(AND(V60="OK",ISNUMBER($N$5),$N$5&gt;0,ISNUMBER($N$3),$N$3&gt;0),R60/(6*$N$3*1000000*$N$5)*(IF(N60&lt;($N$4*7/10),($N$4*7/10)*(MIN(O60,($N$4*7/10))^3-N60^3)-(MIN(O60,($N$4*7/10))^4-N60^4)/4,0)+IF(O60&gt;($N$4*7/10),($N$4*7/10)^2*(1.5*(O60^2-MAX(N60,($N$4*7/10))^2)-($N$4*7/10)*(O60-MAX(N60,($N$4*7/10)))),0))*1000,0)</f>
        <v>0</v>
      </c>
      <c r="AU60" s="120">
        <f>IF(AND(V60="OK",ISNUMBER($N$5),$N$5&gt;0,ISNUMBER($N$3),$N$3&gt;0),R60/(6*$N$3*1000000*$N$5)*(IF(N60&lt;($N$4*8/10),($N$4*8/10)*(MIN(O60,($N$4*8/10))^3-N60^3)-(MIN(O60,($N$4*8/10))^4-N60^4)/4,0)+IF(O60&gt;($N$4*8/10),($N$4*8/10)^2*(1.5*(O60^2-MAX(N60,($N$4*8/10))^2)-($N$4*8/10)*(O60-MAX(N60,($N$4*8/10)))),0))*1000,0)</f>
        <v>0</v>
      </c>
      <c r="AV60" s="120">
        <f>IF(AND(V60="OK",ISNUMBER($N$5),$N$5&gt;0,ISNUMBER($N$3),$N$3&gt;0),R60/(6*$N$3*1000000*$N$5)*(IF(N60&lt;($N$4*9/10),($N$4*9/10)*(MIN(O60,($N$4*9/10))^3-N60^3)-(MIN(O60,($N$4*9/10))^4-N60^4)/4,0)+IF(O60&gt;($N$4*9/10),($N$4*9/10)^2*(1.5*(O60^2-MAX(N60,($N$4*9/10))^2)-($N$4*9/10)*(O60-MAX(N60,($N$4*9/10)))),0))*1000,0)</f>
        <v>0</v>
      </c>
      <c r="AW60" s="120">
        <f>IF(AND(V60="OK",ISNUMBER($N$5),$N$5&gt;0,ISNUMBER($N$3),$N$3&gt;0),R60/(6*$N$3*1000000*$N$5)*(IF(N60&lt;($N$4*10/10),($N$4*10/10)*(MIN(O60,($N$4*10/10))^3-N60^3)-(MIN(O60,($N$4*10/10))^4-N60^4)/4,0)+IF(O60&gt;($N$4*10/10),($N$4*10/10)^2*(1.5*(O60^2-MAX(N60,($N$4*10/10))^2)-($N$4*10/10)*(O60-MAX(N60,($N$4*10/10)))),0))*1000,0)</f>
        <v>0</v>
      </c>
    </row>
    <row r="61" spans="1:49">
      <c r="A61" s="124"/>
      <c r="B61" s="125"/>
      <c r="C61" s="125"/>
      <c r="D61" s="125"/>
      <c r="E61" s="125"/>
      <c r="F61" s="126" t="str">
        <f>IF(J61="OK",D61*E61,"")</f>
        <v/>
      </c>
      <c r="G61" s="126" t="str">
        <f>IF(J61="OK",F61*(C61-B61),"")</f>
        <v/>
      </c>
      <c r="H61" s="126" t="str">
        <f>IF(J61="OK",G61*(C61+B61)/2,"")</f>
        <v/>
      </c>
      <c r="I61" s="126" t="str">
        <f>IF(AND(J61="OK",ISNUMBER($B$5),$B$5&gt;0,ISNUMBER($B$3),$B$3&gt;0),F61*(4*$B$4*(C61^3-B61^3)-(C61^4-B61^4))/(24*$B$3*1000000*$B$5)*1000,"")</f>
        <v/>
      </c>
      <c r="J61" s="120" t="str">
        <f>IF(COUNTA(A61:E61)=0,"",IF(AND(COUNT(B61:E61)=4,B61&gt;=0,C61&gt;B61,C61&lt;=$B$4,D61&gt;=0,E61&gt;0),IF(COUNTIFS($B$13:$B$60,"&lt;"&amp;C61,$C$13:$C$60,"&gt;"&amp;B61)&gt;0,"OVERLAP","OK"),"CHECK INPUTS"))</f>
        <v/>
      </c>
      <c r="M61" s="124"/>
      <c r="N61" s="125"/>
      <c r="O61" s="125"/>
      <c r="P61" s="125"/>
      <c r="Q61" s="125"/>
      <c r="R61" s="126" t="str">
        <f>IF(V61="OK",P61*Q61,"")</f>
        <v/>
      </c>
      <c r="S61" s="126" t="str">
        <f>IF(V61="OK",R61*(O61-N61),"")</f>
        <v/>
      </c>
      <c r="T61" s="126" t="str">
        <f>IF(V61="OK",S61*(O61+N61)/2,"")</f>
        <v/>
      </c>
      <c r="U61" s="126" t="str">
        <f>IF(AND(V61="OK",ISNUMBER($N$5),$N$5&gt;0,ISNUMBER($N$3),$N$3&gt;0),R61*(4*$N$4*(O61^3-N61^3)-(O61^4-N61^4))/(24*$N$3*1000000*$N$5)*1000,"")</f>
        <v/>
      </c>
      <c r="V61" s="120" t="str">
        <f>IF(COUNTA(M61:Q61)=0,"",IF(AND(COUNT(N61:Q61)=4,N61&gt;=0,O61&gt;N61,O61&lt;=$N$4,P61&gt;=0,Q61&gt;0),IF(COUNTIFS($N$13:$N$60,"&lt;"&amp;O61,$O$13:$O$60,"&gt;"&amp;N61)&gt;0,"OVERLAP","OK"),"CHECK INPUTS"))</f>
        <v/>
      </c>
      <c r="AA61" s="120">
        <f>IF(AND(J61="OK",ISNUMBER($B$5),$B$5&gt;0,ISNUMBER($B$3),$B$3&gt;0),F61/(6*$B$3*1000000*$B$5)*(IF(B61&lt;($B$4*0/10),($B$4*0/10)*(MIN(C61,($B$4*0/10))^3-B61^3)-(MIN(C61,($B$4*0/10))^4-B61^4)/4,0)+IF(C61&gt;($B$4*0/10),($B$4*0/10)^2*(1.5*(C61^2-MAX(B61,($B$4*0/10))^2)-($B$4*0/10)*(C61-MAX(B61,($B$4*0/10)))),0))*1000,0)</f>
        <v>0</v>
      </c>
      <c r="AB61" s="120">
        <f>IF(AND(J61="OK",ISNUMBER($B$5),$B$5&gt;0,ISNUMBER($B$3),$B$3&gt;0),F61/(6*$B$3*1000000*$B$5)*(IF(B61&lt;($B$4*1/10),($B$4*1/10)*(MIN(C61,($B$4*1/10))^3-B61^3)-(MIN(C61,($B$4*1/10))^4-B61^4)/4,0)+IF(C61&gt;($B$4*1/10),($B$4*1/10)^2*(1.5*(C61^2-MAX(B61,($B$4*1/10))^2)-($B$4*1/10)*(C61-MAX(B61,($B$4*1/10)))),0))*1000,0)</f>
        <v>0</v>
      </c>
      <c r="AC61" s="120">
        <f>IF(AND(J61="OK",ISNUMBER($B$5),$B$5&gt;0,ISNUMBER($B$3),$B$3&gt;0),F61/(6*$B$3*1000000*$B$5)*(IF(B61&lt;($B$4*2/10),($B$4*2/10)*(MIN(C61,($B$4*2/10))^3-B61^3)-(MIN(C61,($B$4*2/10))^4-B61^4)/4,0)+IF(C61&gt;($B$4*2/10),($B$4*2/10)^2*(1.5*(C61^2-MAX(B61,($B$4*2/10))^2)-($B$4*2/10)*(C61-MAX(B61,($B$4*2/10)))),0))*1000,0)</f>
        <v>0</v>
      </c>
      <c r="AD61" s="120">
        <f>IF(AND(J61="OK",ISNUMBER($B$5),$B$5&gt;0,ISNUMBER($B$3),$B$3&gt;0),F61/(6*$B$3*1000000*$B$5)*(IF(B61&lt;($B$4*3/10),($B$4*3/10)*(MIN(C61,($B$4*3/10))^3-B61^3)-(MIN(C61,($B$4*3/10))^4-B61^4)/4,0)+IF(C61&gt;($B$4*3/10),($B$4*3/10)^2*(1.5*(C61^2-MAX(B61,($B$4*3/10))^2)-($B$4*3/10)*(C61-MAX(B61,($B$4*3/10)))),0))*1000,0)</f>
        <v>0</v>
      </c>
      <c r="AE61" s="120">
        <f>IF(AND(J61="OK",ISNUMBER($B$5),$B$5&gt;0,ISNUMBER($B$3),$B$3&gt;0),F61/(6*$B$3*1000000*$B$5)*(IF(B61&lt;($B$4*4/10),($B$4*4/10)*(MIN(C61,($B$4*4/10))^3-B61^3)-(MIN(C61,($B$4*4/10))^4-B61^4)/4,0)+IF(C61&gt;($B$4*4/10),($B$4*4/10)^2*(1.5*(C61^2-MAX(B61,($B$4*4/10))^2)-($B$4*4/10)*(C61-MAX(B61,($B$4*4/10)))),0))*1000,0)</f>
        <v>0</v>
      </c>
      <c r="AF61" s="120">
        <f>IF(AND(J61="OK",ISNUMBER($B$5),$B$5&gt;0,ISNUMBER($B$3),$B$3&gt;0),F61/(6*$B$3*1000000*$B$5)*(IF(B61&lt;($B$4*5/10),($B$4*5/10)*(MIN(C61,($B$4*5/10))^3-B61^3)-(MIN(C61,($B$4*5/10))^4-B61^4)/4,0)+IF(C61&gt;($B$4*5/10),($B$4*5/10)^2*(1.5*(C61^2-MAX(B61,($B$4*5/10))^2)-($B$4*5/10)*(C61-MAX(B61,($B$4*5/10)))),0))*1000,0)</f>
        <v>0</v>
      </c>
      <c r="AG61" s="120">
        <f>IF(AND(J61="OK",ISNUMBER($B$5),$B$5&gt;0,ISNUMBER($B$3),$B$3&gt;0),F61/(6*$B$3*1000000*$B$5)*(IF(B61&lt;($B$4*6/10),($B$4*6/10)*(MIN(C61,($B$4*6/10))^3-B61^3)-(MIN(C61,($B$4*6/10))^4-B61^4)/4,0)+IF(C61&gt;($B$4*6/10),($B$4*6/10)^2*(1.5*(C61^2-MAX(B61,($B$4*6/10))^2)-($B$4*6/10)*(C61-MAX(B61,($B$4*6/10)))),0))*1000,0)</f>
        <v>0</v>
      </c>
      <c r="AH61" s="120">
        <f>IF(AND(J61="OK",ISNUMBER($B$5),$B$5&gt;0,ISNUMBER($B$3),$B$3&gt;0),F61/(6*$B$3*1000000*$B$5)*(IF(B61&lt;($B$4*7/10),($B$4*7/10)*(MIN(C61,($B$4*7/10))^3-B61^3)-(MIN(C61,($B$4*7/10))^4-B61^4)/4,0)+IF(C61&gt;($B$4*7/10),($B$4*7/10)^2*(1.5*(C61^2-MAX(B61,($B$4*7/10))^2)-($B$4*7/10)*(C61-MAX(B61,($B$4*7/10)))),0))*1000,0)</f>
        <v>0</v>
      </c>
      <c r="AI61" s="120">
        <f>IF(AND(J61="OK",ISNUMBER($B$5),$B$5&gt;0,ISNUMBER($B$3),$B$3&gt;0),F61/(6*$B$3*1000000*$B$5)*(IF(B61&lt;($B$4*8/10),($B$4*8/10)*(MIN(C61,($B$4*8/10))^3-B61^3)-(MIN(C61,($B$4*8/10))^4-B61^4)/4,0)+IF(C61&gt;($B$4*8/10),($B$4*8/10)^2*(1.5*(C61^2-MAX(B61,($B$4*8/10))^2)-($B$4*8/10)*(C61-MAX(B61,($B$4*8/10)))),0))*1000,0)</f>
        <v>0</v>
      </c>
      <c r="AJ61" s="120">
        <f>IF(AND(J61="OK",ISNUMBER($B$5),$B$5&gt;0,ISNUMBER($B$3),$B$3&gt;0),F61/(6*$B$3*1000000*$B$5)*(IF(B61&lt;($B$4*9/10),($B$4*9/10)*(MIN(C61,($B$4*9/10))^3-B61^3)-(MIN(C61,($B$4*9/10))^4-B61^4)/4,0)+IF(C61&gt;($B$4*9/10),($B$4*9/10)^2*(1.5*(C61^2-MAX(B61,($B$4*9/10))^2)-($B$4*9/10)*(C61-MAX(B61,($B$4*9/10)))),0))*1000,0)</f>
        <v>0</v>
      </c>
      <c r="AK61" s="120">
        <f>IF(AND(J61="OK",ISNUMBER($B$5),$B$5&gt;0,ISNUMBER($B$3),$B$3&gt;0),F61/(6*$B$3*1000000*$B$5)*(IF(B61&lt;($B$4*10/10),($B$4*10/10)*(MIN(C61,($B$4*10/10))^3-B61^3)-(MIN(C61,($B$4*10/10))^4-B61^4)/4,0)+IF(C61&gt;($B$4*10/10),($B$4*10/10)^2*(1.5*(C61^2-MAX(B61,($B$4*10/10))^2)-($B$4*10/10)*(C61-MAX(B61,($B$4*10/10)))),0))*1000,0)</f>
        <v>0</v>
      </c>
      <c r="AM61" s="120">
        <f>IF(AND(V61="OK",ISNUMBER($N$5),$N$5&gt;0,ISNUMBER($N$3),$N$3&gt;0),R61/(6*$N$3*1000000*$N$5)*(IF(N61&lt;($N$4*0/10),($N$4*0/10)*(MIN(O61,($N$4*0/10))^3-N61^3)-(MIN(O61,($N$4*0/10))^4-N61^4)/4,0)+IF(O61&gt;($N$4*0/10),($N$4*0/10)^2*(1.5*(O61^2-MAX(N61,($N$4*0/10))^2)-($N$4*0/10)*(O61-MAX(N61,($N$4*0/10)))),0))*1000,0)</f>
        <v>0</v>
      </c>
      <c r="AN61" s="120">
        <f>IF(AND(V61="OK",ISNUMBER($N$5),$N$5&gt;0,ISNUMBER($N$3),$N$3&gt;0),R61/(6*$N$3*1000000*$N$5)*(IF(N61&lt;($N$4*1/10),($N$4*1/10)*(MIN(O61,($N$4*1/10))^3-N61^3)-(MIN(O61,($N$4*1/10))^4-N61^4)/4,0)+IF(O61&gt;($N$4*1/10),($N$4*1/10)^2*(1.5*(O61^2-MAX(N61,($N$4*1/10))^2)-($N$4*1/10)*(O61-MAX(N61,($N$4*1/10)))),0))*1000,0)</f>
        <v>0</v>
      </c>
      <c r="AO61" s="120">
        <f>IF(AND(V61="OK",ISNUMBER($N$5),$N$5&gt;0,ISNUMBER($N$3),$N$3&gt;0),R61/(6*$N$3*1000000*$N$5)*(IF(N61&lt;($N$4*2/10),($N$4*2/10)*(MIN(O61,($N$4*2/10))^3-N61^3)-(MIN(O61,($N$4*2/10))^4-N61^4)/4,0)+IF(O61&gt;($N$4*2/10),($N$4*2/10)^2*(1.5*(O61^2-MAX(N61,($N$4*2/10))^2)-($N$4*2/10)*(O61-MAX(N61,($N$4*2/10)))),0))*1000,0)</f>
        <v>0</v>
      </c>
      <c r="AP61" s="120">
        <f>IF(AND(V61="OK",ISNUMBER($N$5),$N$5&gt;0,ISNUMBER($N$3),$N$3&gt;0),R61/(6*$N$3*1000000*$N$5)*(IF(N61&lt;($N$4*3/10),($N$4*3/10)*(MIN(O61,($N$4*3/10))^3-N61^3)-(MIN(O61,($N$4*3/10))^4-N61^4)/4,0)+IF(O61&gt;($N$4*3/10),($N$4*3/10)^2*(1.5*(O61^2-MAX(N61,($N$4*3/10))^2)-($N$4*3/10)*(O61-MAX(N61,($N$4*3/10)))),0))*1000,0)</f>
        <v>0</v>
      </c>
      <c r="AQ61" s="120">
        <f>IF(AND(V61="OK",ISNUMBER($N$5),$N$5&gt;0,ISNUMBER($N$3),$N$3&gt;0),R61/(6*$N$3*1000000*$N$5)*(IF(N61&lt;($N$4*4/10),($N$4*4/10)*(MIN(O61,($N$4*4/10))^3-N61^3)-(MIN(O61,($N$4*4/10))^4-N61^4)/4,0)+IF(O61&gt;($N$4*4/10),($N$4*4/10)^2*(1.5*(O61^2-MAX(N61,($N$4*4/10))^2)-($N$4*4/10)*(O61-MAX(N61,($N$4*4/10)))),0))*1000,0)</f>
        <v>0</v>
      </c>
      <c r="AR61" s="120">
        <f>IF(AND(V61="OK",ISNUMBER($N$5),$N$5&gt;0,ISNUMBER($N$3),$N$3&gt;0),R61/(6*$N$3*1000000*$N$5)*(IF(N61&lt;($N$4*5/10),($N$4*5/10)*(MIN(O61,($N$4*5/10))^3-N61^3)-(MIN(O61,($N$4*5/10))^4-N61^4)/4,0)+IF(O61&gt;($N$4*5/10),($N$4*5/10)^2*(1.5*(O61^2-MAX(N61,($N$4*5/10))^2)-($N$4*5/10)*(O61-MAX(N61,($N$4*5/10)))),0))*1000,0)</f>
        <v>0</v>
      </c>
      <c r="AS61" s="120">
        <f>IF(AND(V61="OK",ISNUMBER($N$5),$N$5&gt;0,ISNUMBER($N$3),$N$3&gt;0),R61/(6*$N$3*1000000*$N$5)*(IF(N61&lt;($N$4*6/10),($N$4*6/10)*(MIN(O61,($N$4*6/10))^3-N61^3)-(MIN(O61,($N$4*6/10))^4-N61^4)/4,0)+IF(O61&gt;($N$4*6/10),($N$4*6/10)^2*(1.5*(O61^2-MAX(N61,($N$4*6/10))^2)-($N$4*6/10)*(O61-MAX(N61,($N$4*6/10)))),0))*1000,0)</f>
        <v>0</v>
      </c>
      <c r="AT61" s="120">
        <f>IF(AND(V61="OK",ISNUMBER($N$5),$N$5&gt;0,ISNUMBER($N$3),$N$3&gt;0),R61/(6*$N$3*1000000*$N$5)*(IF(N61&lt;($N$4*7/10),($N$4*7/10)*(MIN(O61,($N$4*7/10))^3-N61^3)-(MIN(O61,($N$4*7/10))^4-N61^4)/4,0)+IF(O61&gt;($N$4*7/10),($N$4*7/10)^2*(1.5*(O61^2-MAX(N61,($N$4*7/10))^2)-($N$4*7/10)*(O61-MAX(N61,($N$4*7/10)))),0))*1000,0)</f>
        <v>0</v>
      </c>
      <c r="AU61" s="120">
        <f>IF(AND(V61="OK",ISNUMBER($N$5),$N$5&gt;0,ISNUMBER($N$3),$N$3&gt;0),R61/(6*$N$3*1000000*$N$5)*(IF(N61&lt;($N$4*8/10),($N$4*8/10)*(MIN(O61,($N$4*8/10))^3-N61^3)-(MIN(O61,($N$4*8/10))^4-N61^4)/4,0)+IF(O61&gt;($N$4*8/10),($N$4*8/10)^2*(1.5*(O61^2-MAX(N61,($N$4*8/10))^2)-($N$4*8/10)*(O61-MAX(N61,($N$4*8/10)))),0))*1000,0)</f>
        <v>0</v>
      </c>
      <c r="AV61" s="120">
        <f>IF(AND(V61="OK",ISNUMBER($N$5),$N$5&gt;0,ISNUMBER($N$3),$N$3&gt;0),R61/(6*$N$3*1000000*$N$5)*(IF(N61&lt;($N$4*9/10),($N$4*9/10)*(MIN(O61,($N$4*9/10))^3-N61^3)-(MIN(O61,($N$4*9/10))^4-N61^4)/4,0)+IF(O61&gt;($N$4*9/10),($N$4*9/10)^2*(1.5*(O61^2-MAX(N61,($N$4*9/10))^2)-($N$4*9/10)*(O61-MAX(N61,($N$4*9/10)))),0))*1000,0)</f>
        <v>0</v>
      </c>
      <c r="AW61" s="120">
        <f>IF(AND(V61="OK",ISNUMBER($N$5),$N$5&gt;0,ISNUMBER($N$3),$N$3&gt;0),R61/(6*$N$3*1000000*$N$5)*(IF(N61&lt;($N$4*10/10),($N$4*10/10)*(MIN(O61,($N$4*10/10))^3-N61^3)-(MIN(O61,($N$4*10/10))^4-N61^4)/4,0)+IF(O61&gt;($N$4*10/10),($N$4*10/10)^2*(1.5*(O61^2-MAX(N61,($N$4*10/10))^2)-($N$4*10/10)*(O61-MAX(N61,($N$4*10/10)))),0))*1000,0)</f>
        <v>0</v>
      </c>
    </row>
    <row r="62" spans="1:49">
      <c r="A62" s="124"/>
      <c r="B62" s="125"/>
      <c r="C62" s="125"/>
      <c r="D62" s="125"/>
      <c r="E62" s="125"/>
      <c r="F62" s="126" t="str">
        <f>IF(J62="OK",D62*E62,"")</f>
        <v/>
      </c>
      <c r="G62" s="126" t="str">
        <f>IF(J62="OK",F62*(C62-B62),"")</f>
        <v/>
      </c>
      <c r="H62" s="126" t="str">
        <f>IF(J62="OK",G62*(C62+B62)/2,"")</f>
        <v/>
      </c>
      <c r="I62" s="126" t="str">
        <f>IF(AND(J62="OK",ISNUMBER($B$5),$B$5&gt;0,ISNUMBER($B$3),$B$3&gt;0),F62*(4*$B$4*(C62^3-B62^3)-(C62^4-B62^4))/(24*$B$3*1000000*$B$5)*1000,"")</f>
        <v/>
      </c>
      <c r="J62" s="120" t="str">
        <f>IF(COUNTA(A62:E62)=0,"",IF(AND(COUNT(B62:E62)=4,B62&gt;=0,C62&gt;B62,C62&lt;=$B$4,D62&gt;=0,E62&gt;0),IF(COUNTIFS($B$13:$B$61,"&lt;"&amp;C62,$C$13:$C$61,"&gt;"&amp;B62)&gt;0,"OVERLAP","OK"),"CHECK INPUTS"))</f>
        <v/>
      </c>
      <c r="M62" s="124"/>
      <c r="N62" s="125"/>
      <c r="O62" s="125"/>
      <c r="P62" s="125"/>
      <c r="Q62" s="125"/>
      <c r="R62" s="126" t="str">
        <f>IF(V62="OK",P62*Q62,"")</f>
        <v/>
      </c>
      <c r="S62" s="126" t="str">
        <f>IF(V62="OK",R62*(O62-N62),"")</f>
        <v/>
      </c>
      <c r="T62" s="126" t="str">
        <f>IF(V62="OK",S62*(O62+N62)/2,"")</f>
        <v/>
      </c>
      <c r="U62" s="126" t="str">
        <f>IF(AND(V62="OK",ISNUMBER($N$5),$N$5&gt;0,ISNUMBER($N$3),$N$3&gt;0),R62*(4*$N$4*(O62^3-N62^3)-(O62^4-N62^4))/(24*$N$3*1000000*$N$5)*1000,"")</f>
        <v/>
      </c>
      <c r="V62" s="120" t="str">
        <f>IF(COUNTA(M62:Q62)=0,"",IF(AND(COUNT(N62:Q62)=4,N62&gt;=0,O62&gt;N62,O62&lt;=$N$4,P62&gt;=0,Q62&gt;0),IF(COUNTIFS($N$13:$N$61,"&lt;"&amp;O62,$O$13:$O$61,"&gt;"&amp;N62)&gt;0,"OVERLAP","OK"),"CHECK INPUTS"))</f>
        <v/>
      </c>
      <c r="AA62" s="120">
        <f>IF(AND(J62="OK",ISNUMBER($B$5),$B$5&gt;0,ISNUMBER($B$3),$B$3&gt;0),F62/(6*$B$3*1000000*$B$5)*(IF(B62&lt;($B$4*0/10),($B$4*0/10)*(MIN(C62,($B$4*0/10))^3-B62^3)-(MIN(C62,($B$4*0/10))^4-B62^4)/4,0)+IF(C62&gt;($B$4*0/10),($B$4*0/10)^2*(1.5*(C62^2-MAX(B62,($B$4*0/10))^2)-($B$4*0/10)*(C62-MAX(B62,($B$4*0/10)))),0))*1000,0)</f>
        <v>0</v>
      </c>
      <c r="AB62" s="120">
        <f>IF(AND(J62="OK",ISNUMBER($B$5),$B$5&gt;0,ISNUMBER($B$3),$B$3&gt;0),F62/(6*$B$3*1000000*$B$5)*(IF(B62&lt;($B$4*1/10),($B$4*1/10)*(MIN(C62,($B$4*1/10))^3-B62^3)-(MIN(C62,($B$4*1/10))^4-B62^4)/4,0)+IF(C62&gt;($B$4*1/10),($B$4*1/10)^2*(1.5*(C62^2-MAX(B62,($B$4*1/10))^2)-($B$4*1/10)*(C62-MAX(B62,($B$4*1/10)))),0))*1000,0)</f>
        <v>0</v>
      </c>
      <c r="AC62" s="120">
        <f>IF(AND(J62="OK",ISNUMBER($B$5),$B$5&gt;0,ISNUMBER($B$3),$B$3&gt;0),F62/(6*$B$3*1000000*$B$5)*(IF(B62&lt;($B$4*2/10),($B$4*2/10)*(MIN(C62,($B$4*2/10))^3-B62^3)-(MIN(C62,($B$4*2/10))^4-B62^4)/4,0)+IF(C62&gt;($B$4*2/10),($B$4*2/10)^2*(1.5*(C62^2-MAX(B62,($B$4*2/10))^2)-($B$4*2/10)*(C62-MAX(B62,($B$4*2/10)))),0))*1000,0)</f>
        <v>0</v>
      </c>
      <c r="AD62" s="120">
        <f>IF(AND(J62="OK",ISNUMBER($B$5),$B$5&gt;0,ISNUMBER($B$3),$B$3&gt;0),F62/(6*$B$3*1000000*$B$5)*(IF(B62&lt;($B$4*3/10),($B$4*3/10)*(MIN(C62,($B$4*3/10))^3-B62^3)-(MIN(C62,($B$4*3/10))^4-B62^4)/4,0)+IF(C62&gt;($B$4*3/10),($B$4*3/10)^2*(1.5*(C62^2-MAX(B62,($B$4*3/10))^2)-($B$4*3/10)*(C62-MAX(B62,($B$4*3/10)))),0))*1000,0)</f>
        <v>0</v>
      </c>
      <c r="AE62" s="120">
        <f>IF(AND(J62="OK",ISNUMBER($B$5),$B$5&gt;0,ISNUMBER($B$3),$B$3&gt;0),F62/(6*$B$3*1000000*$B$5)*(IF(B62&lt;($B$4*4/10),($B$4*4/10)*(MIN(C62,($B$4*4/10))^3-B62^3)-(MIN(C62,($B$4*4/10))^4-B62^4)/4,0)+IF(C62&gt;($B$4*4/10),($B$4*4/10)^2*(1.5*(C62^2-MAX(B62,($B$4*4/10))^2)-($B$4*4/10)*(C62-MAX(B62,($B$4*4/10)))),0))*1000,0)</f>
        <v>0</v>
      </c>
      <c r="AF62" s="120">
        <f>IF(AND(J62="OK",ISNUMBER($B$5),$B$5&gt;0,ISNUMBER($B$3),$B$3&gt;0),F62/(6*$B$3*1000000*$B$5)*(IF(B62&lt;($B$4*5/10),($B$4*5/10)*(MIN(C62,($B$4*5/10))^3-B62^3)-(MIN(C62,($B$4*5/10))^4-B62^4)/4,0)+IF(C62&gt;($B$4*5/10),($B$4*5/10)^2*(1.5*(C62^2-MAX(B62,($B$4*5/10))^2)-($B$4*5/10)*(C62-MAX(B62,($B$4*5/10)))),0))*1000,0)</f>
        <v>0</v>
      </c>
      <c r="AG62" s="120">
        <f>IF(AND(J62="OK",ISNUMBER($B$5),$B$5&gt;0,ISNUMBER($B$3),$B$3&gt;0),F62/(6*$B$3*1000000*$B$5)*(IF(B62&lt;($B$4*6/10),($B$4*6/10)*(MIN(C62,($B$4*6/10))^3-B62^3)-(MIN(C62,($B$4*6/10))^4-B62^4)/4,0)+IF(C62&gt;($B$4*6/10),($B$4*6/10)^2*(1.5*(C62^2-MAX(B62,($B$4*6/10))^2)-($B$4*6/10)*(C62-MAX(B62,($B$4*6/10)))),0))*1000,0)</f>
        <v>0</v>
      </c>
      <c r="AH62" s="120">
        <f>IF(AND(J62="OK",ISNUMBER($B$5),$B$5&gt;0,ISNUMBER($B$3),$B$3&gt;0),F62/(6*$B$3*1000000*$B$5)*(IF(B62&lt;($B$4*7/10),($B$4*7/10)*(MIN(C62,($B$4*7/10))^3-B62^3)-(MIN(C62,($B$4*7/10))^4-B62^4)/4,0)+IF(C62&gt;($B$4*7/10),($B$4*7/10)^2*(1.5*(C62^2-MAX(B62,($B$4*7/10))^2)-($B$4*7/10)*(C62-MAX(B62,($B$4*7/10)))),0))*1000,0)</f>
        <v>0</v>
      </c>
      <c r="AI62" s="120">
        <f>IF(AND(J62="OK",ISNUMBER($B$5),$B$5&gt;0,ISNUMBER($B$3),$B$3&gt;0),F62/(6*$B$3*1000000*$B$5)*(IF(B62&lt;($B$4*8/10),($B$4*8/10)*(MIN(C62,($B$4*8/10))^3-B62^3)-(MIN(C62,($B$4*8/10))^4-B62^4)/4,0)+IF(C62&gt;($B$4*8/10),($B$4*8/10)^2*(1.5*(C62^2-MAX(B62,($B$4*8/10))^2)-($B$4*8/10)*(C62-MAX(B62,($B$4*8/10)))),0))*1000,0)</f>
        <v>0</v>
      </c>
      <c r="AJ62" s="120">
        <f>IF(AND(J62="OK",ISNUMBER($B$5),$B$5&gt;0,ISNUMBER($B$3),$B$3&gt;0),F62/(6*$B$3*1000000*$B$5)*(IF(B62&lt;($B$4*9/10),($B$4*9/10)*(MIN(C62,($B$4*9/10))^3-B62^3)-(MIN(C62,($B$4*9/10))^4-B62^4)/4,0)+IF(C62&gt;($B$4*9/10),($B$4*9/10)^2*(1.5*(C62^2-MAX(B62,($B$4*9/10))^2)-($B$4*9/10)*(C62-MAX(B62,($B$4*9/10)))),0))*1000,0)</f>
        <v>0</v>
      </c>
      <c r="AK62" s="120">
        <f>IF(AND(J62="OK",ISNUMBER($B$5),$B$5&gt;0,ISNUMBER($B$3),$B$3&gt;0),F62/(6*$B$3*1000000*$B$5)*(IF(B62&lt;($B$4*10/10),($B$4*10/10)*(MIN(C62,($B$4*10/10))^3-B62^3)-(MIN(C62,($B$4*10/10))^4-B62^4)/4,0)+IF(C62&gt;($B$4*10/10),($B$4*10/10)^2*(1.5*(C62^2-MAX(B62,($B$4*10/10))^2)-($B$4*10/10)*(C62-MAX(B62,($B$4*10/10)))),0))*1000,0)</f>
        <v>0</v>
      </c>
      <c r="AM62" s="120">
        <f>IF(AND(V62="OK",ISNUMBER($N$5),$N$5&gt;0,ISNUMBER($N$3),$N$3&gt;0),R62/(6*$N$3*1000000*$N$5)*(IF(N62&lt;($N$4*0/10),($N$4*0/10)*(MIN(O62,($N$4*0/10))^3-N62^3)-(MIN(O62,($N$4*0/10))^4-N62^4)/4,0)+IF(O62&gt;($N$4*0/10),($N$4*0/10)^2*(1.5*(O62^2-MAX(N62,($N$4*0/10))^2)-($N$4*0/10)*(O62-MAX(N62,($N$4*0/10)))),0))*1000,0)</f>
        <v>0</v>
      </c>
      <c r="AN62" s="120">
        <f>IF(AND(V62="OK",ISNUMBER($N$5),$N$5&gt;0,ISNUMBER($N$3),$N$3&gt;0),R62/(6*$N$3*1000000*$N$5)*(IF(N62&lt;($N$4*1/10),($N$4*1/10)*(MIN(O62,($N$4*1/10))^3-N62^3)-(MIN(O62,($N$4*1/10))^4-N62^4)/4,0)+IF(O62&gt;($N$4*1/10),($N$4*1/10)^2*(1.5*(O62^2-MAX(N62,($N$4*1/10))^2)-($N$4*1/10)*(O62-MAX(N62,($N$4*1/10)))),0))*1000,0)</f>
        <v>0</v>
      </c>
      <c r="AO62" s="120">
        <f>IF(AND(V62="OK",ISNUMBER($N$5),$N$5&gt;0,ISNUMBER($N$3),$N$3&gt;0),R62/(6*$N$3*1000000*$N$5)*(IF(N62&lt;($N$4*2/10),($N$4*2/10)*(MIN(O62,($N$4*2/10))^3-N62^3)-(MIN(O62,($N$4*2/10))^4-N62^4)/4,0)+IF(O62&gt;($N$4*2/10),($N$4*2/10)^2*(1.5*(O62^2-MAX(N62,($N$4*2/10))^2)-($N$4*2/10)*(O62-MAX(N62,($N$4*2/10)))),0))*1000,0)</f>
        <v>0</v>
      </c>
      <c r="AP62" s="120">
        <f>IF(AND(V62="OK",ISNUMBER($N$5),$N$5&gt;0,ISNUMBER($N$3),$N$3&gt;0),R62/(6*$N$3*1000000*$N$5)*(IF(N62&lt;($N$4*3/10),($N$4*3/10)*(MIN(O62,($N$4*3/10))^3-N62^3)-(MIN(O62,($N$4*3/10))^4-N62^4)/4,0)+IF(O62&gt;($N$4*3/10),($N$4*3/10)^2*(1.5*(O62^2-MAX(N62,($N$4*3/10))^2)-($N$4*3/10)*(O62-MAX(N62,($N$4*3/10)))),0))*1000,0)</f>
        <v>0</v>
      </c>
      <c r="AQ62" s="120">
        <f>IF(AND(V62="OK",ISNUMBER($N$5),$N$5&gt;0,ISNUMBER($N$3),$N$3&gt;0),R62/(6*$N$3*1000000*$N$5)*(IF(N62&lt;($N$4*4/10),($N$4*4/10)*(MIN(O62,($N$4*4/10))^3-N62^3)-(MIN(O62,($N$4*4/10))^4-N62^4)/4,0)+IF(O62&gt;($N$4*4/10),($N$4*4/10)^2*(1.5*(O62^2-MAX(N62,($N$4*4/10))^2)-($N$4*4/10)*(O62-MAX(N62,($N$4*4/10)))),0))*1000,0)</f>
        <v>0</v>
      </c>
      <c r="AR62" s="120">
        <f>IF(AND(V62="OK",ISNUMBER($N$5),$N$5&gt;0,ISNUMBER($N$3),$N$3&gt;0),R62/(6*$N$3*1000000*$N$5)*(IF(N62&lt;($N$4*5/10),($N$4*5/10)*(MIN(O62,($N$4*5/10))^3-N62^3)-(MIN(O62,($N$4*5/10))^4-N62^4)/4,0)+IF(O62&gt;($N$4*5/10),($N$4*5/10)^2*(1.5*(O62^2-MAX(N62,($N$4*5/10))^2)-($N$4*5/10)*(O62-MAX(N62,($N$4*5/10)))),0))*1000,0)</f>
        <v>0</v>
      </c>
      <c r="AS62" s="120">
        <f>IF(AND(V62="OK",ISNUMBER($N$5),$N$5&gt;0,ISNUMBER($N$3),$N$3&gt;0),R62/(6*$N$3*1000000*$N$5)*(IF(N62&lt;($N$4*6/10),($N$4*6/10)*(MIN(O62,($N$4*6/10))^3-N62^3)-(MIN(O62,($N$4*6/10))^4-N62^4)/4,0)+IF(O62&gt;($N$4*6/10),($N$4*6/10)^2*(1.5*(O62^2-MAX(N62,($N$4*6/10))^2)-($N$4*6/10)*(O62-MAX(N62,($N$4*6/10)))),0))*1000,0)</f>
        <v>0</v>
      </c>
      <c r="AT62" s="120">
        <f>IF(AND(V62="OK",ISNUMBER($N$5),$N$5&gt;0,ISNUMBER($N$3),$N$3&gt;0),R62/(6*$N$3*1000000*$N$5)*(IF(N62&lt;($N$4*7/10),($N$4*7/10)*(MIN(O62,($N$4*7/10))^3-N62^3)-(MIN(O62,($N$4*7/10))^4-N62^4)/4,0)+IF(O62&gt;($N$4*7/10),($N$4*7/10)^2*(1.5*(O62^2-MAX(N62,($N$4*7/10))^2)-($N$4*7/10)*(O62-MAX(N62,($N$4*7/10)))),0))*1000,0)</f>
        <v>0</v>
      </c>
      <c r="AU62" s="120">
        <f>IF(AND(V62="OK",ISNUMBER($N$5),$N$5&gt;0,ISNUMBER($N$3),$N$3&gt;0),R62/(6*$N$3*1000000*$N$5)*(IF(N62&lt;($N$4*8/10),($N$4*8/10)*(MIN(O62,($N$4*8/10))^3-N62^3)-(MIN(O62,($N$4*8/10))^4-N62^4)/4,0)+IF(O62&gt;($N$4*8/10),($N$4*8/10)^2*(1.5*(O62^2-MAX(N62,($N$4*8/10))^2)-($N$4*8/10)*(O62-MAX(N62,($N$4*8/10)))),0))*1000,0)</f>
        <v>0</v>
      </c>
      <c r="AV62" s="120">
        <f>IF(AND(V62="OK",ISNUMBER($N$5),$N$5&gt;0,ISNUMBER($N$3),$N$3&gt;0),R62/(6*$N$3*1000000*$N$5)*(IF(N62&lt;($N$4*9/10),($N$4*9/10)*(MIN(O62,($N$4*9/10))^3-N62^3)-(MIN(O62,($N$4*9/10))^4-N62^4)/4,0)+IF(O62&gt;($N$4*9/10),($N$4*9/10)^2*(1.5*(O62^2-MAX(N62,($N$4*9/10))^2)-($N$4*9/10)*(O62-MAX(N62,($N$4*9/10)))),0))*1000,0)</f>
        <v>0</v>
      </c>
      <c r="AW62" s="120">
        <f>IF(AND(V62="OK",ISNUMBER($N$5),$N$5&gt;0,ISNUMBER($N$3),$N$3&gt;0),R62/(6*$N$3*1000000*$N$5)*(IF(N62&lt;($N$4*10/10),($N$4*10/10)*(MIN(O62,($N$4*10/10))^3-N62^3)-(MIN(O62,($N$4*10/10))^4-N62^4)/4,0)+IF(O62&gt;($N$4*10/10),($N$4*10/10)^2*(1.5*(O62^2-MAX(N62,($N$4*10/10))^2)-($N$4*10/10)*(O62-MAX(N62,($N$4*10/10)))),0))*1000,0)</f>
        <v>0</v>
      </c>
    </row>
    <row r="63" spans="1:49">
      <c r="A63" s="124"/>
      <c r="B63" s="125"/>
      <c r="C63" s="125"/>
      <c r="D63" s="125"/>
      <c r="E63" s="125"/>
      <c r="F63" s="126" t="str">
        <f>IF(J63="OK",D63*E63,"")</f>
        <v/>
      </c>
      <c r="G63" s="126" t="str">
        <f>IF(J63="OK",F63*(C63-B63),"")</f>
        <v/>
      </c>
      <c r="H63" s="126" t="str">
        <f>IF(J63="OK",G63*(C63+B63)/2,"")</f>
        <v/>
      </c>
      <c r="I63" s="126" t="str">
        <f>IF(AND(J63="OK",ISNUMBER($B$5),$B$5&gt;0,ISNUMBER($B$3),$B$3&gt;0),F63*(4*$B$4*(C63^3-B63^3)-(C63^4-B63^4))/(24*$B$3*1000000*$B$5)*1000,"")</f>
        <v/>
      </c>
      <c r="J63" s="120" t="str">
        <f>IF(COUNTA(A63:E63)=0,"",IF(AND(COUNT(B63:E63)=4,B63&gt;=0,C63&gt;B63,C63&lt;=$B$4,D63&gt;=0,E63&gt;0),IF(COUNTIFS($B$13:$B$62,"&lt;"&amp;C63,$C$13:$C$62,"&gt;"&amp;B63)&gt;0,"OVERLAP","OK"),"CHECK INPUTS"))</f>
        <v/>
      </c>
      <c r="M63" s="124"/>
      <c r="N63" s="125"/>
      <c r="O63" s="125"/>
      <c r="P63" s="125"/>
      <c r="Q63" s="125"/>
      <c r="R63" s="126" t="str">
        <f>IF(V63="OK",P63*Q63,"")</f>
        <v/>
      </c>
      <c r="S63" s="126" t="str">
        <f>IF(V63="OK",R63*(O63-N63),"")</f>
        <v/>
      </c>
      <c r="T63" s="126" t="str">
        <f>IF(V63="OK",S63*(O63+N63)/2,"")</f>
        <v/>
      </c>
      <c r="U63" s="126" t="str">
        <f>IF(AND(V63="OK",ISNUMBER($N$5),$N$5&gt;0,ISNUMBER($N$3),$N$3&gt;0),R63*(4*$N$4*(O63^3-N63^3)-(O63^4-N63^4))/(24*$N$3*1000000*$N$5)*1000,"")</f>
        <v/>
      </c>
      <c r="V63" s="120" t="str">
        <f>IF(COUNTA(M63:Q63)=0,"",IF(AND(COUNT(N63:Q63)=4,N63&gt;=0,O63&gt;N63,O63&lt;=$N$4,P63&gt;=0,Q63&gt;0),IF(COUNTIFS($N$13:$N$62,"&lt;"&amp;O63,$O$13:$O$62,"&gt;"&amp;N63)&gt;0,"OVERLAP","OK"),"CHECK INPUTS"))</f>
        <v/>
      </c>
      <c r="AA63" s="120">
        <f>IF(AND(J63="OK",ISNUMBER($B$5),$B$5&gt;0,ISNUMBER($B$3),$B$3&gt;0),F63/(6*$B$3*1000000*$B$5)*(IF(B63&lt;($B$4*0/10),($B$4*0/10)*(MIN(C63,($B$4*0/10))^3-B63^3)-(MIN(C63,($B$4*0/10))^4-B63^4)/4,0)+IF(C63&gt;($B$4*0/10),($B$4*0/10)^2*(1.5*(C63^2-MAX(B63,($B$4*0/10))^2)-($B$4*0/10)*(C63-MAX(B63,($B$4*0/10)))),0))*1000,0)</f>
        <v>0</v>
      </c>
      <c r="AB63" s="120">
        <f>IF(AND(J63="OK",ISNUMBER($B$5),$B$5&gt;0,ISNUMBER($B$3),$B$3&gt;0),F63/(6*$B$3*1000000*$B$5)*(IF(B63&lt;($B$4*1/10),($B$4*1/10)*(MIN(C63,($B$4*1/10))^3-B63^3)-(MIN(C63,($B$4*1/10))^4-B63^4)/4,0)+IF(C63&gt;($B$4*1/10),($B$4*1/10)^2*(1.5*(C63^2-MAX(B63,($B$4*1/10))^2)-($B$4*1/10)*(C63-MAX(B63,($B$4*1/10)))),0))*1000,0)</f>
        <v>0</v>
      </c>
      <c r="AC63" s="120">
        <f>IF(AND(J63="OK",ISNUMBER($B$5),$B$5&gt;0,ISNUMBER($B$3),$B$3&gt;0),F63/(6*$B$3*1000000*$B$5)*(IF(B63&lt;($B$4*2/10),($B$4*2/10)*(MIN(C63,($B$4*2/10))^3-B63^3)-(MIN(C63,($B$4*2/10))^4-B63^4)/4,0)+IF(C63&gt;($B$4*2/10),($B$4*2/10)^2*(1.5*(C63^2-MAX(B63,($B$4*2/10))^2)-($B$4*2/10)*(C63-MAX(B63,($B$4*2/10)))),0))*1000,0)</f>
        <v>0</v>
      </c>
      <c r="AD63" s="120">
        <f>IF(AND(J63="OK",ISNUMBER($B$5),$B$5&gt;0,ISNUMBER($B$3),$B$3&gt;0),F63/(6*$B$3*1000000*$B$5)*(IF(B63&lt;($B$4*3/10),($B$4*3/10)*(MIN(C63,($B$4*3/10))^3-B63^3)-(MIN(C63,($B$4*3/10))^4-B63^4)/4,0)+IF(C63&gt;($B$4*3/10),($B$4*3/10)^2*(1.5*(C63^2-MAX(B63,($B$4*3/10))^2)-($B$4*3/10)*(C63-MAX(B63,($B$4*3/10)))),0))*1000,0)</f>
        <v>0</v>
      </c>
      <c r="AE63" s="120">
        <f>IF(AND(J63="OK",ISNUMBER($B$5),$B$5&gt;0,ISNUMBER($B$3),$B$3&gt;0),F63/(6*$B$3*1000000*$B$5)*(IF(B63&lt;($B$4*4/10),($B$4*4/10)*(MIN(C63,($B$4*4/10))^3-B63^3)-(MIN(C63,($B$4*4/10))^4-B63^4)/4,0)+IF(C63&gt;($B$4*4/10),($B$4*4/10)^2*(1.5*(C63^2-MAX(B63,($B$4*4/10))^2)-($B$4*4/10)*(C63-MAX(B63,($B$4*4/10)))),0))*1000,0)</f>
        <v>0</v>
      </c>
      <c r="AF63" s="120">
        <f>IF(AND(J63="OK",ISNUMBER($B$5),$B$5&gt;0,ISNUMBER($B$3),$B$3&gt;0),F63/(6*$B$3*1000000*$B$5)*(IF(B63&lt;($B$4*5/10),($B$4*5/10)*(MIN(C63,($B$4*5/10))^3-B63^3)-(MIN(C63,($B$4*5/10))^4-B63^4)/4,0)+IF(C63&gt;($B$4*5/10),($B$4*5/10)^2*(1.5*(C63^2-MAX(B63,($B$4*5/10))^2)-($B$4*5/10)*(C63-MAX(B63,($B$4*5/10)))),0))*1000,0)</f>
        <v>0</v>
      </c>
      <c r="AG63" s="120">
        <f>IF(AND(J63="OK",ISNUMBER($B$5),$B$5&gt;0,ISNUMBER($B$3),$B$3&gt;0),F63/(6*$B$3*1000000*$B$5)*(IF(B63&lt;($B$4*6/10),($B$4*6/10)*(MIN(C63,($B$4*6/10))^3-B63^3)-(MIN(C63,($B$4*6/10))^4-B63^4)/4,0)+IF(C63&gt;($B$4*6/10),($B$4*6/10)^2*(1.5*(C63^2-MAX(B63,($B$4*6/10))^2)-($B$4*6/10)*(C63-MAX(B63,($B$4*6/10)))),0))*1000,0)</f>
        <v>0</v>
      </c>
      <c r="AH63" s="120">
        <f>IF(AND(J63="OK",ISNUMBER($B$5),$B$5&gt;0,ISNUMBER($B$3),$B$3&gt;0),F63/(6*$B$3*1000000*$B$5)*(IF(B63&lt;($B$4*7/10),($B$4*7/10)*(MIN(C63,($B$4*7/10))^3-B63^3)-(MIN(C63,($B$4*7/10))^4-B63^4)/4,0)+IF(C63&gt;($B$4*7/10),($B$4*7/10)^2*(1.5*(C63^2-MAX(B63,($B$4*7/10))^2)-($B$4*7/10)*(C63-MAX(B63,($B$4*7/10)))),0))*1000,0)</f>
        <v>0</v>
      </c>
      <c r="AI63" s="120">
        <f>IF(AND(J63="OK",ISNUMBER($B$5),$B$5&gt;0,ISNUMBER($B$3),$B$3&gt;0),F63/(6*$B$3*1000000*$B$5)*(IF(B63&lt;($B$4*8/10),($B$4*8/10)*(MIN(C63,($B$4*8/10))^3-B63^3)-(MIN(C63,($B$4*8/10))^4-B63^4)/4,0)+IF(C63&gt;($B$4*8/10),($B$4*8/10)^2*(1.5*(C63^2-MAX(B63,($B$4*8/10))^2)-($B$4*8/10)*(C63-MAX(B63,($B$4*8/10)))),0))*1000,0)</f>
        <v>0</v>
      </c>
      <c r="AJ63" s="120">
        <f>IF(AND(J63="OK",ISNUMBER($B$5),$B$5&gt;0,ISNUMBER($B$3),$B$3&gt;0),F63/(6*$B$3*1000000*$B$5)*(IF(B63&lt;($B$4*9/10),($B$4*9/10)*(MIN(C63,($B$4*9/10))^3-B63^3)-(MIN(C63,($B$4*9/10))^4-B63^4)/4,0)+IF(C63&gt;($B$4*9/10),($B$4*9/10)^2*(1.5*(C63^2-MAX(B63,($B$4*9/10))^2)-($B$4*9/10)*(C63-MAX(B63,($B$4*9/10)))),0))*1000,0)</f>
        <v>0</v>
      </c>
      <c r="AK63" s="120">
        <f>IF(AND(J63="OK",ISNUMBER($B$5),$B$5&gt;0,ISNUMBER($B$3),$B$3&gt;0),F63/(6*$B$3*1000000*$B$5)*(IF(B63&lt;($B$4*10/10),($B$4*10/10)*(MIN(C63,($B$4*10/10))^3-B63^3)-(MIN(C63,($B$4*10/10))^4-B63^4)/4,0)+IF(C63&gt;($B$4*10/10),($B$4*10/10)^2*(1.5*(C63^2-MAX(B63,($B$4*10/10))^2)-($B$4*10/10)*(C63-MAX(B63,($B$4*10/10)))),0))*1000,0)</f>
        <v>0</v>
      </c>
      <c r="AM63" s="120">
        <f>IF(AND(V63="OK",ISNUMBER($N$5),$N$5&gt;0,ISNUMBER($N$3),$N$3&gt;0),R63/(6*$N$3*1000000*$N$5)*(IF(N63&lt;($N$4*0/10),($N$4*0/10)*(MIN(O63,($N$4*0/10))^3-N63^3)-(MIN(O63,($N$4*0/10))^4-N63^4)/4,0)+IF(O63&gt;($N$4*0/10),($N$4*0/10)^2*(1.5*(O63^2-MAX(N63,($N$4*0/10))^2)-($N$4*0/10)*(O63-MAX(N63,($N$4*0/10)))),0))*1000,0)</f>
        <v>0</v>
      </c>
      <c r="AN63" s="120">
        <f>IF(AND(V63="OK",ISNUMBER($N$5),$N$5&gt;0,ISNUMBER($N$3),$N$3&gt;0),R63/(6*$N$3*1000000*$N$5)*(IF(N63&lt;($N$4*1/10),($N$4*1/10)*(MIN(O63,($N$4*1/10))^3-N63^3)-(MIN(O63,($N$4*1/10))^4-N63^4)/4,0)+IF(O63&gt;($N$4*1/10),($N$4*1/10)^2*(1.5*(O63^2-MAX(N63,($N$4*1/10))^2)-($N$4*1/10)*(O63-MAX(N63,($N$4*1/10)))),0))*1000,0)</f>
        <v>0</v>
      </c>
      <c r="AO63" s="120">
        <f>IF(AND(V63="OK",ISNUMBER($N$5),$N$5&gt;0,ISNUMBER($N$3),$N$3&gt;0),R63/(6*$N$3*1000000*$N$5)*(IF(N63&lt;($N$4*2/10),($N$4*2/10)*(MIN(O63,($N$4*2/10))^3-N63^3)-(MIN(O63,($N$4*2/10))^4-N63^4)/4,0)+IF(O63&gt;($N$4*2/10),($N$4*2/10)^2*(1.5*(O63^2-MAX(N63,($N$4*2/10))^2)-($N$4*2/10)*(O63-MAX(N63,($N$4*2/10)))),0))*1000,0)</f>
        <v>0</v>
      </c>
      <c r="AP63" s="120">
        <f>IF(AND(V63="OK",ISNUMBER($N$5),$N$5&gt;0,ISNUMBER($N$3),$N$3&gt;0),R63/(6*$N$3*1000000*$N$5)*(IF(N63&lt;($N$4*3/10),($N$4*3/10)*(MIN(O63,($N$4*3/10))^3-N63^3)-(MIN(O63,($N$4*3/10))^4-N63^4)/4,0)+IF(O63&gt;($N$4*3/10),($N$4*3/10)^2*(1.5*(O63^2-MAX(N63,($N$4*3/10))^2)-($N$4*3/10)*(O63-MAX(N63,($N$4*3/10)))),0))*1000,0)</f>
        <v>0</v>
      </c>
      <c r="AQ63" s="120">
        <f>IF(AND(V63="OK",ISNUMBER($N$5),$N$5&gt;0,ISNUMBER($N$3),$N$3&gt;0),R63/(6*$N$3*1000000*$N$5)*(IF(N63&lt;($N$4*4/10),($N$4*4/10)*(MIN(O63,($N$4*4/10))^3-N63^3)-(MIN(O63,($N$4*4/10))^4-N63^4)/4,0)+IF(O63&gt;($N$4*4/10),($N$4*4/10)^2*(1.5*(O63^2-MAX(N63,($N$4*4/10))^2)-($N$4*4/10)*(O63-MAX(N63,($N$4*4/10)))),0))*1000,0)</f>
        <v>0</v>
      </c>
      <c r="AR63" s="120">
        <f>IF(AND(V63="OK",ISNUMBER($N$5),$N$5&gt;0,ISNUMBER($N$3),$N$3&gt;0),R63/(6*$N$3*1000000*$N$5)*(IF(N63&lt;($N$4*5/10),($N$4*5/10)*(MIN(O63,($N$4*5/10))^3-N63^3)-(MIN(O63,($N$4*5/10))^4-N63^4)/4,0)+IF(O63&gt;($N$4*5/10),($N$4*5/10)^2*(1.5*(O63^2-MAX(N63,($N$4*5/10))^2)-($N$4*5/10)*(O63-MAX(N63,($N$4*5/10)))),0))*1000,0)</f>
        <v>0</v>
      </c>
      <c r="AS63" s="120">
        <f>IF(AND(V63="OK",ISNUMBER($N$5),$N$5&gt;0,ISNUMBER($N$3),$N$3&gt;0),R63/(6*$N$3*1000000*$N$5)*(IF(N63&lt;($N$4*6/10),($N$4*6/10)*(MIN(O63,($N$4*6/10))^3-N63^3)-(MIN(O63,($N$4*6/10))^4-N63^4)/4,0)+IF(O63&gt;($N$4*6/10),($N$4*6/10)^2*(1.5*(O63^2-MAX(N63,($N$4*6/10))^2)-($N$4*6/10)*(O63-MAX(N63,($N$4*6/10)))),0))*1000,0)</f>
        <v>0</v>
      </c>
      <c r="AT63" s="120">
        <f>IF(AND(V63="OK",ISNUMBER($N$5),$N$5&gt;0,ISNUMBER($N$3),$N$3&gt;0),R63/(6*$N$3*1000000*$N$5)*(IF(N63&lt;($N$4*7/10),($N$4*7/10)*(MIN(O63,($N$4*7/10))^3-N63^3)-(MIN(O63,($N$4*7/10))^4-N63^4)/4,0)+IF(O63&gt;($N$4*7/10),($N$4*7/10)^2*(1.5*(O63^2-MAX(N63,($N$4*7/10))^2)-($N$4*7/10)*(O63-MAX(N63,($N$4*7/10)))),0))*1000,0)</f>
        <v>0</v>
      </c>
      <c r="AU63" s="120">
        <f>IF(AND(V63="OK",ISNUMBER($N$5),$N$5&gt;0,ISNUMBER($N$3),$N$3&gt;0),R63/(6*$N$3*1000000*$N$5)*(IF(N63&lt;($N$4*8/10),($N$4*8/10)*(MIN(O63,($N$4*8/10))^3-N63^3)-(MIN(O63,($N$4*8/10))^4-N63^4)/4,0)+IF(O63&gt;($N$4*8/10),($N$4*8/10)^2*(1.5*(O63^2-MAX(N63,($N$4*8/10))^2)-($N$4*8/10)*(O63-MAX(N63,($N$4*8/10)))),0))*1000,0)</f>
        <v>0</v>
      </c>
      <c r="AV63" s="120">
        <f>IF(AND(V63="OK",ISNUMBER($N$5),$N$5&gt;0,ISNUMBER($N$3),$N$3&gt;0),R63/(6*$N$3*1000000*$N$5)*(IF(N63&lt;($N$4*9/10),($N$4*9/10)*(MIN(O63,($N$4*9/10))^3-N63^3)-(MIN(O63,($N$4*9/10))^4-N63^4)/4,0)+IF(O63&gt;($N$4*9/10),($N$4*9/10)^2*(1.5*(O63^2-MAX(N63,($N$4*9/10))^2)-($N$4*9/10)*(O63-MAX(N63,($N$4*9/10)))),0))*1000,0)</f>
        <v>0</v>
      </c>
      <c r="AW63" s="120">
        <f>IF(AND(V63="OK",ISNUMBER($N$5),$N$5&gt;0,ISNUMBER($N$3),$N$3&gt;0),R63/(6*$N$3*1000000*$N$5)*(IF(N63&lt;($N$4*10/10),($N$4*10/10)*(MIN(O63,($N$4*10/10))^3-N63^3)-(MIN(O63,($N$4*10/10))^4-N63^4)/4,0)+IF(O63&gt;($N$4*10/10),($N$4*10/10)^2*(1.5*(O63^2-MAX(N63,($N$4*10/10))^2)-($N$4*10/10)*(O63-MAX(N63,($N$4*10/10)))),0))*1000,0)</f>
        <v>0</v>
      </c>
    </row>
    <row r="64" spans="1:49">
      <c r="A64" s="124"/>
      <c r="B64" s="125"/>
      <c r="C64" s="125"/>
      <c r="D64" s="125"/>
      <c r="E64" s="125"/>
      <c r="F64" s="126" t="str">
        <f>IF(J64="OK",D64*E64,"")</f>
        <v/>
      </c>
      <c r="G64" s="126" t="str">
        <f>IF(J64="OK",F64*(C64-B64),"")</f>
        <v/>
      </c>
      <c r="H64" s="126" t="str">
        <f>IF(J64="OK",G64*(C64+B64)/2,"")</f>
        <v/>
      </c>
      <c r="I64" s="126" t="str">
        <f>IF(AND(J64="OK",ISNUMBER($B$5),$B$5&gt;0,ISNUMBER($B$3),$B$3&gt;0),F64*(4*$B$4*(C64^3-B64^3)-(C64^4-B64^4))/(24*$B$3*1000000*$B$5)*1000,"")</f>
        <v/>
      </c>
      <c r="J64" s="120" t="str">
        <f>IF(COUNTA(A64:E64)=0,"",IF(AND(COUNT(B64:E64)=4,B64&gt;=0,C64&gt;B64,C64&lt;=$B$4,D64&gt;=0,E64&gt;0),IF(COUNTIFS($B$13:$B$63,"&lt;"&amp;C64,$C$13:$C$63,"&gt;"&amp;B64)&gt;0,"OVERLAP","OK"),"CHECK INPUTS"))</f>
        <v/>
      </c>
      <c r="M64" s="124"/>
      <c r="N64" s="125"/>
      <c r="O64" s="125"/>
      <c r="P64" s="125"/>
      <c r="Q64" s="125"/>
      <c r="R64" s="126" t="str">
        <f>IF(V64="OK",P64*Q64,"")</f>
        <v/>
      </c>
      <c r="S64" s="126" t="str">
        <f>IF(V64="OK",R64*(O64-N64),"")</f>
        <v/>
      </c>
      <c r="T64" s="126" t="str">
        <f>IF(V64="OK",S64*(O64+N64)/2,"")</f>
        <v/>
      </c>
      <c r="U64" s="126" t="str">
        <f>IF(AND(V64="OK",ISNUMBER($N$5),$N$5&gt;0,ISNUMBER($N$3),$N$3&gt;0),R64*(4*$N$4*(O64^3-N64^3)-(O64^4-N64^4))/(24*$N$3*1000000*$N$5)*1000,"")</f>
        <v/>
      </c>
      <c r="V64" s="120" t="str">
        <f>IF(COUNTA(M64:Q64)=0,"",IF(AND(COUNT(N64:Q64)=4,N64&gt;=0,O64&gt;N64,O64&lt;=$N$4,P64&gt;=0,Q64&gt;0),IF(COUNTIFS($N$13:$N$63,"&lt;"&amp;O64,$O$13:$O$63,"&gt;"&amp;N64)&gt;0,"OVERLAP","OK"),"CHECK INPUTS"))</f>
        <v/>
      </c>
      <c r="AA64" s="120">
        <f>IF(AND(J64="OK",ISNUMBER($B$5),$B$5&gt;0,ISNUMBER($B$3),$B$3&gt;0),F64/(6*$B$3*1000000*$B$5)*(IF(B64&lt;($B$4*0/10),($B$4*0/10)*(MIN(C64,($B$4*0/10))^3-B64^3)-(MIN(C64,($B$4*0/10))^4-B64^4)/4,0)+IF(C64&gt;($B$4*0/10),($B$4*0/10)^2*(1.5*(C64^2-MAX(B64,($B$4*0/10))^2)-($B$4*0/10)*(C64-MAX(B64,($B$4*0/10)))),0))*1000,0)</f>
        <v>0</v>
      </c>
      <c r="AB64" s="120">
        <f>IF(AND(J64="OK",ISNUMBER($B$5),$B$5&gt;0,ISNUMBER($B$3),$B$3&gt;0),F64/(6*$B$3*1000000*$B$5)*(IF(B64&lt;($B$4*1/10),($B$4*1/10)*(MIN(C64,($B$4*1/10))^3-B64^3)-(MIN(C64,($B$4*1/10))^4-B64^4)/4,0)+IF(C64&gt;($B$4*1/10),($B$4*1/10)^2*(1.5*(C64^2-MAX(B64,($B$4*1/10))^2)-($B$4*1/10)*(C64-MAX(B64,($B$4*1/10)))),0))*1000,0)</f>
        <v>0</v>
      </c>
      <c r="AC64" s="120">
        <f>IF(AND(J64="OK",ISNUMBER($B$5),$B$5&gt;0,ISNUMBER($B$3),$B$3&gt;0),F64/(6*$B$3*1000000*$B$5)*(IF(B64&lt;($B$4*2/10),($B$4*2/10)*(MIN(C64,($B$4*2/10))^3-B64^3)-(MIN(C64,($B$4*2/10))^4-B64^4)/4,0)+IF(C64&gt;($B$4*2/10),($B$4*2/10)^2*(1.5*(C64^2-MAX(B64,($B$4*2/10))^2)-($B$4*2/10)*(C64-MAX(B64,($B$4*2/10)))),0))*1000,0)</f>
        <v>0</v>
      </c>
      <c r="AD64" s="120">
        <f>IF(AND(J64="OK",ISNUMBER($B$5),$B$5&gt;0,ISNUMBER($B$3),$B$3&gt;0),F64/(6*$B$3*1000000*$B$5)*(IF(B64&lt;($B$4*3/10),($B$4*3/10)*(MIN(C64,($B$4*3/10))^3-B64^3)-(MIN(C64,($B$4*3/10))^4-B64^4)/4,0)+IF(C64&gt;($B$4*3/10),($B$4*3/10)^2*(1.5*(C64^2-MAX(B64,($B$4*3/10))^2)-($B$4*3/10)*(C64-MAX(B64,($B$4*3/10)))),0))*1000,0)</f>
        <v>0</v>
      </c>
      <c r="AE64" s="120">
        <f>IF(AND(J64="OK",ISNUMBER($B$5),$B$5&gt;0,ISNUMBER($B$3),$B$3&gt;0),F64/(6*$B$3*1000000*$B$5)*(IF(B64&lt;($B$4*4/10),($B$4*4/10)*(MIN(C64,($B$4*4/10))^3-B64^3)-(MIN(C64,($B$4*4/10))^4-B64^4)/4,0)+IF(C64&gt;($B$4*4/10),($B$4*4/10)^2*(1.5*(C64^2-MAX(B64,($B$4*4/10))^2)-($B$4*4/10)*(C64-MAX(B64,($B$4*4/10)))),0))*1000,0)</f>
        <v>0</v>
      </c>
      <c r="AF64" s="120">
        <f>IF(AND(J64="OK",ISNUMBER($B$5),$B$5&gt;0,ISNUMBER($B$3),$B$3&gt;0),F64/(6*$B$3*1000000*$B$5)*(IF(B64&lt;($B$4*5/10),($B$4*5/10)*(MIN(C64,($B$4*5/10))^3-B64^3)-(MIN(C64,($B$4*5/10))^4-B64^4)/4,0)+IF(C64&gt;($B$4*5/10),($B$4*5/10)^2*(1.5*(C64^2-MAX(B64,($B$4*5/10))^2)-($B$4*5/10)*(C64-MAX(B64,($B$4*5/10)))),0))*1000,0)</f>
        <v>0</v>
      </c>
      <c r="AG64" s="120">
        <f>IF(AND(J64="OK",ISNUMBER($B$5),$B$5&gt;0,ISNUMBER($B$3),$B$3&gt;0),F64/(6*$B$3*1000000*$B$5)*(IF(B64&lt;($B$4*6/10),($B$4*6/10)*(MIN(C64,($B$4*6/10))^3-B64^3)-(MIN(C64,($B$4*6/10))^4-B64^4)/4,0)+IF(C64&gt;($B$4*6/10),($B$4*6/10)^2*(1.5*(C64^2-MAX(B64,($B$4*6/10))^2)-($B$4*6/10)*(C64-MAX(B64,($B$4*6/10)))),0))*1000,0)</f>
        <v>0</v>
      </c>
      <c r="AH64" s="120">
        <f>IF(AND(J64="OK",ISNUMBER($B$5),$B$5&gt;0,ISNUMBER($B$3),$B$3&gt;0),F64/(6*$B$3*1000000*$B$5)*(IF(B64&lt;($B$4*7/10),($B$4*7/10)*(MIN(C64,($B$4*7/10))^3-B64^3)-(MIN(C64,($B$4*7/10))^4-B64^4)/4,0)+IF(C64&gt;($B$4*7/10),($B$4*7/10)^2*(1.5*(C64^2-MAX(B64,($B$4*7/10))^2)-($B$4*7/10)*(C64-MAX(B64,($B$4*7/10)))),0))*1000,0)</f>
        <v>0</v>
      </c>
      <c r="AI64" s="120">
        <f>IF(AND(J64="OK",ISNUMBER($B$5),$B$5&gt;0,ISNUMBER($B$3),$B$3&gt;0),F64/(6*$B$3*1000000*$B$5)*(IF(B64&lt;($B$4*8/10),($B$4*8/10)*(MIN(C64,($B$4*8/10))^3-B64^3)-(MIN(C64,($B$4*8/10))^4-B64^4)/4,0)+IF(C64&gt;($B$4*8/10),($B$4*8/10)^2*(1.5*(C64^2-MAX(B64,($B$4*8/10))^2)-($B$4*8/10)*(C64-MAX(B64,($B$4*8/10)))),0))*1000,0)</f>
        <v>0</v>
      </c>
      <c r="AJ64" s="120">
        <f>IF(AND(J64="OK",ISNUMBER($B$5),$B$5&gt;0,ISNUMBER($B$3),$B$3&gt;0),F64/(6*$B$3*1000000*$B$5)*(IF(B64&lt;($B$4*9/10),($B$4*9/10)*(MIN(C64,($B$4*9/10))^3-B64^3)-(MIN(C64,($B$4*9/10))^4-B64^4)/4,0)+IF(C64&gt;($B$4*9/10),($B$4*9/10)^2*(1.5*(C64^2-MAX(B64,($B$4*9/10))^2)-($B$4*9/10)*(C64-MAX(B64,($B$4*9/10)))),0))*1000,0)</f>
        <v>0</v>
      </c>
      <c r="AK64" s="120">
        <f>IF(AND(J64="OK",ISNUMBER($B$5),$B$5&gt;0,ISNUMBER($B$3),$B$3&gt;0),F64/(6*$B$3*1000000*$B$5)*(IF(B64&lt;($B$4*10/10),($B$4*10/10)*(MIN(C64,($B$4*10/10))^3-B64^3)-(MIN(C64,($B$4*10/10))^4-B64^4)/4,0)+IF(C64&gt;($B$4*10/10),($B$4*10/10)^2*(1.5*(C64^2-MAX(B64,($B$4*10/10))^2)-($B$4*10/10)*(C64-MAX(B64,($B$4*10/10)))),0))*1000,0)</f>
        <v>0</v>
      </c>
      <c r="AM64" s="120">
        <f>IF(AND(V64="OK",ISNUMBER($N$5),$N$5&gt;0,ISNUMBER($N$3),$N$3&gt;0),R64/(6*$N$3*1000000*$N$5)*(IF(N64&lt;($N$4*0/10),($N$4*0/10)*(MIN(O64,($N$4*0/10))^3-N64^3)-(MIN(O64,($N$4*0/10))^4-N64^4)/4,0)+IF(O64&gt;($N$4*0/10),($N$4*0/10)^2*(1.5*(O64^2-MAX(N64,($N$4*0/10))^2)-($N$4*0/10)*(O64-MAX(N64,($N$4*0/10)))),0))*1000,0)</f>
        <v>0</v>
      </c>
      <c r="AN64" s="120">
        <f>IF(AND(V64="OK",ISNUMBER($N$5),$N$5&gt;0,ISNUMBER($N$3),$N$3&gt;0),R64/(6*$N$3*1000000*$N$5)*(IF(N64&lt;($N$4*1/10),($N$4*1/10)*(MIN(O64,($N$4*1/10))^3-N64^3)-(MIN(O64,($N$4*1/10))^4-N64^4)/4,0)+IF(O64&gt;($N$4*1/10),($N$4*1/10)^2*(1.5*(O64^2-MAX(N64,($N$4*1/10))^2)-($N$4*1/10)*(O64-MAX(N64,($N$4*1/10)))),0))*1000,0)</f>
        <v>0</v>
      </c>
      <c r="AO64" s="120">
        <f>IF(AND(V64="OK",ISNUMBER($N$5),$N$5&gt;0,ISNUMBER($N$3),$N$3&gt;0),R64/(6*$N$3*1000000*$N$5)*(IF(N64&lt;($N$4*2/10),($N$4*2/10)*(MIN(O64,($N$4*2/10))^3-N64^3)-(MIN(O64,($N$4*2/10))^4-N64^4)/4,0)+IF(O64&gt;($N$4*2/10),($N$4*2/10)^2*(1.5*(O64^2-MAX(N64,($N$4*2/10))^2)-($N$4*2/10)*(O64-MAX(N64,($N$4*2/10)))),0))*1000,0)</f>
        <v>0</v>
      </c>
      <c r="AP64" s="120">
        <f>IF(AND(V64="OK",ISNUMBER($N$5),$N$5&gt;0,ISNUMBER($N$3),$N$3&gt;0),R64/(6*$N$3*1000000*$N$5)*(IF(N64&lt;($N$4*3/10),($N$4*3/10)*(MIN(O64,($N$4*3/10))^3-N64^3)-(MIN(O64,($N$4*3/10))^4-N64^4)/4,0)+IF(O64&gt;($N$4*3/10),($N$4*3/10)^2*(1.5*(O64^2-MAX(N64,($N$4*3/10))^2)-($N$4*3/10)*(O64-MAX(N64,($N$4*3/10)))),0))*1000,0)</f>
        <v>0</v>
      </c>
      <c r="AQ64" s="120">
        <f>IF(AND(V64="OK",ISNUMBER($N$5),$N$5&gt;0,ISNUMBER($N$3),$N$3&gt;0),R64/(6*$N$3*1000000*$N$5)*(IF(N64&lt;($N$4*4/10),($N$4*4/10)*(MIN(O64,($N$4*4/10))^3-N64^3)-(MIN(O64,($N$4*4/10))^4-N64^4)/4,0)+IF(O64&gt;($N$4*4/10),($N$4*4/10)^2*(1.5*(O64^2-MAX(N64,($N$4*4/10))^2)-($N$4*4/10)*(O64-MAX(N64,($N$4*4/10)))),0))*1000,0)</f>
        <v>0</v>
      </c>
      <c r="AR64" s="120">
        <f>IF(AND(V64="OK",ISNUMBER($N$5),$N$5&gt;0,ISNUMBER($N$3),$N$3&gt;0),R64/(6*$N$3*1000000*$N$5)*(IF(N64&lt;($N$4*5/10),($N$4*5/10)*(MIN(O64,($N$4*5/10))^3-N64^3)-(MIN(O64,($N$4*5/10))^4-N64^4)/4,0)+IF(O64&gt;($N$4*5/10),($N$4*5/10)^2*(1.5*(O64^2-MAX(N64,($N$4*5/10))^2)-($N$4*5/10)*(O64-MAX(N64,($N$4*5/10)))),0))*1000,0)</f>
        <v>0</v>
      </c>
      <c r="AS64" s="120">
        <f>IF(AND(V64="OK",ISNUMBER($N$5),$N$5&gt;0,ISNUMBER($N$3),$N$3&gt;0),R64/(6*$N$3*1000000*$N$5)*(IF(N64&lt;($N$4*6/10),($N$4*6/10)*(MIN(O64,($N$4*6/10))^3-N64^3)-(MIN(O64,($N$4*6/10))^4-N64^4)/4,0)+IF(O64&gt;($N$4*6/10),($N$4*6/10)^2*(1.5*(O64^2-MAX(N64,($N$4*6/10))^2)-($N$4*6/10)*(O64-MAX(N64,($N$4*6/10)))),0))*1000,0)</f>
        <v>0</v>
      </c>
      <c r="AT64" s="120">
        <f>IF(AND(V64="OK",ISNUMBER($N$5),$N$5&gt;0,ISNUMBER($N$3),$N$3&gt;0),R64/(6*$N$3*1000000*$N$5)*(IF(N64&lt;($N$4*7/10),($N$4*7/10)*(MIN(O64,($N$4*7/10))^3-N64^3)-(MIN(O64,($N$4*7/10))^4-N64^4)/4,0)+IF(O64&gt;($N$4*7/10),($N$4*7/10)^2*(1.5*(O64^2-MAX(N64,($N$4*7/10))^2)-($N$4*7/10)*(O64-MAX(N64,($N$4*7/10)))),0))*1000,0)</f>
        <v>0</v>
      </c>
      <c r="AU64" s="120">
        <f>IF(AND(V64="OK",ISNUMBER($N$5),$N$5&gt;0,ISNUMBER($N$3),$N$3&gt;0),R64/(6*$N$3*1000000*$N$5)*(IF(N64&lt;($N$4*8/10),($N$4*8/10)*(MIN(O64,($N$4*8/10))^3-N64^3)-(MIN(O64,($N$4*8/10))^4-N64^4)/4,0)+IF(O64&gt;($N$4*8/10),($N$4*8/10)^2*(1.5*(O64^2-MAX(N64,($N$4*8/10))^2)-($N$4*8/10)*(O64-MAX(N64,($N$4*8/10)))),0))*1000,0)</f>
        <v>0</v>
      </c>
      <c r="AV64" s="120">
        <f>IF(AND(V64="OK",ISNUMBER($N$5),$N$5&gt;0,ISNUMBER($N$3),$N$3&gt;0),R64/(6*$N$3*1000000*$N$5)*(IF(N64&lt;($N$4*9/10),($N$4*9/10)*(MIN(O64,($N$4*9/10))^3-N64^3)-(MIN(O64,($N$4*9/10))^4-N64^4)/4,0)+IF(O64&gt;($N$4*9/10),($N$4*9/10)^2*(1.5*(O64^2-MAX(N64,($N$4*9/10))^2)-($N$4*9/10)*(O64-MAX(N64,($N$4*9/10)))),0))*1000,0)</f>
        <v>0</v>
      </c>
      <c r="AW64" s="120">
        <f>IF(AND(V64="OK",ISNUMBER($N$5),$N$5&gt;0,ISNUMBER($N$3),$N$3&gt;0),R64/(6*$N$3*1000000*$N$5)*(IF(N64&lt;($N$4*10/10),($N$4*10/10)*(MIN(O64,($N$4*10/10))^3-N64^3)-(MIN(O64,($N$4*10/10))^4-N64^4)/4,0)+IF(O64&gt;($N$4*10/10),($N$4*10/10)^2*(1.5*(O64^2-MAX(N64,($N$4*10/10))^2)-($N$4*10/10)*(O64-MAX(N64,($N$4*10/10)))),0))*1000,0)</f>
        <v>0</v>
      </c>
    </row>
    <row r="65" spans="1:49">
      <c r="A65" s="124"/>
      <c r="B65" s="125"/>
      <c r="C65" s="125"/>
      <c r="D65" s="125"/>
      <c r="E65" s="125"/>
      <c r="F65" s="126" t="str">
        <f>IF(J65="OK",D65*E65,"")</f>
        <v/>
      </c>
      <c r="G65" s="126" t="str">
        <f>IF(J65="OK",F65*(C65-B65),"")</f>
        <v/>
      </c>
      <c r="H65" s="126" t="str">
        <f>IF(J65="OK",G65*(C65+B65)/2,"")</f>
        <v/>
      </c>
      <c r="I65" s="126" t="str">
        <f>IF(AND(J65="OK",ISNUMBER($B$5),$B$5&gt;0,ISNUMBER($B$3),$B$3&gt;0),F65*(4*$B$4*(C65^3-B65^3)-(C65^4-B65^4))/(24*$B$3*1000000*$B$5)*1000,"")</f>
        <v/>
      </c>
      <c r="J65" s="120" t="str">
        <f>IF(COUNTA(A65:E65)=0,"",IF(AND(COUNT(B65:E65)=4,B65&gt;=0,C65&gt;B65,C65&lt;=$B$4,D65&gt;=0,E65&gt;0),IF(COUNTIFS($B$13:$B$64,"&lt;"&amp;C65,$C$13:$C$64,"&gt;"&amp;B65)&gt;0,"OVERLAP","OK"),"CHECK INPUTS"))</f>
        <v/>
      </c>
      <c r="M65" s="124"/>
      <c r="N65" s="125"/>
      <c r="O65" s="125"/>
      <c r="P65" s="125"/>
      <c r="Q65" s="125"/>
      <c r="R65" s="126" t="str">
        <f>IF(V65="OK",P65*Q65,"")</f>
        <v/>
      </c>
      <c r="S65" s="126" t="str">
        <f>IF(V65="OK",R65*(O65-N65),"")</f>
        <v/>
      </c>
      <c r="T65" s="126" t="str">
        <f>IF(V65="OK",S65*(O65+N65)/2,"")</f>
        <v/>
      </c>
      <c r="U65" s="126" t="str">
        <f>IF(AND(V65="OK",ISNUMBER($N$5),$N$5&gt;0,ISNUMBER($N$3),$N$3&gt;0),R65*(4*$N$4*(O65^3-N65^3)-(O65^4-N65^4))/(24*$N$3*1000000*$N$5)*1000,"")</f>
        <v/>
      </c>
      <c r="V65" s="120" t="str">
        <f>IF(COUNTA(M65:Q65)=0,"",IF(AND(COUNT(N65:Q65)=4,N65&gt;=0,O65&gt;N65,O65&lt;=$N$4,P65&gt;=0,Q65&gt;0),IF(COUNTIFS($N$13:$N$64,"&lt;"&amp;O65,$O$13:$O$64,"&gt;"&amp;N65)&gt;0,"OVERLAP","OK"),"CHECK INPUTS"))</f>
        <v/>
      </c>
      <c r="AA65" s="120">
        <f>IF(AND(J65="OK",ISNUMBER($B$5),$B$5&gt;0,ISNUMBER($B$3),$B$3&gt;0),F65/(6*$B$3*1000000*$B$5)*(IF(B65&lt;($B$4*0/10),($B$4*0/10)*(MIN(C65,($B$4*0/10))^3-B65^3)-(MIN(C65,($B$4*0/10))^4-B65^4)/4,0)+IF(C65&gt;($B$4*0/10),($B$4*0/10)^2*(1.5*(C65^2-MAX(B65,($B$4*0/10))^2)-($B$4*0/10)*(C65-MAX(B65,($B$4*0/10)))),0))*1000,0)</f>
        <v>0</v>
      </c>
      <c r="AB65" s="120">
        <f>IF(AND(J65="OK",ISNUMBER($B$5),$B$5&gt;0,ISNUMBER($B$3),$B$3&gt;0),F65/(6*$B$3*1000000*$B$5)*(IF(B65&lt;($B$4*1/10),($B$4*1/10)*(MIN(C65,($B$4*1/10))^3-B65^3)-(MIN(C65,($B$4*1/10))^4-B65^4)/4,0)+IF(C65&gt;($B$4*1/10),($B$4*1/10)^2*(1.5*(C65^2-MAX(B65,($B$4*1/10))^2)-($B$4*1/10)*(C65-MAX(B65,($B$4*1/10)))),0))*1000,0)</f>
        <v>0</v>
      </c>
      <c r="AC65" s="120">
        <f>IF(AND(J65="OK",ISNUMBER($B$5),$B$5&gt;0,ISNUMBER($B$3),$B$3&gt;0),F65/(6*$B$3*1000000*$B$5)*(IF(B65&lt;($B$4*2/10),($B$4*2/10)*(MIN(C65,($B$4*2/10))^3-B65^3)-(MIN(C65,($B$4*2/10))^4-B65^4)/4,0)+IF(C65&gt;($B$4*2/10),($B$4*2/10)^2*(1.5*(C65^2-MAX(B65,($B$4*2/10))^2)-($B$4*2/10)*(C65-MAX(B65,($B$4*2/10)))),0))*1000,0)</f>
        <v>0</v>
      </c>
      <c r="AD65" s="120">
        <f>IF(AND(J65="OK",ISNUMBER($B$5),$B$5&gt;0,ISNUMBER($B$3),$B$3&gt;0),F65/(6*$B$3*1000000*$B$5)*(IF(B65&lt;($B$4*3/10),($B$4*3/10)*(MIN(C65,($B$4*3/10))^3-B65^3)-(MIN(C65,($B$4*3/10))^4-B65^4)/4,0)+IF(C65&gt;($B$4*3/10),($B$4*3/10)^2*(1.5*(C65^2-MAX(B65,($B$4*3/10))^2)-($B$4*3/10)*(C65-MAX(B65,($B$4*3/10)))),0))*1000,0)</f>
        <v>0</v>
      </c>
      <c r="AE65" s="120">
        <f>IF(AND(J65="OK",ISNUMBER($B$5),$B$5&gt;0,ISNUMBER($B$3),$B$3&gt;0),F65/(6*$B$3*1000000*$B$5)*(IF(B65&lt;($B$4*4/10),($B$4*4/10)*(MIN(C65,($B$4*4/10))^3-B65^3)-(MIN(C65,($B$4*4/10))^4-B65^4)/4,0)+IF(C65&gt;($B$4*4/10),($B$4*4/10)^2*(1.5*(C65^2-MAX(B65,($B$4*4/10))^2)-($B$4*4/10)*(C65-MAX(B65,($B$4*4/10)))),0))*1000,0)</f>
        <v>0</v>
      </c>
      <c r="AF65" s="120">
        <f>IF(AND(J65="OK",ISNUMBER($B$5),$B$5&gt;0,ISNUMBER($B$3),$B$3&gt;0),F65/(6*$B$3*1000000*$B$5)*(IF(B65&lt;($B$4*5/10),($B$4*5/10)*(MIN(C65,($B$4*5/10))^3-B65^3)-(MIN(C65,($B$4*5/10))^4-B65^4)/4,0)+IF(C65&gt;($B$4*5/10),($B$4*5/10)^2*(1.5*(C65^2-MAX(B65,($B$4*5/10))^2)-($B$4*5/10)*(C65-MAX(B65,($B$4*5/10)))),0))*1000,0)</f>
        <v>0</v>
      </c>
      <c r="AG65" s="120">
        <f>IF(AND(J65="OK",ISNUMBER($B$5),$B$5&gt;0,ISNUMBER($B$3),$B$3&gt;0),F65/(6*$B$3*1000000*$B$5)*(IF(B65&lt;($B$4*6/10),($B$4*6/10)*(MIN(C65,($B$4*6/10))^3-B65^3)-(MIN(C65,($B$4*6/10))^4-B65^4)/4,0)+IF(C65&gt;($B$4*6/10),($B$4*6/10)^2*(1.5*(C65^2-MAX(B65,($B$4*6/10))^2)-($B$4*6/10)*(C65-MAX(B65,($B$4*6/10)))),0))*1000,0)</f>
        <v>0</v>
      </c>
      <c r="AH65" s="120">
        <f>IF(AND(J65="OK",ISNUMBER($B$5),$B$5&gt;0,ISNUMBER($B$3),$B$3&gt;0),F65/(6*$B$3*1000000*$B$5)*(IF(B65&lt;($B$4*7/10),($B$4*7/10)*(MIN(C65,($B$4*7/10))^3-B65^3)-(MIN(C65,($B$4*7/10))^4-B65^4)/4,0)+IF(C65&gt;($B$4*7/10),($B$4*7/10)^2*(1.5*(C65^2-MAX(B65,($B$4*7/10))^2)-($B$4*7/10)*(C65-MAX(B65,($B$4*7/10)))),0))*1000,0)</f>
        <v>0</v>
      </c>
      <c r="AI65" s="120">
        <f>IF(AND(J65="OK",ISNUMBER($B$5),$B$5&gt;0,ISNUMBER($B$3),$B$3&gt;0),F65/(6*$B$3*1000000*$B$5)*(IF(B65&lt;($B$4*8/10),($B$4*8/10)*(MIN(C65,($B$4*8/10))^3-B65^3)-(MIN(C65,($B$4*8/10))^4-B65^4)/4,0)+IF(C65&gt;($B$4*8/10),($B$4*8/10)^2*(1.5*(C65^2-MAX(B65,($B$4*8/10))^2)-($B$4*8/10)*(C65-MAX(B65,($B$4*8/10)))),0))*1000,0)</f>
        <v>0</v>
      </c>
      <c r="AJ65" s="120">
        <f>IF(AND(J65="OK",ISNUMBER($B$5),$B$5&gt;0,ISNUMBER($B$3),$B$3&gt;0),F65/(6*$B$3*1000000*$B$5)*(IF(B65&lt;($B$4*9/10),($B$4*9/10)*(MIN(C65,($B$4*9/10))^3-B65^3)-(MIN(C65,($B$4*9/10))^4-B65^4)/4,0)+IF(C65&gt;($B$4*9/10),($B$4*9/10)^2*(1.5*(C65^2-MAX(B65,($B$4*9/10))^2)-($B$4*9/10)*(C65-MAX(B65,($B$4*9/10)))),0))*1000,0)</f>
        <v>0</v>
      </c>
      <c r="AK65" s="120">
        <f>IF(AND(J65="OK",ISNUMBER($B$5),$B$5&gt;0,ISNUMBER($B$3),$B$3&gt;0),F65/(6*$B$3*1000000*$B$5)*(IF(B65&lt;($B$4*10/10),($B$4*10/10)*(MIN(C65,($B$4*10/10))^3-B65^3)-(MIN(C65,($B$4*10/10))^4-B65^4)/4,0)+IF(C65&gt;($B$4*10/10),($B$4*10/10)^2*(1.5*(C65^2-MAX(B65,($B$4*10/10))^2)-($B$4*10/10)*(C65-MAX(B65,($B$4*10/10)))),0))*1000,0)</f>
        <v>0</v>
      </c>
      <c r="AM65" s="120">
        <f>IF(AND(V65="OK",ISNUMBER($N$5),$N$5&gt;0,ISNUMBER($N$3),$N$3&gt;0),R65/(6*$N$3*1000000*$N$5)*(IF(N65&lt;($N$4*0/10),($N$4*0/10)*(MIN(O65,($N$4*0/10))^3-N65^3)-(MIN(O65,($N$4*0/10))^4-N65^4)/4,0)+IF(O65&gt;($N$4*0/10),($N$4*0/10)^2*(1.5*(O65^2-MAX(N65,($N$4*0/10))^2)-($N$4*0/10)*(O65-MAX(N65,($N$4*0/10)))),0))*1000,0)</f>
        <v>0</v>
      </c>
      <c r="AN65" s="120">
        <f>IF(AND(V65="OK",ISNUMBER($N$5),$N$5&gt;0,ISNUMBER($N$3),$N$3&gt;0),R65/(6*$N$3*1000000*$N$5)*(IF(N65&lt;($N$4*1/10),($N$4*1/10)*(MIN(O65,($N$4*1/10))^3-N65^3)-(MIN(O65,($N$4*1/10))^4-N65^4)/4,0)+IF(O65&gt;($N$4*1/10),($N$4*1/10)^2*(1.5*(O65^2-MAX(N65,($N$4*1/10))^2)-($N$4*1/10)*(O65-MAX(N65,($N$4*1/10)))),0))*1000,0)</f>
        <v>0</v>
      </c>
      <c r="AO65" s="120">
        <f>IF(AND(V65="OK",ISNUMBER($N$5),$N$5&gt;0,ISNUMBER($N$3),$N$3&gt;0),R65/(6*$N$3*1000000*$N$5)*(IF(N65&lt;($N$4*2/10),($N$4*2/10)*(MIN(O65,($N$4*2/10))^3-N65^3)-(MIN(O65,($N$4*2/10))^4-N65^4)/4,0)+IF(O65&gt;($N$4*2/10),($N$4*2/10)^2*(1.5*(O65^2-MAX(N65,($N$4*2/10))^2)-($N$4*2/10)*(O65-MAX(N65,($N$4*2/10)))),0))*1000,0)</f>
        <v>0</v>
      </c>
      <c r="AP65" s="120">
        <f>IF(AND(V65="OK",ISNUMBER($N$5),$N$5&gt;0,ISNUMBER($N$3),$N$3&gt;0),R65/(6*$N$3*1000000*$N$5)*(IF(N65&lt;($N$4*3/10),($N$4*3/10)*(MIN(O65,($N$4*3/10))^3-N65^3)-(MIN(O65,($N$4*3/10))^4-N65^4)/4,0)+IF(O65&gt;($N$4*3/10),($N$4*3/10)^2*(1.5*(O65^2-MAX(N65,($N$4*3/10))^2)-($N$4*3/10)*(O65-MAX(N65,($N$4*3/10)))),0))*1000,0)</f>
        <v>0</v>
      </c>
      <c r="AQ65" s="120">
        <f>IF(AND(V65="OK",ISNUMBER($N$5),$N$5&gt;0,ISNUMBER($N$3),$N$3&gt;0),R65/(6*$N$3*1000000*$N$5)*(IF(N65&lt;($N$4*4/10),($N$4*4/10)*(MIN(O65,($N$4*4/10))^3-N65^3)-(MIN(O65,($N$4*4/10))^4-N65^4)/4,0)+IF(O65&gt;($N$4*4/10),($N$4*4/10)^2*(1.5*(O65^2-MAX(N65,($N$4*4/10))^2)-($N$4*4/10)*(O65-MAX(N65,($N$4*4/10)))),0))*1000,0)</f>
        <v>0</v>
      </c>
      <c r="AR65" s="120">
        <f>IF(AND(V65="OK",ISNUMBER($N$5),$N$5&gt;0,ISNUMBER($N$3),$N$3&gt;0),R65/(6*$N$3*1000000*$N$5)*(IF(N65&lt;($N$4*5/10),($N$4*5/10)*(MIN(O65,($N$4*5/10))^3-N65^3)-(MIN(O65,($N$4*5/10))^4-N65^4)/4,0)+IF(O65&gt;($N$4*5/10),($N$4*5/10)^2*(1.5*(O65^2-MAX(N65,($N$4*5/10))^2)-($N$4*5/10)*(O65-MAX(N65,($N$4*5/10)))),0))*1000,0)</f>
        <v>0</v>
      </c>
      <c r="AS65" s="120">
        <f>IF(AND(V65="OK",ISNUMBER($N$5),$N$5&gt;0,ISNUMBER($N$3),$N$3&gt;0),R65/(6*$N$3*1000000*$N$5)*(IF(N65&lt;($N$4*6/10),($N$4*6/10)*(MIN(O65,($N$4*6/10))^3-N65^3)-(MIN(O65,($N$4*6/10))^4-N65^4)/4,0)+IF(O65&gt;($N$4*6/10),($N$4*6/10)^2*(1.5*(O65^2-MAX(N65,($N$4*6/10))^2)-($N$4*6/10)*(O65-MAX(N65,($N$4*6/10)))),0))*1000,0)</f>
        <v>0</v>
      </c>
      <c r="AT65" s="120">
        <f>IF(AND(V65="OK",ISNUMBER($N$5),$N$5&gt;0,ISNUMBER($N$3),$N$3&gt;0),R65/(6*$N$3*1000000*$N$5)*(IF(N65&lt;($N$4*7/10),($N$4*7/10)*(MIN(O65,($N$4*7/10))^3-N65^3)-(MIN(O65,($N$4*7/10))^4-N65^4)/4,0)+IF(O65&gt;($N$4*7/10),($N$4*7/10)^2*(1.5*(O65^2-MAX(N65,($N$4*7/10))^2)-($N$4*7/10)*(O65-MAX(N65,($N$4*7/10)))),0))*1000,0)</f>
        <v>0</v>
      </c>
      <c r="AU65" s="120">
        <f>IF(AND(V65="OK",ISNUMBER($N$5),$N$5&gt;0,ISNUMBER($N$3),$N$3&gt;0),R65/(6*$N$3*1000000*$N$5)*(IF(N65&lt;($N$4*8/10),($N$4*8/10)*(MIN(O65,($N$4*8/10))^3-N65^3)-(MIN(O65,($N$4*8/10))^4-N65^4)/4,0)+IF(O65&gt;($N$4*8/10),($N$4*8/10)^2*(1.5*(O65^2-MAX(N65,($N$4*8/10))^2)-($N$4*8/10)*(O65-MAX(N65,($N$4*8/10)))),0))*1000,0)</f>
        <v>0</v>
      </c>
      <c r="AV65" s="120">
        <f>IF(AND(V65="OK",ISNUMBER($N$5),$N$5&gt;0,ISNUMBER($N$3),$N$3&gt;0),R65/(6*$N$3*1000000*$N$5)*(IF(N65&lt;($N$4*9/10),($N$4*9/10)*(MIN(O65,($N$4*9/10))^3-N65^3)-(MIN(O65,($N$4*9/10))^4-N65^4)/4,0)+IF(O65&gt;($N$4*9/10),($N$4*9/10)^2*(1.5*(O65^2-MAX(N65,($N$4*9/10))^2)-($N$4*9/10)*(O65-MAX(N65,($N$4*9/10)))),0))*1000,0)</f>
        <v>0</v>
      </c>
      <c r="AW65" s="120">
        <f>IF(AND(V65="OK",ISNUMBER($N$5),$N$5&gt;0,ISNUMBER($N$3),$N$3&gt;0),R65/(6*$N$3*1000000*$N$5)*(IF(N65&lt;($N$4*10/10),($N$4*10/10)*(MIN(O65,($N$4*10/10))^3-N65^3)-(MIN(O65,($N$4*10/10))^4-N65^4)/4,0)+IF(O65&gt;($N$4*10/10),($N$4*10/10)^2*(1.5*(O65^2-MAX(N65,($N$4*10/10))^2)-($N$4*10/10)*(O65-MAX(N65,($N$4*10/10)))),0))*1000,0)</f>
        <v>0</v>
      </c>
    </row>
    <row r="66" spans="1:49">
      <c r="A66" s="124"/>
      <c r="B66" s="125"/>
      <c r="C66" s="125"/>
      <c r="D66" s="125"/>
      <c r="E66" s="125"/>
      <c r="F66" s="126" t="str">
        <f>IF(J66="OK",D66*E66,"")</f>
        <v/>
      </c>
      <c r="G66" s="126" t="str">
        <f>IF(J66="OK",F66*(C66-B66),"")</f>
        <v/>
      </c>
      <c r="H66" s="126" t="str">
        <f>IF(J66="OK",G66*(C66+B66)/2,"")</f>
        <v/>
      </c>
      <c r="I66" s="126" t="str">
        <f>IF(AND(J66="OK",ISNUMBER($B$5),$B$5&gt;0,ISNUMBER($B$3),$B$3&gt;0),F66*(4*$B$4*(C66^3-B66^3)-(C66^4-B66^4))/(24*$B$3*1000000*$B$5)*1000,"")</f>
        <v/>
      </c>
      <c r="J66" s="120" t="str">
        <f>IF(COUNTA(A66:E66)=0,"",IF(AND(COUNT(B66:E66)=4,B66&gt;=0,C66&gt;B66,C66&lt;=$B$4,D66&gt;=0,E66&gt;0),IF(COUNTIFS($B$13:$B$65,"&lt;"&amp;C66,$C$13:$C$65,"&gt;"&amp;B66)&gt;0,"OVERLAP","OK"),"CHECK INPUTS"))</f>
        <v/>
      </c>
      <c r="M66" s="124"/>
      <c r="N66" s="125"/>
      <c r="O66" s="125"/>
      <c r="P66" s="125"/>
      <c r="Q66" s="125"/>
      <c r="R66" s="126" t="str">
        <f>IF(V66="OK",P66*Q66,"")</f>
        <v/>
      </c>
      <c r="S66" s="126" t="str">
        <f>IF(V66="OK",R66*(O66-N66),"")</f>
        <v/>
      </c>
      <c r="T66" s="126" t="str">
        <f>IF(V66="OK",S66*(O66+N66)/2,"")</f>
        <v/>
      </c>
      <c r="U66" s="126" t="str">
        <f>IF(AND(V66="OK",ISNUMBER($N$5),$N$5&gt;0,ISNUMBER($N$3),$N$3&gt;0),R66*(4*$N$4*(O66^3-N66^3)-(O66^4-N66^4))/(24*$N$3*1000000*$N$5)*1000,"")</f>
        <v/>
      </c>
      <c r="V66" s="120" t="str">
        <f>IF(COUNTA(M66:Q66)=0,"",IF(AND(COUNT(N66:Q66)=4,N66&gt;=0,O66&gt;N66,O66&lt;=$N$4,P66&gt;=0,Q66&gt;0),IF(COUNTIFS($N$13:$N$65,"&lt;"&amp;O66,$O$13:$O$65,"&gt;"&amp;N66)&gt;0,"OVERLAP","OK"),"CHECK INPUTS"))</f>
        <v/>
      </c>
      <c r="AA66" s="120">
        <f>IF(AND(J66="OK",ISNUMBER($B$5),$B$5&gt;0,ISNUMBER($B$3),$B$3&gt;0),F66/(6*$B$3*1000000*$B$5)*(IF(B66&lt;($B$4*0/10),($B$4*0/10)*(MIN(C66,($B$4*0/10))^3-B66^3)-(MIN(C66,($B$4*0/10))^4-B66^4)/4,0)+IF(C66&gt;($B$4*0/10),($B$4*0/10)^2*(1.5*(C66^2-MAX(B66,($B$4*0/10))^2)-($B$4*0/10)*(C66-MAX(B66,($B$4*0/10)))),0))*1000,0)</f>
        <v>0</v>
      </c>
      <c r="AB66" s="120">
        <f>IF(AND(J66="OK",ISNUMBER($B$5),$B$5&gt;0,ISNUMBER($B$3),$B$3&gt;0),F66/(6*$B$3*1000000*$B$5)*(IF(B66&lt;($B$4*1/10),($B$4*1/10)*(MIN(C66,($B$4*1/10))^3-B66^3)-(MIN(C66,($B$4*1/10))^4-B66^4)/4,0)+IF(C66&gt;($B$4*1/10),($B$4*1/10)^2*(1.5*(C66^2-MAX(B66,($B$4*1/10))^2)-($B$4*1/10)*(C66-MAX(B66,($B$4*1/10)))),0))*1000,0)</f>
        <v>0</v>
      </c>
      <c r="AC66" s="120">
        <f>IF(AND(J66="OK",ISNUMBER($B$5),$B$5&gt;0,ISNUMBER($B$3),$B$3&gt;0),F66/(6*$B$3*1000000*$B$5)*(IF(B66&lt;($B$4*2/10),($B$4*2/10)*(MIN(C66,($B$4*2/10))^3-B66^3)-(MIN(C66,($B$4*2/10))^4-B66^4)/4,0)+IF(C66&gt;($B$4*2/10),($B$4*2/10)^2*(1.5*(C66^2-MAX(B66,($B$4*2/10))^2)-($B$4*2/10)*(C66-MAX(B66,($B$4*2/10)))),0))*1000,0)</f>
        <v>0</v>
      </c>
      <c r="AD66" s="120">
        <f>IF(AND(J66="OK",ISNUMBER($B$5),$B$5&gt;0,ISNUMBER($B$3),$B$3&gt;0),F66/(6*$B$3*1000000*$B$5)*(IF(B66&lt;($B$4*3/10),($B$4*3/10)*(MIN(C66,($B$4*3/10))^3-B66^3)-(MIN(C66,($B$4*3/10))^4-B66^4)/4,0)+IF(C66&gt;($B$4*3/10),($B$4*3/10)^2*(1.5*(C66^2-MAX(B66,($B$4*3/10))^2)-($B$4*3/10)*(C66-MAX(B66,($B$4*3/10)))),0))*1000,0)</f>
        <v>0</v>
      </c>
      <c r="AE66" s="120">
        <f>IF(AND(J66="OK",ISNUMBER($B$5),$B$5&gt;0,ISNUMBER($B$3),$B$3&gt;0),F66/(6*$B$3*1000000*$B$5)*(IF(B66&lt;($B$4*4/10),($B$4*4/10)*(MIN(C66,($B$4*4/10))^3-B66^3)-(MIN(C66,($B$4*4/10))^4-B66^4)/4,0)+IF(C66&gt;($B$4*4/10),($B$4*4/10)^2*(1.5*(C66^2-MAX(B66,($B$4*4/10))^2)-($B$4*4/10)*(C66-MAX(B66,($B$4*4/10)))),0))*1000,0)</f>
        <v>0</v>
      </c>
      <c r="AF66" s="120">
        <f>IF(AND(J66="OK",ISNUMBER($B$5),$B$5&gt;0,ISNUMBER($B$3),$B$3&gt;0),F66/(6*$B$3*1000000*$B$5)*(IF(B66&lt;($B$4*5/10),($B$4*5/10)*(MIN(C66,($B$4*5/10))^3-B66^3)-(MIN(C66,($B$4*5/10))^4-B66^4)/4,0)+IF(C66&gt;($B$4*5/10),($B$4*5/10)^2*(1.5*(C66^2-MAX(B66,($B$4*5/10))^2)-($B$4*5/10)*(C66-MAX(B66,($B$4*5/10)))),0))*1000,0)</f>
        <v>0</v>
      </c>
      <c r="AG66" s="120">
        <f>IF(AND(J66="OK",ISNUMBER($B$5),$B$5&gt;0,ISNUMBER($B$3),$B$3&gt;0),F66/(6*$B$3*1000000*$B$5)*(IF(B66&lt;($B$4*6/10),($B$4*6/10)*(MIN(C66,($B$4*6/10))^3-B66^3)-(MIN(C66,($B$4*6/10))^4-B66^4)/4,0)+IF(C66&gt;($B$4*6/10),($B$4*6/10)^2*(1.5*(C66^2-MAX(B66,($B$4*6/10))^2)-($B$4*6/10)*(C66-MAX(B66,($B$4*6/10)))),0))*1000,0)</f>
        <v>0</v>
      </c>
      <c r="AH66" s="120">
        <f>IF(AND(J66="OK",ISNUMBER($B$5),$B$5&gt;0,ISNUMBER($B$3),$B$3&gt;0),F66/(6*$B$3*1000000*$B$5)*(IF(B66&lt;($B$4*7/10),($B$4*7/10)*(MIN(C66,($B$4*7/10))^3-B66^3)-(MIN(C66,($B$4*7/10))^4-B66^4)/4,0)+IF(C66&gt;($B$4*7/10),($B$4*7/10)^2*(1.5*(C66^2-MAX(B66,($B$4*7/10))^2)-($B$4*7/10)*(C66-MAX(B66,($B$4*7/10)))),0))*1000,0)</f>
        <v>0</v>
      </c>
      <c r="AI66" s="120">
        <f>IF(AND(J66="OK",ISNUMBER($B$5),$B$5&gt;0,ISNUMBER($B$3),$B$3&gt;0),F66/(6*$B$3*1000000*$B$5)*(IF(B66&lt;($B$4*8/10),($B$4*8/10)*(MIN(C66,($B$4*8/10))^3-B66^3)-(MIN(C66,($B$4*8/10))^4-B66^4)/4,0)+IF(C66&gt;($B$4*8/10),($B$4*8/10)^2*(1.5*(C66^2-MAX(B66,($B$4*8/10))^2)-($B$4*8/10)*(C66-MAX(B66,($B$4*8/10)))),0))*1000,0)</f>
        <v>0</v>
      </c>
      <c r="AJ66" s="120">
        <f>IF(AND(J66="OK",ISNUMBER($B$5),$B$5&gt;0,ISNUMBER($B$3),$B$3&gt;0),F66/(6*$B$3*1000000*$B$5)*(IF(B66&lt;($B$4*9/10),($B$4*9/10)*(MIN(C66,($B$4*9/10))^3-B66^3)-(MIN(C66,($B$4*9/10))^4-B66^4)/4,0)+IF(C66&gt;($B$4*9/10),($B$4*9/10)^2*(1.5*(C66^2-MAX(B66,($B$4*9/10))^2)-($B$4*9/10)*(C66-MAX(B66,($B$4*9/10)))),0))*1000,0)</f>
        <v>0</v>
      </c>
      <c r="AK66" s="120">
        <f>IF(AND(J66="OK",ISNUMBER($B$5),$B$5&gt;0,ISNUMBER($B$3),$B$3&gt;0),F66/(6*$B$3*1000000*$B$5)*(IF(B66&lt;($B$4*10/10),($B$4*10/10)*(MIN(C66,($B$4*10/10))^3-B66^3)-(MIN(C66,($B$4*10/10))^4-B66^4)/4,0)+IF(C66&gt;($B$4*10/10),($B$4*10/10)^2*(1.5*(C66^2-MAX(B66,($B$4*10/10))^2)-($B$4*10/10)*(C66-MAX(B66,($B$4*10/10)))),0))*1000,0)</f>
        <v>0</v>
      </c>
      <c r="AM66" s="120">
        <f>IF(AND(V66="OK",ISNUMBER($N$5),$N$5&gt;0,ISNUMBER($N$3),$N$3&gt;0),R66/(6*$N$3*1000000*$N$5)*(IF(N66&lt;($N$4*0/10),($N$4*0/10)*(MIN(O66,($N$4*0/10))^3-N66^3)-(MIN(O66,($N$4*0/10))^4-N66^4)/4,0)+IF(O66&gt;($N$4*0/10),($N$4*0/10)^2*(1.5*(O66^2-MAX(N66,($N$4*0/10))^2)-($N$4*0/10)*(O66-MAX(N66,($N$4*0/10)))),0))*1000,0)</f>
        <v>0</v>
      </c>
      <c r="AN66" s="120">
        <f>IF(AND(V66="OK",ISNUMBER($N$5),$N$5&gt;0,ISNUMBER($N$3),$N$3&gt;0),R66/(6*$N$3*1000000*$N$5)*(IF(N66&lt;($N$4*1/10),($N$4*1/10)*(MIN(O66,($N$4*1/10))^3-N66^3)-(MIN(O66,($N$4*1/10))^4-N66^4)/4,0)+IF(O66&gt;($N$4*1/10),($N$4*1/10)^2*(1.5*(O66^2-MAX(N66,($N$4*1/10))^2)-($N$4*1/10)*(O66-MAX(N66,($N$4*1/10)))),0))*1000,0)</f>
        <v>0</v>
      </c>
      <c r="AO66" s="120">
        <f>IF(AND(V66="OK",ISNUMBER($N$5),$N$5&gt;0,ISNUMBER($N$3),$N$3&gt;0),R66/(6*$N$3*1000000*$N$5)*(IF(N66&lt;($N$4*2/10),($N$4*2/10)*(MIN(O66,($N$4*2/10))^3-N66^3)-(MIN(O66,($N$4*2/10))^4-N66^4)/4,0)+IF(O66&gt;($N$4*2/10),($N$4*2/10)^2*(1.5*(O66^2-MAX(N66,($N$4*2/10))^2)-($N$4*2/10)*(O66-MAX(N66,($N$4*2/10)))),0))*1000,0)</f>
        <v>0</v>
      </c>
      <c r="AP66" s="120">
        <f>IF(AND(V66="OK",ISNUMBER($N$5),$N$5&gt;0,ISNUMBER($N$3),$N$3&gt;0),R66/(6*$N$3*1000000*$N$5)*(IF(N66&lt;($N$4*3/10),($N$4*3/10)*(MIN(O66,($N$4*3/10))^3-N66^3)-(MIN(O66,($N$4*3/10))^4-N66^4)/4,0)+IF(O66&gt;($N$4*3/10),($N$4*3/10)^2*(1.5*(O66^2-MAX(N66,($N$4*3/10))^2)-($N$4*3/10)*(O66-MAX(N66,($N$4*3/10)))),0))*1000,0)</f>
        <v>0</v>
      </c>
      <c r="AQ66" s="120">
        <f>IF(AND(V66="OK",ISNUMBER($N$5),$N$5&gt;0,ISNUMBER($N$3),$N$3&gt;0),R66/(6*$N$3*1000000*$N$5)*(IF(N66&lt;($N$4*4/10),($N$4*4/10)*(MIN(O66,($N$4*4/10))^3-N66^3)-(MIN(O66,($N$4*4/10))^4-N66^4)/4,0)+IF(O66&gt;($N$4*4/10),($N$4*4/10)^2*(1.5*(O66^2-MAX(N66,($N$4*4/10))^2)-($N$4*4/10)*(O66-MAX(N66,($N$4*4/10)))),0))*1000,0)</f>
        <v>0</v>
      </c>
      <c r="AR66" s="120">
        <f>IF(AND(V66="OK",ISNUMBER($N$5),$N$5&gt;0,ISNUMBER($N$3),$N$3&gt;0),R66/(6*$N$3*1000000*$N$5)*(IF(N66&lt;($N$4*5/10),($N$4*5/10)*(MIN(O66,($N$4*5/10))^3-N66^3)-(MIN(O66,($N$4*5/10))^4-N66^4)/4,0)+IF(O66&gt;($N$4*5/10),($N$4*5/10)^2*(1.5*(O66^2-MAX(N66,($N$4*5/10))^2)-($N$4*5/10)*(O66-MAX(N66,($N$4*5/10)))),0))*1000,0)</f>
        <v>0</v>
      </c>
      <c r="AS66" s="120">
        <f>IF(AND(V66="OK",ISNUMBER($N$5),$N$5&gt;0,ISNUMBER($N$3),$N$3&gt;0),R66/(6*$N$3*1000000*$N$5)*(IF(N66&lt;($N$4*6/10),($N$4*6/10)*(MIN(O66,($N$4*6/10))^3-N66^3)-(MIN(O66,($N$4*6/10))^4-N66^4)/4,0)+IF(O66&gt;($N$4*6/10),($N$4*6/10)^2*(1.5*(O66^2-MAX(N66,($N$4*6/10))^2)-($N$4*6/10)*(O66-MAX(N66,($N$4*6/10)))),0))*1000,0)</f>
        <v>0</v>
      </c>
      <c r="AT66" s="120">
        <f>IF(AND(V66="OK",ISNUMBER($N$5),$N$5&gt;0,ISNUMBER($N$3),$N$3&gt;0),R66/(6*$N$3*1000000*$N$5)*(IF(N66&lt;($N$4*7/10),($N$4*7/10)*(MIN(O66,($N$4*7/10))^3-N66^3)-(MIN(O66,($N$4*7/10))^4-N66^4)/4,0)+IF(O66&gt;($N$4*7/10),($N$4*7/10)^2*(1.5*(O66^2-MAX(N66,($N$4*7/10))^2)-($N$4*7/10)*(O66-MAX(N66,($N$4*7/10)))),0))*1000,0)</f>
        <v>0</v>
      </c>
      <c r="AU66" s="120">
        <f>IF(AND(V66="OK",ISNUMBER($N$5),$N$5&gt;0,ISNUMBER($N$3),$N$3&gt;0),R66/(6*$N$3*1000000*$N$5)*(IF(N66&lt;($N$4*8/10),($N$4*8/10)*(MIN(O66,($N$4*8/10))^3-N66^3)-(MIN(O66,($N$4*8/10))^4-N66^4)/4,0)+IF(O66&gt;($N$4*8/10),($N$4*8/10)^2*(1.5*(O66^2-MAX(N66,($N$4*8/10))^2)-($N$4*8/10)*(O66-MAX(N66,($N$4*8/10)))),0))*1000,0)</f>
        <v>0</v>
      </c>
      <c r="AV66" s="120">
        <f>IF(AND(V66="OK",ISNUMBER($N$5),$N$5&gt;0,ISNUMBER($N$3),$N$3&gt;0),R66/(6*$N$3*1000000*$N$5)*(IF(N66&lt;($N$4*9/10),($N$4*9/10)*(MIN(O66,($N$4*9/10))^3-N66^3)-(MIN(O66,($N$4*9/10))^4-N66^4)/4,0)+IF(O66&gt;($N$4*9/10),($N$4*9/10)^2*(1.5*(O66^2-MAX(N66,($N$4*9/10))^2)-($N$4*9/10)*(O66-MAX(N66,($N$4*9/10)))),0))*1000,0)</f>
        <v>0</v>
      </c>
      <c r="AW66" s="120">
        <f>IF(AND(V66="OK",ISNUMBER($N$5),$N$5&gt;0,ISNUMBER($N$3),$N$3&gt;0),R66/(6*$N$3*1000000*$N$5)*(IF(N66&lt;($N$4*10/10),($N$4*10/10)*(MIN(O66,($N$4*10/10))^3-N66^3)-(MIN(O66,($N$4*10/10))^4-N66^4)/4,0)+IF(O66&gt;($N$4*10/10),($N$4*10/10)^2*(1.5*(O66^2-MAX(N66,($N$4*10/10))^2)-($N$4*10/10)*(O66-MAX(N66,($N$4*10/10)))),0))*1000,0)</f>
        <v>0</v>
      </c>
    </row>
    <row r="67" spans="1:49">
      <c r="A67" s="124"/>
      <c r="B67" s="125"/>
      <c r="C67" s="125"/>
      <c r="D67" s="125"/>
      <c r="E67" s="125"/>
      <c r="F67" s="126" t="str">
        <f>IF(J67="OK",D67*E67,"")</f>
        <v/>
      </c>
      <c r="G67" s="126" t="str">
        <f>IF(J67="OK",F67*(C67-B67),"")</f>
        <v/>
      </c>
      <c r="H67" s="126" t="str">
        <f>IF(J67="OK",G67*(C67+B67)/2,"")</f>
        <v/>
      </c>
      <c r="I67" s="126" t="str">
        <f>IF(AND(J67="OK",ISNUMBER($B$5),$B$5&gt;0,ISNUMBER($B$3),$B$3&gt;0),F67*(4*$B$4*(C67^3-B67^3)-(C67^4-B67^4))/(24*$B$3*1000000*$B$5)*1000,"")</f>
        <v/>
      </c>
      <c r="J67" s="120" t="str">
        <f>IF(COUNTA(A67:E67)=0,"",IF(AND(COUNT(B67:E67)=4,B67&gt;=0,C67&gt;B67,C67&lt;=$B$4,D67&gt;=0,E67&gt;0),IF(COUNTIFS($B$13:$B$66,"&lt;"&amp;C67,$C$13:$C$66,"&gt;"&amp;B67)&gt;0,"OVERLAP","OK"),"CHECK INPUTS"))</f>
        <v/>
      </c>
      <c r="M67" s="124"/>
      <c r="N67" s="125"/>
      <c r="O67" s="125"/>
      <c r="P67" s="125"/>
      <c r="Q67" s="125"/>
      <c r="R67" s="126" t="str">
        <f>IF(V67="OK",P67*Q67,"")</f>
        <v/>
      </c>
      <c r="S67" s="126" t="str">
        <f>IF(V67="OK",R67*(O67-N67),"")</f>
        <v/>
      </c>
      <c r="T67" s="126" t="str">
        <f>IF(V67="OK",S67*(O67+N67)/2,"")</f>
        <v/>
      </c>
      <c r="U67" s="126" t="str">
        <f>IF(AND(V67="OK",ISNUMBER($N$5),$N$5&gt;0,ISNUMBER($N$3),$N$3&gt;0),R67*(4*$N$4*(O67^3-N67^3)-(O67^4-N67^4))/(24*$N$3*1000000*$N$5)*1000,"")</f>
        <v/>
      </c>
      <c r="V67" s="120" t="str">
        <f>IF(COUNTA(M67:Q67)=0,"",IF(AND(COUNT(N67:Q67)=4,N67&gt;=0,O67&gt;N67,O67&lt;=$N$4,P67&gt;=0,Q67&gt;0),IF(COUNTIFS($N$13:$N$66,"&lt;"&amp;O67,$O$13:$O$66,"&gt;"&amp;N67)&gt;0,"OVERLAP","OK"),"CHECK INPUTS"))</f>
        <v/>
      </c>
      <c r="AA67" s="120">
        <f>IF(AND(J67="OK",ISNUMBER($B$5),$B$5&gt;0,ISNUMBER($B$3),$B$3&gt;0),F67/(6*$B$3*1000000*$B$5)*(IF(B67&lt;($B$4*0/10),($B$4*0/10)*(MIN(C67,($B$4*0/10))^3-B67^3)-(MIN(C67,($B$4*0/10))^4-B67^4)/4,0)+IF(C67&gt;($B$4*0/10),($B$4*0/10)^2*(1.5*(C67^2-MAX(B67,($B$4*0/10))^2)-($B$4*0/10)*(C67-MAX(B67,($B$4*0/10)))),0))*1000,0)</f>
        <v>0</v>
      </c>
      <c r="AB67" s="120">
        <f>IF(AND(J67="OK",ISNUMBER($B$5),$B$5&gt;0,ISNUMBER($B$3),$B$3&gt;0),F67/(6*$B$3*1000000*$B$5)*(IF(B67&lt;($B$4*1/10),($B$4*1/10)*(MIN(C67,($B$4*1/10))^3-B67^3)-(MIN(C67,($B$4*1/10))^4-B67^4)/4,0)+IF(C67&gt;($B$4*1/10),($B$4*1/10)^2*(1.5*(C67^2-MAX(B67,($B$4*1/10))^2)-($B$4*1/10)*(C67-MAX(B67,($B$4*1/10)))),0))*1000,0)</f>
        <v>0</v>
      </c>
      <c r="AC67" s="120">
        <f>IF(AND(J67="OK",ISNUMBER($B$5),$B$5&gt;0,ISNUMBER($B$3),$B$3&gt;0),F67/(6*$B$3*1000000*$B$5)*(IF(B67&lt;($B$4*2/10),($B$4*2/10)*(MIN(C67,($B$4*2/10))^3-B67^3)-(MIN(C67,($B$4*2/10))^4-B67^4)/4,0)+IF(C67&gt;($B$4*2/10),($B$4*2/10)^2*(1.5*(C67^2-MAX(B67,($B$4*2/10))^2)-($B$4*2/10)*(C67-MAX(B67,($B$4*2/10)))),0))*1000,0)</f>
        <v>0</v>
      </c>
      <c r="AD67" s="120">
        <f>IF(AND(J67="OK",ISNUMBER($B$5),$B$5&gt;0,ISNUMBER($B$3),$B$3&gt;0),F67/(6*$B$3*1000000*$B$5)*(IF(B67&lt;($B$4*3/10),($B$4*3/10)*(MIN(C67,($B$4*3/10))^3-B67^3)-(MIN(C67,($B$4*3/10))^4-B67^4)/4,0)+IF(C67&gt;($B$4*3/10),($B$4*3/10)^2*(1.5*(C67^2-MAX(B67,($B$4*3/10))^2)-($B$4*3/10)*(C67-MAX(B67,($B$4*3/10)))),0))*1000,0)</f>
        <v>0</v>
      </c>
      <c r="AE67" s="120">
        <f>IF(AND(J67="OK",ISNUMBER($B$5),$B$5&gt;0,ISNUMBER($B$3),$B$3&gt;0),F67/(6*$B$3*1000000*$B$5)*(IF(B67&lt;($B$4*4/10),($B$4*4/10)*(MIN(C67,($B$4*4/10))^3-B67^3)-(MIN(C67,($B$4*4/10))^4-B67^4)/4,0)+IF(C67&gt;($B$4*4/10),($B$4*4/10)^2*(1.5*(C67^2-MAX(B67,($B$4*4/10))^2)-($B$4*4/10)*(C67-MAX(B67,($B$4*4/10)))),0))*1000,0)</f>
        <v>0</v>
      </c>
      <c r="AF67" s="120">
        <f>IF(AND(J67="OK",ISNUMBER($B$5),$B$5&gt;0,ISNUMBER($B$3),$B$3&gt;0),F67/(6*$B$3*1000000*$B$5)*(IF(B67&lt;($B$4*5/10),($B$4*5/10)*(MIN(C67,($B$4*5/10))^3-B67^3)-(MIN(C67,($B$4*5/10))^4-B67^4)/4,0)+IF(C67&gt;($B$4*5/10),($B$4*5/10)^2*(1.5*(C67^2-MAX(B67,($B$4*5/10))^2)-($B$4*5/10)*(C67-MAX(B67,($B$4*5/10)))),0))*1000,0)</f>
        <v>0</v>
      </c>
      <c r="AG67" s="120">
        <f>IF(AND(J67="OK",ISNUMBER($B$5),$B$5&gt;0,ISNUMBER($B$3),$B$3&gt;0),F67/(6*$B$3*1000000*$B$5)*(IF(B67&lt;($B$4*6/10),($B$4*6/10)*(MIN(C67,($B$4*6/10))^3-B67^3)-(MIN(C67,($B$4*6/10))^4-B67^4)/4,0)+IF(C67&gt;($B$4*6/10),($B$4*6/10)^2*(1.5*(C67^2-MAX(B67,($B$4*6/10))^2)-($B$4*6/10)*(C67-MAX(B67,($B$4*6/10)))),0))*1000,0)</f>
        <v>0</v>
      </c>
      <c r="AH67" s="120">
        <f>IF(AND(J67="OK",ISNUMBER($B$5),$B$5&gt;0,ISNUMBER($B$3),$B$3&gt;0),F67/(6*$B$3*1000000*$B$5)*(IF(B67&lt;($B$4*7/10),($B$4*7/10)*(MIN(C67,($B$4*7/10))^3-B67^3)-(MIN(C67,($B$4*7/10))^4-B67^4)/4,0)+IF(C67&gt;($B$4*7/10),($B$4*7/10)^2*(1.5*(C67^2-MAX(B67,($B$4*7/10))^2)-($B$4*7/10)*(C67-MAX(B67,($B$4*7/10)))),0))*1000,0)</f>
        <v>0</v>
      </c>
      <c r="AI67" s="120">
        <f>IF(AND(J67="OK",ISNUMBER($B$5),$B$5&gt;0,ISNUMBER($B$3),$B$3&gt;0),F67/(6*$B$3*1000000*$B$5)*(IF(B67&lt;($B$4*8/10),($B$4*8/10)*(MIN(C67,($B$4*8/10))^3-B67^3)-(MIN(C67,($B$4*8/10))^4-B67^4)/4,0)+IF(C67&gt;($B$4*8/10),($B$4*8/10)^2*(1.5*(C67^2-MAX(B67,($B$4*8/10))^2)-($B$4*8/10)*(C67-MAX(B67,($B$4*8/10)))),0))*1000,0)</f>
        <v>0</v>
      </c>
      <c r="AJ67" s="120">
        <f>IF(AND(J67="OK",ISNUMBER($B$5),$B$5&gt;0,ISNUMBER($B$3),$B$3&gt;0),F67/(6*$B$3*1000000*$B$5)*(IF(B67&lt;($B$4*9/10),($B$4*9/10)*(MIN(C67,($B$4*9/10))^3-B67^3)-(MIN(C67,($B$4*9/10))^4-B67^4)/4,0)+IF(C67&gt;($B$4*9/10),($B$4*9/10)^2*(1.5*(C67^2-MAX(B67,($B$4*9/10))^2)-($B$4*9/10)*(C67-MAX(B67,($B$4*9/10)))),0))*1000,0)</f>
        <v>0</v>
      </c>
      <c r="AK67" s="120">
        <f>IF(AND(J67="OK",ISNUMBER($B$5),$B$5&gt;0,ISNUMBER($B$3),$B$3&gt;0),F67/(6*$B$3*1000000*$B$5)*(IF(B67&lt;($B$4*10/10),($B$4*10/10)*(MIN(C67,($B$4*10/10))^3-B67^3)-(MIN(C67,($B$4*10/10))^4-B67^4)/4,0)+IF(C67&gt;($B$4*10/10),($B$4*10/10)^2*(1.5*(C67^2-MAX(B67,($B$4*10/10))^2)-($B$4*10/10)*(C67-MAX(B67,($B$4*10/10)))),0))*1000,0)</f>
        <v>0</v>
      </c>
      <c r="AM67" s="120">
        <f>IF(AND(V67="OK",ISNUMBER($N$5),$N$5&gt;0,ISNUMBER($N$3),$N$3&gt;0),R67/(6*$N$3*1000000*$N$5)*(IF(N67&lt;($N$4*0/10),($N$4*0/10)*(MIN(O67,($N$4*0/10))^3-N67^3)-(MIN(O67,($N$4*0/10))^4-N67^4)/4,0)+IF(O67&gt;($N$4*0/10),($N$4*0/10)^2*(1.5*(O67^2-MAX(N67,($N$4*0/10))^2)-($N$4*0/10)*(O67-MAX(N67,($N$4*0/10)))),0))*1000,0)</f>
        <v>0</v>
      </c>
      <c r="AN67" s="120">
        <f>IF(AND(V67="OK",ISNUMBER($N$5),$N$5&gt;0,ISNUMBER($N$3),$N$3&gt;0),R67/(6*$N$3*1000000*$N$5)*(IF(N67&lt;($N$4*1/10),($N$4*1/10)*(MIN(O67,($N$4*1/10))^3-N67^3)-(MIN(O67,($N$4*1/10))^4-N67^4)/4,0)+IF(O67&gt;($N$4*1/10),($N$4*1/10)^2*(1.5*(O67^2-MAX(N67,($N$4*1/10))^2)-($N$4*1/10)*(O67-MAX(N67,($N$4*1/10)))),0))*1000,0)</f>
        <v>0</v>
      </c>
      <c r="AO67" s="120">
        <f>IF(AND(V67="OK",ISNUMBER($N$5),$N$5&gt;0,ISNUMBER($N$3),$N$3&gt;0),R67/(6*$N$3*1000000*$N$5)*(IF(N67&lt;($N$4*2/10),($N$4*2/10)*(MIN(O67,($N$4*2/10))^3-N67^3)-(MIN(O67,($N$4*2/10))^4-N67^4)/4,0)+IF(O67&gt;($N$4*2/10),($N$4*2/10)^2*(1.5*(O67^2-MAX(N67,($N$4*2/10))^2)-($N$4*2/10)*(O67-MAX(N67,($N$4*2/10)))),0))*1000,0)</f>
        <v>0</v>
      </c>
      <c r="AP67" s="120">
        <f>IF(AND(V67="OK",ISNUMBER($N$5),$N$5&gt;0,ISNUMBER($N$3),$N$3&gt;0),R67/(6*$N$3*1000000*$N$5)*(IF(N67&lt;($N$4*3/10),($N$4*3/10)*(MIN(O67,($N$4*3/10))^3-N67^3)-(MIN(O67,($N$4*3/10))^4-N67^4)/4,0)+IF(O67&gt;($N$4*3/10),($N$4*3/10)^2*(1.5*(O67^2-MAX(N67,($N$4*3/10))^2)-($N$4*3/10)*(O67-MAX(N67,($N$4*3/10)))),0))*1000,0)</f>
        <v>0</v>
      </c>
      <c r="AQ67" s="120">
        <f>IF(AND(V67="OK",ISNUMBER($N$5),$N$5&gt;0,ISNUMBER($N$3),$N$3&gt;0),R67/(6*$N$3*1000000*$N$5)*(IF(N67&lt;($N$4*4/10),($N$4*4/10)*(MIN(O67,($N$4*4/10))^3-N67^3)-(MIN(O67,($N$4*4/10))^4-N67^4)/4,0)+IF(O67&gt;($N$4*4/10),($N$4*4/10)^2*(1.5*(O67^2-MAX(N67,($N$4*4/10))^2)-($N$4*4/10)*(O67-MAX(N67,($N$4*4/10)))),0))*1000,0)</f>
        <v>0</v>
      </c>
      <c r="AR67" s="120">
        <f>IF(AND(V67="OK",ISNUMBER($N$5),$N$5&gt;0,ISNUMBER($N$3),$N$3&gt;0),R67/(6*$N$3*1000000*$N$5)*(IF(N67&lt;($N$4*5/10),($N$4*5/10)*(MIN(O67,($N$4*5/10))^3-N67^3)-(MIN(O67,($N$4*5/10))^4-N67^4)/4,0)+IF(O67&gt;($N$4*5/10),($N$4*5/10)^2*(1.5*(O67^2-MAX(N67,($N$4*5/10))^2)-($N$4*5/10)*(O67-MAX(N67,($N$4*5/10)))),0))*1000,0)</f>
        <v>0</v>
      </c>
      <c r="AS67" s="120">
        <f>IF(AND(V67="OK",ISNUMBER($N$5),$N$5&gt;0,ISNUMBER($N$3),$N$3&gt;0),R67/(6*$N$3*1000000*$N$5)*(IF(N67&lt;($N$4*6/10),($N$4*6/10)*(MIN(O67,($N$4*6/10))^3-N67^3)-(MIN(O67,($N$4*6/10))^4-N67^4)/4,0)+IF(O67&gt;($N$4*6/10),($N$4*6/10)^2*(1.5*(O67^2-MAX(N67,($N$4*6/10))^2)-($N$4*6/10)*(O67-MAX(N67,($N$4*6/10)))),0))*1000,0)</f>
        <v>0</v>
      </c>
      <c r="AT67" s="120">
        <f>IF(AND(V67="OK",ISNUMBER($N$5),$N$5&gt;0,ISNUMBER($N$3),$N$3&gt;0),R67/(6*$N$3*1000000*$N$5)*(IF(N67&lt;($N$4*7/10),($N$4*7/10)*(MIN(O67,($N$4*7/10))^3-N67^3)-(MIN(O67,($N$4*7/10))^4-N67^4)/4,0)+IF(O67&gt;($N$4*7/10),($N$4*7/10)^2*(1.5*(O67^2-MAX(N67,($N$4*7/10))^2)-($N$4*7/10)*(O67-MAX(N67,($N$4*7/10)))),0))*1000,0)</f>
        <v>0</v>
      </c>
      <c r="AU67" s="120">
        <f>IF(AND(V67="OK",ISNUMBER($N$5),$N$5&gt;0,ISNUMBER($N$3),$N$3&gt;0),R67/(6*$N$3*1000000*$N$5)*(IF(N67&lt;($N$4*8/10),($N$4*8/10)*(MIN(O67,($N$4*8/10))^3-N67^3)-(MIN(O67,($N$4*8/10))^4-N67^4)/4,0)+IF(O67&gt;($N$4*8/10),($N$4*8/10)^2*(1.5*(O67^2-MAX(N67,($N$4*8/10))^2)-($N$4*8/10)*(O67-MAX(N67,($N$4*8/10)))),0))*1000,0)</f>
        <v>0</v>
      </c>
      <c r="AV67" s="120">
        <f>IF(AND(V67="OK",ISNUMBER($N$5),$N$5&gt;0,ISNUMBER($N$3),$N$3&gt;0),R67/(6*$N$3*1000000*$N$5)*(IF(N67&lt;($N$4*9/10),($N$4*9/10)*(MIN(O67,($N$4*9/10))^3-N67^3)-(MIN(O67,($N$4*9/10))^4-N67^4)/4,0)+IF(O67&gt;($N$4*9/10),($N$4*9/10)^2*(1.5*(O67^2-MAX(N67,($N$4*9/10))^2)-($N$4*9/10)*(O67-MAX(N67,($N$4*9/10)))),0))*1000,0)</f>
        <v>0</v>
      </c>
      <c r="AW67" s="120">
        <f>IF(AND(V67="OK",ISNUMBER($N$5),$N$5&gt;0,ISNUMBER($N$3),$N$3&gt;0),R67/(6*$N$3*1000000*$N$5)*(IF(N67&lt;($N$4*10/10),($N$4*10/10)*(MIN(O67,($N$4*10/10))^3-N67^3)-(MIN(O67,($N$4*10/10))^4-N67^4)/4,0)+IF(O67&gt;($N$4*10/10),($N$4*10/10)^2*(1.5*(O67^2-MAX(N67,($N$4*10/10))^2)-($N$4*10/10)*(O67-MAX(N67,($N$4*10/10)))),0))*1000,0)</f>
        <v>0</v>
      </c>
    </row>
    <row r="68" spans="1:49">
      <c r="A68" s="124"/>
      <c r="B68" s="125"/>
      <c r="C68" s="125"/>
      <c r="D68" s="125"/>
      <c r="E68" s="125"/>
      <c r="F68" s="126" t="str">
        <f>IF(J68="OK",D68*E68,"")</f>
        <v/>
      </c>
      <c r="G68" s="126" t="str">
        <f>IF(J68="OK",F68*(C68-B68),"")</f>
        <v/>
      </c>
      <c r="H68" s="126" t="str">
        <f>IF(J68="OK",G68*(C68+B68)/2,"")</f>
        <v/>
      </c>
      <c r="I68" s="126" t="str">
        <f>IF(AND(J68="OK",ISNUMBER($B$5),$B$5&gt;0,ISNUMBER($B$3),$B$3&gt;0),F68*(4*$B$4*(C68^3-B68^3)-(C68^4-B68^4))/(24*$B$3*1000000*$B$5)*1000,"")</f>
        <v/>
      </c>
      <c r="J68" s="120" t="str">
        <f>IF(COUNTA(A68:E68)=0,"",IF(AND(COUNT(B68:E68)=4,B68&gt;=0,C68&gt;B68,C68&lt;=$B$4,D68&gt;=0,E68&gt;0),IF(COUNTIFS($B$13:$B$67,"&lt;"&amp;C68,$C$13:$C$67,"&gt;"&amp;B68)&gt;0,"OVERLAP","OK"),"CHECK INPUTS"))</f>
        <v/>
      </c>
      <c r="M68" s="124"/>
      <c r="N68" s="125"/>
      <c r="O68" s="125"/>
      <c r="P68" s="125"/>
      <c r="Q68" s="125"/>
      <c r="R68" s="126" t="str">
        <f>IF(V68="OK",P68*Q68,"")</f>
        <v/>
      </c>
      <c r="S68" s="126" t="str">
        <f>IF(V68="OK",R68*(O68-N68),"")</f>
        <v/>
      </c>
      <c r="T68" s="126" t="str">
        <f>IF(V68="OK",S68*(O68+N68)/2,"")</f>
        <v/>
      </c>
      <c r="U68" s="126" t="str">
        <f>IF(AND(V68="OK",ISNUMBER($N$5),$N$5&gt;0,ISNUMBER($N$3),$N$3&gt;0),R68*(4*$N$4*(O68^3-N68^3)-(O68^4-N68^4))/(24*$N$3*1000000*$N$5)*1000,"")</f>
        <v/>
      </c>
      <c r="V68" s="120" t="str">
        <f>IF(COUNTA(M68:Q68)=0,"",IF(AND(COUNT(N68:Q68)=4,N68&gt;=0,O68&gt;N68,O68&lt;=$N$4,P68&gt;=0,Q68&gt;0),IF(COUNTIFS($N$13:$N$67,"&lt;"&amp;O68,$O$13:$O$67,"&gt;"&amp;N68)&gt;0,"OVERLAP","OK"),"CHECK INPUTS"))</f>
        <v/>
      </c>
      <c r="AA68" s="120">
        <f>IF(AND(J68="OK",ISNUMBER($B$5),$B$5&gt;0,ISNUMBER($B$3),$B$3&gt;0),F68/(6*$B$3*1000000*$B$5)*(IF(B68&lt;($B$4*0/10),($B$4*0/10)*(MIN(C68,($B$4*0/10))^3-B68^3)-(MIN(C68,($B$4*0/10))^4-B68^4)/4,0)+IF(C68&gt;($B$4*0/10),($B$4*0/10)^2*(1.5*(C68^2-MAX(B68,($B$4*0/10))^2)-($B$4*0/10)*(C68-MAX(B68,($B$4*0/10)))),0))*1000,0)</f>
        <v>0</v>
      </c>
      <c r="AB68" s="120">
        <f>IF(AND(J68="OK",ISNUMBER($B$5),$B$5&gt;0,ISNUMBER($B$3),$B$3&gt;0),F68/(6*$B$3*1000000*$B$5)*(IF(B68&lt;($B$4*1/10),($B$4*1/10)*(MIN(C68,($B$4*1/10))^3-B68^3)-(MIN(C68,($B$4*1/10))^4-B68^4)/4,0)+IF(C68&gt;($B$4*1/10),($B$4*1/10)^2*(1.5*(C68^2-MAX(B68,($B$4*1/10))^2)-($B$4*1/10)*(C68-MAX(B68,($B$4*1/10)))),0))*1000,0)</f>
        <v>0</v>
      </c>
      <c r="AC68" s="120">
        <f>IF(AND(J68="OK",ISNUMBER($B$5),$B$5&gt;0,ISNUMBER($B$3),$B$3&gt;0),F68/(6*$B$3*1000000*$B$5)*(IF(B68&lt;($B$4*2/10),($B$4*2/10)*(MIN(C68,($B$4*2/10))^3-B68^3)-(MIN(C68,($B$4*2/10))^4-B68^4)/4,0)+IF(C68&gt;($B$4*2/10),($B$4*2/10)^2*(1.5*(C68^2-MAX(B68,($B$4*2/10))^2)-($B$4*2/10)*(C68-MAX(B68,($B$4*2/10)))),0))*1000,0)</f>
        <v>0</v>
      </c>
      <c r="AD68" s="120">
        <f>IF(AND(J68="OK",ISNUMBER($B$5),$B$5&gt;0,ISNUMBER($B$3),$B$3&gt;0),F68/(6*$B$3*1000000*$B$5)*(IF(B68&lt;($B$4*3/10),($B$4*3/10)*(MIN(C68,($B$4*3/10))^3-B68^3)-(MIN(C68,($B$4*3/10))^4-B68^4)/4,0)+IF(C68&gt;($B$4*3/10),($B$4*3/10)^2*(1.5*(C68^2-MAX(B68,($B$4*3/10))^2)-($B$4*3/10)*(C68-MAX(B68,($B$4*3/10)))),0))*1000,0)</f>
        <v>0</v>
      </c>
      <c r="AE68" s="120">
        <f>IF(AND(J68="OK",ISNUMBER($B$5),$B$5&gt;0,ISNUMBER($B$3),$B$3&gt;0),F68/(6*$B$3*1000000*$B$5)*(IF(B68&lt;($B$4*4/10),($B$4*4/10)*(MIN(C68,($B$4*4/10))^3-B68^3)-(MIN(C68,($B$4*4/10))^4-B68^4)/4,0)+IF(C68&gt;($B$4*4/10),($B$4*4/10)^2*(1.5*(C68^2-MAX(B68,($B$4*4/10))^2)-($B$4*4/10)*(C68-MAX(B68,($B$4*4/10)))),0))*1000,0)</f>
        <v>0</v>
      </c>
      <c r="AF68" s="120">
        <f>IF(AND(J68="OK",ISNUMBER($B$5),$B$5&gt;0,ISNUMBER($B$3),$B$3&gt;0),F68/(6*$B$3*1000000*$B$5)*(IF(B68&lt;($B$4*5/10),($B$4*5/10)*(MIN(C68,($B$4*5/10))^3-B68^3)-(MIN(C68,($B$4*5/10))^4-B68^4)/4,0)+IF(C68&gt;($B$4*5/10),($B$4*5/10)^2*(1.5*(C68^2-MAX(B68,($B$4*5/10))^2)-($B$4*5/10)*(C68-MAX(B68,($B$4*5/10)))),0))*1000,0)</f>
        <v>0</v>
      </c>
      <c r="AG68" s="120">
        <f>IF(AND(J68="OK",ISNUMBER($B$5),$B$5&gt;0,ISNUMBER($B$3),$B$3&gt;0),F68/(6*$B$3*1000000*$B$5)*(IF(B68&lt;($B$4*6/10),($B$4*6/10)*(MIN(C68,($B$4*6/10))^3-B68^3)-(MIN(C68,($B$4*6/10))^4-B68^4)/4,0)+IF(C68&gt;($B$4*6/10),($B$4*6/10)^2*(1.5*(C68^2-MAX(B68,($B$4*6/10))^2)-($B$4*6/10)*(C68-MAX(B68,($B$4*6/10)))),0))*1000,0)</f>
        <v>0</v>
      </c>
      <c r="AH68" s="120">
        <f>IF(AND(J68="OK",ISNUMBER($B$5),$B$5&gt;0,ISNUMBER($B$3),$B$3&gt;0),F68/(6*$B$3*1000000*$B$5)*(IF(B68&lt;($B$4*7/10),($B$4*7/10)*(MIN(C68,($B$4*7/10))^3-B68^3)-(MIN(C68,($B$4*7/10))^4-B68^4)/4,0)+IF(C68&gt;($B$4*7/10),($B$4*7/10)^2*(1.5*(C68^2-MAX(B68,($B$4*7/10))^2)-($B$4*7/10)*(C68-MAX(B68,($B$4*7/10)))),0))*1000,0)</f>
        <v>0</v>
      </c>
      <c r="AI68" s="120">
        <f>IF(AND(J68="OK",ISNUMBER($B$5),$B$5&gt;0,ISNUMBER($B$3),$B$3&gt;0),F68/(6*$B$3*1000000*$B$5)*(IF(B68&lt;($B$4*8/10),($B$4*8/10)*(MIN(C68,($B$4*8/10))^3-B68^3)-(MIN(C68,($B$4*8/10))^4-B68^4)/4,0)+IF(C68&gt;($B$4*8/10),($B$4*8/10)^2*(1.5*(C68^2-MAX(B68,($B$4*8/10))^2)-($B$4*8/10)*(C68-MAX(B68,($B$4*8/10)))),0))*1000,0)</f>
        <v>0</v>
      </c>
      <c r="AJ68" s="120">
        <f>IF(AND(J68="OK",ISNUMBER($B$5),$B$5&gt;0,ISNUMBER($B$3),$B$3&gt;0),F68/(6*$B$3*1000000*$B$5)*(IF(B68&lt;($B$4*9/10),($B$4*9/10)*(MIN(C68,($B$4*9/10))^3-B68^3)-(MIN(C68,($B$4*9/10))^4-B68^4)/4,0)+IF(C68&gt;($B$4*9/10),($B$4*9/10)^2*(1.5*(C68^2-MAX(B68,($B$4*9/10))^2)-($B$4*9/10)*(C68-MAX(B68,($B$4*9/10)))),0))*1000,0)</f>
        <v>0</v>
      </c>
      <c r="AK68" s="120">
        <f>IF(AND(J68="OK",ISNUMBER($B$5),$B$5&gt;0,ISNUMBER($B$3),$B$3&gt;0),F68/(6*$B$3*1000000*$B$5)*(IF(B68&lt;($B$4*10/10),($B$4*10/10)*(MIN(C68,($B$4*10/10))^3-B68^3)-(MIN(C68,($B$4*10/10))^4-B68^4)/4,0)+IF(C68&gt;($B$4*10/10),($B$4*10/10)^2*(1.5*(C68^2-MAX(B68,($B$4*10/10))^2)-($B$4*10/10)*(C68-MAX(B68,($B$4*10/10)))),0))*1000,0)</f>
        <v>0</v>
      </c>
      <c r="AM68" s="120">
        <f>IF(AND(V68="OK",ISNUMBER($N$5),$N$5&gt;0,ISNUMBER($N$3),$N$3&gt;0),R68/(6*$N$3*1000000*$N$5)*(IF(N68&lt;($N$4*0/10),($N$4*0/10)*(MIN(O68,($N$4*0/10))^3-N68^3)-(MIN(O68,($N$4*0/10))^4-N68^4)/4,0)+IF(O68&gt;($N$4*0/10),($N$4*0/10)^2*(1.5*(O68^2-MAX(N68,($N$4*0/10))^2)-($N$4*0/10)*(O68-MAX(N68,($N$4*0/10)))),0))*1000,0)</f>
        <v>0</v>
      </c>
      <c r="AN68" s="120">
        <f>IF(AND(V68="OK",ISNUMBER($N$5),$N$5&gt;0,ISNUMBER($N$3),$N$3&gt;0),R68/(6*$N$3*1000000*$N$5)*(IF(N68&lt;($N$4*1/10),($N$4*1/10)*(MIN(O68,($N$4*1/10))^3-N68^3)-(MIN(O68,($N$4*1/10))^4-N68^4)/4,0)+IF(O68&gt;($N$4*1/10),($N$4*1/10)^2*(1.5*(O68^2-MAX(N68,($N$4*1/10))^2)-($N$4*1/10)*(O68-MAX(N68,($N$4*1/10)))),0))*1000,0)</f>
        <v>0</v>
      </c>
      <c r="AO68" s="120">
        <f>IF(AND(V68="OK",ISNUMBER($N$5),$N$5&gt;0,ISNUMBER($N$3),$N$3&gt;0),R68/(6*$N$3*1000000*$N$5)*(IF(N68&lt;($N$4*2/10),($N$4*2/10)*(MIN(O68,($N$4*2/10))^3-N68^3)-(MIN(O68,($N$4*2/10))^4-N68^4)/4,0)+IF(O68&gt;($N$4*2/10),($N$4*2/10)^2*(1.5*(O68^2-MAX(N68,($N$4*2/10))^2)-($N$4*2/10)*(O68-MAX(N68,($N$4*2/10)))),0))*1000,0)</f>
        <v>0</v>
      </c>
      <c r="AP68" s="120">
        <f>IF(AND(V68="OK",ISNUMBER($N$5),$N$5&gt;0,ISNUMBER($N$3),$N$3&gt;0),R68/(6*$N$3*1000000*$N$5)*(IF(N68&lt;($N$4*3/10),($N$4*3/10)*(MIN(O68,($N$4*3/10))^3-N68^3)-(MIN(O68,($N$4*3/10))^4-N68^4)/4,0)+IF(O68&gt;($N$4*3/10),($N$4*3/10)^2*(1.5*(O68^2-MAX(N68,($N$4*3/10))^2)-($N$4*3/10)*(O68-MAX(N68,($N$4*3/10)))),0))*1000,0)</f>
        <v>0</v>
      </c>
      <c r="AQ68" s="120">
        <f>IF(AND(V68="OK",ISNUMBER($N$5),$N$5&gt;0,ISNUMBER($N$3),$N$3&gt;0),R68/(6*$N$3*1000000*$N$5)*(IF(N68&lt;($N$4*4/10),($N$4*4/10)*(MIN(O68,($N$4*4/10))^3-N68^3)-(MIN(O68,($N$4*4/10))^4-N68^4)/4,0)+IF(O68&gt;($N$4*4/10),($N$4*4/10)^2*(1.5*(O68^2-MAX(N68,($N$4*4/10))^2)-($N$4*4/10)*(O68-MAX(N68,($N$4*4/10)))),0))*1000,0)</f>
        <v>0</v>
      </c>
      <c r="AR68" s="120">
        <f>IF(AND(V68="OK",ISNUMBER($N$5),$N$5&gt;0,ISNUMBER($N$3),$N$3&gt;0),R68/(6*$N$3*1000000*$N$5)*(IF(N68&lt;($N$4*5/10),($N$4*5/10)*(MIN(O68,($N$4*5/10))^3-N68^3)-(MIN(O68,($N$4*5/10))^4-N68^4)/4,0)+IF(O68&gt;($N$4*5/10),($N$4*5/10)^2*(1.5*(O68^2-MAX(N68,($N$4*5/10))^2)-($N$4*5/10)*(O68-MAX(N68,($N$4*5/10)))),0))*1000,0)</f>
        <v>0</v>
      </c>
      <c r="AS68" s="120">
        <f>IF(AND(V68="OK",ISNUMBER($N$5),$N$5&gt;0,ISNUMBER($N$3),$N$3&gt;0),R68/(6*$N$3*1000000*$N$5)*(IF(N68&lt;($N$4*6/10),($N$4*6/10)*(MIN(O68,($N$4*6/10))^3-N68^3)-(MIN(O68,($N$4*6/10))^4-N68^4)/4,0)+IF(O68&gt;($N$4*6/10),($N$4*6/10)^2*(1.5*(O68^2-MAX(N68,($N$4*6/10))^2)-($N$4*6/10)*(O68-MAX(N68,($N$4*6/10)))),0))*1000,0)</f>
        <v>0</v>
      </c>
      <c r="AT68" s="120">
        <f>IF(AND(V68="OK",ISNUMBER($N$5),$N$5&gt;0,ISNUMBER($N$3),$N$3&gt;0),R68/(6*$N$3*1000000*$N$5)*(IF(N68&lt;($N$4*7/10),($N$4*7/10)*(MIN(O68,($N$4*7/10))^3-N68^3)-(MIN(O68,($N$4*7/10))^4-N68^4)/4,0)+IF(O68&gt;($N$4*7/10),($N$4*7/10)^2*(1.5*(O68^2-MAX(N68,($N$4*7/10))^2)-($N$4*7/10)*(O68-MAX(N68,($N$4*7/10)))),0))*1000,0)</f>
        <v>0</v>
      </c>
      <c r="AU68" s="120">
        <f>IF(AND(V68="OK",ISNUMBER($N$5),$N$5&gt;0,ISNUMBER($N$3),$N$3&gt;0),R68/(6*$N$3*1000000*$N$5)*(IF(N68&lt;($N$4*8/10),($N$4*8/10)*(MIN(O68,($N$4*8/10))^3-N68^3)-(MIN(O68,($N$4*8/10))^4-N68^4)/4,0)+IF(O68&gt;($N$4*8/10),($N$4*8/10)^2*(1.5*(O68^2-MAX(N68,($N$4*8/10))^2)-($N$4*8/10)*(O68-MAX(N68,($N$4*8/10)))),0))*1000,0)</f>
        <v>0</v>
      </c>
      <c r="AV68" s="120">
        <f>IF(AND(V68="OK",ISNUMBER($N$5),$N$5&gt;0,ISNUMBER($N$3),$N$3&gt;0),R68/(6*$N$3*1000000*$N$5)*(IF(N68&lt;($N$4*9/10),($N$4*9/10)*(MIN(O68,($N$4*9/10))^3-N68^3)-(MIN(O68,($N$4*9/10))^4-N68^4)/4,0)+IF(O68&gt;($N$4*9/10),($N$4*9/10)^2*(1.5*(O68^2-MAX(N68,($N$4*9/10))^2)-($N$4*9/10)*(O68-MAX(N68,($N$4*9/10)))),0))*1000,0)</f>
        <v>0</v>
      </c>
      <c r="AW68" s="120">
        <f>IF(AND(V68="OK",ISNUMBER($N$5),$N$5&gt;0,ISNUMBER($N$3),$N$3&gt;0),R68/(6*$N$3*1000000*$N$5)*(IF(N68&lt;($N$4*10/10),($N$4*10/10)*(MIN(O68,($N$4*10/10))^3-N68^3)-(MIN(O68,($N$4*10/10))^4-N68^4)/4,0)+IF(O68&gt;($N$4*10/10),($N$4*10/10)^2*(1.5*(O68^2-MAX(N68,($N$4*10/10))^2)-($N$4*10/10)*(O68-MAX(N68,($N$4*10/10)))),0))*1000,0)</f>
        <v>0</v>
      </c>
    </row>
    <row r="69" spans="1:49">
      <c r="A69" s="124"/>
      <c r="B69" s="125"/>
      <c r="C69" s="125"/>
      <c r="D69" s="125"/>
      <c r="E69" s="125"/>
      <c r="F69" s="126" t="str">
        <f>IF(J69="OK",D69*E69,"")</f>
        <v/>
      </c>
      <c r="G69" s="126" t="str">
        <f>IF(J69="OK",F69*(C69-B69),"")</f>
        <v/>
      </c>
      <c r="H69" s="126" t="str">
        <f>IF(J69="OK",G69*(C69+B69)/2,"")</f>
        <v/>
      </c>
      <c r="I69" s="126" t="str">
        <f>IF(AND(J69="OK",ISNUMBER($B$5),$B$5&gt;0,ISNUMBER($B$3),$B$3&gt;0),F69*(4*$B$4*(C69^3-B69^3)-(C69^4-B69^4))/(24*$B$3*1000000*$B$5)*1000,"")</f>
        <v/>
      </c>
      <c r="J69" s="120" t="str">
        <f>IF(COUNTA(A69:E69)=0,"",IF(AND(COUNT(B69:E69)=4,B69&gt;=0,C69&gt;B69,C69&lt;=$B$4,D69&gt;=0,E69&gt;0),IF(COUNTIFS($B$13:$B$68,"&lt;"&amp;C69,$C$13:$C$68,"&gt;"&amp;B69)&gt;0,"OVERLAP","OK"),"CHECK INPUTS"))</f>
        <v/>
      </c>
      <c r="M69" s="124"/>
      <c r="N69" s="125"/>
      <c r="O69" s="125"/>
      <c r="P69" s="125"/>
      <c r="Q69" s="125"/>
      <c r="R69" s="126" t="str">
        <f>IF(V69="OK",P69*Q69,"")</f>
        <v/>
      </c>
      <c r="S69" s="126" t="str">
        <f>IF(V69="OK",R69*(O69-N69),"")</f>
        <v/>
      </c>
      <c r="T69" s="126" t="str">
        <f>IF(V69="OK",S69*(O69+N69)/2,"")</f>
        <v/>
      </c>
      <c r="U69" s="126" t="str">
        <f>IF(AND(V69="OK",ISNUMBER($N$5),$N$5&gt;0,ISNUMBER($N$3),$N$3&gt;0),R69*(4*$N$4*(O69^3-N69^3)-(O69^4-N69^4))/(24*$N$3*1000000*$N$5)*1000,"")</f>
        <v/>
      </c>
      <c r="V69" s="120" t="str">
        <f>IF(COUNTA(M69:Q69)=0,"",IF(AND(COUNT(N69:Q69)=4,N69&gt;=0,O69&gt;N69,O69&lt;=$N$4,P69&gt;=0,Q69&gt;0),IF(COUNTIFS($N$13:$N$68,"&lt;"&amp;O69,$O$13:$O$68,"&gt;"&amp;N69)&gt;0,"OVERLAP","OK"),"CHECK INPUTS"))</f>
        <v/>
      </c>
      <c r="AA69" s="120">
        <f>IF(AND(J69="OK",ISNUMBER($B$5),$B$5&gt;0,ISNUMBER($B$3),$B$3&gt;0),F69/(6*$B$3*1000000*$B$5)*(IF(B69&lt;($B$4*0/10),($B$4*0/10)*(MIN(C69,($B$4*0/10))^3-B69^3)-(MIN(C69,($B$4*0/10))^4-B69^4)/4,0)+IF(C69&gt;($B$4*0/10),($B$4*0/10)^2*(1.5*(C69^2-MAX(B69,($B$4*0/10))^2)-($B$4*0/10)*(C69-MAX(B69,($B$4*0/10)))),0))*1000,0)</f>
        <v>0</v>
      </c>
      <c r="AB69" s="120">
        <f>IF(AND(J69="OK",ISNUMBER($B$5),$B$5&gt;0,ISNUMBER($B$3),$B$3&gt;0),F69/(6*$B$3*1000000*$B$5)*(IF(B69&lt;($B$4*1/10),($B$4*1/10)*(MIN(C69,($B$4*1/10))^3-B69^3)-(MIN(C69,($B$4*1/10))^4-B69^4)/4,0)+IF(C69&gt;($B$4*1/10),($B$4*1/10)^2*(1.5*(C69^2-MAX(B69,($B$4*1/10))^2)-($B$4*1/10)*(C69-MAX(B69,($B$4*1/10)))),0))*1000,0)</f>
        <v>0</v>
      </c>
      <c r="AC69" s="120">
        <f>IF(AND(J69="OK",ISNUMBER($B$5),$B$5&gt;0,ISNUMBER($B$3),$B$3&gt;0),F69/(6*$B$3*1000000*$B$5)*(IF(B69&lt;($B$4*2/10),($B$4*2/10)*(MIN(C69,($B$4*2/10))^3-B69^3)-(MIN(C69,($B$4*2/10))^4-B69^4)/4,0)+IF(C69&gt;($B$4*2/10),($B$4*2/10)^2*(1.5*(C69^2-MAX(B69,($B$4*2/10))^2)-($B$4*2/10)*(C69-MAX(B69,($B$4*2/10)))),0))*1000,0)</f>
        <v>0</v>
      </c>
      <c r="AD69" s="120">
        <f>IF(AND(J69="OK",ISNUMBER($B$5),$B$5&gt;0,ISNUMBER($B$3),$B$3&gt;0),F69/(6*$B$3*1000000*$B$5)*(IF(B69&lt;($B$4*3/10),($B$4*3/10)*(MIN(C69,($B$4*3/10))^3-B69^3)-(MIN(C69,($B$4*3/10))^4-B69^4)/4,0)+IF(C69&gt;($B$4*3/10),($B$4*3/10)^2*(1.5*(C69^2-MAX(B69,($B$4*3/10))^2)-($B$4*3/10)*(C69-MAX(B69,($B$4*3/10)))),0))*1000,0)</f>
        <v>0</v>
      </c>
      <c r="AE69" s="120">
        <f>IF(AND(J69="OK",ISNUMBER($B$5),$B$5&gt;0,ISNUMBER($B$3),$B$3&gt;0),F69/(6*$B$3*1000000*$B$5)*(IF(B69&lt;($B$4*4/10),($B$4*4/10)*(MIN(C69,($B$4*4/10))^3-B69^3)-(MIN(C69,($B$4*4/10))^4-B69^4)/4,0)+IF(C69&gt;($B$4*4/10),($B$4*4/10)^2*(1.5*(C69^2-MAX(B69,($B$4*4/10))^2)-($B$4*4/10)*(C69-MAX(B69,($B$4*4/10)))),0))*1000,0)</f>
        <v>0</v>
      </c>
      <c r="AF69" s="120">
        <f>IF(AND(J69="OK",ISNUMBER($B$5),$B$5&gt;0,ISNUMBER($B$3),$B$3&gt;0),F69/(6*$B$3*1000000*$B$5)*(IF(B69&lt;($B$4*5/10),($B$4*5/10)*(MIN(C69,($B$4*5/10))^3-B69^3)-(MIN(C69,($B$4*5/10))^4-B69^4)/4,0)+IF(C69&gt;($B$4*5/10),($B$4*5/10)^2*(1.5*(C69^2-MAX(B69,($B$4*5/10))^2)-($B$4*5/10)*(C69-MAX(B69,($B$4*5/10)))),0))*1000,0)</f>
        <v>0</v>
      </c>
      <c r="AG69" s="120">
        <f>IF(AND(J69="OK",ISNUMBER($B$5),$B$5&gt;0,ISNUMBER($B$3),$B$3&gt;0),F69/(6*$B$3*1000000*$B$5)*(IF(B69&lt;($B$4*6/10),($B$4*6/10)*(MIN(C69,($B$4*6/10))^3-B69^3)-(MIN(C69,($B$4*6/10))^4-B69^4)/4,0)+IF(C69&gt;($B$4*6/10),($B$4*6/10)^2*(1.5*(C69^2-MAX(B69,($B$4*6/10))^2)-($B$4*6/10)*(C69-MAX(B69,($B$4*6/10)))),0))*1000,0)</f>
        <v>0</v>
      </c>
      <c r="AH69" s="120">
        <f>IF(AND(J69="OK",ISNUMBER($B$5),$B$5&gt;0,ISNUMBER($B$3),$B$3&gt;0),F69/(6*$B$3*1000000*$B$5)*(IF(B69&lt;($B$4*7/10),($B$4*7/10)*(MIN(C69,($B$4*7/10))^3-B69^3)-(MIN(C69,($B$4*7/10))^4-B69^4)/4,0)+IF(C69&gt;($B$4*7/10),($B$4*7/10)^2*(1.5*(C69^2-MAX(B69,($B$4*7/10))^2)-($B$4*7/10)*(C69-MAX(B69,($B$4*7/10)))),0))*1000,0)</f>
        <v>0</v>
      </c>
      <c r="AI69" s="120">
        <f>IF(AND(J69="OK",ISNUMBER($B$5),$B$5&gt;0,ISNUMBER($B$3),$B$3&gt;0),F69/(6*$B$3*1000000*$B$5)*(IF(B69&lt;($B$4*8/10),($B$4*8/10)*(MIN(C69,($B$4*8/10))^3-B69^3)-(MIN(C69,($B$4*8/10))^4-B69^4)/4,0)+IF(C69&gt;($B$4*8/10),($B$4*8/10)^2*(1.5*(C69^2-MAX(B69,($B$4*8/10))^2)-($B$4*8/10)*(C69-MAX(B69,($B$4*8/10)))),0))*1000,0)</f>
        <v>0</v>
      </c>
      <c r="AJ69" s="120">
        <f>IF(AND(J69="OK",ISNUMBER($B$5),$B$5&gt;0,ISNUMBER($B$3),$B$3&gt;0),F69/(6*$B$3*1000000*$B$5)*(IF(B69&lt;($B$4*9/10),($B$4*9/10)*(MIN(C69,($B$4*9/10))^3-B69^3)-(MIN(C69,($B$4*9/10))^4-B69^4)/4,0)+IF(C69&gt;($B$4*9/10),($B$4*9/10)^2*(1.5*(C69^2-MAX(B69,($B$4*9/10))^2)-($B$4*9/10)*(C69-MAX(B69,($B$4*9/10)))),0))*1000,0)</f>
        <v>0</v>
      </c>
      <c r="AK69" s="120">
        <f>IF(AND(J69="OK",ISNUMBER($B$5),$B$5&gt;0,ISNUMBER($B$3),$B$3&gt;0),F69/(6*$B$3*1000000*$B$5)*(IF(B69&lt;($B$4*10/10),($B$4*10/10)*(MIN(C69,($B$4*10/10))^3-B69^3)-(MIN(C69,($B$4*10/10))^4-B69^4)/4,0)+IF(C69&gt;($B$4*10/10),($B$4*10/10)^2*(1.5*(C69^2-MAX(B69,($B$4*10/10))^2)-($B$4*10/10)*(C69-MAX(B69,($B$4*10/10)))),0))*1000,0)</f>
        <v>0</v>
      </c>
      <c r="AM69" s="120">
        <f>IF(AND(V69="OK",ISNUMBER($N$5),$N$5&gt;0,ISNUMBER($N$3),$N$3&gt;0),R69/(6*$N$3*1000000*$N$5)*(IF(N69&lt;($N$4*0/10),($N$4*0/10)*(MIN(O69,($N$4*0/10))^3-N69^3)-(MIN(O69,($N$4*0/10))^4-N69^4)/4,0)+IF(O69&gt;($N$4*0/10),($N$4*0/10)^2*(1.5*(O69^2-MAX(N69,($N$4*0/10))^2)-($N$4*0/10)*(O69-MAX(N69,($N$4*0/10)))),0))*1000,0)</f>
        <v>0</v>
      </c>
      <c r="AN69" s="120">
        <f>IF(AND(V69="OK",ISNUMBER($N$5),$N$5&gt;0,ISNUMBER($N$3),$N$3&gt;0),R69/(6*$N$3*1000000*$N$5)*(IF(N69&lt;($N$4*1/10),($N$4*1/10)*(MIN(O69,($N$4*1/10))^3-N69^3)-(MIN(O69,($N$4*1/10))^4-N69^4)/4,0)+IF(O69&gt;($N$4*1/10),($N$4*1/10)^2*(1.5*(O69^2-MAX(N69,($N$4*1/10))^2)-($N$4*1/10)*(O69-MAX(N69,($N$4*1/10)))),0))*1000,0)</f>
        <v>0</v>
      </c>
      <c r="AO69" s="120">
        <f>IF(AND(V69="OK",ISNUMBER($N$5),$N$5&gt;0,ISNUMBER($N$3),$N$3&gt;0),R69/(6*$N$3*1000000*$N$5)*(IF(N69&lt;($N$4*2/10),($N$4*2/10)*(MIN(O69,($N$4*2/10))^3-N69^3)-(MIN(O69,($N$4*2/10))^4-N69^4)/4,0)+IF(O69&gt;($N$4*2/10),($N$4*2/10)^2*(1.5*(O69^2-MAX(N69,($N$4*2/10))^2)-($N$4*2/10)*(O69-MAX(N69,($N$4*2/10)))),0))*1000,0)</f>
        <v>0</v>
      </c>
      <c r="AP69" s="120">
        <f>IF(AND(V69="OK",ISNUMBER($N$5),$N$5&gt;0,ISNUMBER($N$3),$N$3&gt;0),R69/(6*$N$3*1000000*$N$5)*(IF(N69&lt;($N$4*3/10),($N$4*3/10)*(MIN(O69,($N$4*3/10))^3-N69^3)-(MIN(O69,($N$4*3/10))^4-N69^4)/4,0)+IF(O69&gt;($N$4*3/10),($N$4*3/10)^2*(1.5*(O69^2-MAX(N69,($N$4*3/10))^2)-($N$4*3/10)*(O69-MAX(N69,($N$4*3/10)))),0))*1000,0)</f>
        <v>0</v>
      </c>
      <c r="AQ69" s="120">
        <f>IF(AND(V69="OK",ISNUMBER($N$5),$N$5&gt;0,ISNUMBER($N$3),$N$3&gt;0),R69/(6*$N$3*1000000*$N$5)*(IF(N69&lt;($N$4*4/10),($N$4*4/10)*(MIN(O69,($N$4*4/10))^3-N69^3)-(MIN(O69,($N$4*4/10))^4-N69^4)/4,0)+IF(O69&gt;($N$4*4/10),($N$4*4/10)^2*(1.5*(O69^2-MAX(N69,($N$4*4/10))^2)-($N$4*4/10)*(O69-MAX(N69,($N$4*4/10)))),0))*1000,0)</f>
        <v>0</v>
      </c>
      <c r="AR69" s="120">
        <f>IF(AND(V69="OK",ISNUMBER($N$5),$N$5&gt;0,ISNUMBER($N$3),$N$3&gt;0),R69/(6*$N$3*1000000*$N$5)*(IF(N69&lt;($N$4*5/10),($N$4*5/10)*(MIN(O69,($N$4*5/10))^3-N69^3)-(MIN(O69,($N$4*5/10))^4-N69^4)/4,0)+IF(O69&gt;($N$4*5/10),($N$4*5/10)^2*(1.5*(O69^2-MAX(N69,($N$4*5/10))^2)-($N$4*5/10)*(O69-MAX(N69,($N$4*5/10)))),0))*1000,0)</f>
        <v>0</v>
      </c>
      <c r="AS69" s="120">
        <f>IF(AND(V69="OK",ISNUMBER($N$5),$N$5&gt;0,ISNUMBER($N$3),$N$3&gt;0),R69/(6*$N$3*1000000*$N$5)*(IF(N69&lt;($N$4*6/10),($N$4*6/10)*(MIN(O69,($N$4*6/10))^3-N69^3)-(MIN(O69,($N$4*6/10))^4-N69^4)/4,0)+IF(O69&gt;($N$4*6/10),($N$4*6/10)^2*(1.5*(O69^2-MAX(N69,($N$4*6/10))^2)-($N$4*6/10)*(O69-MAX(N69,($N$4*6/10)))),0))*1000,0)</f>
        <v>0</v>
      </c>
      <c r="AT69" s="120">
        <f>IF(AND(V69="OK",ISNUMBER($N$5),$N$5&gt;0,ISNUMBER($N$3),$N$3&gt;0),R69/(6*$N$3*1000000*$N$5)*(IF(N69&lt;($N$4*7/10),($N$4*7/10)*(MIN(O69,($N$4*7/10))^3-N69^3)-(MIN(O69,($N$4*7/10))^4-N69^4)/4,0)+IF(O69&gt;($N$4*7/10),($N$4*7/10)^2*(1.5*(O69^2-MAX(N69,($N$4*7/10))^2)-($N$4*7/10)*(O69-MAX(N69,($N$4*7/10)))),0))*1000,0)</f>
        <v>0</v>
      </c>
      <c r="AU69" s="120">
        <f>IF(AND(V69="OK",ISNUMBER($N$5),$N$5&gt;0,ISNUMBER($N$3),$N$3&gt;0),R69/(6*$N$3*1000000*$N$5)*(IF(N69&lt;($N$4*8/10),($N$4*8/10)*(MIN(O69,($N$4*8/10))^3-N69^3)-(MIN(O69,($N$4*8/10))^4-N69^4)/4,0)+IF(O69&gt;($N$4*8/10),($N$4*8/10)^2*(1.5*(O69^2-MAX(N69,($N$4*8/10))^2)-($N$4*8/10)*(O69-MAX(N69,($N$4*8/10)))),0))*1000,0)</f>
        <v>0</v>
      </c>
      <c r="AV69" s="120">
        <f>IF(AND(V69="OK",ISNUMBER($N$5),$N$5&gt;0,ISNUMBER($N$3),$N$3&gt;0),R69/(6*$N$3*1000000*$N$5)*(IF(N69&lt;($N$4*9/10),($N$4*9/10)*(MIN(O69,($N$4*9/10))^3-N69^3)-(MIN(O69,($N$4*9/10))^4-N69^4)/4,0)+IF(O69&gt;($N$4*9/10),($N$4*9/10)^2*(1.5*(O69^2-MAX(N69,($N$4*9/10))^2)-($N$4*9/10)*(O69-MAX(N69,($N$4*9/10)))),0))*1000,0)</f>
        <v>0</v>
      </c>
      <c r="AW69" s="120">
        <f>IF(AND(V69="OK",ISNUMBER($N$5),$N$5&gt;0,ISNUMBER($N$3),$N$3&gt;0),R69/(6*$N$3*1000000*$N$5)*(IF(N69&lt;($N$4*10/10),($N$4*10/10)*(MIN(O69,($N$4*10/10))^3-N69^3)-(MIN(O69,($N$4*10/10))^4-N69^4)/4,0)+IF(O69&gt;($N$4*10/10),($N$4*10/10)^2*(1.5*(O69^2-MAX(N69,($N$4*10/10))^2)-($N$4*10/10)*(O69-MAX(N69,($N$4*10/10)))),0))*1000,0)</f>
        <v>0</v>
      </c>
    </row>
    <row r="70" spans="1:49">
      <c r="A70" s="124"/>
      <c r="B70" s="125"/>
      <c r="C70" s="125"/>
      <c r="D70" s="125"/>
      <c r="E70" s="125"/>
      <c r="F70" s="126" t="str">
        <f>IF(J70="OK",D70*E70,"")</f>
        <v/>
      </c>
      <c r="G70" s="126" t="str">
        <f>IF(J70="OK",F70*(C70-B70),"")</f>
        <v/>
      </c>
      <c r="H70" s="126" t="str">
        <f>IF(J70="OK",G70*(C70+B70)/2,"")</f>
        <v/>
      </c>
      <c r="I70" s="126" t="str">
        <f>IF(AND(J70="OK",ISNUMBER($B$5),$B$5&gt;0,ISNUMBER($B$3),$B$3&gt;0),F70*(4*$B$4*(C70^3-B70^3)-(C70^4-B70^4))/(24*$B$3*1000000*$B$5)*1000,"")</f>
        <v/>
      </c>
      <c r="J70" s="120" t="str">
        <f>IF(COUNTA(A70:E70)=0,"",IF(AND(COUNT(B70:E70)=4,B70&gt;=0,C70&gt;B70,C70&lt;=$B$4,D70&gt;=0,E70&gt;0),IF(COUNTIFS($B$13:$B$69,"&lt;"&amp;C70,$C$13:$C$69,"&gt;"&amp;B70)&gt;0,"OVERLAP","OK"),"CHECK INPUTS"))</f>
        <v/>
      </c>
      <c r="M70" s="124"/>
      <c r="N70" s="125"/>
      <c r="O70" s="125"/>
      <c r="P70" s="125"/>
      <c r="Q70" s="125"/>
      <c r="R70" s="126" t="str">
        <f>IF(V70="OK",P70*Q70,"")</f>
        <v/>
      </c>
      <c r="S70" s="126" t="str">
        <f>IF(V70="OK",R70*(O70-N70),"")</f>
        <v/>
      </c>
      <c r="T70" s="126" t="str">
        <f>IF(V70="OK",S70*(O70+N70)/2,"")</f>
        <v/>
      </c>
      <c r="U70" s="126" t="str">
        <f>IF(AND(V70="OK",ISNUMBER($N$5),$N$5&gt;0,ISNUMBER($N$3),$N$3&gt;0),R70*(4*$N$4*(O70^3-N70^3)-(O70^4-N70^4))/(24*$N$3*1000000*$N$5)*1000,"")</f>
        <v/>
      </c>
      <c r="V70" s="120" t="str">
        <f>IF(COUNTA(M70:Q70)=0,"",IF(AND(COUNT(N70:Q70)=4,N70&gt;=0,O70&gt;N70,O70&lt;=$N$4,P70&gt;=0,Q70&gt;0),IF(COUNTIFS($N$13:$N$69,"&lt;"&amp;O70,$O$13:$O$69,"&gt;"&amp;N70)&gt;0,"OVERLAP","OK"),"CHECK INPUTS"))</f>
        <v/>
      </c>
      <c r="AA70" s="120">
        <f>IF(AND(J70="OK",ISNUMBER($B$5),$B$5&gt;0,ISNUMBER($B$3),$B$3&gt;0),F70/(6*$B$3*1000000*$B$5)*(IF(B70&lt;($B$4*0/10),($B$4*0/10)*(MIN(C70,($B$4*0/10))^3-B70^3)-(MIN(C70,($B$4*0/10))^4-B70^4)/4,0)+IF(C70&gt;($B$4*0/10),($B$4*0/10)^2*(1.5*(C70^2-MAX(B70,($B$4*0/10))^2)-($B$4*0/10)*(C70-MAX(B70,($B$4*0/10)))),0))*1000,0)</f>
        <v>0</v>
      </c>
      <c r="AB70" s="120">
        <f>IF(AND(J70="OK",ISNUMBER($B$5),$B$5&gt;0,ISNUMBER($B$3),$B$3&gt;0),F70/(6*$B$3*1000000*$B$5)*(IF(B70&lt;($B$4*1/10),($B$4*1/10)*(MIN(C70,($B$4*1/10))^3-B70^3)-(MIN(C70,($B$4*1/10))^4-B70^4)/4,0)+IF(C70&gt;($B$4*1/10),($B$4*1/10)^2*(1.5*(C70^2-MAX(B70,($B$4*1/10))^2)-($B$4*1/10)*(C70-MAX(B70,($B$4*1/10)))),0))*1000,0)</f>
        <v>0</v>
      </c>
      <c r="AC70" s="120">
        <f>IF(AND(J70="OK",ISNUMBER($B$5),$B$5&gt;0,ISNUMBER($B$3),$B$3&gt;0),F70/(6*$B$3*1000000*$B$5)*(IF(B70&lt;($B$4*2/10),($B$4*2/10)*(MIN(C70,($B$4*2/10))^3-B70^3)-(MIN(C70,($B$4*2/10))^4-B70^4)/4,0)+IF(C70&gt;($B$4*2/10),($B$4*2/10)^2*(1.5*(C70^2-MAX(B70,($B$4*2/10))^2)-($B$4*2/10)*(C70-MAX(B70,($B$4*2/10)))),0))*1000,0)</f>
        <v>0</v>
      </c>
      <c r="AD70" s="120">
        <f>IF(AND(J70="OK",ISNUMBER($B$5),$B$5&gt;0,ISNUMBER($B$3),$B$3&gt;0),F70/(6*$B$3*1000000*$B$5)*(IF(B70&lt;($B$4*3/10),($B$4*3/10)*(MIN(C70,($B$4*3/10))^3-B70^3)-(MIN(C70,($B$4*3/10))^4-B70^4)/4,0)+IF(C70&gt;($B$4*3/10),($B$4*3/10)^2*(1.5*(C70^2-MAX(B70,($B$4*3/10))^2)-($B$4*3/10)*(C70-MAX(B70,($B$4*3/10)))),0))*1000,0)</f>
        <v>0</v>
      </c>
      <c r="AE70" s="120">
        <f>IF(AND(J70="OK",ISNUMBER($B$5),$B$5&gt;0,ISNUMBER($B$3),$B$3&gt;0),F70/(6*$B$3*1000000*$B$5)*(IF(B70&lt;($B$4*4/10),($B$4*4/10)*(MIN(C70,($B$4*4/10))^3-B70^3)-(MIN(C70,($B$4*4/10))^4-B70^4)/4,0)+IF(C70&gt;($B$4*4/10),($B$4*4/10)^2*(1.5*(C70^2-MAX(B70,($B$4*4/10))^2)-($B$4*4/10)*(C70-MAX(B70,($B$4*4/10)))),0))*1000,0)</f>
        <v>0</v>
      </c>
      <c r="AF70" s="120">
        <f>IF(AND(J70="OK",ISNUMBER($B$5),$B$5&gt;0,ISNUMBER($B$3),$B$3&gt;0),F70/(6*$B$3*1000000*$B$5)*(IF(B70&lt;($B$4*5/10),($B$4*5/10)*(MIN(C70,($B$4*5/10))^3-B70^3)-(MIN(C70,($B$4*5/10))^4-B70^4)/4,0)+IF(C70&gt;($B$4*5/10),($B$4*5/10)^2*(1.5*(C70^2-MAX(B70,($B$4*5/10))^2)-($B$4*5/10)*(C70-MAX(B70,($B$4*5/10)))),0))*1000,0)</f>
        <v>0</v>
      </c>
      <c r="AG70" s="120">
        <f>IF(AND(J70="OK",ISNUMBER($B$5),$B$5&gt;0,ISNUMBER($B$3),$B$3&gt;0),F70/(6*$B$3*1000000*$B$5)*(IF(B70&lt;($B$4*6/10),($B$4*6/10)*(MIN(C70,($B$4*6/10))^3-B70^3)-(MIN(C70,($B$4*6/10))^4-B70^4)/4,0)+IF(C70&gt;($B$4*6/10),($B$4*6/10)^2*(1.5*(C70^2-MAX(B70,($B$4*6/10))^2)-($B$4*6/10)*(C70-MAX(B70,($B$4*6/10)))),0))*1000,0)</f>
        <v>0</v>
      </c>
      <c r="AH70" s="120">
        <f>IF(AND(J70="OK",ISNUMBER($B$5),$B$5&gt;0,ISNUMBER($B$3),$B$3&gt;0),F70/(6*$B$3*1000000*$B$5)*(IF(B70&lt;($B$4*7/10),($B$4*7/10)*(MIN(C70,($B$4*7/10))^3-B70^3)-(MIN(C70,($B$4*7/10))^4-B70^4)/4,0)+IF(C70&gt;($B$4*7/10),($B$4*7/10)^2*(1.5*(C70^2-MAX(B70,($B$4*7/10))^2)-($B$4*7/10)*(C70-MAX(B70,($B$4*7/10)))),0))*1000,0)</f>
        <v>0</v>
      </c>
      <c r="AI70" s="120">
        <f>IF(AND(J70="OK",ISNUMBER($B$5),$B$5&gt;0,ISNUMBER($B$3),$B$3&gt;0),F70/(6*$B$3*1000000*$B$5)*(IF(B70&lt;($B$4*8/10),($B$4*8/10)*(MIN(C70,($B$4*8/10))^3-B70^3)-(MIN(C70,($B$4*8/10))^4-B70^4)/4,0)+IF(C70&gt;($B$4*8/10),($B$4*8/10)^2*(1.5*(C70^2-MAX(B70,($B$4*8/10))^2)-($B$4*8/10)*(C70-MAX(B70,($B$4*8/10)))),0))*1000,0)</f>
        <v>0</v>
      </c>
      <c r="AJ70" s="120">
        <f>IF(AND(J70="OK",ISNUMBER($B$5),$B$5&gt;0,ISNUMBER($B$3),$B$3&gt;0),F70/(6*$B$3*1000000*$B$5)*(IF(B70&lt;($B$4*9/10),($B$4*9/10)*(MIN(C70,($B$4*9/10))^3-B70^3)-(MIN(C70,($B$4*9/10))^4-B70^4)/4,0)+IF(C70&gt;($B$4*9/10),($B$4*9/10)^2*(1.5*(C70^2-MAX(B70,($B$4*9/10))^2)-($B$4*9/10)*(C70-MAX(B70,($B$4*9/10)))),0))*1000,0)</f>
        <v>0</v>
      </c>
      <c r="AK70" s="120">
        <f>IF(AND(J70="OK",ISNUMBER($B$5),$B$5&gt;0,ISNUMBER($B$3),$B$3&gt;0),F70/(6*$B$3*1000000*$B$5)*(IF(B70&lt;($B$4*10/10),($B$4*10/10)*(MIN(C70,($B$4*10/10))^3-B70^3)-(MIN(C70,($B$4*10/10))^4-B70^4)/4,0)+IF(C70&gt;($B$4*10/10),($B$4*10/10)^2*(1.5*(C70^2-MAX(B70,($B$4*10/10))^2)-($B$4*10/10)*(C70-MAX(B70,($B$4*10/10)))),0))*1000,0)</f>
        <v>0</v>
      </c>
      <c r="AM70" s="120">
        <f>IF(AND(V70="OK",ISNUMBER($N$5),$N$5&gt;0,ISNUMBER($N$3),$N$3&gt;0),R70/(6*$N$3*1000000*$N$5)*(IF(N70&lt;($N$4*0/10),($N$4*0/10)*(MIN(O70,($N$4*0/10))^3-N70^3)-(MIN(O70,($N$4*0/10))^4-N70^4)/4,0)+IF(O70&gt;($N$4*0/10),($N$4*0/10)^2*(1.5*(O70^2-MAX(N70,($N$4*0/10))^2)-($N$4*0/10)*(O70-MAX(N70,($N$4*0/10)))),0))*1000,0)</f>
        <v>0</v>
      </c>
      <c r="AN70" s="120">
        <f>IF(AND(V70="OK",ISNUMBER($N$5),$N$5&gt;0,ISNUMBER($N$3),$N$3&gt;0),R70/(6*$N$3*1000000*$N$5)*(IF(N70&lt;($N$4*1/10),($N$4*1/10)*(MIN(O70,($N$4*1/10))^3-N70^3)-(MIN(O70,($N$4*1/10))^4-N70^4)/4,0)+IF(O70&gt;($N$4*1/10),($N$4*1/10)^2*(1.5*(O70^2-MAX(N70,($N$4*1/10))^2)-($N$4*1/10)*(O70-MAX(N70,($N$4*1/10)))),0))*1000,0)</f>
        <v>0</v>
      </c>
      <c r="AO70" s="120">
        <f>IF(AND(V70="OK",ISNUMBER($N$5),$N$5&gt;0,ISNUMBER($N$3),$N$3&gt;0),R70/(6*$N$3*1000000*$N$5)*(IF(N70&lt;($N$4*2/10),($N$4*2/10)*(MIN(O70,($N$4*2/10))^3-N70^3)-(MIN(O70,($N$4*2/10))^4-N70^4)/4,0)+IF(O70&gt;($N$4*2/10),($N$4*2/10)^2*(1.5*(O70^2-MAX(N70,($N$4*2/10))^2)-($N$4*2/10)*(O70-MAX(N70,($N$4*2/10)))),0))*1000,0)</f>
        <v>0</v>
      </c>
      <c r="AP70" s="120">
        <f>IF(AND(V70="OK",ISNUMBER($N$5),$N$5&gt;0,ISNUMBER($N$3),$N$3&gt;0),R70/(6*$N$3*1000000*$N$5)*(IF(N70&lt;($N$4*3/10),($N$4*3/10)*(MIN(O70,($N$4*3/10))^3-N70^3)-(MIN(O70,($N$4*3/10))^4-N70^4)/4,0)+IF(O70&gt;($N$4*3/10),($N$4*3/10)^2*(1.5*(O70^2-MAX(N70,($N$4*3/10))^2)-($N$4*3/10)*(O70-MAX(N70,($N$4*3/10)))),0))*1000,0)</f>
        <v>0</v>
      </c>
      <c r="AQ70" s="120">
        <f>IF(AND(V70="OK",ISNUMBER($N$5),$N$5&gt;0,ISNUMBER($N$3),$N$3&gt;0),R70/(6*$N$3*1000000*$N$5)*(IF(N70&lt;($N$4*4/10),($N$4*4/10)*(MIN(O70,($N$4*4/10))^3-N70^3)-(MIN(O70,($N$4*4/10))^4-N70^4)/4,0)+IF(O70&gt;($N$4*4/10),($N$4*4/10)^2*(1.5*(O70^2-MAX(N70,($N$4*4/10))^2)-($N$4*4/10)*(O70-MAX(N70,($N$4*4/10)))),0))*1000,0)</f>
        <v>0</v>
      </c>
      <c r="AR70" s="120">
        <f>IF(AND(V70="OK",ISNUMBER($N$5),$N$5&gt;0,ISNUMBER($N$3),$N$3&gt;0),R70/(6*$N$3*1000000*$N$5)*(IF(N70&lt;($N$4*5/10),($N$4*5/10)*(MIN(O70,($N$4*5/10))^3-N70^3)-(MIN(O70,($N$4*5/10))^4-N70^4)/4,0)+IF(O70&gt;($N$4*5/10),($N$4*5/10)^2*(1.5*(O70^2-MAX(N70,($N$4*5/10))^2)-($N$4*5/10)*(O70-MAX(N70,($N$4*5/10)))),0))*1000,0)</f>
        <v>0</v>
      </c>
      <c r="AS70" s="120">
        <f>IF(AND(V70="OK",ISNUMBER($N$5),$N$5&gt;0,ISNUMBER($N$3),$N$3&gt;0),R70/(6*$N$3*1000000*$N$5)*(IF(N70&lt;($N$4*6/10),($N$4*6/10)*(MIN(O70,($N$4*6/10))^3-N70^3)-(MIN(O70,($N$4*6/10))^4-N70^4)/4,0)+IF(O70&gt;($N$4*6/10),($N$4*6/10)^2*(1.5*(O70^2-MAX(N70,($N$4*6/10))^2)-($N$4*6/10)*(O70-MAX(N70,($N$4*6/10)))),0))*1000,0)</f>
        <v>0</v>
      </c>
      <c r="AT70" s="120">
        <f>IF(AND(V70="OK",ISNUMBER($N$5),$N$5&gt;0,ISNUMBER($N$3),$N$3&gt;0),R70/(6*$N$3*1000000*$N$5)*(IF(N70&lt;($N$4*7/10),($N$4*7/10)*(MIN(O70,($N$4*7/10))^3-N70^3)-(MIN(O70,($N$4*7/10))^4-N70^4)/4,0)+IF(O70&gt;($N$4*7/10),($N$4*7/10)^2*(1.5*(O70^2-MAX(N70,($N$4*7/10))^2)-($N$4*7/10)*(O70-MAX(N70,($N$4*7/10)))),0))*1000,0)</f>
        <v>0</v>
      </c>
      <c r="AU70" s="120">
        <f>IF(AND(V70="OK",ISNUMBER($N$5),$N$5&gt;0,ISNUMBER($N$3),$N$3&gt;0),R70/(6*$N$3*1000000*$N$5)*(IF(N70&lt;($N$4*8/10),($N$4*8/10)*(MIN(O70,($N$4*8/10))^3-N70^3)-(MIN(O70,($N$4*8/10))^4-N70^4)/4,0)+IF(O70&gt;($N$4*8/10),($N$4*8/10)^2*(1.5*(O70^2-MAX(N70,($N$4*8/10))^2)-($N$4*8/10)*(O70-MAX(N70,($N$4*8/10)))),0))*1000,0)</f>
        <v>0</v>
      </c>
      <c r="AV70" s="120">
        <f>IF(AND(V70="OK",ISNUMBER($N$5),$N$5&gt;0,ISNUMBER($N$3),$N$3&gt;0),R70/(6*$N$3*1000000*$N$5)*(IF(N70&lt;($N$4*9/10),($N$4*9/10)*(MIN(O70,($N$4*9/10))^3-N70^3)-(MIN(O70,($N$4*9/10))^4-N70^4)/4,0)+IF(O70&gt;($N$4*9/10),($N$4*9/10)^2*(1.5*(O70^2-MAX(N70,($N$4*9/10))^2)-($N$4*9/10)*(O70-MAX(N70,($N$4*9/10)))),0))*1000,0)</f>
        <v>0</v>
      </c>
      <c r="AW70" s="120">
        <f>IF(AND(V70="OK",ISNUMBER($N$5),$N$5&gt;0,ISNUMBER($N$3),$N$3&gt;0),R70/(6*$N$3*1000000*$N$5)*(IF(N70&lt;($N$4*10/10),($N$4*10/10)*(MIN(O70,($N$4*10/10))^3-N70^3)-(MIN(O70,($N$4*10/10))^4-N70^4)/4,0)+IF(O70&gt;($N$4*10/10),($N$4*10/10)^2*(1.5*(O70^2-MAX(N70,($N$4*10/10))^2)-($N$4*10/10)*(O70-MAX(N70,($N$4*10/10)))),0))*1000,0)</f>
        <v>0</v>
      </c>
    </row>
    <row r="71" spans="1:49">
      <c r="A71" s="124"/>
      <c r="B71" s="125"/>
      <c r="C71" s="125"/>
      <c r="D71" s="125"/>
      <c r="E71" s="125"/>
      <c r="F71" s="126" t="str">
        <f>IF(J71="OK",D71*E71,"")</f>
        <v/>
      </c>
      <c r="G71" s="126" t="str">
        <f>IF(J71="OK",F71*(C71-B71),"")</f>
        <v/>
      </c>
      <c r="H71" s="126" t="str">
        <f>IF(J71="OK",G71*(C71+B71)/2,"")</f>
        <v/>
      </c>
      <c r="I71" s="126" t="str">
        <f>IF(AND(J71="OK",ISNUMBER($B$5),$B$5&gt;0,ISNUMBER($B$3),$B$3&gt;0),F71*(4*$B$4*(C71^3-B71^3)-(C71^4-B71^4))/(24*$B$3*1000000*$B$5)*1000,"")</f>
        <v/>
      </c>
      <c r="J71" s="120" t="str">
        <f>IF(COUNTA(A71:E71)=0,"",IF(AND(COUNT(B71:E71)=4,B71&gt;=0,C71&gt;B71,C71&lt;=$B$4,D71&gt;=0,E71&gt;0),IF(COUNTIFS($B$13:$B$70,"&lt;"&amp;C71,$C$13:$C$70,"&gt;"&amp;B71)&gt;0,"OVERLAP","OK"),"CHECK INPUTS"))</f>
        <v/>
      </c>
      <c r="M71" s="124"/>
      <c r="N71" s="125"/>
      <c r="O71" s="125"/>
      <c r="P71" s="125"/>
      <c r="Q71" s="125"/>
      <c r="R71" s="126" t="str">
        <f>IF(V71="OK",P71*Q71,"")</f>
        <v/>
      </c>
      <c r="S71" s="126" t="str">
        <f>IF(V71="OK",R71*(O71-N71),"")</f>
        <v/>
      </c>
      <c r="T71" s="126" t="str">
        <f>IF(V71="OK",S71*(O71+N71)/2,"")</f>
        <v/>
      </c>
      <c r="U71" s="126" t="str">
        <f>IF(AND(V71="OK",ISNUMBER($N$5),$N$5&gt;0,ISNUMBER($N$3),$N$3&gt;0),R71*(4*$N$4*(O71^3-N71^3)-(O71^4-N71^4))/(24*$N$3*1000000*$N$5)*1000,"")</f>
        <v/>
      </c>
      <c r="V71" s="120" t="str">
        <f>IF(COUNTA(M71:Q71)=0,"",IF(AND(COUNT(N71:Q71)=4,N71&gt;=0,O71&gt;N71,O71&lt;=$N$4,P71&gt;=0,Q71&gt;0),IF(COUNTIFS($N$13:$N$70,"&lt;"&amp;O71,$O$13:$O$70,"&gt;"&amp;N71)&gt;0,"OVERLAP","OK"),"CHECK INPUTS"))</f>
        <v/>
      </c>
      <c r="AA71" s="120">
        <f>IF(AND(J71="OK",ISNUMBER($B$5),$B$5&gt;0,ISNUMBER($B$3),$B$3&gt;0),F71/(6*$B$3*1000000*$B$5)*(IF(B71&lt;($B$4*0/10),($B$4*0/10)*(MIN(C71,($B$4*0/10))^3-B71^3)-(MIN(C71,($B$4*0/10))^4-B71^4)/4,0)+IF(C71&gt;($B$4*0/10),($B$4*0/10)^2*(1.5*(C71^2-MAX(B71,($B$4*0/10))^2)-($B$4*0/10)*(C71-MAX(B71,($B$4*0/10)))),0))*1000,0)</f>
        <v>0</v>
      </c>
      <c r="AB71" s="120">
        <f>IF(AND(J71="OK",ISNUMBER($B$5),$B$5&gt;0,ISNUMBER($B$3),$B$3&gt;0),F71/(6*$B$3*1000000*$B$5)*(IF(B71&lt;($B$4*1/10),($B$4*1/10)*(MIN(C71,($B$4*1/10))^3-B71^3)-(MIN(C71,($B$4*1/10))^4-B71^4)/4,0)+IF(C71&gt;($B$4*1/10),($B$4*1/10)^2*(1.5*(C71^2-MAX(B71,($B$4*1/10))^2)-($B$4*1/10)*(C71-MAX(B71,($B$4*1/10)))),0))*1000,0)</f>
        <v>0</v>
      </c>
      <c r="AC71" s="120">
        <f>IF(AND(J71="OK",ISNUMBER($B$5),$B$5&gt;0,ISNUMBER($B$3),$B$3&gt;0),F71/(6*$B$3*1000000*$B$5)*(IF(B71&lt;($B$4*2/10),($B$4*2/10)*(MIN(C71,($B$4*2/10))^3-B71^3)-(MIN(C71,($B$4*2/10))^4-B71^4)/4,0)+IF(C71&gt;($B$4*2/10),($B$4*2/10)^2*(1.5*(C71^2-MAX(B71,($B$4*2/10))^2)-($B$4*2/10)*(C71-MAX(B71,($B$4*2/10)))),0))*1000,0)</f>
        <v>0</v>
      </c>
      <c r="AD71" s="120">
        <f>IF(AND(J71="OK",ISNUMBER($B$5),$B$5&gt;0,ISNUMBER($B$3),$B$3&gt;0),F71/(6*$B$3*1000000*$B$5)*(IF(B71&lt;($B$4*3/10),($B$4*3/10)*(MIN(C71,($B$4*3/10))^3-B71^3)-(MIN(C71,($B$4*3/10))^4-B71^4)/4,0)+IF(C71&gt;($B$4*3/10),($B$4*3/10)^2*(1.5*(C71^2-MAX(B71,($B$4*3/10))^2)-($B$4*3/10)*(C71-MAX(B71,($B$4*3/10)))),0))*1000,0)</f>
        <v>0</v>
      </c>
      <c r="AE71" s="120">
        <f>IF(AND(J71="OK",ISNUMBER($B$5),$B$5&gt;0,ISNUMBER($B$3),$B$3&gt;0),F71/(6*$B$3*1000000*$B$5)*(IF(B71&lt;($B$4*4/10),($B$4*4/10)*(MIN(C71,($B$4*4/10))^3-B71^3)-(MIN(C71,($B$4*4/10))^4-B71^4)/4,0)+IF(C71&gt;($B$4*4/10),($B$4*4/10)^2*(1.5*(C71^2-MAX(B71,($B$4*4/10))^2)-($B$4*4/10)*(C71-MAX(B71,($B$4*4/10)))),0))*1000,0)</f>
        <v>0</v>
      </c>
      <c r="AF71" s="120">
        <f>IF(AND(J71="OK",ISNUMBER($B$5),$B$5&gt;0,ISNUMBER($B$3),$B$3&gt;0),F71/(6*$B$3*1000000*$B$5)*(IF(B71&lt;($B$4*5/10),($B$4*5/10)*(MIN(C71,($B$4*5/10))^3-B71^3)-(MIN(C71,($B$4*5/10))^4-B71^4)/4,0)+IF(C71&gt;($B$4*5/10),($B$4*5/10)^2*(1.5*(C71^2-MAX(B71,($B$4*5/10))^2)-($B$4*5/10)*(C71-MAX(B71,($B$4*5/10)))),0))*1000,0)</f>
        <v>0</v>
      </c>
      <c r="AG71" s="120">
        <f>IF(AND(J71="OK",ISNUMBER($B$5),$B$5&gt;0,ISNUMBER($B$3),$B$3&gt;0),F71/(6*$B$3*1000000*$B$5)*(IF(B71&lt;($B$4*6/10),($B$4*6/10)*(MIN(C71,($B$4*6/10))^3-B71^3)-(MIN(C71,($B$4*6/10))^4-B71^4)/4,0)+IF(C71&gt;($B$4*6/10),($B$4*6/10)^2*(1.5*(C71^2-MAX(B71,($B$4*6/10))^2)-($B$4*6/10)*(C71-MAX(B71,($B$4*6/10)))),0))*1000,0)</f>
        <v>0</v>
      </c>
      <c r="AH71" s="120">
        <f>IF(AND(J71="OK",ISNUMBER($B$5),$B$5&gt;0,ISNUMBER($B$3),$B$3&gt;0),F71/(6*$B$3*1000000*$B$5)*(IF(B71&lt;($B$4*7/10),($B$4*7/10)*(MIN(C71,($B$4*7/10))^3-B71^3)-(MIN(C71,($B$4*7/10))^4-B71^4)/4,0)+IF(C71&gt;($B$4*7/10),($B$4*7/10)^2*(1.5*(C71^2-MAX(B71,($B$4*7/10))^2)-($B$4*7/10)*(C71-MAX(B71,($B$4*7/10)))),0))*1000,0)</f>
        <v>0</v>
      </c>
      <c r="AI71" s="120">
        <f>IF(AND(J71="OK",ISNUMBER($B$5),$B$5&gt;0,ISNUMBER($B$3),$B$3&gt;0),F71/(6*$B$3*1000000*$B$5)*(IF(B71&lt;($B$4*8/10),($B$4*8/10)*(MIN(C71,($B$4*8/10))^3-B71^3)-(MIN(C71,($B$4*8/10))^4-B71^4)/4,0)+IF(C71&gt;($B$4*8/10),($B$4*8/10)^2*(1.5*(C71^2-MAX(B71,($B$4*8/10))^2)-($B$4*8/10)*(C71-MAX(B71,($B$4*8/10)))),0))*1000,0)</f>
        <v>0</v>
      </c>
      <c r="AJ71" s="120">
        <f>IF(AND(J71="OK",ISNUMBER($B$5),$B$5&gt;0,ISNUMBER($B$3),$B$3&gt;0),F71/(6*$B$3*1000000*$B$5)*(IF(B71&lt;($B$4*9/10),($B$4*9/10)*(MIN(C71,($B$4*9/10))^3-B71^3)-(MIN(C71,($B$4*9/10))^4-B71^4)/4,0)+IF(C71&gt;($B$4*9/10),($B$4*9/10)^2*(1.5*(C71^2-MAX(B71,($B$4*9/10))^2)-($B$4*9/10)*(C71-MAX(B71,($B$4*9/10)))),0))*1000,0)</f>
        <v>0</v>
      </c>
      <c r="AK71" s="120">
        <f>IF(AND(J71="OK",ISNUMBER($B$5),$B$5&gt;0,ISNUMBER($B$3),$B$3&gt;0),F71/(6*$B$3*1000000*$B$5)*(IF(B71&lt;($B$4*10/10),($B$4*10/10)*(MIN(C71,($B$4*10/10))^3-B71^3)-(MIN(C71,($B$4*10/10))^4-B71^4)/4,0)+IF(C71&gt;($B$4*10/10),($B$4*10/10)^2*(1.5*(C71^2-MAX(B71,($B$4*10/10))^2)-($B$4*10/10)*(C71-MAX(B71,($B$4*10/10)))),0))*1000,0)</f>
        <v>0</v>
      </c>
      <c r="AM71" s="120">
        <f>IF(AND(V71="OK",ISNUMBER($N$5),$N$5&gt;0,ISNUMBER($N$3),$N$3&gt;0),R71/(6*$N$3*1000000*$N$5)*(IF(N71&lt;($N$4*0/10),($N$4*0/10)*(MIN(O71,($N$4*0/10))^3-N71^3)-(MIN(O71,($N$4*0/10))^4-N71^4)/4,0)+IF(O71&gt;($N$4*0/10),($N$4*0/10)^2*(1.5*(O71^2-MAX(N71,($N$4*0/10))^2)-($N$4*0/10)*(O71-MAX(N71,($N$4*0/10)))),0))*1000,0)</f>
        <v>0</v>
      </c>
      <c r="AN71" s="120">
        <f>IF(AND(V71="OK",ISNUMBER($N$5),$N$5&gt;0,ISNUMBER($N$3),$N$3&gt;0),R71/(6*$N$3*1000000*$N$5)*(IF(N71&lt;($N$4*1/10),($N$4*1/10)*(MIN(O71,($N$4*1/10))^3-N71^3)-(MIN(O71,($N$4*1/10))^4-N71^4)/4,0)+IF(O71&gt;($N$4*1/10),($N$4*1/10)^2*(1.5*(O71^2-MAX(N71,($N$4*1/10))^2)-($N$4*1/10)*(O71-MAX(N71,($N$4*1/10)))),0))*1000,0)</f>
        <v>0</v>
      </c>
      <c r="AO71" s="120">
        <f>IF(AND(V71="OK",ISNUMBER($N$5),$N$5&gt;0,ISNUMBER($N$3),$N$3&gt;0),R71/(6*$N$3*1000000*$N$5)*(IF(N71&lt;($N$4*2/10),($N$4*2/10)*(MIN(O71,($N$4*2/10))^3-N71^3)-(MIN(O71,($N$4*2/10))^4-N71^4)/4,0)+IF(O71&gt;($N$4*2/10),($N$4*2/10)^2*(1.5*(O71^2-MAX(N71,($N$4*2/10))^2)-($N$4*2/10)*(O71-MAX(N71,($N$4*2/10)))),0))*1000,0)</f>
        <v>0</v>
      </c>
      <c r="AP71" s="120">
        <f>IF(AND(V71="OK",ISNUMBER($N$5),$N$5&gt;0,ISNUMBER($N$3),$N$3&gt;0),R71/(6*$N$3*1000000*$N$5)*(IF(N71&lt;($N$4*3/10),($N$4*3/10)*(MIN(O71,($N$4*3/10))^3-N71^3)-(MIN(O71,($N$4*3/10))^4-N71^4)/4,0)+IF(O71&gt;($N$4*3/10),($N$4*3/10)^2*(1.5*(O71^2-MAX(N71,($N$4*3/10))^2)-($N$4*3/10)*(O71-MAX(N71,($N$4*3/10)))),0))*1000,0)</f>
        <v>0</v>
      </c>
      <c r="AQ71" s="120">
        <f>IF(AND(V71="OK",ISNUMBER($N$5),$N$5&gt;0,ISNUMBER($N$3),$N$3&gt;0),R71/(6*$N$3*1000000*$N$5)*(IF(N71&lt;($N$4*4/10),($N$4*4/10)*(MIN(O71,($N$4*4/10))^3-N71^3)-(MIN(O71,($N$4*4/10))^4-N71^4)/4,0)+IF(O71&gt;($N$4*4/10),($N$4*4/10)^2*(1.5*(O71^2-MAX(N71,($N$4*4/10))^2)-($N$4*4/10)*(O71-MAX(N71,($N$4*4/10)))),0))*1000,0)</f>
        <v>0</v>
      </c>
      <c r="AR71" s="120">
        <f>IF(AND(V71="OK",ISNUMBER($N$5),$N$5&gt;0,ISNUMBER($N$3),$N$3&gt;0),R71/(6*$N$3*1000000*$N$5)*(IF(N71&lt;($N$4*5/10),($N$4*5/10)*(MIN(O71,($N$4*5/10))^3-N71^3)-(MIN(O71,($N$4*5/10))^4-N71^4)/4,0)+IF(O71&gt;($N$4*5/10),($N$4*5/10)^2*(1.5*(O71^2-MAX(N71,($N$4*5/10))^2)-($N$4*5/10)*(O71-MAX(N71,($N$4*5/10)))),0))*1000,0)</f>
        <v>0</v>
      </c>
      <c r="AS71" s="120">
        <f>IF(AND(V71="OK",ISNUMBER($N$5),$N$5&gt;0,ISNUMBER($N$3),$N$3&gt;0),R71/(6*$N$3*1000000*$N$5)*(IF(N71&lt;($N$4*6/10),($N$4*6/10)*(MIN(O71,($N$4*6/10))^3-N71^3)-(MIN(O71,($N$4*6/10))^4-N71^4)/4,0)+IF(O71&gt;($N$4*6/10),($N$4*6/10)^2*(1.5*(O71^2-MAX(N71,($N$4*6/10))^2)-($N$4*6/10)*(O71-MAX(N71,($N$4*6/10)))),0))*1000,0)</f>
        <v>0</v>
      </c>
      <c r="AT71" s="120">
        <f>IF(AND(V71="OK",ISNUMBER($N$5),$N$5&gt;0,ISNUMBER($N$3),$N$3&gt;0),R71/(6*$N$3*1000000*$N$5)*(IF(N71&lt;($N$4*7/10),($N$4*7/10)*(MIN(O71,($N$4*7/10))^3-N71^3)-(MIN(O71,($N$4*7/10))^4-N71^4)/4,0)+IF(O71&gt;($N$4*7/10),($N$4*7/10)^2*(1.5*(O71^2-MAX(N71,($N$4*7/10))^2)-($N$4*7/10)*(O71-MAX(N71,($N$4*7/10)))),0))*1000,0)</f>
        <v>0</v>
      </c>
      <c r="AU71" s="120">
        <f>IF(AND(V71="OK",ISNUMBER($N$5),$N$5&gt;0,ISNUMBER($N$3),$N$3&gt;0),R71/(6*$N$3*1000000*$N$5)*(IF(N71&lt;($N$4*8/10),($N$4*8/10)*(MIN(O71,($N$4*8/10))^3-N71^3)-(MIN(O71,($N$4*8/10))^4-N71^4)/4,0)+IF(O71&gt;($N$4*8/10),($N$4*8/10)^2*(1.5*(O71^2-MAX(N71,($N$4*8/10))^2)-($N$4*8/10)*(O71-MAX(N71,($N$4*8/10)))),0))*1000,0)</f>
        <v>0</v>
      </c>
      <c r="AV71" s="120">
        <f>IF(AND(V71="OK",ISNUMBER($N$5),$N$5&gt;0,ISNUMBER($N$3),$N$3&gt;0),R71/(6*$N$3*1000000*$N$5)*(IF(N71&lt;($N$4*9/10),($N$4*9/10)*(MIN(O71,($N$4*9/10))^3-N71^3)-(MIN(O71,($N$4*9/10))^4-N71^4)/4,0)+IF(O71&gt;($N$4*9/10),($N$4*9/10)^2*(1.5*(O71^2-MAX(N71,($N$4*9/10))^2)-($N$4*9/10)*(O71-MAX(N71,($N$4*9/10)))),0))*1000,0)</f>
        <v>0</v>
      </c>
      <c r="AW71" s="120">
        <f>IF(AND(V71="OK",ISNUMBER($N$5),$N$5&gt;0,ISNUMBER($N$3),$N$3&gt;0),R71/(6*$N$3*1000000*$N$5)*(IF(N71&lt;($N$4*10/10),($N$4*10/10)*(MIN(O71,($N$4*10/10))^3-N71^3)-(MIN(O71,($N$4*10/10))^4-N71^4)/4,0)+IF(O71&gt;($N$4*10/10),($N$4*10/10)^2*(1.5*(O71^2-MAX(N71,($N$4*10/10))^2)-($N$4*10/10)*(O71-MAX(N71,($N$4*10/10)))),0))*1000,0)</f>
        <v>0</v>
      </c>
    </row>
    <row r="72" spans="1:49">
      <c r="A72" s="124"/>
      <c r="B72" s="125"/>
      <c r="C72" s="125"/>
      <c r="D72" s="125"/>
      <c r="E72" s="125"/>
      <c r="F72" s="126" t="str">
        <f>IF(J72="OK",D72*E72,"")</f>
        <v/>
      </c>
      <c r="G72" s="126" t="str">
        <f>IF(J72="OK",F72*(C72-B72),"")</f>
        <v/>
      </c>
      <c r="H72" s="126" t="str">
        <f>IF(J72="OK",G72*(C72+B72)/2,"")</f>
        <v/>
      </c>
      <c r="I72" s="126" t="str">
        <f>IF(AND(J72="OK",ISNUMBER($B$5),$B$5&gt;0,ISNUMBER($B$3),$B$3&gt;0),F72*(4*$B$4*(C72^3-B72^3)-(C72^4-B72^4))/(24*$B$3*1000000*$B$5)*1000,"")</f>
        <v/>
      </c>
      <c r="J72" s="120" t="str">
        <f>IF(COUNTA(A72:E72)=0,"",IF(AND(COUNT(B72:E72)=4,B72&gt;=0,C72&gt;B72,C72&lt;=$B$4,D72&gt;=0,E72&gt;0),IF(COUNTIFS($B$13:$B$71,"&lt;"&amp;C72,$C$13:$C$71,"&gt;"&amp;B72)&gt;0,"OVERLAP","OK"),"CHECK INPUTS"))</f>
        <v/>
      </c>
      <c r="M72" s="124"/>
      <c r="N72" s="125"/>
      <c r="O72" s="125"/>
      <c r="P72" s="125"/>
      <c r="Q72" s="125"/>
      <c r="R72" s="126" t="str">
        <f>IF(V72="OK",P72*Q72,"")</f>
        <v/>
      </c>
      <c r="S72" s="126" t="str">
        <f>IF(V72="OK",R72*(O72-N72),"")</f>
        <v/>
      </c>
      <c r="T72" s="126" t="str">
        <f>IF(V72="OK",S72*(O72+N72)/2,"")</f>
        <v/>
      </c>
      <c r="U72" s="126" t="str">
        <f>IF(AND(V72="OK",ISNUMBER($N$5),$N$5&gt;0,ISNUMBER($N$3),$N$3&gt;0),R72*(4*$N$4*(O72^3-N72^3)-(O72^4-N72^4))/(24*$N$3*1000000*$N$5)*1000,"")</f>
        <v/>
      </c>
      <c r="V72" s="120" t="str">
        <f>IF(COUNTA(M72:Q72)=0,"",IF(AND(COUNT(N72:Q72)=4,N72&gt;=0,O72&gt;N72,O72&lt;=$N$4,P72&gt;=0,Q72&gt;0),IF(COUNTIFS($N$13:$N$71,"&lt;"&amp;O72,$O$13:$O$71,"&gt;"&amp;N72)&gt;0,"OVERLAP","OK"),"CHECK INPUTS"))</f>
        <v/>
      </c>
      <c r="AA72" s="120">
        <f>IF(AND(J72="OK",ISNUMBER($B$5),$B$5&gt;0,ISNUMBER($B$3),$B$3&gt;0),F72/(6*$B$3*1000000*$B$5)*(IF(B72&lt;($B$4*0/10),($B$4*0/10)*(MIN(C72,($B$4*0/10))^3-B72^3)-(MIN(C72,($B$4*0/10))^4-B72^4)/4,0)+IF(C72&gt;($B$4*0/10),($B$4*0/10)^2*(1.5*(C72^2-MAX(B72,($B$4*0/10))^2)-($B$4*0/10)*(C72-MAX(B72,($B$4*0/10)))),0))*1000,0)</f>
        <v>0</v>
      </c>
      <c r="AB72" s="120">
        <f>IF(AND(J72="OK",ISNUMBER($B$5),$B$5&gt;0,ISNUMBER($B$3),$B$3&gt;0),F72/(6*$B$3*1000000*$B$5)*(IF(B72&lt;($B$4*1/10),($B$4*1/10)*(MIN(C72,($B$4*1/10))^3-B72^3)-(MIN(C72,($B$4*1/10))^4-B72^4)/4,0)+IF(C72&gt;($B$4*1/10),($B$4*1/10)^2*(1.5*(C72^2-MAX(B72,($B$4*1/10))^2)-($B$4*1/10)*(C72-MAX(B72,($B$4*1/10)))),0))*1000,0)</f>
        <v>0</v>
      </c>
      <c r="AC72" s="120">
        <f>IF(AND(J72="OK",ISNUMBER($B$5),$B$5&gt;0,ISNUMBER($B$3),$B$3&gt;0),F72/(6*$B$3*1000000*$B$5)*(IF(B72&lt;($B$4*2/10),($B$4*2/10)*(MIN(C72,($B$4*2/10))^3-B72^3)-(MIN(C72,($B$4*2/10))^4-B72^4)/4,0)+IF(C72&gt;($B$4*2/10),($B$4*2/10)^2*(1.5*(C72^2-MAX(B72,($B$4*2/10))^2)-($B$4*2/10)*(C72-MAX(B72,($B$4*2/10)))),0))*1000,0)</f>
        <v>0</v>
      </c>
      <c r="AD72" s="120">
        <f>IF(AND(J72="OK",ISNUMBER($B$5),$B$5&gt;0,ISNUMBER($B$3),$B$3&gt;0),F72/(6*$B$3*1000000*$B$5)*(IF(B72&lt;($B$4*3/10),($B$4*3/10)*(MIN(C72,($B$4*3/10))^3-B72^3)-(MIN(C72,($B$4*3/10))^4-B72^4)/4,0)+IF(C72&gt;($B$4*3/10),($B$4*3/10)^2*(1.5*(C72^2-MAX(B72,($B$4*3/10))^2)-($B$4*3/10)*(C72-MAX(B72,($B$4*3/10)))),0))*1000,0)</f>
        <v>0</v>
      </c>
      <c r="AE72" s="120">
        <f>IF(AND(J72="OK",ISNUMBER($B$5),$B$5&gt;0,ISNUMBER($B$3),$B$3&gt;0),F72/(6*$B$3*1000000*$B$5)*(IF(B72&lt;($B$4*4/10),($B$4*4/10)*(MIN(C72,($B$4*4/10))^3-B72^3)-(MIN(C72,($B$4*4/10))^4-B72^4)/4,0)+IF(C72&gt;($B$4*4/10),($B$4*4/10)^2*(1.5*(C72^2-MAX(B72,($B$4*4/10))^2)-($B$4*4/10)*(C72-MAX(B72,($B$4*4/10)))),0))*1000,0)</f>
        <v>0</v>
      </c>
      <c r="AF72" s="120">
        <f>IF(AND(J72="OK",ISNUMBER($B$5),$B$5&gt;0,ISNUMBER($B$3),$B$3&gt;0),F72/(6*$B$3*1000000*$B$5)*(IF(B72&lt;($B$4*5/10),($B$4*5/10)*(MIN(C72,($B$4*5/10))^3-B72^3)-(MIN(C72,($B$4*5/10))^4-B72^4)/4,0)+IF(C72&gt;($B$4*5/10),($B$4*5/10)^2*(1.5*(C72^2-MAX(B72,($B$4*5/10))^2)-($B$4*5/10)*(C72-MAX(B72,($B$4*5/10)))),0))*1000,0)</f>
        <v>0</v>
      </c>
      <c r="AG72" s="120">
        <f>IF(AND(J72="OK",ISNUMBER($B$5),$B$5&gt;0,ISNUMBER($B$3),$B$3&gt;0),F72/(6*$B$3*1000000*$B$5)*(IF(B72&lt;($B$4*6/10),($B$4*6/10)*(MIN(C72,($B$4*6/10))^3-B72^3)-(MIN(C72,($B$4*6/10))^4-B72^4)/4,0)+IF(C72&gt;($B$4*6/10),($B$4*6/10)^2*(1.5*(C72^2-MAX(B72,($B$4*6/10))^2)-($B$4*6/10)*(C72-MAX(B72,($B$4*6/10)))),0))*1000,0)</f>
        <v>0</v>
      </c>
      <c r="AH72" s="120">
        <f>IF(AND(J72="OK",ISNUMBER($B$5),$B$5&gt;0,ISNUMBER($B$3),$B$3&gt;0),F72/(6*$B$3*1000000*$B$5)*(IF(B72&lt;($B$4*7/10),($B$4*7/10)*(MIN(C72,($B$4*7/10))^3-B72^3)-(MIN(C72,($B$4*7/10))^4-B72^4)/4,0)+IF(C72&gt;($B$4*7/10),($B$4*7/10)^2*(1.5*(C72^2-MAX(B72,($B$4*7/10))^2)-($B$4*7/10)*(C72-MAX(B72,($B$4*7/10)))),0))*1000,0)</f>
        <v>0</v>
      </c>
      <c r="AI72" s="120">
        <f>IF(AND(J72="OK",ISNUMBER($B$5),$B$5&gt;0,ISNUMBER($B$3),$B$3&gt;0),F72/(6*$B$3*1000000*$B$5)*(IF(B72&lt;($B$4*8/10),($B$4*8/10)*(MIN(C72,($B$4*8/10))^3-B72^3)-(MIN(C72,($B$4*8/10))^4-B72^4)/4,0)+IF(C72&gt;($B$4*8/10),($B$4*8/10)^2*(1.5*(C72^2-MAX(B72,($B$4*8/10))^2)-($B$4*8/10)*(C72-MAX(B72,($B$4*8/10)))),0))*1000,0)</f>
        <v>0</v>
      </c>
      <c r="AJ72" s="120">
        <f>IF(AND(J72="OK",ISNUMBER($B$5),$B$5&gt;0,ISNUMBER($B$3),$B$3&gt;0),F72/(6*$B$3*1000000*$B$5)*(IF(B72&lt;($B$4*9/10),($B$4*9/10)*(MIN(C72,($B$4*9/10))^3-B72^3)-(MIN(C72,($B$4*9/10))^4-B72^4)/4,0)+IF(C72&gt;($B$4*9/10),($B$4*9/10)^2*(1.5*(C72^2-MAX(B72,($B$4*9/10))^2)-($B$4*9/10)*(C72-MAX(B72,($B$4*9/10)))),0))*1000,0)</f>
        <v>0</v>
      </c>
      <c r="AK72" s="120">
        <f>IF(AND(J72="OK",ISNUMBER($B$5),$B$5&gt;0,ISNUMBER($B$3),$B$3&gt;0),F72/(6*$B$3*1000000*$B$5)*(IF(B72&lt;($B$4*10/10),($B$4*10/10)*(MIN(C72,($B$4*10/10))^3-B72^3)-(MIN(C72,($B$4*10/10))^4-B72^4)/4,0)+IF(C72&gt;($B$4*10/10),($B$4*10/10)^2*(1.5*(C72^2-MAX(B72,($B$4*10/10))^2)-($B$4*10/10)*(C72-MAX(B72,($B$4*10/10)))),0))*1000,0)</f>
        <v>0</v>
      </c>
      <c r="AM72" s="120">
        <f>IF(AND(V72="OK",ISNUMBER($N$5),$N$5&gt;0,ISNUMBER($N$3),$N$3&gt;0),R72/(6*$N$3*1000000*$N$5)*(IF(N72&lt;($N$4*0/10),($N$4*0/10)*(MIN(O72,($N$4*0/10))^3-N72^3)-(MIN(O72,($N$4*0/10))^4-N72^4)/4,0)+IF(O72&gt;($N$4*0/10),($N$4*0/10)^2*(1.5*(O72^2-MAX(N72,($N$4*0/10))^2)-($N$4*0/10)*(O72-MAX(N72,($N$4*0/10)))),0))*1000,0)</f>
        <v>0</v>
      </c>
      <c r="AN72" s="120">
        <f>IF(AND(V72="OK",ISNUMBER($N$5),$N$5&gt;0,ISNUMBER($N$3),$N$3&gt;0),R72/(6*$N$3*1000000*$N$5)*(IF(N72&lt;($N$4*1/10),($N$4*1/10)*(MIN(O72,($N$4*1/10))^3-N72^3)-(MIN(O72,($N$4*1/10))^4-N72^4)/4,0)+IF(O72&gt;($N$4*1/10),($N$4*1/10)^2*(1.5*(O72^2-MAX(N72,($N$4*1/10))^2)-($N$4*1/10)*(O72-MAX(N72,($N$4*1/10)))),0))*1000,0)</f>
        <v>0</v>
      </c>
      <c r="AO72" s="120">
        <f>IF(AND(V72="OK",ISNUMBER($N$5),$N$5&gt;0,ISNUMBER($N$3),$N$3&gt;0),R72/(6*$N$3*1000000*$N$5)*(IF(N72&lt;($N$4*2/10),($N$4*2/10)*(MIN(O72,($N$4*2/10))^3-N72^3)-(MIN(O72,($N$4*2/10))^4-N72^4)/4,0)+IF(O72&gt;($N$4*2/10),($N$4*2/10)^2*(1.5*(O72^2-MAX(N72,($N$4*2/10))^2)-($N$4*2/10)*(O72-MAX(N72,($N$4*2/10)))),0))*1000,0)</f>
        <v>0</v>
      </c>
      <c r="AP72" s="120">
        <f>IF(AND(V72="OK",ISNUMBER($N$5),$N$5&gt;0,ISNUMBER($N$3),$N$3&gt;0),R72/(6*$N$3*1000000*$N$5)*(IF(N72&lt;($N$4*3/10),($N$4*3/10)*(MIN(O72,($N$4*3/10))^3-N72^3)-(MIN(O72,($N$4*3/10))^4-N72^4)/4,0)+IF(O72&gt;($N$4*3/10),($N$4*3/10)^2*(1.5*(O72^2-MAX(N72,($N$4*3/10))^2)-($N$4*3/10)*(O72-MAX(N72,($N$4*3/10)))),0))*1000,0)</f>
        <v>0</v>
      </c>
      <c r="AQ72" s="120">
        <f>IF(AND(V72="OK",ISNUMBER($N$5),$N$5&gt;0,ISNUMBER($N$3),$N$3&gt;0),R72/(6*$N$3*1000000*$N$5)*(IF(N72&lt;($N$4*4/10),($N$4*4/10)*(MIN(O72,($N$4*4/10))^3-N72^3)-(MIN(O72,($N$4*4/10))^4-N72^4)/4,0)+IF(O72&gt;($N$4*4/10),($N$4*4/10)^2*(1.5*(O72^2-MAX(N72,($N$4*4/10))^2)-($N$4*4/10)*(O72-MAX(N72,($N$4*4/10)))),0))*1000,0)</f>
        <v>0</v>
      </c>
      <c r="AR72" s="120">
        <f>IF(AND(V72="OK",ISNUMBER($N$5),$N$5&gt;0,ISNUMBER($N$3),$N$3&gt;0),R72/(6*$N$3*1000000*$N$5)*(IF(N72&lt;($N$4*5/10),($N$4*5/10)*(MIN(O72,($N$4*5/10))^3-N72^3)-(MIN(O72,($N$4*5/10))^4-N72^4)/4,0)+IF(O72&gt;($N$4*5/10),($N$4*5/10)^2*(1.5*(O72^2-MAX(N72,($N$4*5/10))^2)-($N$4*5/10)*(O72-MAX(N72,($N$4*5/10)))),0))*1000,0)</f>
        <v>0</v>
      </c>
      <c r="AS72" s="120">
        <f>IF(AND(V72="OK",ISNUMBER($N$5),$N$5&gt;0,ISNUMBER($N$3),$N$3&gt;0),R72/(6*$N$3*1000000*$N$5)*(IF(N72&lt;($N$4*6/10),($N$4*6/10)*(MIN(O72,($N$4*6/10))^3-N72^3)-(MIN(O72,($N$4*6/10))^4-N72^4)/4,0)+IF(O72&gt;($N$4*6/10),($N$4*6/10)^2*(1.5*(O72^2-MAX(N72,($N$4*6/10))^2)-($N$4*6/10)*(O72-MAX(N72,($N$4*6/10)))),0))*1000,0)</f>
        <v>0</v>
      </c>
      <c r="AT72" s="120">
        <f>IF(AND(V72="OK",ISNUMBER($N$5),$N$5&gt;0,ISNUMBER($N$3),$N$3&gt;0),R72/(6*$N$3*1000000*$N$5)*(IF(N72&lt;($N$4*7/10),($N$4*7/10)*(MIN(O72,($N$4*7/10))^3-N72^3)-(MIN(O72,($N$4*7/10))^4-N72^4)/4,0)+IF(O72&gt;($N$4*7/10),($N$4*7/10)^2*(1.5*(O72^2-MAX(N72,($N$4*7/10))^2)-($N$4*7/10)*(O72-MAX(N72,($N$4*7/10)))),0))*1000,0)</f>
        <v>0</v>
      </c>
      <c r="AU72" s="120">
        <f>IF(AND(V72="OK",ISNUMBER($N$5),$N$5&gt;0,ISNUMBER($N$3),$N$3&gt;0),R72/(6*$N$3*1000000*$N$5)*(IF(N72&lt;($N$4*8/10),($N$4*8/10)*(MIN(O72,($N$4*8/10))^3-N72^3)-(MIN(O72,($N$4*8/10))^4-N72^4)/4,0)+IF(O72&gt;($N$4*8/10),($N$4*8/10)^2*(1.5*(O72^2-MAX(N72,($N$4*8/10))^2)-($N$4*8/10)*(O72-MAX(N72,($N$4*8/10)))),0))*1000,0)</f>
        <v>0</v>
      </c>
      <c r="AV72" s="120">
        <f>IF(AND(V72="OK",ISNUMBER($N$5),$N$5&gt;0,ISNUMBER($N$3),$N$3&gt;0),R72/(6*$N$3*1000000*$N$5)*(IF(N72&lt;($N$4*9/10),($N$4*9/10)*(MIN(O72,($N$4*9/10))^3-N72^3)-(MIN(O72,($N$4*9/10))^4-N72^4)/4,0)+IF(O72&gt;($N$4*9/10),($N$4*9/10)^2*(1.5*(O72^2-MAX(N72,($N$4*9/10))^2)-($N$4*9/10)*(O72-MAX(N72,($N$4*9/10)))),0))*1000,0)</f>
        <v>0</v>
      </c>
      <c r="AW72" s="120">
        <f>IF(AND(V72="OK",ISNUMBER($N$5),$N$5&gt;0,ISNUMBER($N$3),$N$3&gt;0),R72/(6*$N$3*1000000*$N$5)*(IF(N72&lt;($N$4*10/10),($N$4*10/10)*(MIN(O72,($N$4*10/10))^3-N72^3)-(MIN(O72,($N$4*10/10))^4-N72^4)/4,0)+IF(O72&gt;($N$4*10/10),($N$4*10/10)^2*(1.5*(O72^2-MAX(N72,($N$4*10/10))^2)-($N$4*10/10)*(O72-MAX(N72,($N$4*10/10)))),0))*1000,0)</f>
        <v>0</v>
      </c>
    </row>
    <row r="73" spans="1:49">
      <c r="A73" s="124"/>
      <c r="B73" s="125"/>
      <c r="C73" s="125"/>
      <c r="D73" s="125"/>
      <c r="E73" s="125"/>
      <c r="F73" s="126" t="str">
        <f>IF(J73="OK",D73*E73,"")</f>
        <v/>
      </c>
      <c r="G73" s="126" t="str">
        <f>IF(J73="OK",F73*(C73-B73),"")</f>
        <v/>
      </c>
      <c r="H73" s="126" t="str">
        <f>IF(J73="OK",G73*(C73+B73)/2,"")</f>
        <v/>
      </c>
      <c r="I73" s="126" t="str">
        <f>IF(AND(J73="OK",ISNUMBER($B$5),$B$5&gt;0,ISNUMBER($B$3),$B$3&gt;0),F73*(4*$B$4*(C73^3-B73^3)-(C73^4-B73^4))/(24*$B$3*1000000*$B$5)*1000,"")</f>
        <v/>
      </c>
      <c r="J73" s="120" t="str">
        <f>IF(COUNTA(A73:E73)=0,"",IF(AND(COUNT(B73:E73)=4,B73&gt;=0,C73&gt;B73,C73&lt;=$B$4,D73&gt;=0,E73&gt;0),IF(COUNTIFS($B$13:$B$72,"&lt;"&amp;C73,$C$13:$C$72,"&gt;"&amp;B73)&gt;0,"OVERLAP","OK"),"CHECK INPUTS"))</f>
        <v/>
      </c>
      <c r="M73" s="124"/>
      <c r="N73" s="125"/>
      <c r="O73" s="125"/>
      <c r="P73" s="125"/>
      <c r="Q73" s="125"/>
      <c r="R73" s="126" t="str">
        <f>IF(V73="OK",P73*Q73,"")</f>
        <v/>
      </c>
      <c r="S73" s="126" t="str">
        <f>IF(V73="OK",R73*(O73-N73),"")</f>
        <v/>
      </c>
      <c r="T73" s="126" t="str">
        <f>IF(V73="OK",S73*(O73+N73)/2,"")</f>
        <v/>
      </c>
      <c r="U73" s="126" t="str">
        <f>IF(AND(V73="OK",ISNUMBER($N$5),$N$5&gt;0,ISNUMBER($N$3),$N$3&gt;0),R73*(4*$N$4*(O73^3-N73^3)-(O73^4-N73^4))/(24*$N$3*1000000*$N$5)*1000,"")</f>
        <v/>
      </c>
      <c r="V73" s="120" t="str">
        <f>IF(COUNTA(M73:Q73)=0,"",IF(AND(COUNT(N73:Q73)=4,N73&gt;=0,O73&gt;N73,O73&lt;=$N$4,P73&gt;=0,Q73&gt;0),IF(COUNTIFS($N$13:$N$72,"&lt;"&amp;O73,$O$13:$O$72,"&gt;"&amp;N73)&gt;0,"OVERLAP","OK"),"CHECK INPUTS"))</f>
        <v/>
      </c>
      <c r="AA73" s="120">
        <f>IF(AND(J73="OK",ISNUMBER($B$5),$B$5&gt;0,ISNUMBER($B$3),$B$3&gt;0),F73/(6*$B$3*1000000*$B$5)*(IF(B73&lt;($B$4*0/10),($B$4*0/10)*(MIN(C73,($B$4*0/10))^3-B73^3)-(MIN(C73,($B$4*0/10))^4-B73^4)/4,0)+IF(C73&gt;($B$4*0/10),($B$4*0/10)^2*(1.5*(C73^2-MAX(B73,($B$4*0/10))^2)-($B$4*0/10)*(C73-MAX(B73,($B$4*0/10)))),0))*1000,0)</f>
        <v>0</v>
      </c>
      <c r="AB73" s="120">
        <f>IF(AND(J73="OK",ISNUMBER($B$5),$B$5&gt;0,ISNUMBER($B$3),$B$3&gt;0),F73/(6*$B$3*1000000*$B$5)*(IF(B73&lt;($B$4*1/10),($B$4*1/10)*(MIN(C73,($B$4*1/10))^3-B73^3)-(MIN(C73,($B$4*1/10))^4-B73^4)/4,0)+IF(C73&gt;($B$4*1/10),($B$4*1/10)^2*(1.5*(C73^2-MAX(B73,($B$4*1/10))^2)-($B$4*1/10)*(C73-MAX(B73,($B$4*1/10)))),0))*1000,0)</f>
        <v>0</v>
      </c>
      <c r="AC73" s="120">
        <f>IF(AND(J73="OK",ISNUMBER($B$5),$B$5&gt;0,ISNUMBER($B$3),$B$3&gt;0),F73/(6*$B$3*1000000*$B$5)*(IF(B73&lt;($B$4*2/10),($B$4*2/10)*(MIN(C73,($B$4*2/10))^3-B73^3)-(MIN(C73,($B$4*2/10))^4-B73^4)/4,0)+IF(C73&gt;($B$4*2/10),($B$4*2/10)^2*(1.5*(C73^2-MAX(B73,($B$4*2/10))^2)-($B$4*2/10)*(C73-MAX(B73,($B$4*2/10)))),0))*1000,0)</f>
        <v>0</v>
      </c>
      <c r="AD73" s="120">
        <f>IF(AND(J73="OK",ISNUMBER($B$5),$B$5&gt;0,ISNUMBER($B$3),$B$3&gt;0),F73/(6*$B$3*1000000*$B$5)*(IF(B73&lt;($B$4*3/10),($B$4*3/10)*(MIN(C73,($B$4*3/10))^3-B73^3)-(MIN(C73,($B$4*3/10))^4-B73^4)/4,0)+IF(C73&gt;($B$4*3/10),($B$4*3/10)^2*(1.5*(C73^2-MAX(B73,($B$4*3/10))^2)-($B$4*3/10)*(C73-MAX(B73,($B$4*3/10)))),0))*1000,0)</f>
        <v>0</v>
      </c>
      <c r="AE73" s="120">
        <f>IF(AND(J73="OK",ISNUMBER($B$5),$B$5&gt;0,ISNUMBER($B$3),$B$3&gt;0),F73/(6*$B$3*1000000*$B$5)*(IF(B73&lt;($B$4*4/10),($B$4*4/10)*(MIN(C73,($B$4*4/10))^3-B73^3)-(MIN(C73,($B$4*4/10))^4-B73^4)/4,0)+IF(C73&gt;($B$4*4/10),($B$4*4/10)^2*(1.5*(C73^2-MAX(B73,($B$4*4/10))^2)-($B$4*4/10)*(C73-MAX(B73,($B$4*4/10)))),0))*1000,0)</f>
        <v>0</v>
      </c>
      <c r="AF73" s="120">
        <f>IF(AND(J73="OK",ISNUMBER($B$5),$B$5&gt;0,ISNUMBER($B$3),$B$3&gt;0),F73/(6*$B$3*1000000*$B$5)*(IF(B73&lt;($B$4*5/10),($B$4*5/10)*(MIN(C73,($B$4*5/10))^3-B73^3)-(MIN(C73,($B$4*5/10))^4-B73^4)/4,0)+IF(C73&gt;($B$4*5/10),($B$4*5/10)^2*(1.5*(C73^2-MAX(B73,($B$4*5/10))^2)-($B$4*5/10)*(C73-MAX(B73,($B$4*5/10)))),0))*1000,0)</f>
        <v>0</v>
      </c>
      <c r="AG73" s="120">
        <f>IF(AND(J73="OK",ISNUMBER($B$5),$B$5&gt;0,ISNUMBER($B$3),$B$3&gt;0),F73/(6*$B$3*1000000*$B$5)*(IF(B73&lt;($B$4*6/10),($B$4*6/10)*(MIN(C73,($B$4*6/10))^3-B73^3)-(MIN(C73,($B$4*6/10))^4-B73^4)/4,0)+IF(C73&gt;($B$4*6/10),($B$4*6/10)^2*(1.5*(C73^2-MAX(B73,($B$4*6/10))^2)-($B$4*6/10)*(C73-MAX(B73,($B$4*6/10)))),0))*1000,0)</f>
        <v>0</v>
      </c>
      <c r="AH73" s="120">
        <f>IF(AND(J73="OK",ISNUMBER($B$5),$B$5&gt;0,ISNUMBER($B$3),$B$3&gt;0),F73/(6*$B$3*1000000*$B$5)*(IF(B73&lt;($B$4*7/10),($B$4*7/10)*(MIN(C73,($B$4*7/10))^3-B73^3)-(MIN(C73,($B$4*7/10))^4-B73^4)/4,0)+IF(C73&gt;($B$4*7/10),($B$4*7/10)^2*(1.5*(C73^2-MAX(B73,($B$4*7/10))^2)-($B$4*7/10)*(C73-MAX(B73,($B$4*7/10)))),0))*1000,0)</f>
        <v>0</v>
      </c>
      <c r="AI73" s="120">
        <f>IF(AND(J73="OK",ISNUMBER($B$5),$B$5&gt;0,ISNUMBER($B$3),$B$3&gt;0),F73/(6*$B$3*1000000*$B$5)*(IF(B73&lt;($B$4*8/10),($B$4*8/10)*(MIN(C73,($B$4*8/10))^3-B73^3)-(MIN(C73,($B$4*8/10))^4-B73^4)/4,0)+IF(C73&gt;($B$4*8/10),($B$4*8/10)^2*(1.5*(C73^2-MAX(B73,($B$4*8/10))^2)-($B$4*8/10)*(C73-MAX(B73,($B$4*8/10)))),0))*1000,0)</f>
        <v>0</v>
      </c>
      <c r="AJ73" s="120">
        <f>IF(AND(J73="OK",ISNUMBER($B$5),$B$5&gt;0,ISNUMBER($B$3),$B$3&gt;0),F73/(6*$B$3*1000000*$B$5)*(IF(B73&lt;($B$4*9/10),($B$4*9/10)*(MIN(C73,($B$4*9/10))^3-B73^3)-(MIN(C73,($B$4*9/10))^4-B73^4)/4,0)+IF(C73&gt;($B$4*9/10),($B$4*9/10)^2*(1.5*(C73^2-MAX(B73,($B$4*9/10))^2)-($B$4*9/10)*(C73-MAX(B73,($B$4*9/10)))),0))*1000,0)</f>
        <v>0</v>
      </c>
      <c r="AK73" s="120">
        <f>IF(AND(J73="OK",ISNUMBER($B$5),$B$5&gt;0,ISNUMBER($B$3),$B$3&gt;0),F73/(6*$B$3*1000000*$B$5)*(IF(B73&lt;($B$4*10/10),($B$4*10/10)*(MIN(C73,($B$4*10/10))^3-B73^3)-(MIN(C73,($B$4*10/10))^4-B73^4)/4,0)+IF(C73&gt;($B$4*10/10),($B$4*10/10)^2*(1.5*(C73^2-MAX(B73,($B$4*10/10))^2)-($B$4*10/10)*(C73-MAX(B73,($B$4*10/10)))),0))*1000,0)</f>
        <v>0</v>
      </c>
      <c r="AM73" s="120">
        <f>IF(AND(V73="OK",ISNUMBER($N$5),$N$5&gt;0,ISNUMBER($N$3),$N$3&gt;0),R73/(6*$N$3*1000000*$N$5)*(IF(N73&lt;($N$4*0/10),($N$4*0/10)*(MIN(O73,($N$4*0/10))^3-N73^3)-(MIN(O73,($N$4*0/10))^4-N73^4)/4,0)+IF(O73&gt;($N$4*0/10),($N$4*0/10)^2*(1.5*(O73^2-MAX(N73,($N$4*0/10))^2)-($N$4*0/10)*(O73-MAX(N73,($N$4*0/10)))),0))*1000,0)</f>
        <v>0</v>
      </c>
      <c r="AN73" s="120">
        <f>IF(AND(V73="OK",ISNUMBER($N$5),$N$5&gt;0,ISNUMBER($N$3),$N$3&gt;0),R73/(6*$N$3*1000000*$N$5)*(IF(N73&lt;($N$4*1/10),($N$4*1/10)*(MIN(O73,($N$4*1/10))^3-N73^3)-(MIN(O73,($N$4*1/10))^4-N73^4)/4,0)+IF(O73&gt;($N$4*1/10),($N$4*1/10)^2*(1.5*(O73^2-MAX(N73,($N$4*1/10))^2)-($N$4*1/10)*(O73-MAX(N73,($N$4*1/10)))),0))*1000,0)</f>
        <v>0</v>
      </c>
      <c r="AO73" s="120">
        <f>IF(AND(V73="OK",ISNUMBER($N$5),$N$5&gt;0,ISNUMBER($N$3),$N$3&gt;0),R73/(6*$N$3*1000000*$N$5)*(IF(N73&lt;($N$4*2/10),($N$4*2/10)*(MIN(O73,($N$4*2/10))^3-N73^3)-(MIN(O73,($N$4*2/10))^4-N73^4)/4,0)+IF(O73&gt;($N$4*2/10),($N$4*2/10)^2*(1.5*(O73^2-MAX(N73,($N$4*2/10))^2)-($N$4*2/10)*(O73-MAX(N73,($N$4*2/10)))),0))*1000,0)</f>
        <v>0</v>
      </c>
      <c r="AP73" s="120">
        <f>IF(AND(V73="OK",ISNUMBER($N$5),$N$5&gt;0,ISNUMBER($N$3),$N$3&gt;0),R73/(6*$N$3*1000000*$N$5)*(IF(N73&lt;($N$4*3/10),($N$4*3/10)*(MIN(O73,($N$4*3/10))^3-N73^3)-(MIN(O73,($N$4*3/10))^4-N73^4)/4,0)+IF(O73&gt;($N$4*3/10),($N$4*3/10)^2*(1.5*(O73^2-MAX(N73,($N$4*3/10))^2)-($N$4*3/10)*(O73-MAX(N73,($N$4*3/10)))),0))*1000,0)</f>
        <v>0</v>
      </c>
      <c r="AQ73" s="120">
        <f>IF(AND(V73="OK",ISNUMBER($N$5),$N$5&gt;0,ISNUMBER($N$3),$N$3&gt;0),R73/(6*$N$3*1000000*$N$5)*(IF(N73&lt;($N$4*4/10),($N$4*4/10)*(MIN(O73,($N$4*4/10))^3-N73^3)-(MIN(O73,($N$4*4/10))^4-N73^4)/4,0)+IF(O73&gt;($N$4*4/10),($N$4*4/10)^2*(1.5*(O73^2-MAX(N73,($N$4*4/10))^2)-($N$4*4/10)*(O73-MAX(N73,($N$4*4/10)))),0))*1000,0)</f>
        <v>0</v>
      </c>
      <c r="AR73" s="120">
        <f>IF(AND(V73="OK",ISNUMBER($N$5),$N$5&gt;0,ISNUMBER($N$3),$N$3&gt;0),R73/(6*$N$3*1000000*$N$5)*(IF(N73&lt;($N$4*5/10),($N$4*5/10)*(MIN(O73,($N$4*5/10))^3-N73^3)-(MIN(O73,($N$4*5/10))^4-N73^4)/4,0)+IF(O73&gt;($N$4*5/10),($N$4*5/10)^2*(1.5*(O73^2-MAX(N73,($N$4*5/10))^2)-($N$4*5/10)*(O73-MAX(N73,($N$4*5/10)))),0))*1000,0)</f>
        <v>0</v>
      </c>
      <c r="AS73" s="120">
        <f>IF(AND(V73="OK",ISNUMBER($N$5),$N$5&gt;0,ISNUMBER($N$3),$N$3&gt;0),R73/(6*$N$3*1000000*$N$5)*(IF(N73&lt;($N$4*6/10),($N$4*6/10)*(MIN(O73,($N$4*6/10))^3-N73^3)-(MIN(O73,($N$4*6/10))^4-N73^4)/4,0)+IF(O73&gt;($N$4*6/10),($N$4*6/10)^2*(1.5*(O73^2-MAX(N73,($N$4*6/10))^2)-($N$4*6/10)*(O73-MAX(N73,($N$4*6/10)))),0))*1000,0)</f>
        <v>0</v>
      </c>
      <c r="AT73" s="120">
        <f>IF(AND(V73="OK",ISNUMBER($N$5),$N$5&gt;0,ISNUMBER($N$3),$N$3&gt;0),R73/(6*$N$3*1000000*$N$5)*(IF(N73&lt;($N$4*7/10),($N$4*7/10)*(MIN(O73,($N$4*7/10))^3-N73^3)-(MIN(O73,($N$4*7/10))^4-N73^4)/4,0)+IF(O73&gt;($N$4*7/10),($N$4*7/10)^2*(1.5*(O73^2-MAX(N73,($N$4*7/10))^2)-($N$4*7/10)*(O73-MAX(N73,($N$4*7/10)))),0))*1000,0)</f>
        <v>0</v>
      </c>
      <c r="AU73" s="120">
        <f>IF(AND(V73="OK",ISNUMBER($N$5),$N$5&gt;0,ISNUMBER($N$3),$N$3&gt;0),R73/(6*$N$3*1000000*$N$5)*(IF(N73&lt;($N$4*8/10),($N$4*8/10)*(MIN(O73,($N$4*8/10))^3-N73^3)-(MIN(O73,($N$4*8/10))^4-N73^4)/4,0)+IF(O73&gt;($N$4*8/10),($N$4*8/10)^2*(1.5*(O73^2-MAX(N73,($N$4*8/10))^2)-($N$4*8/10)*(O73-MAX(N73,($N$4*8/10)))),0))*1000,0)</f>
        <v>0</v>
      </c>
      <c r="AV73" s="120">
        <f>IF(AND(V73="OK",ISNUMBER($N$5),$N$5&gt;0,ISNUMBER($N$3),$N$3&gt;0),R73/(6*$N$3*1000000*$N$5)*(IF(N73&lt;($N$4*9/10),($N$4*9/10)*(MIN(O73,($N$4*9/10))^3-N73^3)-(MIN(O73,($N$4*9/10))^4-N73^4)/4,0)+IF(O73&gt;($N$4*9/10),($N$4*9/10)^2*(1.5*(O73^2-MAX(N73,($N$4*9/10))^2)-($N$4*9/10)*(O73-MAX(N73,($N$4*9/10)))),0))*1000,0)</f>
        <v>0</v>
      </c>
      <c r="AW73" s="120">
        <f>IF(AND(V73="OK",ISNUMBER($N$5),$N$5&gt;0,ISNUMBER($N$3),$N$3&gt;0),R73/(6*$N$3*1000000*$N$5)*(IF(N73&lt;($N$4*10/10),($N$4*10/10)*(MIN(O73,($N$4*10/10))^3-N73^3)-(MIN(O73,($N$4*10/10))^4-N73^4)/4,0)+IF(O73&gt;($N$4*10/10),($N$4*10/10)^2*(1.5*(O73^2-MAX(N73,($N$4*10/10))^2)-($N$4*10/10)*(O73-MAX(N73,($N$4*10/10)))),0))*1000,0)</f>
        <v>0</v>
      </c>
    </row>
    <row r="74" spans="1:49">
      <c r="A74" s="124"/>
      <c r="B74" s="125"/>
      <c r="C74" s="125"/>
      <c r="D74" s="125"/>
      <c r="E74" s="125"/>
      <c r="F74" s="126" t="str">
        <f>IF(J74="OK",D74*E74,"")</f>
        <v/>
      </c>
      <c r="G74" s="126" t="str">
        <f>IF(J74="OK",F74*(C74-B74),"")</f>
        <v/>
      </c>
      <c r="H74" s="126" t="str">
        <f>IF(J74="OK",G74*(C74+B74)/2,"")</f>
        <v/>
      </c>
      <c r="I74" s="126" t="str">
        <f>IF(AND(J74="OK",ISNUMBER($B$5),$B$5&gt;0,ISNUMBER($B$3),$B$3&gt;0),F74*(4*$B$4*(C74^3-B74^3)-(C74^4-B74^4))/(24*$B$3*1000000*$B$5)*1000,"")</f>
        <v/>
      </c>
      <c r="J74" s="120" t="str">
        <f>IF(COUNTA(A74:E74)=0,"",IF(AND(COUNT(B74:E74)=4,B74&gt;=0,C74&gt;B74,C74&lt;=$B$4,D74&gt;=0,E74&gt;0),IF(COUNTIFS($B$13:$B$73,"&lt;"&amp;C74,$C$13:$C$73,"&gt;"&amp;B74)&gt;0,"OVERLAP","OK"),"CHECK INPUTS"))</f>
        <v/>
      </c>
      <c r="M74" s="124"/>
      <c r="N74" s="125"/>
      <c r="O74" s="125"/>
      <c r="P74" s="125"/>
      <c r="Q74" s="125"/>
      <c r="R74" s="126" t="str">
        <f>IF(V74="OK",P74*Q74,"")</f>
        <v/>
      </c>
      <c r="S74" s="126" t="str">
        <f>IF(V74="OK",R74*(O74-N74),"")</f>
        <v/>
      </c>
      <c r="T74" s="126" t="str">
        <f>IF(V74="OK",S74*(O74+N74)/2,"")</f>
        <v/>
      </c>
      <c r="U74" s="126" t="str">
        <f>IF(AND(V74="OK",ISNUMBER($N$5),$N$5&gt;0,ISNUMBER($N$3),$N$3&gt;0),R74*(4*$N$4*(O74^3-N74^3)-(O74^4-N74^4))/(24*$N$3*1000000*$N$5)*1000,"")</f>
        <v/>
      </c>
      <c r="V74" s="120" t="str">
        <f>IF(COUNTA(M74:Q74)=0,"",IF(AND(COUNT(N74:Q74)=4,N74&gt;=0,O74&gt;N74,O74&lt;=$N$4,P74&gt;=0,Q74&gt;0),IF(COUNTIFS($N$13:$N$73,"&lt;"&amp;O74,$O$13:$O$73,"&gt;"&amp;N74)&gt;0,"OVERLAP","OK"),"CHECK INPUTS"))</f>
        <v/>
      </c>
      <c r="AA74" s="120">
        <f>IF(AND(J74="OK",ISNUMBER($B$5),$B$5&gt;0,ISNUMBER($B$3),$B$3&gt;0),F74/(6*$B$3*1000000*$B$5)*(IF(B74&lt;($B$4*0/10),($B$4*0/10)*(MIN(C74,($B$4*0/10))^3-B74^3)-(MIN(C74,($B$4*0/10))^4-B74^4)/4,0)+IF(C74&gt;($B$4*0/10),($B$4*0/10)^2*(1.5*(C74^2-MAX(B74,($B$4*0/10))^2)-($B$4*0/10)*(C74-MAX(B74,($B$4*0/10)))),0))*1000,0)</f>
        <v>0</v>
      </c>
      <c r="AB74" s="120">
        <f>IF(AND(J74="OK",ISNUMBER($B$5),$B$5&gt;0,ISNUMBER($B$3),$B$3&gt;0),F74/(6*$B$3*1000000*$B$5)*(IF(B74&lt;($B$4*1/10),($B$4*1/10)*(MIN(C74,($B$4*1/10))^3-B74^3)-(MIN(C74,($B$4*1/10))^4-B74^4)/4,0)+IF(C74&gt;($B$4*1/10),($B$4*1/10)^2*(1.5*(C74^2-MAX(B74,($B$4*1/10))^2)-($B$4*1/10)*(C74-MAX(B74,($B$4*1/10)))),0))*1000,0)</f>
        <v>0</v>
      </c>
      <c r="AC74" s="120">
        <f>IF(AND(J74="OK",ISNUMBER($B$5),$B$5&gt;0,ISNUMBER($B$3),$B$3&gt;0),F74/(6*$B$3*1000000*$B$5)*(IF(B74&lt;($B$4*2/10),($B$4*2/10)*(MIN(C74,($B$4*2/10))^3-B74^3)-(MIN(C74,($B$4*2/10))^4-B74^4)/4,0)+IF(C74&gt;($B$4*2/10),($B$4*2/10)^2*(1.5*(C74^2-MAX(B74,($B$4*2/10))^2)-($B$4*2/10)*(C74-MAX(B74,($B$4*2/10)))),0))*1000,0)</f>
        <v>0</v>
      </c>
      <c r="AD74" s="120">
        <f>IF(AND(J74="OK",ISNUMBER($B$5),$B$5&gt;0,ISNUMBER($B$3),$B$3&gt;0),F74/(6*$B$3*1000000*$B$5)*(IF(B74&lt;($B$4*3/10),($B$4*3/10)*(MIN(C74,($B$4*3/10))^3-B74^3)-(MIN(C74,($B$4*3/10))^4-B74^4)/4,0)+IF(C74&gt;($B$4*3/10),($B$4*3/10)^2*(1.5*(C74^2-MAX(B74,($B$4*3/10))^2)-($B$4*3/10)*(C74-MAX(B74,($B$4*3/10)))),0))*1000,0)</f>
        <v>0</v>
      </c>
      <c r="AE74" s="120">
        <f>IF(AND(J74="OK",ISNUMBER($B$5),$B$5&gt;0,ISNUMBER($B$3),$B$3&gt;0),F74/(6*$B$3*1000000*$B$5)*(IF(B74&lt;($B$4*4/10),($B$4*4/10)*(MIN(C74,($B$4*4/10))^3-B74^3)-(MIN(C74,($B$4*4/10))^4-B74^4)/4,0)+IF(C74&gt;($B$4*4/10),($B$4*4/10)^2*(1.5*(C74^2-MAX(B74,($B$4*4/10))^2)-($B$4*4/10)*(C74-MAX(B74,($B$4*4/10)))),0))*1000,0)</f>
        <v>0</v>
      </c>
      <c r="AF74" s="120">
        <f>IF(AND(J74="OK",ISNUMBER($B$5),$B$5&gt;0,ISNUMBER($B$3),$B$3&gt;0),F74/(6*$B$3*1000000*$B$5)*(IF(B74&lt;($B$4*5/10),($B$4*5/10)*(MIN(C74,($B$4*5/10))^3-B74^3)-(MIN(C74,($B$4*5/10))^4-B74^4)/4,0)+IF(C74&gt;($B$4*5/10),($B$4*5/10)^2*(1.5*(C74^2-MAX(B74,($B$4*5/10))^2)-($B$4*5/10)*(C74-MAX(B74,($B$4*5/10)))),0))*1000,0)</f>
        <v>0</v>
      </c>
      <c r="AG74" s="120">
        <f>IF(AND(J74="OK",ISNUMBER($B$5),$B$5&gt;0,ISNUMBER($B$3),$B$3&gt;0),F74/(6*$B$3*1000000*$B$5)*(IF(B74&lt;($B$4*6/10),($B$4*6/10)*(MIN(C74,($B$4*6/10))^3-B74^3)-(MIN(C74,($B$4*6/10))^4-B74^4)/4,0)+IF(C74&gt;($B$4*6/10),($B$4*6/10)^2*(1.5*(C74^2-MAX(B74,($B$4*6/10))^2)-($B$4*6/10)*(C74-MAX(B74,($B$4*6/10)))),0))*1000,0)</f>
        <v>0</v>
      </c>
      <c r="AH74" s="120">
        <f>IF(AND(J74="OK",ISNUMBER($B$5),$B$5&gt;0,ISNUMBER($B$3),$B$3&gt;0),F74/(6*$B$3*1000000*$B$5)*(IF(B74&lt;($B$4*7/10),($B$4*7/10)*(MIN(C74,($B$4*7/10))^3-B74^3)-(MIN(C74,($B$4*7/10))^4-B74^4)/4,0)+IF(C74&gt;($B$4*7/10),($B$4*7/10)^2*(1.5*(C74^2-MAX(B74,($B$4*7/10))^2)-($B$4*7/10)*(C74-MAX(B74,($B$4*7/10)))),0))*1000,0)</f>
        <v>0</v>
      </c>
      <c r="AI74" s="120">
        <f>IF(AND(J74="OK",ISNUMBER($B$5),$B$5&gt;0,ISNUMBER($B$3),$B$3&gt;0),F74/(6*$B$3*1000000*$B$5)*(IF(B74&lt;($B$4*8/10),($B$4*8/10)*(MIN(C74,($B$4*8/10))^3-B74^3)-(MIN(C74,($B$4*8/10))^4-B74^4)/4,0)+IF(C74&gt;($B$4*8/10),($B$4*8/10)^2*(1.5*(C74^2-MAX(B74,($B$4*8/10))^2)-($B$4*8/10)*(C74-MAX(B74,($B$4*8/10)))),0))*1000,0)</f>
        <v>0</v>
      </c>
      <c r="AJ74" s="120">
        <f>IF(AND(J74="OK",ISNUMBER($B$5),$B$5&gt;0,ISNUMBER($B$3),$B$3&gt;0),F74/(6*$B$3*1000000*$B$5)*(IF(B74&lt;($B$4*9/10),($B$4*9/10)*(MIN(C74,($B$4*9/10))^3-B74^3)-(MIN(C74,($B$4*9/10))^4-B74^4)/4,0)+IF(C74&gt;($B$4*9/10),($B$4*9/10)^2*(1.5*(C74^2-MAX(B74,($B$4*9/10))^2)-($B$4*9/10)*(C74-MAX(B74,($B$4*9/10)))),0))*1000,0)</f>
        <v>0</v>
      </c>
      <c r="AK74" s="120">
        <f>IF(AND(J74="OK",ISNUMBER($B$5),$B$5&gt;0,ISNUMBER($B$3),$B$3&gt;0),F74/(6*$B$3*1000000*$B$5)*(IF(B74&lt;($B$4*10/10),($B$4*10/10)*(MIN(C74,($B$4*10/10))^3-B74^3)-(MIN(C74,($B$4*10/10))^4-B74^4)/4,0)+IF(C74&gt;($B$4*10/10),($B$4*10/10)^2*(1.5*(C74^2-MAX(B74,($B$4*10/10))^2)-($B$4*10/10)*(C74-MAX(B74,($B$4*10/10)))),0))*1000,0)</f>
        <v>0</v>
      </c>
      <c r="AM74" s="120">
        <f>IF(AND(V74="OK",ISNUMBER($N$5),$N$5&gt;0,ISNUMBER($N$3),$N$3&gt;0),R74/(6*$N$3*1000000*$N$5)*(IF(N74&lt;($N$4*0/10),($N$4*0/10)*(MIN(O74,($N$4*0/10))^3-N74^3)-(MIN(O74,($N$4*0/10))^4-N74^4)/4,0)+IF(O74&gt;($N$4*0/10),($N$4*0/10)^2*(1.5*(O74^2-MAX(N74,($N$4*0/10))^2)-($N$4*0/10)*(O74-MAX(N74,($N$4*0/10)))),0))*1000,0)</f>
        <v>0</v>
      </c>
      <c r="AN74" s="120">
        <f>IF(AND(V74="OK",ISNUMBER($N$5),$N$5&gt;0,ISNUMBER($N$3),$N$3&gt;0),R74/(6*$N$3*1000000*$N$5)*(IF(N74&lt;($N$4*1/10),($N$4*1/10)*(MIN(O74,($N$4*1/10))^3-N74^3)-(MIN(O74,($N$4*1/10))^4-N74^4)/4,0)+IF(O74&gt;($N$4*1/10),($N$4*1/10)^2*(1.5*(O74^2-MAX(N74,($N$4*1/10))^2)-($N$4*1/10)*(O74-MAX(N74,($N$4*1/10)))),0))*1000,0)</f>
        <v>0</v>
      </c>
      <c r="AO74" s="120">
        <f>IF(AND(V74="OK",ISNUMBER($N$5),$N$5&gt;0,ISNUMBER($N$3),$N$3&gt;0),R74/(6*$N$3*1000000*$N$5)*(IF(N74&lt;($N$4*2/10),($N$4*2/10)*(MIN(O74,($N$4*2/10))^3-N74^3)-(MIN(O74,($N$4*2/10))^4-N74^4)/4,0)+IF(O74&gt;($N$4*2/10),($N$4*2/10)^2*(1.5*(O74^2-MAX(N74,($N$4*2/10))^2)-($N$4*2/10)*(O74-MAX(N74,($N$4*2/10)))),0))*1000,0)</f>
        <v>0</v>
      </c>
      <c r="AP74" s="120">
        <f>IF(AND(V74="OK",ISNUMBER($N$5),$N$5&gt;0,ISNUMBER($N$3),$N$3&gt;0),R74/(6*$N$3*1000000*$N$5)*(IF(N74&lt;($N$4*3/10),($N$4*3/10)*(MIN(O74,($N$4*3/10))^3-N74^3)-(MIN(O74,($N$4*3/10))^4-N74^4)/4,0)+IF(O74&gt;($N$4*3/10),($N$4*3/10)^2*(1.5*(O74^2-MAX(N74,($N$4*3/10))^2)-($N$4*3/10)*(O74-MAX(N74,($N$4*3/10)))),0))*1000,0)</f>
        <v>0</v>
      </c>
      <c r="AQ74" s="120">
        <f>IF(AND(V74="OK",ISNUMBER($N$5),$N$5&gt;0,ISNUMBER($N$3),$N$3&gt;0),R74/(6*$N$3*1000000*$N$5)*(IF(N74&lt;($N$4*4/10),($N$4*4/10)*(MIN(O74,($N$4*4/10))^3-N74^3)-(MIN(O74,($N$4*4/10))^4-N74^4)/4,0)+IF(O74&gt;($N$4*4/10),($N$4*4/10)^2*(1.5*(O74^2-MAX(N74,($N$4*4/10))^2)-($N$4*4/10)*(O74-MAX(N74,($N$4*4/10)))),0))*1000,0)</f>
        <v>0</v>
      </c>
      <c r="AR74" s="120">
        <f>IF(AND(V74="OK",ISNUMBER($N$5),$N$5&gt;0,ISNUMBER($N$3),$N$3&gt;0),R74/(6*$N$3*1000000*$N$5)*(IF(N74&lt;($N$4*5/10),($N$4*5/10)*(MIN(O74,($N$4*5/10))^3-N74^3)-(MIN(O74,($N$4*5/10))^4-N74^4)/4,0)+IF(O74&gt;($N$4*5/10),($N$4*5/10)^2*(1.5*(O74^2-MAX(N74,($N$4*5/10))^2)-($N$4*5/10)*(O74-MAX(N74,($N$4*5/10)))),0))*1000,0)</f>
        <v>0</v>
      </c>
      <c r="AS74" s="120">
        <f>IF(AND(V74="OK",ISNUMBER($N$5),$N$5&gt;0,ISNUMBER($N$3),$N$3&gt;0),R74/(6*$N$3*1000000*$N$5)*(IF(N74&lt;($N$4*6/10),($N$4*6/10)*(MIN(O74,($N$4*6/10))^3-N74^3)-(MIN(O74,($N$4*6/10))^4-N74^4)/4,0)+IF(O74&gt;($N$4*6/10),($N$4*6/10)^2*(1.5*(O74^2-MAX(N74,($N$4*6/10))^2)-($N$4*6/10)*(O74-MAX(N74,($N$4*6/10)))),0))*1000,0)</f>
        <v>0</v>
      </c>
      <c r="AT74" s="120">
        <f>IF(AND(V74="OK",ISNUMBER($N$5),$N$5&gt;0,ISNUMBER($N$3),$N$3&gt;0),R74/(6*$N$3*1000000*$N$5)*(IF(N74&lt;($N$4*7/10),($N$4*7/10)*(MIN(O74,($N$4*7/10))^3-N74^3)-(MIN(O74,($N$4*7/10))^4-N74^4)/4,0)+IF(O74&gt;($N$4*7/10),($N$4*7/10)^2*(1.5*(O74^2-MAX(N74,($N$4*7/10))^2)-($N$4*7/10)*(O74-MAX(N74,($N$4*7/10)))),0))*1000,0)</f>
        <v>0</v>
      </c>
      <c r="AU74" s="120">
        <f>IF(AND(V74="OK",ISNUMBER($N$5),$N$5&gt;0,ISNUMBER($N$3),$N$3&gt;0),R74/(6*$N$3*1000000*$N$5)*(IF(N74&lt;($N$4*8/10),($N$4*8/10)*(MIN(O74,($N$4*8/10))^3-N74^3)-(MIN(O74,($N$4*8/10))^4-N74^4)/4,0)+IF(O74&gt;($N$4*8/10),($N$4*8/10)^2*(1.5*(O74^2-MAX(N74,($N$4*8/10))^2)-($N$4*8/10)*(O74-MAX(N74,($N$4*8/10)))),0))*1000,0)</f>
        <v>0</v>
      </c>
      <c r="AV74" s="120">
        <f>IF(AND(V74="OK",ISNUMBER($N$5),$N$5&gt;0,ISNUMBER($N$3),$N$3&gt;0),R74/(6*$N$3*1000000*$N$5)*(IF(N74&lt;($N$4*9/10),($N$4*9/10)*(MIN(O74,($N$4*9/10))^3-N74^3)-(MIN(O74,($N$4*9/10))^4-N74^4)/4,0)+IF(O74&gt;($N$4*9/10),($N$4*9/10)^2*(1.5*(O74^2-MAX(N74,($N$4*9/10))^2)-($N$4*9/10)*(O74-MAX(N74,($N$4*9/10)))),0))*1000,0)</f>
        <v>0</v>
      </c>
      <c r="AW74" s="120">
        <f>IF(AND(V74="OK",ISNUMBER($N$5),$N$5&gt;0,ISNUMBER($N$3),$N$3&gt;0),R74/(6*$N$3*1000000*$N$5)*(IF(N74&lt;($N$4*10/10),($N$4*10/10)*(MIN(O74,($N$4*10/10))^3-N74^3)-(MIN(O74,($N$4*10/10))^4-N74^4)/4,0)+IF(O74&gt;($N$4*10/10),($N$4*10/10)^2*(1.5*(O74^2-MAX(N74,($N$4*10/10))^2)-($N$4*10/10)*(O74-MAX(N74,($N$4*10/10)))),0))*1000,0)</f>
        <v>0</v>
      </c>
    </row>
    <row r="75" spans="1:49">
      <c r="A75" s="124"/>
      <c r="B75" s="125"/>
      <c r="C75" s="125"/>
      <c r="D75" s="125"/>
      <c r="E75" s="125"/>
      <c r="F75" s="126" t="str">
        <f>IF(J75="OK",D75*E75,"")</f>
        <v/>
      </c>
      <c r="G75" s="126" t="str">
        <f>IF(J75="OK",F75*(C75-B75),"")</f>
        <v/>
      </c>
      <c r="H75" s="126" t="str">
        <f>IF(J75="OK",G75*(C75+B75)/2,"")</f>
        <v/>
      </c>
      <c r="I75" s="126" t="str">
        <f>IF(AND(J75="OK",ISNUMBER($B$5),$B$5&gt;0,ISNUMBER($B$3),$B$3&gt;0),F75*(4*$B$4*(C75^3-B75^3)-(C75^4-B75^4))/(24*$B$3*1000000*$B$5)*1000,"")</f>
        <v/>
      </c>
      <c r="J75" s="120" t="str">
        <f>IF(COUNTA(A75:E75)=0,"",IF(AND(COUNT(B75:E75)=4,B75&gt;=0,C75&gt;B75,C75&lt;=$B$4,D75&gt;=0,E75&gt;0),IF(COUNTIFS($B$13:$B$74,"&lt;"&amp;C75,$C$13:$C$74,"&gt;"&amp;B75)&gt;0,"OVERLAP","OK"),"CHECK INPUTS"))</f>
        <v/>
      </c>
      <c r="M75" s="124"/>
      <c r="N75" s="125"/>
      <c r="O75" s="125"/>
      <c r="P75" s="125"/>
      <c r="Q75" s="125"/>
      <c r="R75" s="126" t="str">
        <f>IF(V75="OK",P75*Q75,"")</f>
        <v/>
      </c>
      <c r="S75" s="126" t="str">
        <f>IF(V75="OK",R75*(O75-N75),"")</f>
        <v/>
      </c>
      <c r="T75" s="126" t="str">
        <f>IF(V75="OK",S75*(O75+N75)/2,"")</f>
        <v/>
      </c>
      <c r="U75" s="126" t="str">
        <f>IF(AND(V75="OK",ISNUMBER($N$5),$N$5&gt;0,ISNUMBER($N$3),$N$3&gt;0),R75*(4*$N$4*(O75^3-N75^3)-(O75^4-N75^4))/(24*$N$3*1000000*$N$5)*1000,"")</f>
        <v/>
      </c>
      <c r="V75" s="120" t="str">
        <f>IF(COUNTA(M75:Q75)=0,"",IF(AND(COUNT(N75:Q75)=4,N75&gt;=0,O75&gt;N75,O75&lt;=$N$4,P75&gt;=0,Q75&gt;0),IF(COUNTIFS($N$13:$N$74,"&lt;"&amp;O75,$O$13:$O$74,"&gt;"&amp;N75)&gt;0,"OVERLAP","OK"),"CHECK INPUTS"))</f>
        <v/>
      </c>
      <c r="AA75" s="120">
        <f>IF(AND(J75="OK",ISNUMBER($B$5),$B$5&gt;0,ISNUMBER($B$3),$B$3&gt;0),F75/(6*$B$3*1000000*$B$5)*(IF(B75&lt;($B$4*0/10),($B$4*0/10)*(MIN(C75,($B$4*0/10))^3-B75^3)-(MIN(C75,($B$4*0/10))^4-B75^4)/4,0)+IF(C75&gt;($B$4*0/10),($B$4*0/10)^2*(1.5*(C75^2-MAX(B75,($B$4*0/10))^2)-($B$4*0/10)*(C75-MAX(B75,($B$4*0/10)))),0))*1000,0)</f>
        <v>0</v>
      </c>
      <c r="AB75" s="120">
        <f>IF(AND(J75="OK",ISNUMBER($B$5),$B$5&gt;0,ISNUMBER($B$3),$B$3&gt;0),F75/(6*$B$3*1000000*$B$5)*(IF(B75&lt;($B$4*1/10),($B$4*1/10)*(MIN(C75,($B$4*1/10))^3-B75^3)-(MIN(C75,($B$4*1/10))^4-B75^4)/4,0)+IF(C75&gt;($B$4*1/10),($B$4*1/10)^2*(1.5*(C75^2-MAX(B75,($B$4*1/10))^2)-($B$4*1/10)*(C75-MAX(B75,($B$4*1/10)))),0))*1000,0)</f>
        <v>0</v>
      </c>
      <c r="AC75" s="120">
        <f>IF(AND(J75="OK",ISNUMBER($B$5),$B$5&gt;0,ISNUMBER($B$3),$B$3&gt;0),F75/(6*$B$3*1000000*$B$5)*(IF(B75&lt;($B$4*2/10),($B$4*2/10)*(MIN(C75,($B$4*2/10))^3-B75^3)-(MIN(C75,($B$4*2/10))^4-B75^4)/4,0)+IF(C75&gt;($B$4*2/10),($B$4*2/10)^2*(1.5*(C75^2-MAX(B75,($B$4*2/10))^2)-($B$4*2/10)*(C75-MAX(B75,($B$4*2/10)))),0))*1000,0)</f>
        <v>0</v>
      </c>
      <c r="AD75" s="120">
        <f>IF(AND(J75="OK",ISNUMBER($B$5),$B$5&gt;0,ISNUMBER($B$3),$B$3&gt;0),F75/(6*$B$3*1000000*$B$5)*(IF(B75&lt;($B$4*3/10),($B$4*3/10)*(MIN(C75,($B$4*3/10))^3-B75^3)-(MIN(C75,($B$4*3/10))^4-B75^4)/4,0)+IF(C75&gt;($B$4*3/10),($B$4*3/10)^2*(1.5*(C75^2-MAX(B75,($B$4*3/10))^2)-($B$4*3/10)*(C75-MAX(B75,($B$4*3/10)))),0))*1000,0)</f>
        <v>0</v>
      </c>
      <c r="AE75" s="120">
        <f>IF(AND(J75="OK",ISNUMBER($B$5),$B$5&gt;0,ISNUMBER($B$3),$B$3&gt;0),F75/(6*$B$3*1000000*$B$5)*(IF(B75&lt;($B$4*4/10),($B$4*4/10)*(MIN(C75,($B$4*4/10))^3-B75^3)-(MIN(C75,($B$4*4/10))^4-B75^4)/4,0)+IF(C75&gt;($B$4*4/10),($B$4*4/10)^2*(1.5*(C75^2-MAX(B75,($B$4*4/10))^2)-($B$4*4/10)*(C75-MAX(B75,($B$4*4/10)))),0))*1000,0)</f>
        <v>0</v>
      </c>
      <c r="AF75" s="120">
        <f>IF(AND(J75="OK",ISNUMBER($B$5),$B$5&gt;0,ISNUMBER($B$3),$B$3&gt;0),F75/(6*$B$3*1000000*$B$5)*(IF(B75&lt;($B$4*5/10),($B$4*5/10)*(MIN(C75,($B$4*5/10))^3-B75^3)-(MIN(C75,($B$4*5/10))^4-B75^4)/4,0)+IF(C75&gt;($B$4*5/10),($B$4*5/10)^2*(1.5*(C75^2-MAX(B75,($B$4*5/10))^2)-($B$4*5/10)*(C75-MAX(B75,($B$4*5/10)))),0))*1000,0)</f>
        <v>0</v>
      </c>
      <c r="AG75" s="120">
        <f>IF(AND(J75="OK",ISNUMBER($B$5),$B$5&gt;0,ISNUMBER($B$3),$B$3&gt;0),F75/(6*$B$3*1000000*$B$5)*(IF(B75&lt;($B$4*6/10),($B$4*6/10)*(MIN(C75,($B$4*6/10))^3-B75^3)-(MIN(C75,($B$4*6/10))^4-B75^4)/4,0)+IF(C75&gt;($B$4*6/10),($B$4*6/10)^2*(1.5*(C75^2-MAX(B75,($B$4*6/10))^2)-($B$4*6/10)*(C75-MAX(B75,($B$4*6/10)))),0))*1000,0)</f>
        <v>0</v>
      </c>
      <c r="AH75" s="120">
        <f>IF(AND(J75="OK",ISNUMBER($B$5),$B$5&gt;0,ISNUMBER($B$3),$B$3&gt;0),F75/(6*$B$3*1000000*$B$5)*(IF(B75&lt;($B$4*7/10),($B$4*7/10)*(MIN(C75,($B$4*7/10))^3-B75^3)-(MIN(C75,($B$4*7/10))^4-B75^4)/4,0)+IF(C75&gt;($B$4*7/10),($B$4*7/10)^2*(1.5*(C75^2-MAX(B75,($B$4*7/10))^2)-($B$4*7/10)*(C75-MAX(B75,($B$4*7/10)))),0))*1000,0)</f>
        <v>0</v>
      </c>
      <c r="AI75" s="120">
        <f>IF(AND(J75="OK",ISNUMBER($B$5),$B$5&gt;0,ISNUMBER($B$3),$B$3&gt;0),F75/(6*$B$3*1000000*$B$5)*(IF(B75&lt;($B$4*8/10),($B$4*8/10)*(MIN(C75,($B$4*8/10))^3-B75^3)-(MIN(C75,($B$4*8/10))^4-B75^4)/4,0)+IF(C75&gt;($B$4*8/10),($B$4*8/10)^2*(1.5*(C75^2-MAX(B75,($B$4*8/10))^2)-($B$4*8/10)*(C75-MAX(B75,($B$4*8/10)))),0))*1000,0)</f>
        <v>0</v>
      </c>
      <c r="AJ75" s="120">
        <f>IF(AND(J75="OK",ISNUMBER($B$5),$B$5&gt;0,ISNUMBER($B$3),$B$3&gt;0),F75/(6*$B$3*1000000*$B$5)*(IF(B75&lt;($B$4*9/10),($B$4*9/10)*(MIN(C75,($B$4*9/10))^3-B75^3)-(MIN(C75,($B$4*9/10))^4-B75^4)/4,0)+IF(C75&gt;($B$4*9/10),($B$4*9/10)^2*(1.5*(C75^2-MAX(B75,($B$4*9/10))^2)-($B$4*9/10)*(C75-MAX(B75,($B$4*9/10)))),0))*1000,0)</f>
        <v>0</v>
      </c>
      <c r="AK75" s="120">
        <f>IF(AND(J75="OK",ISNUMBER($B$5),$B$5&gt;0,ISNUMBER($B$3),$B$3&gt;0),F75/(6*$B$3*1000000*$B$5)*(IF(B75&lt;($B$4*10/10),($B$4*10/10)*(MIN(C75,($B$4*10/10))^3-B75^3)-(MIN(C75,($B$4*10/10))^4-B75^4)/4,0)+IF(C75&gt;($B$4*10/10),($B$4*10/10)^2*(1.5*(C75^2-MAX(B75,($B$4*10/10))^2)-($B$4*10/10)*(C75-MAX(B75,($B$4*10/10)))),0))*1000,0)</f>
        <v>0</v>
      </c>
      <c r="AM75" s="120">
        <f>IF(AND(V75="OK",ISNUMBER($N$5),$N$5&gt;0,ISNUMBER($N$3),$N$3&gt;0),R75/(6*$N$3*1000000*$N$5)*(IF(N75&lt;($N$4*0/10),($N$4*0/10)*(MIN(O75,($N$4*0/10))^3-N75^3)-(MIN(O75,($N$4*0/10))^4-N75^4)/4,0)+IF(O75&gt;($N$4*0/10),($N$4*0/10)^2*(1.5*(O75^2-MAX(N75,($N$4*0/10))^2)-($N$4*0/10)*(O75-MAX(N75,($N$4*0/10)))),0))*1000,0)</f>
        <v>0</v>
      </c>
      <c r="AN75" s="120">
        <f>IF(AND(V75="OK",ISNUMBER($N$5),$N$5&gt;0,ISNUMBER($N$3),$N$3&gt;0),R75/(6*$N$3*1000000*$N$5)*(IF(N75&lt;($N$4*1/10),($N$4*1/10)*(MIN(O75,($N$4*1/10))^3-N75^3)-(MIN(O75,($N$4*1/10))^4-N75^4)/4,0)+IF(O75&gt;($N$4*1/10),($N$4*1/10)^2*(1.5*(O75^2-MAX(N75,($N$4*1/10))^2)-($N$4*1/10)*(O75-MAX(N75,($N$4*1/10)))),0))*1000,0)</f>
        <v>0</v>
      </c>
      <c r="AO75" s="120">
        <f>IF(AND(V75="OK",ISNUMBER($N$5),$N$5&gt;0,ISNUMBER($N$3),$N$3&gt;0),R75/(6*$N$3*1000000*$N$5)*(IF(N75&lt;($N$4*2/10),($N$4*2/10)*(MIN(O75,($N$4*2/10))^3-N75^3)-(MIN(O75,($N$4*2/10))^4-N75^4)/4,0)+IF(O75&gt;($N$4*2/10),($N$4*2/10)^2*(1.5*(O75^2-MAX(N75,($N$4*2/10))^2)-($N$4*2/10)*(O75-MAX(N75,($N$4*2/10)))),0))*1000,0)</f>
        <v>0</v>
      </c>
      <c r="AP75" s="120">
        <f>IF(AND(V75="OK",ISNUMBER($N$5),$N$5&gt;0,ISNUMBER($N$3),$N$3&gt;0),R75/(6*$N$3*1000000*$N$5)*(IF(N75&lt;($N$4*3/10),($N$4*3/10)*(MIN(O75,($N$4*3/10))^3-N75^3)-(MIN(O75,($N$4*3/10))^4-N75^4)/4,0)+IF(O75&gt;($N$4*3/10),($N$4*3/10)^2*(1.5*(O75^2-MAX(N75,($N$4*3/10))^2)-($N$4*3/10)*(O75-MAX(N75,($N$4*3/10)))),0))*1000,0)</f>
        <v>0</v>
      </c>
      <c r="AQ75" s="120">
        <f>IF(AND(V75="OK",ISNUMBER($N$5),$N$5&gt;0,ISNUMBER($N$3),$N$3&gt;0),R75/(6*$N$3*1000000*$N$5)*(IF(N75&lt;($N$4*4/10),($N$4*4/10)*(MIN(O75,($N$4*4/10))^3-N75^3)-(MIN(O75,($N$4*4/10))^4-N75^4)/4,0)+IF(O75&gt;($N$4*4/10),($N$4*4/10)^2*(1.5*(O75^2-MAX(N75,($N$4*4/10))^2)-($N$4*4/10)*(O75-MAX(N75,($N$4*4/10)))),0))*1000,0)</f>
        <v>0</v>
      </c>
      <c r="AR75" s="120">
        <f>IF(AND(V75="OK",ISNUMBER($N$5),$N$5&gt;0,ISNUMBER($N$3),$N$3&gt;0),R75/(6*$N$3*1000000*$N$5)*(IF(N75&lt;($N$4*5/10),($N$4*5/10)*(MIN(O75,($N$4*5/10))^3-N75^3)-(MIN(O75,($N$4*5/10))^4-N75^4)/4,0)+IF(O75&gt;($N$4*5/10),($N$4*5/10)^2*(1.5*(O75^2-MAX(N75,($N$4*5/10))^2)-($N$4*5/10)*(O75-MAX(N75,($N$4*5/10)))),0))*1000,0)</f>
        <v>0</v>
      </c>
      <c r="AS75" s="120">
        <f>IF(AND(V75="OK",ISNUMBER($N$5),$N$5&gt;0,ISNUMBER($N$3),$N$3&gt;0),R75/(6*$N$3*1000000*$N$5)*(IF(N75&lt;($N$4*6/10),($N$4*6/10)*(MIN(O75,($N$4*6/10))^3-N75^3)-(MIN(O75,($N$4*6/10))^4-N75^4)/4,0)+IF(O75&gt;($N$4*6/10),($N$4*6/10)^2*(1.5*(O75^2-MAX(N75,($N$4*6/10))^2)-($N$4*6/10)*(O75-MAX(N75,($N$4*6/10)))),0))*1000,0)</f>
        <v>0</v>
      </c>
      <c r="AT75" s="120">
        <f>IF(AND(V75="OK",ISNUMBER($N$5),$N$5&gt;0,ISNUMBER($N$3),$N$3&gt;0),R75/(6*$N$3*1000000*$N$5)*(IF(N75&lt;($N$4*7/10),($N$4*7/10)*(MIN(O75,($N$4*7/10))^3-N75^3)-(MIN(O75,($N$4*7/10))^4-N75^4)/4,0)+IF(O75&gt;($N$4*7/10),($N$4*7/10)^2*(1.5*(O75^2-MAX(N75,($N$4*7/10))^2)-($N$4*7/10)*(O75-MAX(N75,($N$4*7/10)))),0))*1000,0)</f>
        <v>0</v>
      </c>
      <c r="AU75" s="120">
        <f>IF(AND(V75="OK",ISNUMBER($N$5),$N$5&gt;0,ISNUMBER($N$3),$N$3&gt;0),R75/(6*$N$3*1000000*$N$5)*(IF(N75&lt;($N$4*8/10),($N$4*8/10)*(MIN(O75,($N$4*8/10))^3-N75^3)-(MIN(O75,($N$4*8/10))^4-N75^4)/4,0)+IF(O75&gt;($N$4*8/10),($N$4*8/10)^2*(1.5*(O75^2-MAX(N75,($N$4*8/10))^2)-($N$4*8/10)*(O75-MAX(N75,($N$4*8/10)))),0))*1000,0)</f>
        <v>0</v>
      </c>
      <c r="AV75" s="120">
        <f>IF(AND(V75="OK",ISNUMBER($N$5),$N$5&gt;0,ISNUMBER($N$3),$N$3&gt;0),R75/(6*$N$3*1000000*$N$5)*(IF(N75&lt;($N$4*9/10),($N$4*9/10)*(MIN(O75,($N$4*9/10))^3-N75^3)-(MIN(O75,($N$4*9/10))^4-N75^4)/4,0)+IF(O75&gt;($N$4*9/10),($N$4*9/10)^2*(1.5*(O75^2-MAX(N75,($N$4*9/10))^2)-($N$4*9/10)*(O75-MAX(N75,($N$4*9/10)))),0))*1000,0)</f>
        <v>0</v>
      </c>
      <c r="AW75" s="120">
        <f>IF(AND(V75="OK",ISNUMBER($N$5),$N$5&gt;0,ISNUMBER($N$3),$N$3&gt;0),R75/(6*$N$3*1000000*$N$5)*(IF(N75&lt;($N$4*10/10),($N$4*10/10)*(MIN(O75,($N$4*10/10))^3-N75^3)-(MIN(O75,($N$4*10/10))^4-N75^4)/4,0)+IF(O75&gt;($N$4*10/10),($N$4*10/10)^2*(1.5*(O75^2-MAX(N75,($N$4*10/10))^2)-($N$4*10/10)*(O75-MAX(N75,($N$4*10/10)))),0))*1000,0)</f>
        <v>0</v>
      </c>
    </row>
    <row r="76" spans="1:49">
      <c r="A76" s="124"/>
      <c r="B76" s="125"/>
      <c r="C76" s="125"/>
      <c r="D76" s="125"/>
      <c r="E76" s="125"/>
      <c r="F76" s="126" t="str">
        <f>IF(J76="OK",D76*E76,"")</f>
        <v/>
      </c>
      <c r="G76" s="126" t="str">
        <f>IF(J76="OK",F76*(C76-B76),"")</f>
        <v/>
      </c>
      <c r="H76" s="126" t="str">
        <f>IF(J76="OK",G76*(C76+B76)/2,"")</f>
        <v/>
      </c>
      <c r="I76" s="126" t="str">
        <f>IF(AND(J76="OK",ISNUMBER($B$5),$B$5&gt;0,ISNUMBER($B$3),$B$3&gt;0),F76*(4*$B$4*(C76^3-B76^3)-(C76^4-B76^4))/(24*$B$3*1000000*$B$5)*1000,"")</f>
        <v/>
      </c>
      <c r="J76" s="120" t="str">
        <f>IF(COUNTA(A76:E76)=0,"",IF(AND(COUNT(B76:E76)=4,B76&gt;=0,C76&gt;B76,C76&lt;=$B$4,D76&gt;=0,E76&gt;0),IF(COUNTIFS($B$13:$B$75,"&lt;"&amp;C76,$C$13:$C$75,"&gt;"&amp;B76)&gt;0,"OVERLAP","OK"),"CHECK INPUTS"))</f>
        <v/>
      </c>
      <c r="M76" s="124"/>
      <c r="N76" s="125"/>
      <c r="O76" s="125"/>
      <c r="P76" s="125"/>
      <c r="Q76" s="125"/>
      <c r="R76" s="126" t="str">
        <f>IF(V76="OK",P76*Q76,"")</f>
        <v/>
      </c>
      <c r="S76" s="126" t="str">
        <f>IF(V76="OK",R76*(O76-N76),"")</f>
        <v/>
      </c>
      <c r="T76" s="126" t="str">
        <f>IF(V76="OK",S76*(O76+N76)/2,"")</f>
        <v/>
      </c>
      <c r="U76" s="126" t="str">
        <f>IF(AND(V76="OK",ISNUMBER($N$5),$N$5&gt;0,ISNUMBER($N$3),$N$3&gt;0),R76*(4*$N$4*(O76^3-N76^3)-(O76^4-N76^4))/(24*$N$3*1000000*$N$5)*1000,"")</f>
        <v/>
      </c>
      <c r="V76" s="120" t="str">
        <f>IF(COUNTA(M76:Q76)=0,"",IF(AND(COUNT(N76:Q76)=4,N76&gt;=0,O76&gt;N76,O76&lt;=$N$4,P76&gt;=0,Q76&gt;0),IF(COUNTIFS($N$13:$N$75,"&lt;"&amp;O76,$O$13:$O$75,"&gt;"&amp;N76)&gt;0,"OVERLAP","OK"),"CHECK INPUTS"))</f>
        <v/>
      </c>
      <c r="AA76" s="120">
        <f>IF(AND(J76="OK",ISNUMBER($B$5),$B$5&gt;0,ISNUMBER($B$3),$B$3&gt;0),F76/(6*$B$3*1000000*$B$5)*(IF(B76&lt;($B$4*0/10),($B$4*0/10)*(MIN(C76,($B$4*0/10))^3-B76^3)-(MIN(C76,($B$4*0/10))^4-B76^4)/4,0)+IF(C76&gt;($B$4*0/10),($B$4*0/10)^2*(1.5*(C76^2-MAX(B76,($B$4*0/10))^2)-($B$4*0/10)*(C76-MAX(B76,($B$4*0/10)))),0))*1000,0)</f>
        <v>0</v>
      </c>
      <c r="AB76" s="120">
        <f>IF(AND(J76="OK",ISNUMBER($B$5),$B$5&gt;0,ISNUMBER($B$3),$B$3&gt;0),F76/(6*$B$3*1000000*$B$5)*(IF(B76&lt;($B$4*1/10),($B$4*1/10)*(MIN(C76,($B$4*1/10))^3-B76^3)-(MIN(C76,($B$4*1/10))^4-B76^4)/4,0)+IF(C76&gt;($B$4*1/10),($B$4*1/10)^2*(1.5*(C76^2-MAX(B76,($B$4*1/10))^2)-($B$4*1/10)*(C76-MAX(B76,($B$4*1/10)))),0))*1000,0)</f>
        <v>0</v>
      </c>
      <c r="AC76" s="120">
        <f>IF(AND(J76="OK",ISNUMBER($B$5),$B$5&gt;0,ISNUMBER($B$3),$B$3&gt;0),F76/(6*$B$3*1000000*$B$5)*(IF(B76&lt;($B$4*2/10),($B$4*2/10)*(MIN(C76,($B$4*2/10))^3-B76^3)-(MIN(C76,($B$4*2/10))^4-B76^4)/4,0)+IF(C76&gt;($B$4*2/10),($B$4*2/10)^2*(1.5*(C76^2-MAX(B76,($B$4*2/10))^2)-($B$4*2/10)*(C76-MAX(B76,($B$4*2/10)))),0))*1000,0)</f>
        <v>0</v>
      </c>
      <c r="AD76" s="120">
        <f>IF(AND(J76="OK",ISNUMBER($B$5),$B$5&gt;0,ISNUMBER($B$3),$B$3&gt;0),F76/(6*$B$3*1000000*$B$5)*(IF(B76&lt;($B$4*3/10),($B$4*3/10)*(MIN(C76,($B$4*3/10))^3-B76^3)-(MIN(C76,($B$4*3/10))^4-B76^4)/4,0)+IF(C76&gt;($B$4*3/10),($B$4*3/10)^2*(1.5*(C76^2-MAX(B76,($B$4*3/10))^2)-($B$4*3/10)*(C76-MAX(B76,($B$4*3/10)))),0))*1000,0)</f>
        <v>0</v>
      </c>
      <c r="AE76" s="120">
        <f>IF(AND(J76="OK",ISNUMBER($B$5),$B$5&gt;0,ISNUMBER($B$3),$B$3&gt;0),F76/(6*$B$3*1000000*$B$5)*(IF(B76&lt;($B$4*4/10),($B$4*4/10)*(MIN(C76,($B$4*4/10))^3-B76^3)-(MIN(C76,($B$4*4/10))^4-B76^4)/4,0)+IF(C76&gt;($B$4*4/10),($B$4*4/10)^2*(1.5*(C76^2-MAX(B76,($B$4*4/10))^2)-($B$4*4/10)*(C76-MAX(B76,($B$4*4/10)))),0))*1000,0)</f>
        <v>0</v>
      </c>
      <c r="AF76" s="120">
        <f>IF(AND(J76="OK",ISNUMBER($B$5),$B$5&gt;0,ISNUMBER($B$3),$B$3&gt;0),F76/(6*$B$3*1000000*$B$5)*(IF(B76&lt;($B$4*5/10),($B$4*5/10)*(MIN(C76,($B$4*5/10))^3-B76^3)-(MIN(C76,($B$4*5/10))^4-B76^4)/4,0)+IF(C76&gt;($B$4*5/10),($B$4*5/10)^2*(1.5*(C76^2-MAX(B76,($B$4*5/10))^2)-($B$4*5/10)*(C76-MAX(B76,($B$4*5/10)))),0))*1000,0)</f>
        <v>0</v>
      </c>
      <c r="AG76" s="120">
        <f>IF(AND(J76="OK",ISNUMBER($B$5),$B$5&gt;0,ISNUMBER($B$3),$B$3&gt;0),F76/(6*$B$3*1000000*$B$5)*(IF(B76&lt;($B$4*6/10),($B$4*6/10)*(MIN(C76,($B$4*6/10))^3-B76^3)-(MIN(C76,($B$4*6/10))^4-B76^4)/4,0)+IF(C76&gt;($B$4*6/10),($B$4*6/10)^2*(1.5*(C76^2-MAX(B76,($B$4*6/10))^2)-($B$4*6/10)*(C76-MAX(B76,($B$4*6/10)))),0))*1000,0)</f>
        <v>0</v>
      </c>
      <c r="AH76" s="120">
        <f>IF(AND(J76="OK",ISNUMBER($B$5),$B$5&gt;0,ISNUMBER($B$3),$B$3&gt;0),F76/(6*$B$3*1000000*$B$5)*(IF(B76&lt;($B$4*7/10),($B$4*7/10)*(MIN(C76,($B$4*7/10))^3-B76^3)-(MIN(C76,($B$4*7/10))^4-B76^4)/4,0)+IF(C76&gt;($B$4*7/10),($B$4*7/10)^2*(1.5*(C76^2-MAX(B76,($B$4*7/10))^2)-($B$4*7/10)*(C76-MAX(B76,($B$4*7/10)))),0))*1000,0)</f>
        <v>0</v>
      </c>
      <c r="AI76" s="120">
        <f>IF(AND(J76="OK",ISNUMBER($B$5),$B$5&gt;0,ISNUMBER($B$3),$B$3&gt;0),F76/(6*$B$3*1000000*$B$5)*(IF(B76&lt;($B$4*8/10),($B$4*8/10)*(MIN(C76,($B$4*8/10))^3-B76^3)-(MIN(C76,($B$4*8/10))^4-B76^4)/4,0)+IF(C76&gt;($B$4*8/10),($B$4*8/10)^2*(1.5*(C76^2-MAX(B76,($B$4*8/10))^2)-($B$4*8/10)*(C76-MAX(B76,($B$4*8/10)))),0))*1000,0)</f>
        <v>0</v>
      </c>
      <c r="AJ76" s="120">
        <f>IF(AND(J76="OK",ISNUMBER($B$5),$B$5&gt;0,ISNUMBER($B$3),$B$3&gt;0),F76/(6*$B$3*1000000*$B$5)*(IF(B76&lt;($B$4*9/10),($B$4*9/10)*(MIN(C76,($B$4*9/10))^3-B76^3)-(MIN(C76,($B$4*9/10))^4-B76^4)/4,0)+IF(C76&gt;($B$4*9/10),($B$4*9/10)^2*(1.5*(C76^2-MAX(B76,($B$4*9/10))^2)-($B$4*9/10)*(C76-MAX(B76,($B$4*9/10)))),0))*1000,0)</f>
        <v>0</v>
      </c>
      <c r="AK76" s="120">
        <f>IF(AND(J76="OK",ISNUMBER($B$5),$B$5&gt;0,ISNUMBER($B$3),$B$3&gt;0),F76/(6*$B$3*1000000*$B$5)*(IF(B76&lt;($B$4*10/10),($B$4*10/10)*(MIN(C76,($B$4*10/10))^3-B76^3)-(MIN(C76,($B$4*10/10))^4-B76^4)/4,0)+IF(C76&gt;($B$4*10/10),($B$4*10/10)^2*(1.5*(C76^2-MAX(B76,($B$4*10/10))^2)-($B$4*10/10)*(C76-MAX(B76,($B$4*10/10)))),0))*1000,0)</f>
        <v>0</v>
      </c>
      <c r="AM76" s="120">
        <f>IF(AND(V76="OK",ISNUMBER($N$5),$N$5&gt;0,ISNUMBER($N$3),$N$3&gt;0),R76/(6*$N$3*1000000*$N$5)*(IF(N76&lt;($N$4*0/10),($N$4*0/10)*(MIN(O76,($N$4*0/10))^3-N76^3)-(MIN(O76,($N$4*0/10))^4-N76^4)/4,0)+IF(O76&gt;($N$4*0/10),($N$4*0/10)^2*(1.5*(O76^2-MAX(N76,($N$4*0/10))^2)-($N$4*0/10)*(O76-MAX(N76,($N$4*0/10)))),0))*1000,0)</f>
        <v>0</v>
      </c>
      <c r="AN76" s="120">
        <f>IF(AND(V76="OK",ISNUMBER($N$5),$N$5&gt;0,ISNUMBER($N$3),$N$3&gt;0),R76/(6*$N$3*1000000*$N$5)*(IF(N76&lt;($N$4*1/10),($N$4*1/10)*(MIN(O76,($N$4*1/10))^3-N76^3)-(MIN(O76,($N$4*1/10))^4-N76^4)/4,0)+IF(O76&gt;($N$4*1/10),($N$4*1/10)^2*(1.5*(O76^2-MAX(N76,($N$4*1/10))^2)-($N$4*1/10)*(O76-MAX(N76,($N$4*1/10)))),0))*1000,0)</f>
        <v>0</v>
      </c>
      <c r="AO76" s="120">
        <f>IF(AND(V76="OK",ISNUMBER($N$5),$N$5&gt;0,ISNUMBER($N$3),$N$3&gt;0),R76/(6*$N$3*1000000*$N$5)*(IF(N76&lt;($N$4*2/10),($N$4*2/10)*(MIN(O76,($N$4*2/10))^3-N76^3)-(MIN(O76,($N$4*2/10))^4-N76^4)/4,0)+IF(O76&gt;($N$4*2/10),($N$4*2/10)^2*(1.5*(O76^2-MAX(N76,($N$4*2/10))^2)-($N$4*2/10)*(O76-MAX(N76,($N$4*2/10)))),0))*1000,0)</f>
        <v>0</v>
      </c>
      <c r="AP76" s="120">
        <f>IF(AND(V76="OK",ISNUMBER($N$5),$N$5&gt;0,ISNUMBER($N$3),$N$3&gt;0),R76/(6*$N$3*1000000*$N$5)*(IF(N76&lt;($N$4*3/10),($N$4*3/10)*(MIN(O76,($N$4*3/10))^3-N76^3)-(MIN(O76,($N$4*3/10))^4-N76^4)/4,0)+IF(O76&gt;($N$4*3/10),($N$4*3/10)^2*(1.5*(O76^2-MAX(N76,($N$4*3/10))^2)-($N$4*3/10)*(O76-MAX(N76,($N$4*3/10)))),0))*1000,0)</f>
        <v>0</v>
      </c>
      <c r="AQ76" s="120">
        <f>IF(AND(V76="OK",ISNUMBER($N$5),$N$5&gt;0,ISNUMBER($N$3),$N$3&gt;0),R76/(6*$N$3*1000000*$N$5)*(IF(N76&lt;($N$4*4/10),($N$4*4/10)*(MIN(O76,($N$4*4/10))^3-N76^3)-(MIN(O76,($N$4*4/10))^4-N76^4)/4,0)+IF(O76&gt;($N$4*4/10),($N$4*4/10)^2*(1.5*(O76^2-MAX(N76,($N$4*4/10))^2)-($N$4*4/10)*(O76-MAX(N76,($N$4*4/10)))),0))*1000,0)</f>
        <v>0</v>
      </c>
      <c r="AR76" s="120">
        <f>IF(AND(V76="OK",ISNUMBER($N$5),$N$5&gt;0,ISNUMBER($N$3),$N$3&gt;0),R76/(6*$N$3*1000000*$N$5)*(IF(N76&lt;($N$4*5/10),($N$4*5/10)*(MIN(O76,($N$4*5/10))^3-N76^3)-(MIN(O76,($N$4*5/10))^4-N76^4)/4,0)+IF(O76&gt;($N$4*5/10),($N$4*5/10)^2*(1.5*(O76^2-MAX(N76,($N$4*5/10))^2)-($N$4*5/10)*(O76-MAX(N76,($N$4*5/10)))),0))*1000,0)</f>
        <v>0</v>
      </c>
      <c r="AS76" s="120">
        <f>IF(AND(V76="OK",ISNUMBER($N$5),$N$5&gt;0,ISNUMBER($N$3),$N$3&gt;0),R76/(6*$N$3*1000000*$N$5)*(IF(N76&lt;($N$4*6/10),($N$4*6/10)*(MIN(O76,($N$4*6/10))^3-N76^3)-(MIN(O76,($N$4*6/10))^4-N76^4)/4,0)+IF(O76&gt;($N$4*6/10),($N$4*6/10)^2*(1.5*(O76^2-MAX(N76,($N$4*6/10))^2)-($N$4*6/10)*(O76-MAX(N76,($N$4*6/10)))),0))*1000,0)</f>
        <v>0</v>
      </c>
      <c r="AT76" s="120">
        <f>IF(AND(V76="OK",ISNUMBER($N$5),$N$5&gt;0,ISNUMBER($N$3),$N$3&gt;0),R76/(6*$N$3*1000000*$N$5)*(IF(N76&lt;($N$4*7/10),($N$4*7/10)*(MIN(O76,($N$4*7/10))^3-N76^3)-(MIN(O76,($N$4*7/10))^4-N76^4)/4,0)+IF(O76&gt;($N$4*7/10),($N$4*7/10)^2*(1.5*(O76^2-MAX(N76,($N$4*7/10))^2)-($N$4*7/10)*(O76-MAX(N76,($N$4*7/10)))),0))*1000,0)</f>
        <v>0</v>
      </c>
      <c r="AU76" s="120">
        <f>IF(AND(V76="OK",ISNUMBER($N$5),$N$5&gt;0,ISNUMBER($N$3),$N$3&gt;0),R76/(6*$N$3*1000000*$N$5)*(IF(N76&lt;($N$4*8/10),($N$4*8/10)*(MIN(O76,($N$4*8/10))^3-N76^3)-(MIN(O76,($N$4*8/10))^4-N76^4)/4,0)+IF(O76&gt;($N$4*8/10),($N$4*8/10)^2*(1.5*(O76^2-MAX(N76,($N$4*8/10))^2)-($N$4*8/10)*(O76-MAX(N76,($N$4*8/10)))),0))*1000,0)</f>
        <v>0</v>
      </c>
      <c r="AV76" s="120">
        <f>IF(AND(V76="OK",ISNUMBER($N$5),$N$5&gt;0,ISNUMBER($N$3),$N$3&gt;0),R76/(6*$N$3*1000000*$N$5)*(IF(N76&lt;($N$4*9/10),($N$4*9/10)*(MIN(O76,($N$4*9/10))^3-N76^3)-(MIN(O76,($N$4*9/10))^4-N76^4)/4,0)+IF(O76&gt;($N$4*9/10),($N$4*9/10)^2*(1.5*(O76^2-MAX(N76,($N$4*9/10))^2)-($N$4*9/10)*(O76-MAX(N76,($N$4*9/10)))),0))*1000,0)</f>
        <v>0</v>
      </c>
      <c r="AW76" s="120">
        <f>IF(AND(V76="OK",ISNUMBER($N$5),$N$5&gt;0,ISNUMBER($N$3),$N$3&gt;0),R76/(6*$N$3*1000000*$N$5)*(IF(N76&lt;($N$4*10/10),($N$4*10/10)*(MIN(O76,($N$4*10/10))^3-N76^3)-(MIN(O76,($N$4*10/10))^4-N76^4)/4,0)+IF(O76&gt;($N$4*10/10),($N$4*10/10)^2*(1.5*(O76^2-MAX(N76,($N$4*10/10))^2)-($N$4*10/10)*(O76-MAX(N76,($N$4*10/10)))),0))*1000,0)</f>
        <v>0</v>
      </c>
    </row>
    <row r="77" spans="1:49">
      <c r="A77" s="124"/>
      <c r="B77" s="125"/>
      <c r="C77" s="125"/>
      <c r="D77" s="125"/>
      <c r="E77" s="125"/>
      <c r="F77" s="126" t="str">
        <f>IF(J77="OK",D77*E77,"")</f>
        <v/>
      </c>
      <c r="G77" s="126" t="str">
        <f>IF(J77="OK",F77*(C77-B77),"")</f>
        <v/>
      </c>
      <c r="H77" s="126" t="str">
        <f>IF(J77="OK",G77*(C77+B77)/2,"")</f>
        <v/>
      </c>
      <c r="I77" s="126" t="str">
        <f>IF(AND(J77="OK",ISNUMBER($B$5),$B$5&gt;0,ISNUMBER($B$3),$B$3&gt;0),F77*(4*$B$4*(C77^3-B77^3)-(C77^4-B77^4))/(24*$B$3*1000000*$B$5)*1000,"")</f>
        <v/>
      </c>
      <c r="J77" s="120" t="str">
        <f>IF(COUNTA(A77:E77)=0,"",IF(AND(COUNT(B77:E77)=4,B77&gt;=0,C77&gt;B77,C77&lt;=$B$4,D77&gt;=0,E77&gt;0),IF(COUNTIFS($B$13:$B$76,"&lt;"&amp;C77,$C$13:$C$76,"&gt;"&amp;B77)&gt;0,"OVERLAP","OK"),"CHECK INPUTS"))</f>
        <v/>
      </c>
      <c r="M77" s="124"/>
      <c r="N77" s="125"/>
      <c r="O77" s="125"/>
      <c r="P77" s="125"/>
      <c r="Q77" s="125"/>
      <c r="R77" s="126" t="str">
        <f>IF(V77="OK",P77*Q77,"")</f>
        <v/>
      </c>
      <c r="S77" s="126" t="str">
        <f>IF(V77="OK",R77*(O77-N77),"")</f>
        <v/>
      </c>
      <c r="T77" s="126" t="str">
        <f>IF(V77="OK",S77*(O77+N77)/2,"")</f>
        <v/>
      </c>
      <c r="U77" s="126" t="str">
        <f>IF(AND(V77="OK",ISNUMBER($N$5),$N$5&gt;0,ISNUMBER($N$3),$N$3&gt;0),R77*(4*$N$4*(O77^3-N77^3)-(O77^4-N77^4))/(24*$N$3*1000000*$N$5)*1000,"")</f>
        <v/>
      </c>
      <c r="V77" s="120" t="str">
        <f>IF(COUNTA(M77:Q77)=0,"",IF(AND(COUNT(N77:Q77)=4,N77&gt;=0,O77&gt;N77,O77&lt;=$N$4,P77&gt;=0,Q77&gt;0),IF(COUNTIFS($N$13:$N$76,"&lt;"&amp;O77,$O$13:$O$76,"&gt;"&amp;N77)&gt;0,"OVERLAP","OK"),"CHECK INPUTS"))</f>
        <v/>
      </c>
      <c r="AA77" s="120">
        <f>IF(AND(J77="OK",ISNUMBER($B$5),$B$5&gt;0,ISNUMBER($B$3),$B$3&gt;0),F77/(6*$B$3*1000000*$B$5)*(IF(B77&lt;($B$4*0/10),($B$4*0/10)*(MIN(C77,($B$4*0/10))^3-B77^3)-(MIN(C77,($B$4*0/10))^4-B77^4)/4,0)+IF(C77&gt;($B$4*0/10),($B$4*0/10)^2*(1.5*(C77^2-MAX(B77,($B$4*0/10))^2)-($B$4*0/10)*(C77-MAX(B77,($B$4*0/10)))),0))*1000,0)</f>
        <v>0</v>
      </c>
      <c r="AB77" s="120">
        <f>IF(AND(J77="OK",ISNUMBER($B$5),$B$5&gt;0,ISNUMBER($B$3),$B$3&gt;0),F77/(6*$B$3*1000000*$B$5)*(IF(B77&lt;($B$4*1/10),($B$4*1/10)*(MIN(C77,($B$4*1/10))^3-B77^3)-(MIN(C77,($B$4*1/10))^4-B77^4)/4,0)+IF(C77&gt;($B$4*1/10),($B$4*1/10)^2*(1.5*(C77^2-MAX(B77,($B$4*1/10))^2)-($B$4*1/10)*(C77-MAX(B77,($B$4*1/10)))),0))*1000,0)</f>
        <v>0</v>
      </c>
      <c r="AC77" s="120">
        <f>IF(AND(J77="OK",ISNUMBER($B$5),$B$5&gt;0,ISNUMBER($B$3),$B$3&gt;0),F77/(6*$B$3*1000000*$B$5)*(IF(B77&lt;($B$4*2/10),($B$4*2/10)*(MIN(C77,($B$4*2/10))^3-B77^3)-(MIN(C77,($B$4*2/10))^4-B77^4)/4,0)+IF(C77&gt;($B$4*2/10),($B$4*2/10)^2*(1.5*(C77^2-MAX(B77,($B$4*2/10))^2)-($B$4*2/10)*(C77-MAX(B77,($B$4*2/10)))),0))*1000,0)</f>
        <v>0</v>
      </c>
      <c r="AD77" s="120">
        <f>IF(AND(J77="OK",ISNUMBER($B$5),$B$5&gt;0,ISNUMBER($B$3),$B$3&gt;0),F77/(6*$B$3*1000000*$B$5)*(IF(B77&lt;($B$4*3/10),($B$4*3/10)*(MIN(C77,($B$4*3/10))^3-B77^3)-(MIN(C77,($B$4*3/10))^4-B77^4)/4,0)+IF(C77&gt;($B$4*3/10),($B$4*3/10)^2*(1.5*(C77^2-MAX(B77,($B$4*3/10))^2)-($B$4*3/10)*(C77-MAX(B77,($B$4*3/10)))),0))*1000,0)</f>
        <v>0</v>
      </c>
      <c r="AE77" s="120">
        <f>IF(AND(J77="OK",ISNUMBER($B$5),$B$5&gt;0,ISNUMBER($B$3),$B$3&gt;0),F77/(6*$B$3*1000000*$B$5)*(IF(B77&lt;($B$4*4/10),($B$4*4/10)*(MIN(C77,($B$4*4/10))^3-B77^3)-(MIN(C77,($B$4*4/10))^4-B77^4)/4,0)+IF(C77&gt;($B$4*4/10),($B$4*4/10)^2*(1.5*(C77^2-MAX(B77,($B$4*4/10))^2)-($B$4*4/10)*(C77-MAX(B77,($B$4*4/10)))),0))*1000,0)</f>
        <v>0</v>
      </c>
      <c r="AF77" s="120">
        <f>IF(AND(J77="OK",ISNUMBER($B$5),$B$5&gt;0,ISNUMBER($B$3),$B$3&gt;0),F77/(6*$B$3*1000000*$B$5)*(IF(B77&lt;($B$4*5/10),($B$4*5/10)*(MIN(C77,($B$4*5/10))^3-B77^3)-(MIN(C77,($B$4*5/10))^4-B77^4)/4,0)+IF(C77&gt;($B$4*5/10),($B$4*5/10)^2*(1.5*(C77^2-MAX(B77,($B$4*5/10))^2)-($B$4*5/10)*(C77-MAX(B77,($B$4*5/10)))),0))*1000,0)</f>
        <v>0</v>
      </c>
      <c r="AG77" s="120">
        <f>IF(AND(J77="OK",ISNUMBER($B$5),$B$5&gt;0,ISNUMBER($B$3),$B$3&gt;0),F77/(6*$B$3*1000000*$B$5)*(IF(B77&lt;($B$4*6/10),($B$4*6/10)*(MIN(C77,($B$4*6/10))^3-B77^3)-(MIN(C77,($B$4*6/10))^4-B77^4)/4,0)+IF(C77&gt;($B$4*6/10),($B$4*6/10)^2*(1.5*(C77^2-MAX(B77,($B$4*6/10))^2)-($B$4*6/10)*(C77-MAX(B77,($B$4*6/10)))),0))*1000,0)</f>
        <v>0</v>
      </c>
      <c r="AH77" s="120">
        <f>IF(AND(J77="OK",ISNUMBER($B$5),$B$5&gt;0,ISNUMBER($B$3),$B$3&gt;0),F77/(6*$B$3*1000000*$B$5)*(IF(B77&lt;($B$4*7/10),($B$4*7/10)*(MIN(C77,($B$4*7/10))^3-B77^3)-(MIN(C77,($B$4*7/10))^4-B77^4)/4,0)+IF(C77&gt;($B$4*7/10),($B$4*7/10)^2*(1.5*(C77^2-MAX(B77,($B$4*7/10))^2)-($B$4*7/10)*(C77-MAX(B77,($B$4*7/10)))),0))*1000,0)</f>
        <v>0</v>
      </c>
      <c r="AI77" s="120">
        <f>IF(AND(J77="OK",ISNUMBER($B$5),$B$5&gt;0,ISNUMBER($B$3),$B$3&gt;0),F77/(6*$B$3*1000000*$B$5)*(IF(B77&lt;($B$4*8/10),($B$4*8/10)*(MIN(C77,($B$4*8/10))^3-B77^3)-(MIN(C77,($B$4*8/10))^4-B77^4)/4,0)+IF(C77&gt;($B$4*8/10),($B$4*8/10)^2*(1.5*(C77^2-MAX(B77,($B$4*8/10))^2)-($B$4*8/10)*(C77-MAX(B77,($B$4*8/10)))),0))*1000,0)</f>
        <v>0</v>
      </c>
      <c r="AJ77" s="120">
        <f>IF(AND(J77="OK",ISNUMBER($B$5),$B$5&gt;0,ISNUMBER($B$3),$B$3&gt;0),F77/(6*$B$3*1000000*$B$5)*(IF(B77&lt;($B$4*9/10),($B$4*9/10)*(MIN(C77,($B$4*9/10))^3-B77^3)-(MIN(C77,($B$4*9/10))^4-B77^4)/4,0)+IF(C77&gt;($B$4*9/10),($B$4*9/10)^2*(1.5*(C77^2-MAX(B77,($B$4*9/10))^2)-($B$4*9/10)*(C77-MAX(B77,($B$4*9/10)))),0))*1000,0)</f>
        <v>0</v>
      </c>
      <c r="AK77" s="120">
        <f>IF(AND(J77="OK",ISNUMBER($B$5),$B$5&gt;0,ISNUMBER($B$3),$B$3&gt;0),F77/(6*$B$3*1000000*$B$5)*(IF(B77&lt;($B$4*10/10),($B$4*10/10)*(MIN(C77,($B$4*10/10))^3-B77^3)-(MIN(C77,($B$4*10/10))^4-B77^4)/4,0)+IF(C77&gt;($B$4*10/10),($B$4*10/10)^2*(1.5*(C77^2-MAX(B77,($B$4*10/10))^2)-($B$4*10/10)*(C77-MAX(B77,($B$4*10/10)))),0))*1000,0)</f>
        <v>0</v>
      </c>
      <c r="AM77" s="120">
        <f>IF(AND(V77="OK",ISNUMBER($N$5),$N$5&gt;0,ISNUMBER($N$3),$N$3&gt;0),R77/(6*$N$3*1000000*$N$5)*(IF(N77&lt;($N$4*0/10),($N$4*0/10)*(MIN(O77,($N$4*0/10))^3-N77^3)-(MIN(O77,($N$4*0/10))^4-N77^4)/4,0)+IF(O77&gt;($N$4*0/10),($N$4*0/10)^2*(1.5*(O77^2-MAX(N77,($N$4*0/10))^2)-($N$4*0/10)*(O77-MAX(N77,($N$4*0/10)))),0))*1000,0)</f>
        <v>0</v>
      </c>
      <c r="AN77" s="120">
        <f>IF(AND(V77="OK",ISNUMBER($N$5),$N$5&gt;0,ISNUMBER($N$3),$N$3&gt;0),R77/(6*$N$3*1000000*$N$5)*(IF(N77&lt;($N$4*1/10),($N$4*1/10)*(MIN(O77,($N$4*1/10))^3-N77^3)-(MIN(O77,($N$4*1/10))^4-N77^4)/4,0)+IF(O77&gt;($N$4*1/10),($N$4*1/10)^2*(1.5*(O77^2-MAX(N77,($N$4*1/10))^2)-($N$4*1/10)*(O77-MAX(N77,($N$4*1/10)))),0))*1000,0)</f>
        <v>0</v>
      </c>
      <c r="AO77" s="120">
        <f>IF(AND(V77="OK",ISNUMBER($N$5),$N$5&gt;0,ISNUMBER($N$3),$N$3&gt;0),R77/(6*$N$3*1000000*$N$5)*(IF(N77&lt;($N$4*2/10),($N$4*2/10)*(MIN(O77,($N$4*2/10))^3-N77^3)-(MIN(O77,($N$4*2/10))^4-N77^4)/4,0)+IF(O77&gt;($N$4*2/10),($N$4*2/10)^2*(1.5*(O77^2-MAX(N77,($N$4*2/10))^2)-($N$4*2/10)*(O77-MAX(N77,($N$4*2/10)))),0))*1000,0)</f>
        <v>0</v>
      </c>
      <c r="AP77" s="120">
        <f>IF(AND(V77="OK",ISNUMBER($N$5),$N$5&gt;0,ISNUMBER($N$3),$N$3&gt;0),R77/(6*$N$3*1000000*$N$5)*(IF(N77&lt;($N$4*3/10),($N$4*3/10)*(MIN(O77,($N$4*3/10))^3-N77^3)-(MIN(O77,($N$4*3/10))^4-N77^4)/4,0)+IF(O77&gt;($N$4*3/10),($N$4*3/10)^2*(1.5*(O77^2-MAX(N77,($N$4*3/10))^2)-($N$4*3/10)*(O77-MAX(N77,($N$4*3/10)))),0))*1000,0)</f>
        <v>0</v>
      </c>
      <c r="AQ77" s="120">
        <f>IF(AND(V77="OK",ISNUMBER($N$5),$N$5&gt;0,ISNUMBER($N$3),$N$3&gt;0),R77/(6*$N$3*1000000*$N$5)*(IF(N77&lt;($N$4*4/10),($N$4*4/10)*(MIN(O77,($N$4*4/10))^3-N77^3)-(MIN(O77,($N$4*4/10))^4-N77^4)/4,0)+IF(O77&gt;($N$4*4/10),($N$4*4/10)^2*(1.5*(O77^2-MAX(N77,($N$4*4/10))^2)-($N$4*4/10)*(O77-MAX(N77,($N$4*4/10)))),0))*1000,0)</f>
        <v>0</v>
      </c>
      <c r="AR77" s="120">
        <f>IF(AND(V77="OK",ISNUMBER($N$5),$N$5&gt;0,ISNUMBER($N$3),$N$3&gt;0),R77/(6*$N$3*1000000*$N$5)*(IF(N77&lt;($N$4*5/10),($N$4*5/10)*(MIN(O77,($N$4*5/10))^3-N77^3)-(MIN(O77,($N$4*5/10))^4-N77^4)/4,0)+IF(O77&gt;($N$4*5/10),($N$4*5/10)^2*(1.5*(O77^2-MAX(N77,($N$4*5/10))^2)-($N$4*5/10)*(O77-MAX(N77,($N$4*5/10)))),0))*1000,0)</f>
        <v>0</v>
      </c>
      <c r="AS77" s="120">
        <f>IF(AND(V77="OK",ISNUMBER($N$5),$N$5&gt;0,ISNUMBER($N$3),$N$3&gt;0),R77/(6*$N$3*1000000*$N$5)*(IF(N77&lt;($N$4*6/10),($N$4*6/10)*(MIN(O77,($N$4*6/10))^3-N77^3)-(MIN(O77,($N$4*6/10))^4-N77^4)/4,0)+IF(O77&gt;($N$4*6/10),($N$4*6/10)^2*(1.5*(O77^2-MAX(N77,($N$4*6/10))^2)-($N$4*6/10)*(O77-MAX(N77,($N$4*6/10)))),0))*1000,0)</f>
        <v>0</v>
      </c>
      <c r="AT77" s="120">
        <f>IF(AND(V77="OK",ISNUMBER($N$5),$N$5&gt;0,ISNUMBER($N$3),$N$3&gt;0),R77/(6*$N$3*1000000*$N$5)*(IF(N77&lt;($N$4*7/10),($N$4*7/10)*(MIN(O77,($N$4*7/10))^3-N77^3)-(MIN(O77,($N$4*7/10))^4-N77^4)/4,0)+IF(O77&gt;($N$4*7/10),($N$4*7/10)^2*(1.5*(O77^2-MAX(N77,($N$4*7/10))^2)-($N$4*7/10)*(O77-MAX(N77,($N$4*7/10)))),0))*1000,0)</f>
        <v>0</v>
      </c>
      <c r="AU77" s="120">
        <f>IF(AND(V77="OK",ISNUMBER($N$5),$N$5&gt;0,ISNUMBER($N$3),$N$3&gt;0),R77/(6*$N$3*1000000*$N$5)*(IF(N77&lt;($N$4*8/10),($N$4*8/10)*(MIN(O77,($N$4*8/10))^3-N77^3)-(MIN(O77,($N$4*8/10))^4-N77^4)/4,0)+IF(O77&gt;($N$4*8/10),($N$4*8/10)^2*(1.5*(O77^2-MAX(N77,($N$4*8/10))^2)-($N$4*8/10)*(O77-MAX(N77,($N$4*8/10)))),0))*1000,0)</f>
        <v>0</v>
      </c>
      <c r="AV77" s="120">
        <f>IF(AND(V77="OK",ISNUMBER($N$5),$N$5&gt;0,ISNUMBER($N$3),$N$3&gt;0),R77/(6*$N$3*1000000*$N$5)*(IF(N77&lt;($N$4*9/10),($N$4*9/10)*(MIN(O77,($N$4*9/10))^3-N77^3)-(MIN(O77,($N$4*9/10))^4-N77^4)/4,0)+IF(O77&gt;($N$4*9/10),($N$4*9/10)^2*(1.5*(O77^2-MAX(N77,($N$4*9/10))^2)-($N$4*9/10)*(O77-MAX(N77,($N$4*9/10)))),0))*1000,0)</f>
        <v>0</v>
      </c>
      <c r="AW77" s="120">
        <f>IF(AND(V77="OK",ISNUMBER($N$5),$N$5&gt;0,ISNUMBER($N$3),$N$3&gt;0),R77/(6*$N$3*1000000*$N$5)*(IF(N77&lt;($N$4*10/10),($N$4*10/10)*(MIN(O77,($N$4*10/10))^3-N77^3)-(MIN(O77,($N$4*10/10))^4-N77^4)/4,0)+IF(O77&gt;($N$4*10/10),($N$4*10/10)^2*(1.5*(O77^2-MAX(N77,($N$4*10/10))^2)-($N$4*10/10)*(O77-MAX(N77,($N$4*10/10)))),0))*1000,0)</f>
        <v>0</v>
      </c>
    </row>
    <row r="78" spans="1:49">
      <c r="A78" s="124"/>
      <c r="B78" s="125"/>
      <c r="C78" s="125"/>
      <c r="D78" s="125"/>
      <c r="E78" s="125"/>
      <c r="F78" s="126" t="str">
        <f>IF(J78="OK",D78*E78,"")</f>
        <v/>
      </c>
      <c r="G78" s="126" t="str">
        <f>IF(J78="OK",F78*(C78-B78),"")</f>
        <v/>
      </c>
      <c r="H78" s="126" t="str">
        <f>IF(J78="OK",G78*(C78+B78)/2,"")</f>
        <v/>
      </c>
      <c r="I78" s="126" t="str">
        <f>IF(AND(J78="OK",ISNUMBER($B$5),$B$5&gt;0,ISNUMBER($B$3),$B$3&gt;0),F78*(4*$B$4*(C78^3-B78^3)-(C78^4-B78^4))/(24*$B$3*1000000*$B$5)*1000,"")</f>
        <v/>
      </c>
      <c r="J78" s="120" t="str">
        <f>IF(COUNTA(A78:E78)=0,"",IF(AND(COUNT(B78:E78)=4,B78&gt;=0,C78&gt;B78,C78&lt;=$B$4,D78&gt;=0,E78&gt;0),IF(COUNTIFS($B$13:$B$77,"&lt;"&amp;C78,$C$13:$C$77,"&gt;"&amp;B78)&gt;0,"OVERLAP","OK"),"CHECK INPUTS"))</f>
        <v/>
      </c>
      <c r="M78" s="124"/>
      <c r="N78" s="125"/>
      <c r="O78" s="125"/>
      <c r="P78" s="125"/>
      <c r="Q78" s="125"/>
      <c r="R78" s="126" t="str">
        <f>IF(V78="OK",P78*Q78,"")</f>
        <v/>
      </c>
      <c r="S78" s="126" t="str">
        <f>IF(V78="OK",R78*(O78-N78),"")</f>
        <v/>
      </c>
      <c r="T78" s="126" t="str">
        <f>IF(V78="OK",S78*(O78+N78)/2,"")</f>
        <v/>
      </c>
      <c r="U78" s="126" t="str">
        <f>IF(AND(V78="OK",ISNUMBER($N$5),$N$5&gt;0,ISNUMBER($N$3),$N$3&gt;0),R78*(4*$N$4*(O78^3-N78^3)-(O78^4-N78^4))/(24*$N$3*1000000*$N$5)*1000,"")</f>
        <v/>
      </c>
      <c r="V78" s="120" t="str">
        <f>IF(COUNTA(M78:Q78)=0,"",IF(AND(COUNT(N78:Q78)=4,N78&gt;=0,O78&gt;N78,O78&lt;=$N$4,P78&gt;=0,Q78&gt;0),IF(COUNTIFS($N$13:$N$77,"&lt;"&amp;O78,$O$13:$O$77,"&gt;"&amp;N78)&gt;0,"OVERLAP","OK"),"CHECK INPUTS"))</f>
        <v/>
      </c>
      <c r="AA78" s="120">
        <f>IF(AND(J78="OK",ISNUMBER($B$5),$B$5&gt;0,ISNUMBER($B$3),$B$3&gt;0),F78/(6*$B$3*1000000*$B$5)*(IF(B78&lt;($B$4*0/10),($B$4*0/10)*(MIN(C78,($B$4*0/10))^3-B78^3)-(MIN(C78,($B$4*0/10))^4-B78^4)/4,0)+IF(C78&gt;($B$4*0/10),($B$4*0/10)^2*(1.5*(C78^2-MAX(B78,($B$4*0/10))^2)-($B$4*0/10)*(C78-MAX(B78,($B$4*0/10)))),0))*1000,0)</f>
        <v>0</v>
      </c>
      <c r="AB78" s="120">
        <f>IF(AND(J78="OK",ISNUMBER($B$5),$B$5&gt;0,ISNUMBER($B$3),$B$3&gt;0),F78/(6*$B$3*1000000*$B$5)*(IF(B78&lt;($B$4*1/10),($B$4*1/10)*(MIN(C78,($B$4*1/10))^3-B78^3)-(MIN(C78,($B$4*1/10))^4-B78^4)/4,0)+IF(C78&gt;($B$4*1/10),($B$4*1/10)^2*(1.5*(C78^2-MAX(B78,($B$4*1/10))^2)-($B$4*1/10)*(C78-MAX(B78,($B$4*1/10)))),0))*1000,0)</f>
        <v>0</v>
      </c>
      <c r="AC78" s="120">
        <f>IF(AND(J78="OK",ISNUMBER($B$5),$B$5&gt;0,ISNUMBER($B$3),$B$3&gt;0),F78/(6*$B$3*1000000*$B$5)*(IF(B78&lt;($B$4*2/10),($B$4*2/10)*(MIN(C78,($B$4*2/10))^3-B78^3)-(MIN(C78,($B$4*2/10))^4-B78^4)/4,0)+IF(C78&gt;($B$4*2/10),($B$4*2/10)^2*(1.5*(C78^2-MAX(B78,($B$4*2/10))^2)-($B$4*2/10)*(C78-MAX(B78,($B$4*2/10)))),0))*1000,0)</f>
        <v>0</v>
      </c>
      <c r="AD78" s="120">
        <f>IF(AND(J78="OK",ISNUMBER($B$5),$B$5&gt;0,ISNUMBER($B$3),$B$3&gt;0),F78/(6*$B$3*1000000*$B$5)*(IF(B78&lt;($B$4*3/10),($B$4*3/10)*(MIN(C78,($B$4*3/10))^3-B78^3)-(MIN(C78,($B$4*3/10))^4-B78^4)/4,0)+IF(C78&gt;($B$4*3/10),($B$4*3/10)^2*(1.5*(C78^2-MAX(B78,($B$4*3/10))^2)-($B$4*3/10)*(C78-MAX(B78,($B$4*3/10)))),0))*1000,0)</f>
        <v>0</v>
      </c>
      <c r="AE78" s="120">
        <f>IF(AND(J78="OK",ISNUMBER($B$5),$B$5&gt;0,ISNUMBER($B$3),$B$3&gt;0),F78/(6*$B$3*1000000*$B$5)*(IF(B78&lt;($B$4*4/10),($B$4*4/10)*(MIN(C78,($B$4*4/10))^3-B78^3)-(MIN(C78,($B$4*4/10))^4-B78^4)/4,0)+IF(C78&gt;($B$4*4/10),($B$4*4/10)^2*(1.5*(C78^2-MAX(B78,($B$4*4/10))^2)-($B$4*4/10)*(C78-MAX(B78,($B$4*4/10)))),0))*1000,0)</f>
        <v>0</v>
      </c>
      <c r="AF78" s="120">
        <f>IF(AND(J78="OK",ISNUMBER($B$5),$B$5&gt;0,ISNUMBER($B$3),$B$3&gt;0),F78/(6*$B$3*1000000*$B$5)*(IF(B78&lt;($B$4*5/10),($B$4*5/10)*(MIN(C78,($B$4*5/10))^3-B78^3)-(MIN(C78,($B$4*5/10))^4-B78^4)/4,0)+IF(C78&gt;($B$4*5/10),($B$4*5/10)^2*(1.5*(C78^2-MAX(B78,($B$4*5/10))^2)-($B$4*5/10)*(C78-MAX(B78,($B$4*5/10)))),0))*1000,0)</f>
        <v>0</v>
      </c>
      <c r="AG78" s="120">
        <f>IF(AND(J78="OK",ISNUMBER($B$5),$B$5&gt;0,ISNUMBER($B$3),$B$3&gt;0),F78/(6*$B$3*1000000*$B$5)*(IF(B78&lt;($B$4*6/10),($B$4*6/10)*(MIN(C78,($B$4*6/10))^3-B78^3)-(MIN(C78,($B$4*6/10))^4-B78^4)/4,0)+IF(C78&gt;($B$4*6/10),($B$4*6/10)^2*(1.5*(C78^2-MAX(B78,($B$4*6/10))^2)-($B$4*6/10)*(C78-MAX(B78,($B$4*6/10)))),0))*1000,0)</f>
        <v>0</v>
      </c>
      <c r="AH78" s="120">
        <f>IF(AND(J78="OK",ISNUMBER($B$5),$B$5&gt;0,ISNUMBER($B$3),$B$3&gt;0),F78/(6*$B$3*1000000*$B$5)*(IF(B78&lt;($B$4*7/10),($B$4*7/10)*(MIN(C78,($B$4*7/10))^3-B78^3)-(MIN(C78,($B$4*7/10))^4-B78^4)/4,0)+IF(C78&gt;($B$4*7/10),($B$4*7/10)^2*(1.5*(C78^2-MAX(B78,($B$4*7/10))^2)-($B$4*7/10)*(C78-MAX(B78,($B$4*7/10)))),0))*1000,0)</f>
        <v>0</v>
      </c>
      <c r="AI78" s="120">
        <f>IF(AND(J78="OK",ISNUMBER($B$5),$B$5&gt;0,ISNUMBER($B$3),$B$3&gt;0),F78/(6*$B$3*1000000*$B$5)*(IF(B78&lt;($B$4*8/10),($B$4*8/10)*(MIN(C78,($B$4*8/10))^3-B78^3)-(MIN(C78,($B$4*8/10))^4-B78^4)/4,0)+IF(C78&gt;($B$4*8/10),($B$4*8/10)^2*(1.5*(C78^2-MAX(B78,($B$4*8/10))^2)-($B$4*8/10)*(C78-MAX(B78,($B$4*8/10)))),0))*1000,0)</f>
        <v>0</v>
      </c>
      <c r="AJ78" s="120">
        <f>IF(AND(J78="OK",ISNUMBER($B$5),$B$5&gt;0,ISNUMBER($B$3),$B$3&gt;0),F78/(6*$B$3*1000000*$B$5)*(IF(B78&lt;($B$4*9/10),($B$4*9/10)*(MIN(C78,($B$4*9/10))^3-B78^3)-(MIN(C78,($B$4*9/10))^4-B78^4)/4,0)+IF(C78&gt;($B$4*9/10),($B$4*9/10)^2*(1.5*(C78^2-MAX(B78,($B$4*9/10))^2)-($B$4*9/10)*(C78-MAX(B78,($B$4*9/10)))),0))*1000,0)</f>
        <v>0</v>
      </c>
      <c r="AK78" s="120">
        <f>IF(AND(J78="OK",ISNUMBER($B$5),$B$5&gt;0,ISNUMBER($B$3),$B$3&gt;0),F78/(6*$B$3*1000000*$B$5)*(IF(B78&lt;($B$4*10/10),($B$4*10/10)*(MIN(C78,($B$4*10/10))^3-B78^3)-(MIN(C78,($B$4*10/10))^4-B78^4)/4,0)+IF(C78&gt;($B$4*10/10),($B$4*10/10)^2*(1.5*(C78^2-MAX(B78,($B$4*10/10))^2)-($B$4*10/10)*(C78-MAX(B78,($B$4*10/10)))),0))*1000,0)</f>
        <v>0</v>
      </c>
      <c r="AM78" s="120">
        <f>IF(AND(V78="OK",ISNUMBER($N$5),$N$5&gt;0,ISNUMBER($N$3),$N$3&gt;0),R78/(6*$N$3*1000000*$N$5)*(IF(N78&lt;($N$4*0/10),($N$4*0/10)*(MIN(O78,($N$4*0/10))^3-N78^3)-(MIN(O78,($N$4*0/10))^4-N78^4)/4,0)+IF(O78&gt;($N$4*0/10),($N$4*0/10)^2*(1.5*(O78^2-MAX(N78,($N$4*0/10))^2)-($N$4*0/10)*(O78-MAX(N78,($N$4*0/10)))),0))*1000,0)</f>
        <v>0</v>
      </c>
      <c r="AN78" s="120">
        <f>IF(AND(V78="OK",ISNUMBER($N$5),$N$5&gt;0,ISNUMBER($N$3),$N$3&gt;0),R78/(6*$N$3*1000000*$N$5)*(IF(N78&lt;($N$4*1/10),($N$4*1/10)*(MIN(O78,($N$4*1/10))^3-N78^3)-(MIN(O78,($N$4*1/10))^4-N78^4)/4,0)+IF(O78&gt;($N$4*1/10),($N$4*1/10)^2*(1.5*(O78^2-MAX(N78,($N$4*1/10))^2)-($N$4*1/10)*(O78-MAX(N78,($N$4*1/10)))),0))*1000,0)</f>
        <v>0</v>
      </c>
      <c r="AO78" s="120">
        <f>IF(AND(V78="OK",ISNUMBER($N$5),$N$5&gt;0,ISNUMBER($N$3),$N$3&gt;0),R78/(6*$N$3*1000000*$N$5)*(IF(N78&lt;($N$4*2/10),($N$4*2/10)*(MIN(O78,($N$4*2/10))^3-N78^3)-(MIN(O78,($N$4*2/10))^4-N78^4)/4,0)+IF(O78&gt;($N$4*2/10),($N$4*2/10)^2*(1.5*(O78^2-MAX(N78,($N$4*2/10))^2)-($N$4*2/10)*(O78-MAX(N78,($N$4*2/10)))),0))*1000,0)</f>
        <v>0</v>
      </c>
      <c r="AP78" s="120">
        <f>IF(AND(V78="OK",ISNUMBER($N$5),$N$5&gt;0,ISNUMBER($N$3),$N$3&gt;0),R78/(6*$N$3*1000000*$N$5)*(IF(N78&lt;($N$4*3/10),($N$4*3/10)*(MIN(O78,($N$4*3/10))^3-N78^3)-(MIN(O78,($N$4*3/10))^4-N78^4)/4,0)+IF(O78&gt;($N$4*3/10),($N$4*3/10)^2*(1.5*(O78^2-MAX(N78,($N$4*3/10))^2)-($N$4*3/10)*(O78-MAX(N78,($N$4*3/10)))),0))*1000,0)</f>
        <v>0</v>
      </c>
      <c r="AQ78" s="120">
        <f>IF(AND(V78="OK",ISNUMBER($N$5),$N$5&gt;0,ISNUMBER($N$3),$N$3&gt;0),R78/(6*$N$3*1000000*$N$5)*(IF(N78&lt;($N$4*4/10),($N$4*4/10)*(MIN(O78,($N$4*4/10))^3-N78^3)-(MIN(O78,($N$4*4/10))^4-N78^4)/4,0)+IF(O78&gt;($N$4*4/10),($N$4*4/10)^2*(1.5*(O78^2-MAX(N78,($N$4*4/10))^2)-($N$4*4/10)*(O78-MAX(N78,($N$4*4/10)))),0))*1000,0)</f>
        <v>0</v>
      </c>
      <c r="AR78" s="120">
        <f>IF(AND(V78="OK",ISNUMBER($N$5),$N$5&gt;0,ISNUMBER($N$3),$N$3&gt;0),R78/(6*$N$3*1000000*$N$5)*(IF(N78&lt;($N$4*5/10),($N$4*5/10)*(MIN(O78,($N$4*5/10))^3-N78^3)-(MIN(O78,($N$4*5/10))^4-N78^4)/4,0)+IF(O78&gt;($N$4*5/10),($N$4*5/10)^2*(1.5*(O78^2-MAX(N78,($N$4*5/10))^2)-($N$4*5/10)*(O78-MAX(N78,($N$4*5/10)))),0))*1000,0)</f>
        <v>0</v>
      </c>
      <c r="AS78" s="120">
        <f>IF(AND(V78="OK",ISNUMBER($N$5),$N$5&gt;0,ISNUMBER($N$3),$N$3&gt;0),R78/(6*$N$3*1000000*$N$5)*(IF(N78&lt;($N$4*6/10),($N$4*6/10)*(MIN(O78,($N$4*6/10))^3-N78^3)-(MIN(O78,($N$4*6/10))^4-N78^4)/4,0)+IF(O78&gt;($N$4*6/10),($N$4*6/10)^2*(1.5*(O78^2-MAX(N78,($N$4*6/10))^2)-($N$4*6/10)*(O78-MAX(N78,($N$4*6/10)))),0))*1000,0)</f>
        <v>0</v>
      </c>
      <c r="AT78" s="120">
        <f>IF(AND(V78="OK",ISNUMBER($N$5),$N$5&gt;0,ISNUMBER($N$3),$N$3&gt;0),R78/(6*$N$3*1000000*$N$5)*(IF(N78&lt;($N$4*7/10),($N$4*7/10)*(MIN(O78,($N$4*7/10))^3-N78^3)-(MIN(O78,($N$4*7/10))^4-N78^4)/4,0)+IF(O78&gt;($N$4*7/10),($N$4*7/10)^2*(1.5*(O78^2-MAX(N78,($N$4*7/10))^2)-($N$4*7/10)*(O78-MAX(N78,($N$4*7/10)))),0))*1000,0)</f>
        <v>0</v>
      </c>
      <c r="AU78" s="120">
        <f>IF(AND(V78="OK",ISNUMBER($N$5),$N$5&gt;0,ISNUMBER($N$3),$N$3&gt;0),R78/(6*$N$3*1000000*$N$5)*(IF(N78&lt;($N$4*8/10),($N$4*8/10)*(MIN(O78,($N$4*8/10))^3-N78^3)-(MIN(O78,($N$4*8/10))^4-N78^4)/4,0)+IF(O78&gt;($N$4*8/10),($N$4*8/10)^2*(1.5*(O78^2-MAX(N78,($N$4*8/10))^2)-($N$4*8/10)*(O78-MAX(N78,($N$4*8/10)))),0))*1000,0)</f>
        <v>0</v>
      </c>
      <c r="AV78" s="120">
        <f>IF(AND(V78="OK",ISNUMBER($N$5),$N$5&gt;0,ISNUMBER($N$3),$N$3&gt;0),R78/(6*$N$3*1000000*$N$5)*(IF(N78&lt;($N$4*9/10),($N$4*9/10)*(MIN(O78,($N$4*9/10))^3-N78^3)-(MIN(O78,($N$4*9/10))^4-N78^4)/4,0)+IF(O78&gt;($N$4*9/10),($N$4*9/10)^2*(1.5*(O78^2-MAX(N78,($N$4*9/10))^2)-($N$4*9/10)*(O78-MAX(N78,($N$4*9/10)))),0))*1000,0)</f>
        <v>0</v>
      </c>
      <c r="AW78" s="120">
        <f>IF(AND(V78="OK",ISNUMBER($N$5),$N$5&gt;0,ISNUMBER($N$3),$N$3&gt;0),R78/(6*$N$3*1000000*$N$5)*(IF(N78&lt;($N$4*10/10),($N$4*10/10)*(MIN(O78,($N$4*10/10))^3-N78^3)-(MIN(O78,($N$4*10/10))^4-N78^4)/4,0)+IF(O78&gt;($N$4*10/10),($N$4*10/10)^2*(1.5*(O78^2-MAX(N78,($N$4*10/10))^2)-($N$4*10/10)*(O78-MAX(N78,($N$4*10/10)))),0))*1000,0)</f>
        <v>0</v>
      </c>
    </row>
    <row r="79" spans="1:49">
      <c r="A79" s="124"/>
      <c r="B79" s="125"/>
      <c r="C79" s="125"/>
      <c r="D79" s="125"/>
      <c r="E79" s="125"/>
      <c r="F79" s="126" t="str">
        <f>IF(J79="OK",D79*E79,"")</f>
        <v/>
      </c>
      <c r="G79" s="126" t="str">
        <f>IF(J79="OK",F79*(C79-B79),"")</f>
        <v/>
      </c>
      <c r="H79" s="126" t="str">
        <f>IF(J79="OK",G79*(C79+B79)/2,"")</f>
        <v/>
      </c>
      <c r="I79" s="126" t="str">
        <f>IF(AND(J79="OK",ISNUMBER($B$5),$B$5&gt;0,ISNUMBER($B$3),$B$3&gt;0),F79*(4*$B$4*(C79^3-B79^3)-(C79^4-B79^4))/(24*$B$3*1000000*$B$5)*1000,"")</f>
        <v/>
      </c>
      <c r="J79" s="120" t="str">
        <f>IF(COUNTA(A79:E79)=0,"",IF(AND(COUNT(B79:E79)=4,B79&gt;=0,C79&gt;B79,C79&lt;=$B$4,D79&gt;=0,E79&gt;0),IF(COUNTIFS($B$13:$B$78,"&lt;"&amp;C79,$C$13:$C$78,"&gt;"&amp;B79)&gt;0,"OVERLAP","OK"),"CHECK INPUTS"))</f>
        <v/>
      </c>
      <c r="M79" s="124"/>
      <c r="N79" s="125"/>
      <c r="O79" s="125"/>
      <c r="P79" s="125"/>
      <c r="Q79" s="125"/>
      <c r="R79" s="126" t="str">
        <f>IF(V79="OK",P79*Q79,"")</f>
        <v/>
      </c>
      <c r="S79" s="126" t="str">
        <f>IF(V79="OK",R79*(O79-N79),"")</f>
        <v/>
      </c>
      <c r="T79" s="126" t="str">
        <f>IF(V79="OK",S79*(O79+N79)/2,"")</f>
        <v/>
      </c>
      <c r="U79" s="126" t="str">
        <f>IF(AND(V79="OK",ISNUMBER($N$5),$N$5&gt;0,ISNUMBER($N$3),$N$3&gt;0),R79*(4*$N$4*(O79^3-N79^3)-(O79^4-N79^4))/(24*$N$3*1000000*$N$5)*1000,"")</f>
        <v/>
      </c>
      <c r="V79" s="120" t="str">
        <f>IF(COUNTA(M79:Q79)=0,"",IF(AND(COUNT(N79:Q79)=4,N79&gt;=0,O79&gt;N79,O79&lt;=$N$4,P79&gt;=0,Q79&gt;0),IF(COUNTIFS($N$13:$N$78,"&lt;"&amp;O79,$O$13:$O$78,"&gt;"&amp;N79)&gt;0,"OVERLAP","OK"),"CHECK INPUTS"))</f>
        <v/>
      </c>
      <c r="AA79" s="120">
        <f>IF(AND(J79="OK",ISNUMBER($B$5),$B$5&gt;0,ISNUMBER($B$3),$B$3&gt;0),F79/(6*$B$3*1000000*$B$5)*(IF(B79&lt;($B$4*0/10),($B$4*0/10)*(MIN(C79,($B$4*0/10))^3-B79^3)-(MIN(C79,($B$4*0/10))^4-B79^4)/4,0)+IF(C79&gt;($B$4*0/10),($B$4*0/10)^2*(1.5*(C79^2-MAX(B79,($B$4*0/10))^2)-($B$4*0/10)*(C79-MAX(B79,($B$4*0/10)))),0))*1000,0)</f>
        <v>0</v>
      </c>
      <c r="AB79" s="120">
        <f>IF(AND(J79="OK",ISNUMBER($B$5),$B$5&gt;0,ISNUMBER($B$3),$B$3&gt;0),F79/(6*$B$3*1000000*$B$5)*(IF(B79&lt;($B$4*1/10),($B$4*1/10)*(MIN(C79,($B$4*1/10))^3-B79^3)-(MIN(C79,($B$4*1/10))^4-B79^4)/4,0)+IF(C79&gt;($B$4*1/10),($B$4*1/10)^2*(1.5*(C79^2-MAX(B79,($B$4*1/10))^2)-($B$4*1/10)*(C79-MAX(B79,($B$4*1/10)))),0))*1000,0)</f>
        <v>0</v>
      </c>
      <c r="AC79" s="120">
        <f>IF(AND(J79="OK",ISNUMBER($B$5),$B$5&gt;0,ISNUMBER($B$3),$B$3&gt;0),F79/(6*$B$3*1000000*$B$5)*(IF(B79&lt;($B$4*2/10),($B$4*2/10)*(MIN(C79,($B$4*2/10))^3-B79^3)-(MIN(C79,($B$4*2/10))^4-B79^4)/4,0)+IF(C79&gt;($B$4*2/10),($B$4*2/10)^2*(1.5*(C79^2-MAX(B79,($B$4*2/10))^2)-($B$4*2/10)*(C79-MAX(B79,($B$4*2/10)))),0))*1000,0)</f>
        <v>0</v>
      </c>
      <c r="AD79" s="120">
        <f>IF(AND(J79="OK",ISNUMBER($B$5),$B$5&gt;0,ISNUMBER($B$3),$B$3&gt;0),F79/(6*$B$3*1000000*$B$5)*(IF(B79&lt;($B$4*3/10),($B$4*3/10)*(MIN(C79,($B$4*3/10))^3-B79^3)-(MIN(C79,($B$4*3/10))^4-B79^4)/4,0)+IF(C79&gt;($B$4*3/10),($B$4*3/10)^2*(1.5*(C79^2-MAX(B79,($B$4*3/10))^2)-($B$4*3/10)*(C79-MAX(B79,($B$4*3/10)))),0))*1000,0)</f>
        <v>0</v>
      </c>
      <c r="AE79" s="120">
        <f>IF(AND(J79="OK",ISNUMBER($B$5),$B$5&gt;0,ISNUMBER($B$3),$B$3&gt;0),F79/(6*$B$3*1000000*$B$5)*(IF(B79&lt;($B$4*4/10),($B$4*4/10)*(MIN(C79,($B$4*4/10))^3-B79^3)-(MIN(C79,($B$4*4/10))^4-B79^4)/4,0)+IF(C79&gt;($B$4*4/10),($B$4*4/10)^2*(1.5*(C79^2-MAX(B79,($B$4*4/10))^2)-($B$4*4/10)*(C79-MAX(B79,($B$4*4/10)))),0))*1000,0)</f>
        <v>0</v>
      </c>
      <c r="AF79" s="120">
        <f>IF(AND(J79="OK",ISNUMBER($B$5),$B$5&gt;0,ISNUMBER($B$3),$B$3&gt;0),F79/(6*$B$3*1000000*$B$5)*(IF(B79&lt;($B$4*5/10),($B$4*5/10)*(MIN(C79,($B$4*5/10))^3-B79^3)-(MIN(C79,($B$4*5/10))^4-B79^4)/4,0)+IF(C79&gt;($B$4*5/10),($B$4*5/10)^2*(1.5*(C79^2-MAX(B79,($B$4*5/10))^2)-($B$4*5/10)*(C79-MAX(B79,($B$4*5/10)))),0))*1000,0)</f>
        <v>0</v>
      </c>
      <c r="AG79" s="120">
        <f>IF(AND(J79="OK",ISNUMBER($B$5),$B$5&gt;0,ISNUMBER($B$3),$B$3&gt;0),F79/(6*$B$3*1000000*$B$5)*(IF(B79&lt;($B$4*6/10),($B$4*6/10)*(MIN(C79,($B$4*6/10))^3-B79^3)-(MIN(C79,($B$4*6/10))^4-B79^4)/4,0)+IF(C79&gt;($B$4*6/10),($B$4*6/10)^2*(1.5*(C79^2-MAX(B79,($B$4*6/10))^2)-($B$4*6/10)*(C79-MAX(B79,($B$4*6/10)))),0))*1000,0)</f>
        <v>0</v>
      </c>
      <c r="AH79" s="120">
        <f>IF(AND(J79="OK",ISNUMBER($B$5),$B$5&gt;0,ISNUMBER($B$3),$B$3&gt;0),F79/(6*$B$3*1000000*$B$5)*(IF(B79&lt;($B$4*7/10),($B$4*7/10)*(MIN(C79,($B$4*7/10))^3-B79^3)-(MIN(C79,($B$4*7/10))^4-B79^4)/4,0)+IF(C79&gt;($B$4*7/10),($B$4*7/10)^2*(1.5*(C79^2-MAX(B79,($B$4*7/10))^2)-($B$4*7/10)*(C79-MAX(B79,($B$4*7/10)))),0))*1000,0)</f>
        <v>0</v>
      </c>
      <c r="AI79" s="120">
        <f>IF(AND(J79="OK",ISNUMBER($B$5),$B$5&gt;0,ISNUMBER($B$3),$B$3&gt;0),F79/(6*$B$3*1000000*$B$5)*(IF(B79&lt;($B$4*8/10),($B$4*8/10)*(MIN(C79,($B$4*8/10))^3-B79^3)-(MIN(C79,($B$4*8/10))^4-B79^4)/4,0)+IF(C79&gt;($B$4*8/10),($B$4*8/10)^2*(1.5*(C79^2-MAX(B79,($B$4*8/10))^2)-($B$4*8/10)*(C79-MAX(B79,($B$4*8/10)))),0))*1000,0)</f>
        <v>0</v>
      </c>
      <c r="AJ79" s="120">
        <f>IF(AND(J79="OK",ISNUMBER($B$5),$B$5&gt;0,ISNUMBER($B$3),$B$3&gt;0),F79/(6*$B$3*1000000*$B$5)*(IF(B79&lt;($B$4*9/10),($B$4*9/10)*(MIN(C79,($B$4*9/10))^3-B79^3)-(MIN(C79,($B$4*9/10))^4-B79^4)/4,0)+IF(C79&gt;($B$4*9/10),($B$4*9/10)^2*(1.5*(C79^2-MAX(B79,($B$4*9/10))^2)-($B$4*9/10)*(C79-MAX(B79,($B$4*9/10)))),0))*1000,0)</f>
        <v>0</v>
      </c>
      <c r="AK79" s="120">
        <f>IF(AND(J79="OK",ISNUMBER($B$5),$B$5&gt;0,ISNUMBER($B$3),$B$3&gt;0),F79/(6*$B$3*1000000*$B$5)*(IF(B79&lt;($B$4*10/10),($B$4*10/10)*(MIN(C79,($B$4*10/10))^3-B79^3)-(MIN(C79,($B$4*10/10))^4-B79^4)/4,0)+IF(C79&gt;($B$4*10/10),($B$4*10/10)^2*(1.5*(C79^2-MAX(B79,($B$4*10/10))^2)-($B$4*10/10)*(C79-MAX(B79,($B$4*10/10)))),0))*1000,0)</f>
        <v>0</v>
      </c>
      <c r="AM79" s="120">
        <f>IF(AND(V79="OK",ISNUMBER($N$5),$N$5&gt;0,ISNUMBER($N$3),$N$3&gt;0),R79/(6*$N$3*1000000*$N$5)*(IF(N79&lt;($N$4*0/10),($N$4*0/10)*(MIN(O79,($N$4*0/10))^3-N79^3)-(MIN(O79,($N$4*0/10))^4-N79^4)/4,0)+IF(O79&gt;($N$4*0/10),($N$4*0/10)^2*(1.5*(O79^2-MAX(N79,($N$4*0/10))^2)-($N$4*0/10)*(O79-MAX(N79,($N$4*0/10)))),0))*1000,0)</f>
        <v>0</v>
      </c>
      <c r="AN79" s="120">
        <f>IF(AND(V79="OK",ISNUMBER($N$5),$N$5&gt;0,ISNUMBER($N$3),$N$3&gt;0),R79/(6*$N$3*1000000*$N$5)*(IF(N79&lt;($N$4*1/10),($N$4*1/10)*(MIN(O79,($N$4*1/10))^3-N79^3)-(MIN(O79,($N$4*1/10))^4-N79^4)/4,0)+IF(O79&gt;($N$4*1/10),($N$4*1/10)^2*(1.5*(O79^2-MAX(N79,($N$4*1/10))^2)-($N$4*1/10)*(O79-MAX(N79,($N$4*1/10)))),0))*1000,0)</f>
        <v>0</v>
      </c>
      <c r="AO79" s="120">
        <f>IF(AND(V79="OK",ISNUMBER($N$5),$N$5&gt;0,ISNUMBER($N$3),$N$3&gt;0),R79/(6*$N$3*1000000*$N$5)*(IF(N79&lt;($N$4*2/10),($N$4*2/10)*(MIN(O79,($N$4*2/10))^3-N79^3)-(MIN(O79,($N$4*2/10))^4-N79^4)/4,0)+IF(O79&gt;($N$4*2/10),($N$4*2/10)^2*(1.5*(O79^2-MAX(N79,($N$4*2/10))^2)-($N$4*2/10)*(O79-MAX(N79,($N$4*2/10)))),0))*1000,0)</f>
        <v>0</v>
      </c>
      <c r="AP79" s="120">
        <f>IF(AND(V79="OK",ISNUMBER($N$5),$N$5&gt;0,ISNUMBER($N$3),$N$3&gt;0),R79/(6*$N$3*1000000*$N$5)*(IF(N79&lt;($N$4*3/10),($N$4*3/10)*(MIN(O79,($N$4*3/10))^3-N79^3)-(MIN(O79,($N$4*3/10))^4-N79^4)/4,0)+IF(O79&gt;($N$4*3/10),($N$4*3/10)^2*(1.5*(O79^2-MAX(N79,($N$4*3/10))^2)-($N$4*3/10)*(O79-MAX(N79,($N$4*3/10)))),0))*1000,0)</f>
        <v>0</v>
      </c>
      <c r="AQ79" s="120">
        <f>IF(AND(V79="OK",ISNUMBER($N$5),$N$5&gt;0,ISNUMBER($N$3),$N$3&gt;0),R79/(6*$N$3*1000000*$N$5)*(IF(N79&lt;($N$4*4/10),($N$4*4/10)*(MIN(O79,($N$4*4/10))^3-N79^3)-(MIN(O79,($N$4*4/10))^4-N79^4)/4,0)+IF(O79&gt;($N$4*4/10),($N$4*4/10)^2*(1.5*(O79^2-MAX(N79,($N$4*4/10))^2)-($N$4*4/10)*(O79-MAX(N79,($N$4*4/10)))),0))*1000,0)</f>
        <v>0</v>
      </c>
      <c r="AR79" s="120">
        <f>IF(AND(V79="OK",ISNUMBER($N$5),$N$5&gt;0,ISNUMBER($N$3),$N$3&gt;0),R79/(6*$N$3*1000000*$N$5)*(IF(N79&lt;($N$4*5/10),($N$4*5/10)*(MIN(O79,($N$4*5/10))^3-N79^3)-(MIN(O79,($N$4*5/10))^4-N79^4)/4,0)+IF(O79&gt;($N$4*5/10),($N$4*5/10)^2*(1.5*(O79^2-MAX(N79,($N$4*5/10))^2)-($N$4*5/10)*(O79-MAX(N79,($N$4*5/10)))),0))*1000,0)</f>
        <v>0</v>
      </c>
      <c r="AS79" s="120">
        <f>IF(AND(V79="OK",ISNUMBER($N$5),$N$5&gt;0,ISNUMBER($N$3),$N$3&gt;0),R79/(6*$N$3*1000000*$N$5)*(IF(N79&lt;($N$4*6/10),($N$4*6/10)*(MIN(O79,($N$4*6/10))^3-N79^3)-(MIN(O79,($N$4*6/10))^4-N79^4)/4,0)+IF(O79&gt;($N$4*6/10),($N$4*6/10)^2*(1.5*(O79^2-MAX(N79,($N$4*6/10))^2)-($N$4*6/10)*(O79-MAX(N79,($N$4*6/10)))),0))*1000,0)</f>
        <v>0</v>
      </c>
      <c r="AT79" s="120">
        <f>IF(AND(V79="OK",ISNUMBER($N$5),$N$5&gt;0,ISNUMBER($N$3),$N$3&gt;0),R79/(6*$N$3*1000000*$N$5)*(IF(N79&lt;($N$4*7/10),($N$4*7/10)*(MIN(O79,($N$4*7/10))^3-N79^3)-(MIN(O79,($N$4*7/10))^4-N79^4)/4,0)+IF(O79&gt;($N$4*7/10),($N$4*7/10)^2*(1.5*(O79^2-MAX(N79,($N$4*7/10))^2)-($N$4*7/10)*(O79-MAX(N79,($N$4*7/10)))),0))*1000,0)</f>
        <v>0</v>
      </c>
      <c r="AU79" s="120">
        <f>IF(AND(V79="OK",ISNUMBER($N$5),$N$5&gt;0,ISNUMBER($N$3),$N$3&gt;0),R79/(6*$N$3*1000000*$N$5)*(IF(N79&lt;($N$4*8/10),($N$4*8/10)*(MIN(O79,($N$4*8/10))^3-N79^3)-(MIN(O79,($N$4*8/10))^4-N79^4)/4,0)+IF(O79&gt;($N$4*8/10),($N$4*8/10)^2*(1.5*(O79^2-MAX(N79,($N$4*8/10))^2)-($N$4*8/10)*(O79-MAX(N79,($N$4*8/10)))),0))*1000,0)</f>
        <v>0</v>
      </c>
      <c r="AV79" s="120">
        <f>IF(AND(V79="OK",ISNUMBER($N$5),$N$5&gt;0,ISNUMBER($N$3),$N$3&gt;0),R79/(6*$N$3*1000000*$N$5)*(IF(N79&lt;($N$4*9/10),($N$4*9/10)*(MIN(O79,($N$4*9/10))^3-N79^3)-(MIN(O79,($N$4*9/10))^4-N79^4)/4,0)+IF(O79&gt;($N$4*9/10),($N$4*9/10)^2*(1.5*(O79^2-MAX(N79,($N$4*9/10))^2)-($N$4*9/10)*(O79-MAX(N79,($N$4*9/10)))),0))*1000,0)</f>
        <v>0</v>
      </c>
      <c r="AW79" s="120">
        <f>IF(AND(V79="OK",ISNUMBER($N$5),$N$5&gt;0,ISNUMBER($N$3),$N$3&gt;0),R79/(6*$N$3*1000000*$N$5)*(IF(N79&lt;($N$4*10/10),($N$4*10/10)*(MIN(O79,($N$4*10/10))^3-N79^3)-(MIN(O79,($N$4*10/10))^4-N79^4)/4,0)+IF(O79&gt;($N$4*10/10),($N$4*10/10)^2*(1.5*(O79^2-MAX(N79,($N$4*10/10))^2)-($N$4*10/10)*(O79-MAX(N79,($N$4*10/10)))),0))*1000,0)</f>
        <v>0</v>
      </c>
    </row>
    <row r="80" spans="1:49">
      <c r="A80" s="124"/>
      <c r="B80" s="125"/>
      <c r="C80" s="125"/>
      <c r="D80" s="125"/>
      <c r="E80" s="125"/>
      <c r="F80" s="126" t="str">
        <f>IF(J80="OK",D80*E80,"")</f>
        <v/>
      </c>
      <c r="G80" s="126" t="str">
        <f>IF(J80="OK",F80*(C80-B80),"")</f>
        <v/>
      </c>
      <c r="H80" s="126" t="str">
        <f>IF(J80="OK",G80*(C80+B80)/2,"")</f>
        <v/>
      </c>
      <c r="I80" s="126" t="str">
        <f>IF(AND(J80="OK",ISNUMBER($B$5),$B$5&gt;0,ISNUMBER($B$3),$B$3&gt;0),F80*(4*$B$4*(C80^3-B80^3)-(C80^4-B80^4))/(24*$B$3*1000000*$B$5)*1000,"")</f>
        <v/>
      </c>
      <c r="J80" s="120" t="str">
        <f>IF(COUNTA(A80:E80)=0,"",IF(AND(COUNT(B80:E80)=4,B80&gt;=0,C80&gt;B80,C80&lt;=$B$4,D80&gt;=0,E80&gt;0),IF(COUNTIFS($B$13:$B$79,"&lt;"&amp;C80,$C$13:$C$79,"&gt;"&amp;B80)&gt;0,"OVERLAP","OK"),"CHECK INPUTS"))</f>
        <v/>
      </c>
      <c r="M80" s="124"/>
      <c r="N80" s="125"/>
      <c r="O80" s="125"/>
      <c r="P80" s="125"/>
      <c r="Q80" s="125"/>
      <c r="R80" s="126" t="str">
        <f>IF(V80="OK",P80*Q80,"")</f>
        <v/>
      </c>
      <c r="S80" s="126" t="str">
        <f>IF(V80="OK",R80*(O80-N80),"")</f>
        <v/>
      </c>
      <c r="T80" s="126" t="str">
        <f>IF(V80="OK",S80*(O80+N80)/2,"")</f>
        <v/>
      </c>
      <c r="U80" s="126" t="str">
        <f>IF(AND(V80="OK",ISNUMBER($N$5),$N$5&gt;0,ISNUMBER($N$3),$N$3&gt;0),R80*(4*$N$4*(O80^3-N80^3)-(O80^4-N80^4))/(24*$N$3*1000000*$N$5)*1000,"")</f>
        <v/>
      </c>
      <c r="V80" s="120" t="str">
        <f>IF(COUNTA(M80:Q80)=0,"",IF(AND(COUNT(N80:Q80)=4,N80&gt;=0,O80&gt;N80,O80&lt;=$N$4,P80&gt;=0,Q80&gt;0),IF(COUNTIFS($N$13:$N$79,"&lt;"&amp;O80,$O$13:$O$79,"&gt;"&amp;N80)&gt;0,"OVERLAP","OK"),"CHECK INPUTS"))</f>
        <v/>
      </c>
      <c r="AA80" s="120">
        <f>IF(AND(J80="OK",ISNUMBER($B$5),$B$5&gt;0,ISNUMBER($B$3),$B$3&gt;0),F80/(6*$B$3*1000000*$B$5)*(IF(B80&lt;($B$4*0/10),($B$4*0/10)*(MIN(C80,($B$4*0/10))^3-B80^3)-(MIN(C80,($B$4*0/10))^4-B80^4)/4,0)+IF(C80&gt;($B$4*0/10),($B$4*0/10)^2*(1.5*(C80^2-MAX(B80,($B$4*0/10))^2)-($B$4*0/10)*(C80-MAX(B80,($B$4*0/10)))),0))*1000,0)</f>
        <v>0</v>
      </c>
      <c r="AB80" s="120">
        <f>IF(AND(J80="OK",ISNUMBER($B$5),$B$5&gt;0,ISNUMBER($B$3),$B$3&gt;0),F80/(6*$B$3*1000000*$B$5)*(IF(B80&lt;($B$4*1/10),($B$4*1/10)*(MIN(C80,($B$4*1/10))^3-B80^3)-(MIN(C80,($B$4*1/10))^4-B80^4)/4,0)+IF(C80&gt;($B$4*1/10),($B$4*1/10)^2*(1.5*(C80^2-MAX(B80,($B$4*1/10))^2)-($B$4*1/10)*(C80-MAX(B80,($B$4*1/10)))),0))*1000,0)</f>
        <v>0</v>
      </c>
      <c r="AC80" s="120">
        <f>IF(AND(J80="OK",ISNUMBER($B$5),$B$5&gt;0,ISNUMBER($B$3),$B$3&gt;0),F80/(6*$B$3*1000000*$B$5)*(IF(B80&lt;($B$4*2/10),($B$4*2/10)*(MIN(C80,($B$4*2/10))^3-B80^3)-(MIN(C80,($B$4*2/10))^4-B80^4)/4,0)+IF(C80&gt;($B$4*2/10),($B$4*2/10)^2*(1.5*(C80^2-MAX(B80,($B$4*2/10))^2)-($B$4*2/10)*(C80-MAX(B80,($B$4*2/10)))),0))*1000,0)</f>
        <v>0</v>
      </c>
      <c r="AD80" s="120">
        <f>IF(AND(J80="OK",ISNUMBER($B$5),$B$5&gt;0,ISNUMBER($B$3),$B$3&gt;0),F80/(6*$B$3*1000000*$B$5)*(IF(B80&lt;($B$4*3/10),($B$4*3/10)*(MIN(C80,($B$4*3/10))^3-B80^3)-(MIN(C80,($B$4*3/10))^4-B80^4)/4,0)+IF(C80&gt;($B$4*3/10),($B$4*3/10)^2*(1.5*(C80^2-MAX(B80,($B$4*3/10))^2)-($B$4*3/10)*(C80-MAX(B80,($B$4*3/10)))),0))*1000,0)</f>
        <v>0</v>
      </c>
      <c r="AE80" s="120">
        <f>IF(AND(J80="OK",ISNUMBER($B$5),$B$5&gt;0,ISNUMBER($B$3),$B$3&gt;0),F80/(6*$B$3*1000000*$B$5)*(IF(B80&lt;($B$4*4/10),($B$4*4/10)*(MIN(C80,($B$4*4/10))^3-B80^3)-(MIN(C80,($B$4*4/10))^4-B80^4)/4,0)+IF(C80&gt;($B$4*4/10),($B$4*4/10)^2*(1.5*(C80^2-MAX(B80,($B$4*4/10))^2)-($B$4*4/10)*(C80-MAX(B80,($B$4*4/10)))),0))*1000,0)</f>
        <v>0</v>
      </c>
      <c r="AF80" s="120">
        <f>IF(AND(J80="OK",ISNUMBER($B$5),$B$5&gt;0,ISNUMBER($B$3),$B$3&gt;0),F80/(6*$B$3*1000000*$B$5)*(IF(B80&lt;($B$4*5/10),($B$4*5/10)*(MIN(C80,($B$4*5/10))^3-B80^3)-(MIN(C80,($B$4*5/10))^4-B80^4)/4,0)+IF(C80&gt;($B$4*5/10),($B$4*5/10)^2*(1.5*(C80^2-MAX(B80,($B$4*5/10))^2)-($B$4*5/10)*(C80-MAX(B80,($B$4*5/10)))),0))*1000,0)</f>
        <v>0</v>
      </c>
      <c r="AG80" s="120">
        <f>IF(AND(J80="OK",ISNUMBER($B$5),$B$5&gt;0,ISNUMBER($B$3),$B$3&gt;0),F80/(6*$B$3*1000000*$B$5)*(IF(B80&lt;($B$4*6/10),($B$4*6/10)*(MIN(C80,($B$4*6/10))^3-B80^3)-(MIN(C80,($B$4*6/10))^4-B80^4)/4,0)+IF(C80&gt;($B$4*6/10),($B$4*6/10)^2*(1.5*(C80^2-MAX(B80,($B$4*6/10))^2)-($B$4*6/10)*(C80-MAX(B80,($B$4*6/10)))),0))*1000,0)</f>
        <v>0</v>
      </c>
      <c r="AH80" s="120">
        <f>IF(AND(J80="OK",ISNUMBER($B$5),$B$5&gt;0,ISNUMBER($B$3),$B$3&gt;0),F80/(6*$B$3*1000000*$B$5)*(IF(B80&lt;($B$4*7/10),($B$4*7/10)*(MIN(C80,($B$4*7/10))^3-B80^3)-(MIN(C80,($B$4*7/10))^4-B80^4)/4,0)+IF(C80&gt;($B$4*7/10),($B$4*7/10)^2*(1.5*(C80^2-MAX(B80,($B$4*7/10))^2)-($B$4*7/10)*(C80-MAX(B80,($B$4*7/10)))),0))*1000,0)</f>
        <v>0</v>
      </c>
      <c r="AI80" s="120">
        <f>IF(AND(J80="OK",ISNUMBER($B$5),$B$5&gt;0,ISNUMBER($B$3),$B$3&gt;0),F80/(6*$B$3*1000000*$B$5)*(IF(B80&lt;($B$4*8/10),($B$4*8/10)*(MIN(C80,($B$4*8/10))^3-B80^3)-(MIN(C80,($B$4*8/10))^4-B80^4)/4,0)+IF(C80&gt;($B$4*8/10),($B$4*8/10)^2*(1.5*(C80^2-MAX(B80,($B$4*8/10))^2)-($B$4*8/10)*(C80-MAX(B80,($B$4*8/10)))),0))*1000,0)</f>
        <v>0</v>
      </c>
      <c r="AJ80" s="120">
        <f>IF(AND(J80="OK",ISNUMBER($B$5),$B$5&gt;0,ISNUMBER($B$3),$B$3&gt;0),F80/(6*$B$3*1000000*$B$5)*(IF(B80&lt;($B$4*9/10),($B$4*9/10)*(MIN(C80,($B$4*9/10))^3-B80^3)-(MIN(C80,($B$4*9/10))^4-B80^4)/4,0)+IF(C80&gt;($B$4*9/10),($B$4*9/10)^2*(1.5*(C80^2-MAX(B80,($B$4*9/10))^2)-($B$4*9/10)*(C80-MAX(B80,($B$4*9/10)))),0))*1000,0)</f>
        <v>0</v>
      </c>
      <c r="AK80" s="120">
        <f>IF(AND(J80="OK",ISNUMBER($B$5),$B$5&gt;0,ISNUMBER($B$3),$B$3&gt;0),F80/(6*$B$3*1000000*$B$5)*(IF(B80&lt;($B$4*10/10),($B$4*10/10)*(MIN(C80,($B$4*10/10))^3-B80^3)-(MIN(C80,($B$4*10/10))^4-B80^4)/4,0)+IF(C80&gt;($B$4*10/10),($B$4*10/10)^2*(1.5*(C80^2-MAX(B80,($B$4*10/10))^2)-($B$4*10/10)*(C80-MAX(B80,($B$4*10/10)))),0))*1000,0)</f>
        <v>0</v>
      </c>
      <c r="AM80" s="120">
        <f>IF(AND(V80="OK",ISNUMBER($N$5),$N$5&gt;0,ISNUMBER($N$3),$N$3&gt;0),R80/(6*$N$3*1000000*$N$5)*(IF(N80&lt;($N$4*0/10),($N$4*0/10)*(MIN(O80,($N$4*0/10))^3-N80^3)-(MIN(O80,($N$4*0/10))^4-N80^4)/4,0)+IF(O80&gt;($N$4*0/10),($N$4*0/10)^2*(1.5*(O80^2-MAX(N80,($N$4*0/10))^2)-($N$4*0/10)*(O80-MAX(N80,($N$4*0/10)))),0))*1000,0)</f>
        <v>0</v>
      </c>
      <c r="AN80" s="120">
        <f>IF(AND(V80="OK",ISNUMBER($N$5),$N$5&gt;0,ISNUMBER($N$3),$N$3&gt;0),R80/(6*$N$3*1000000*$N$5)*(IF(N80&lt;($N$4*1/10),($N$4*1/10)*(MIN(O80,($N$4*1/10))^3-N80^3)-(MIN(O80,($N$4*1/10))^4-N80^4)/4,0)+IF(O80&gt;($N$4*1/10),($N$4*1/10)^2*(1.5*(O80^2-MAX(N80,($N$4*1/10))^2)-($N$4*1/10)*(O80-MAX(N80,($N$4*1/10)))),0))*1000,0)</f>
        <v>0</v>
      </c>
      <c r="AO80" s="120">
        <f>IF(AND(V80="OK",ISNUMBER($N$5),$N$5&gt;0,ISNUMBER($N$3),$N$3&gt;0),R80/(6*$N$3*1000000*$N$5)*(IF(N80&lt;($N$4*2/10),($N$4*2/10)*(MIN(O80,($N$4*2/10))^3-N80^3)-(MIN(O80,($N$4*2/10))^4-N80^4)/4,0)+IF(O80&gt;($N$4*2/10),($N$4*2/10)^2*(1.5*(O80^2-MAX(N80,($N$4*2/10))^2)-($N$4*2/10)*(O80-MAX(N80,($N$4*2/10)))),0))*1000,0)</f>
        <v>0</v>
      </c>
      <c r="AP80" s="120">
        <f>IF(AND(V80="OK",ISNUMBER($N$5),$N$5&gt;0,ISNUMBER($N$3),$N$3&gt;0),R80/(6*$N$3*1000000*$N$5)*(IF(N80&lt;($N$4*3/10),($N$4*3/10)*(MIN(O80,($N$4*3/10))^3-N80^3)-(MIN(O80,($N$4*3/10))^4-N80^4)/4,0)+IF(O80&gt;($N$4*3/10),($N$4*3/10)^2*(1.5*(O80^2-MAX(N80,($N$4*3/10))^2)-($N$4*3/10)*(O80-MAX(N80,($N$4*3/10)))),0))*1000,0)</f>
        <v>0</v>
      </c>
      <c r="AQ80" s="120">
        <f>IF(AND(V80="OK",ISNUMBER($N$5),$N$5&gt;0,ISNUMBER($N$3),$N$3&gt;0),R80/(6*$N$3*1000000*$N$5)*(IF(N80&lt;($N$4*4/10),($N$4*4/10)*(MIN(O80,($N$4*4/10))^3-N80^3)-(MIN(O80,($N$4*4/10))^4-N80^4)/4,0)+IF(O80&gt;($N$4*4/10),($N$4*4/10)^2*(1.5*(O80^2-MAX(N80,($N$4*4/10))^2)-($N$4*4/10)*(O80-MAX(N80,($N$4*4/10)))),0))*1000,0)</f>
        <v>0</v>
      </c>
      <c r="AR80" s="120">
        <f>IF(AND(V80="OK",ISNUMBER($N$5),$N$5&gt;0,ISNUMBER($N$3),$N$3&gt;0),R80/(6*$N$3*1000000*$N$5)*(IF(N80&lt;($N$4*5/10),($N$4*5/10)*(MIN(O80,($N$4*5/10))^3-N80^3)-(MIN(O80,($N$4*5/10))^4-N80^4)/4,0)+IF(O80&gt;($N$4*5/10),($N$4*5/10)^2*(1.5*(O80^2-MAX(N80,($N$4*5/10))^2)-($N$4*5/10)*(O80-MAX(N80,($N$4*5/10)))),0))*1000,0)</f>
        <v>0</v>
      </c>
      <c r="AS80" s="120">
        <f>IF(AND(V80="OK",ISNUMBER($N$5),$N$5&gt;0,ISNUMBER($N$3),$N$3&gt;0),R80/(6*$N$3*1000000*$N$5)*(IF(N80&lt;($N$4*6/10),($N$4*6/10)*(MIN(O80,($N$4*6/10))^3-N80^3)-(MIN(O80,($N$4*6/10))^4-N80^4)/4,0)+IF(O80&gt;($N$4*6/10),($N$4*6/10)^2*(1.5*(O80^2-MAX(N80,($N$4*6/10))^2)-($N$4*6/10)*(O80-MAX(N80,($N$4*6/10)))),0))*1000,0)</f>
        <v>0</v>
      </c>
      <c r="AT80" s="120">
        <f>IF(AND(V80="OK",ISNUMBER($N$5),$N$5&gt;0,ISNUMBER($N$3),$N$3&gt;0),R80/(6*$N$3*1000000*$N$5)*(IF(N80&lt;($N$4*7/10),($N$4*7/10)*(MIN(O80,($N$4*7/10))^3-N80^3)-(MIN(O80,($N$4*7/10))^4-N80^4)/4,0)+IF(O80&gt;($N$4*7/10),($N$4*7/10)^2*(1.5*(O80^2-MAX(N80,($N$4*7/10))^2)-($N$4*7/10)*(O80-MAX(N80,($N$4*7/10)))),0))*1000,0)</f>
        <v>0</v>
      </c>
      <c r="AU80" s="120">
        <f>IF(AND(V80="OK",ISNUMBER($N$5),$N$5&gt;0,ISNUMBER($N$3),$N$3&gt;0),R80/(6*$N$3*1000000*$N$5)*(IF(N80&lt;($N$4*8/10),($N$4*8/10)*(MIN(O80,($N$4*8/10))^3-N80^3)-(MIN(O80,($N$4*8/10))^4-N80^4)/4,0)+IF(O80&gt;($N$4*8/10),($N$4*8/10)^2*(1.5*(O80^2-MAX(N80,($N$4*8/10))^2)-($N$4*8/10)*(O80-MAX(N80,($N$4*8/10)))),0))*1000,0)</f>
        <v>0</v>
      </c>
      <c r="AV80" s="120">
        <f>IF(AND(V80="OK",ISNUMBER($N$5),$N$5&gt;0,ISNUMBER($N$3),$N$3&gt;0),R80/(6*$N$3*1000000*$N$5)*(IF(N80&lt;($N$4*9/10),($N$4*9/10)*(MIN(O80,($N$4*9/10))^3-N80^3)-(MIN(O80,($N$4*9/10))^4-N80^4)/4,0)+IF(O80&gt;($N$4*9/10),($N$4*9/10)^2*(1.5*(O80^2-MAX(N80,($N$4*9/10))^2)-($N$4*9/10)*(O80-MAX(N80,($N$4*9/10)))),0))*1000,0)</f>
        <v>0</v>
      </c>
      <c r="AW80" s="120">
        <f>IF(AND(V80="OK",ISNUMBER($N$5),$N$5&gt;0,ISNUMBER($N$3),$N$3&gt;0),R80/(6*$N$3*1000000*$N$5)*(IF(N80&lt;($N$4*10/10),($N$4*10/10)*(MIN(O80,($N$4*10/10))^3-N80^3)-(MIN(O80,($N$4*10/10))^4-N80^4)/4,0)+IF(O80&gt;($N$4*10/10),($N$4*10/10)^2*(1.5*(O80^2-MAX(N80,($N$4*10/10))^2)-($N$4*10/10)*(O80-MAX(N80,($N$4*10/10)))),0))*1000,0)</f>
        <v>0</v>
      </c>
    </row>
    <row r="81" spans="1:49">
      <c r="A81" s="124"/>
      <c r="B81" s="125"/>
      <c r="C81" s="125"/>
      <c r="D81" s="125"/>
      <c r="E81" s="125"/>
      <c r="F81" s="126" t="str">
        <f>IF(J81="OK",D81*E81,"")</f>
        <v/>
      </c>
      <c r="G81" s="126" t="str">
        <f>IF(J81="OK",F81*(C81-B81),"")</f>
        <v/>
      </c>
      <c r="H81" s="126" t="str">
        <f>IF(J81="OK",G81*(C81+B81)/2,"")</f>
        <v/>
      </c>
      <c r="I81" s="126" t="str">
        <f>IF(AND(J81="OK",ISNUMBER($B$5),$B$5&gt;0,ISNUMBER($B$3),$B$3&gt;0),F81*(4*$B$4*(C81^3-B81^3)-(C81^4-B81^4))/(24*$B$3*1000000*$B$5)*1000,"")</f>
        <v/>
      </c>
      <c r="J81" s="120" t="str">
        <f>IF(COUNTA(A81:E81)=0,"",IF(AND(COUNT(B81:E81)=4,B81&gt;=0,C81&gt;B81,C81&lt;=$B$4,D81&gt;=0,E81&gt;0),IF(COUNTIFS($B$13:$B$80,"&lt;"&amp;C81,$C$13:$C$80,"&gt;"&amp;B81)&gt;0,"OVERLAP","OK"),"CHECK INPUTS"))</f>
        <v/>
      </c>
      <c r="M81" s="124"/>
      <c r="N81" s="125"/>
      <c r="O81" s="125"/>
      <c r="P81" s="125"/>
      <c r="Q81" s="125"/>
      <c r="R81" s="126" t="str">
        <f>IF(V81="OK",P81*Q81,"")</f>
        <v/>
      </c>
      <c r="S81" s="126" t="str">
        <f>IF(V81="OK",R81*(O81-N81),"")</f>
        <v/>
      </c>
      <c r="T81" s="126" t="str">
        <f>IF(V81="OK",S81*(O81+N81)/2,"")</f>
        <v/>
      </c>
      <c r="U81" s="126" t="str">
        <f>IF(AND(V81="OK",ISNUMBER($N$5),$N$5&gt;0,ISNUMBER($N$3),$N$3&gt;0),R81*(4*$N$4*(O81^3-N81^3)-(O81^4-N81^4))/(24*$N$3*1000000*$N$5)*1000,"")</f>
        <v/>
      </c>
      <c r="V81" s="120" t="str">
        <f>IF(COUNTA(M81:Q81)=0,"",IF(AND(COUNT(N81:Q81)=4,N81&gt;=0,O81&gt;N81,O81&lt;=$N$4,P81&gt;=0,Q81&gt;0),IF(COUNTIFS($N$13:$N$80,"&lt;"&amp;O81,$O$13:$O$80,"&gt;"&amp;N81)&gt;0,"OVERLAP","OK"),"CHECK INPUTS"))</f>
        <v/>
      </c>
      <c r="AA81" s="120">
        <f>IF(AND(J81="OK",ISNUMBER($B$5),$B$5&gt;0,ISNUMBER($B$3),$B$3&gt;0),F81/(6*$B$3*1000000*$B$5)*(IF(B81&lt;($B$4*0/10),($B$4*0/10)*(MIN(C81,($B$4*0/10))^3-B81^3)-(MIN(C81,($B$4*0/10))^4-B81^4)/4,0)+IF(C81&gt;($B$4*0/10),($B$4*0/10)^2*(1.5*(C81^2-MAX(B81,($B$4*0/10))^2)-($B$4*0/10)*(C81-MAX(B81,($B$4*0/10)))),0))*1000,0)</f>
        <v>0</v>
      </c>
      <c r="AB81" s="120">
        <f>IF(AND(J81="OK",ISNUMBER($B$5),$B$5&gt;0,ISNUMBER($B$3),$B$3&gt;0),F81/(6*$B$3*1000000*$B$5)*(IF(B81&lt;($B$4*1/10),($B$4*1/10)*(MIN(C81,($B$4*1/10))^3-B81^3)-(MIN(C81,($B$4*1/10))^4-B81^4)/4,0)+IF(C81&gt;($B$4*1/10),($B$4*1/10)^2*(1.5*(C81^2-MAX(B81,($B$4*1/10))^2)-($B$4*1/10)*(C81-MAX(B81,($B$4*1/10)))),0))*1000,0)</f>
        <v>0</v>
      </c>
      <c r="AC81" s="120">
        <f>IF(AND(J81="OK",ISNUMBER($B$5),$B$5&gt;0,ISNUMBER($B$3),$B$3&gt;0),F81/(6*$B$3*1000000*$B$5)*(IF(B81&lt;($B$4*2/10),($B$4*2/10)*(MIN(C81,($B$4*2/10))^3-B81^3)-(MIN(C81,($B$4*2/10))^4-B81^4)/4,0)+IF(C81&gt;($B$4*2/10),($B$4*2/10)^2*(1.5*(C81^2-MAX(B81,($B$4*2/10))^2)-($B$4*2/10)*(C81-MAX(B81,($B$4*2/10)))),0))*1000,0)</f>
        <v>0</v>
      </c>
      <c r="AD81" s="120">
        <f>IF(AND(J81="OK",ISNUMBER($B$5),$B$5&gt;0,ISNUMBER($B$3),$B$3&gt;0),F81/(6*$B$3*1000000*$B$5)*(IF(B81&lt;($B$4*3/10),($B$4*3/10)*(MIN(C81,($B$4*3/10))^3-B81^3)-(MIN(C81,($B$4*3/10))^4-B81^4)/4,0)+IF(C81&gt;($B$4*3/10),($B$4*3/10)^2*(1.5*(C81^2-MAX(B81,($B$4*3/10))^2)-($B$4*3/10)*(C81-MAX(B81,($B$4*3/10)))),0))*1000,0)</f>
        <v>0</v>
      </c>
      <c r="AE81" s="120">
        <f>IF(AND(J81="OK",ISNUMBER($B$5),$B$5&gt;0,ISNUMBER($B$3),$B$3&gt;0),F81/(6*$B$3*1000000*$B$5)*(IF(B81&lt;($B$4*4/10),($B$4*4/10)*(MIN(C81,($B$4*4/10))^3-B81^3)-(MIN(C81,($B$4*4/10))^4-B81^4)/4,0)+IF(C81&gt;($B$4*4/10),($B$4*4/10)^2*(1.5*(C81^2-MAX(B81,($B$4*4/10))^2)-($B$4*4/10)*(C81-MAX(B81,($B$4*4/10)))),0))*1000,0)</f>
        <v>0</v>
      </c>
      <c r="AF81" s="120">
        <f>IF(AND(J81="OK",ISNUMBER($B$5),$B$5&gt;0,ISNUMBER($B$3),$B$3&gt;0),F81/(6*$B$3*1000000*$B$5)*(IF(B81&lt;($B$4*5/10),($B$4*5/10)*(MIN(C81,($B$4*5/10))^3-B81^3)-(MIN(C81,($B$4*5/10))^4-B81^4)/4,0)+IF(C81&gt;($B$4*5/10),($B$4*5/10)^2*(1.5*(C81^2-MAX(B81,($B$4*5/10))^2)-($B$4*5/10)*(C81-MAX(B81,($B$4*5/10)))),0))*1000,0)</f>
        <v>0</v>
      </c>
      <c r="AG81" s="120">
        <f>IF(AND(J81="OK",ISNUMBER($B$5),$B$5&gt;0,ISNUMBER($B$3),$B$3&gt;0),F81/(6*$B$3*1000000*$B$5)*(IF(B81&lt;($B$4*6/10),($B$4*6/10)*(MIN(C81,($B$4*6/10))^3-B81^3)-(MIN(C81,($B$4*6/10))^4-B81^4)/4,0)+IF(C81&gt;($B$4*6/10),($B$4*6/10)^2*(1.5*(C81^2-MAX(B81,($B$4*6/10))^2)-($B$4*6/10)*(C81-MAX(B81,($B$4*6/10)))),0))*1000,0)</f>
        <v>0</v>
      </c>
      <c r="AH81" s="120">
        <f>IF(AND(J81="OK",ISNUMBER($B$5),$B$5&gt;0,ISNUMBER($B$3),$B$3&gt;0),F81/(6*$B$3*1000000*$B$5)*(IF(B81&lt;($B$4*7/10),($B$4*7/10)*(MIN(C81,($B$4*7/10))^3-B81^3)-(MIN(C81,($B$4*7/10))^4-B81^4)/4,0)+IF(C81&gt;($B$4*7/10),($B$4*7/10)^2*(1.5*(C81^2-MAX(B81,($B$4*7/10))^2)-($B$4*7/10)*(C81-MAX(B81,($B$4*7/10)))),0))*1000,0)</f>
        <v>0</v>
      </c>
      <c r="AI81" s="120">
        <f>IF(AND(J81="OK",ISNUMBER($B$5),$B$5&gt;0,ISNUMBER($B$3),$B$3&gt;0),F81/(6*$B$3*1000000*$B$5)*(IF(B81&lt;($B$4*8/10),($B$4*8/10)*(MIN(C81,($B$4*8/10))^3-B81^3)-(MIN(C81,($B$4*8/10))^4-B81^4)/4,0)+IF(C81&gt;($B$4*8/10),($B$4*8/10)^2*(1.5*(C81^2-MAX(B81,($B$4*8/10))^2)-($B$4*8/10)*(C81-MAX(B81,($B$4*8/10)))),0))*1000,0)</f>
        <v>0</v>
      </c>
      <c r="AJ81" s="120">
        <f>IF(AND(J81="OK",ISNUMBER($B$5),$B$5&gt;0,ISNUMBER($B$3),$B$3&gt;0),F81/(6*$B$3*1000000*$B$5)*(IF(B81&lt;($B$4*9/10),($B$4*9/10)*(MIN(C81,($B$4*9/10))^3-B81^3)-(MIN(C81,($B$4*9/10))^4-B81^4)/4,0)+IF(C81&gt;($B$4*9/10),($B$4*9/10)^2*(1.5*(C81^2-MAX(B81,($B$4*9/10))^2)-($B$4*9/10)*(C81-MAX(B81,($B$4*9/10)))),0))*1000,0)</f>
        <v>0</v>
      </c>
      <c r="AK81" s="120">
        <f>IF(AND(J81="OK",ISNUMBER($B$5),$B$5&gt;0,ISNUMBER($B$3),$B$3&gt;0),F81/(6*$B$3*1000000*$B$5)*(IF(B81&lt;($B$4*10/10),($B$4*10/10)*(MIN(C81,($B$4*10/10))^3-B81^3)-(MIN(C81,($B$4*10/10))^4-B81^4)/4,0)+IF(C81&gt;($B$4*10/10),($B$4*10/10)^2*(1.5*(C81^2-MAX(B81,($B$4*10/10))^2)-($B$4*10/10)*(C81-MAX(B81,($B$4*10/10)))),0))*1000,0)</f>
        <v>0</v>
      </c>
      <c r="AM81" s="120">
        <f>IF(AND(V81="OK",ISNUMBER($N$5),$N$5&gt;0,ISNUMBER($N$3),$N$3&gt;0),R81/(6*$N$3*1000000*$N$5)*(IF(N81&lt;($N$4*0/10),($N$4*0/10)*(MIN(O81,($N$4*0/10))^3-N81^3)-(MIN(O81,($N$4*0/10))^4-N81^4)/4,0)+IF(O81&gt;($N$4*0/10),($N$4*0/10)^2*(1.5*(O81^2-MAX(N81,($N$4*0/10))^2)-($N$4*0/10)*(O81-MAX(N81,($N$4*0/10)))),0))*1000,0)</f>
        <v>0</v>
      </c>
      <c r="AN81" s="120">
        <f>IF(AND(V81="OK",ISNUMBER($N$5),$N$5&gt;0,ISNUMBER($N$3),$N$3&gt;0),R81/(6*$N$3*1000000*$N$5)*(IF(N81&lt;($N$4*1/10),($N$4*1/10)*(MIN(O81,($N$4*1/10))^3-N81^3)-(MIN(O81,($N$4*1/10))^4-N81^4)/4,0)+IF(O81&gt;($N$4*1/10),($N$4*1/10)^2*(1.5*(O81^2-MAX(N81,($N$4*1/10))^2)-($N$4*1/10)*(O81-MAX(N81,($N$4*1/10)))),0))*1000,0)</f>
        <v>0</v>
      </c>
      <c r="AO81" s="120">
        <f>IF(AND(V81="OK",ISNUMBER($N$5),$N$5&gt;0,ISNUMBER($N$3),$N$3&gt;0),R81/(6*$N$3*1000000*$N$5)*(IF(N81&lt;($N$4*2/10),($N$4*2/10)*(MIN(O81,($N$4*2/10))^3-N81^3)-(MIN(O81,($N$4*2/10))^4-N81^4)/4,0)+IF(O81&gt;($N$4*2/10),($N$4*2/10)^2*(1.5*(O81^2-MAX(N81,($N$4*2/10))^2)-($N$4*2/10)*(O81-MAX(N81,($N$4*2/10)))),0))*1000,0)</f>
        <v>0</v>
      </c>
      <c r="AP81" s="120">
        <f>IF(AND(V81="OK",ISNUMBER($N$5),$N$5&gt;0,ISNUMBER($N$3),$N$3&gt;0),R81/(6*$N$3*1000000*$N$5)*(IF(N81&lt;($N$4*3/10),($N$4*3/10)*(MIN(O81,($N$4*3/10))^3-N81^3)-(MIN(O81,($N$4*3/10))^4-N81^4)/4,0)+IF(O81&gt;($N$4*3/10),($N$4*3/10)^2*(1.5*(O81^2-MAX(N81,($N$4*3/10))^2)-($N$4*3/10)*(O81-MAX(N81,($N$4*3/10)))),0))*1000,0)</f>
        <v>0</v>
      </c>
      <c r="AQ81" s="120">
        <f>IF(AND(V81="OK",ISNUMBER($N$5),$N$5&gt;0,ISNUMBER($N$3),$N$3&gt;0),R81/(6*$N$3*1000000*$N$5)*(IF(N81&lt;($N$4*4/10),($N$4*4/10)*(MIN(O81,($N$4*4/10))^3-N81^3)-(MIN(O81,($N$4*4/10))^4-N81^4)/4,0)+IF(O81&gt;($N$4*4/10),($N$4*4/10)^2*(1.5*(O81^2-MAX(N81,($N$4*4/10))^2)-($N$4*4/10)*(O81-MAX(N81,($N$4*4/10)))),0))*1000,0)</f>
        <v>0</v>
      </c>
      <c r="AR81" s="120">
        <f>IF(AND(V81="OK",ISNUMBER($N$5),$N$5&gt;0,ISNUMBER($N$3),$N$3&gt;0),R81/(6*$N$3*1000000*$N$5)*(IF(N81&lt;($N$4*5/10),($N$4*5/10)*(MIN(O81,($N$4*5/10))^3-N81^3)-(MIN(O81,($N$4*5/10))^4-N81^4)/4,0)+IF(O81&gt;($N$4*5/10),($N$4*5/10)^2*(1.5*(O81^2-MAX(N81,($N$4*5/10))^2)-($N$4*5/10)*(O81-MAX(N81,($N$4*5/10)))),0))*1000,0)</f>
        <v>0</v>
      </c>
      <c r="AS81" s="120">
        <f>IF(AND(V81="OK",ISNUMBER($N$5),$N$5&gt;0,ISNUMBER($N$3),$N$3&gt;0),R81/(6*$N$3*1000000*$N$5)*(IF(N81&lt;($N$4*6/10),($N$4*6/10)*(MIN(O81,($N$4*6/10))^3-N81^3)-(MIN(O81,($N$4*6/10))^4-N81^4)/4,0)+IF(O81&gt;($N$4*6/10),($N$4*6/10)^2*(1.5*(O81^2-MAX(N81,($N$4*6/10))^2)-($N$4*6/10)*(O81-MAX(N81,($N$4*6/10)))),0))*1000,0)</f>
        <v>0</v>
      </c>
      <c r="AT81" s="120">
        <f>IF(AND(V81="OK",ISNUMBER($N$5),$N$5&gt;0,ISNUMBER($N$3),$N$3&gt;0),R81/(6*$N$3*1000000*$N$5)*(IF(N81&lt;($N$4*7/10),($N$4*7/10)*(MIN(O81,($N$4*7/10))^3-N81^3)-(MIN(O81,($N$4*7/10))^4-N81^4)/4,0)+IF(O81&gt;($N$4*7/10),($N$4*7/10)^2*(1.5*(O81^2-MAX(N81,($N$4*7/10))^2)-($N$4*7/10)*(O81-MAX(N81,($N$4*7/10)))),0))*1000,0)</f>
        <v>0</v>
      </c>
      <c r="AU81" s="120">
        <f>IF(AND(V81="OK",ISNUMBER($N$5),$N$5&gt;0,ISNUMBER($N$3),$N$3&gt;0),R81/(6*$N$3*1000000*$N$5)*(IF(N81&lt;($N$4*8/10),($N$4*8/10)*(MIN(O81,($N$4*8/10))^3-N81^3)-(MIN(O81,($N$4*8/10))^4-N81^4)/4,0)+IF(O81&gt;($N$4*8/10),($N$4*8/10)^2*(1.5*(O81^2-MAX(N81,($N$4*8/10))^2)-($N$4*8/10)*(O81-MAX(N81,($N$4*8/10)))),0))*1000,0)</f>
        <v>0</v>
      </c>
      <c r="AV81" s="120">
        <f>IF(AND(V81="OK",ISNUMBER($N$5),$N$5&gt;0,ISNUMBER($N$3),$N$3&gt;0),R81/(6*$N$3*1000000*$N$5)*(IF(N81&lt;($N$4*9/10),($N$4*9/10)*(MIN(O81,($N$4*9/10))^3-N81^3)-(MIN(O81,($N$4*9/10))^4-N81^4)/4,0)+IF(O81&gt;($N$4*9/10),($N$4*9/10)^2*(1.5*(O81^2-MAX(N81,($N$4*9/10))^2)-($N$4*9/10)*(O81-MAX(N81,($N$4*9/10)))),0))*1000,0)</f>
        <v>0</v>
      </c>
      <c r="AW81" s="120">
        <f>IF(AND(V81="OK",ISNUMBER($N$5),$N$5&gt;0,ISNUMBER($N$3),$N$3&gt;0),R81/(6*$N$3*1000000*$N$5)*(IF(N81&lt;($N$4*10/10),($N$4*10/10)*(MIN(O81,($N$4*10/10))^3-N81^3)-(MIN(O81,($N$4*10/10))^4-N81^4)/4,0)+IF(O81&gt;($N$4*10/10),($N$4*10/10)^2*(1.5*(O81^2-MAX(N81,($N$4*10/10))^2)-($N$4*10/10)*(O81-MAX(N81,($N$4*10/10)))),0))*1000,0)</f>
        <v>0</v>
      </c>
    </row>
    <row r="82" spans="1:49">
      <c r="A82" s="124"/>
      <c r="B82" s="125"/>
      <c r="C82" s="125"/>
      <c r="D82" s="125"/>
      <c r="E82" s="125"/>
      <c r="F82" s="126" t="str">
        <f>IF(J82="OK",D82*E82,"")</f>
        <v/>
      </c>
      <c r="G82" s="126" t="str">
        <f>IF(J82="OK",F82*(C82-B82),"")</f>
        <v/>
      </c>
      <c r="H82" s="126" t="str">
        <f>IF(J82="OK",G82*(C82+B82)/2,"")</f>
        <v/>
      </c>
      <c r="I82" s="126" t="str">
        <f>IF(AND(J82="OK",ISNUMBER($B$5),$B$5&gt;0,ISNUMBER($B$3),$B$3&gt;0),F82*(4*$B$4*(C82^3-B82^3)-(C82^4-B82^4))/(24*$B$3*1000000*$B$5)*1000,"")</f>
        <v/>
      </c>
      <c r="J82" s="120" t="str">
        <f>IF(COUNTA(A82:E82)=0,"",IF(AND(COUNT(B82:E82)=4,B82&gt;=0,C82&gt;B82,C82&lt;=$B$4,D82&gt;=0,E82&gt;0),IF(COUNTIFS($B$13:$B$81,"&lt;"&amp;C82,$C$13:$C$81,"&gt;"&amp;B82)&gt;0,"OVERLAP","OK"),"CHECK INPUTS"))</f>
        <v/>
      </c>
      <c r="M82" s="124"/>
      <c r="N82" s="125"/>
      <c r="O82" s="125"/>
      <c r="P82" s="125"/>
      <c r="Q82" s="125"/>
      <c r="R82" s="126" t="str">
        <f>IF(V82="OK",P82*Q82,"")</f>
        <v/>
      </c>
      <c r="S82" s="126" t="str">
        <f>IF(V82="OK",R82*(O82-N82),"")</f>
        <v/>
      </c>
      <c r="T82" s="126" t="str">
        <f>IF(V82="OK",S82*(O82+N82)/2,"")</f>
        <v/>
      </c>
      <c r="U82" s="126" t="str">
        <f>IF(AND(V82="OK",ISNUMBER($N$5),$N$5&gt;0,ISNUMBER($N$3),$N$3&gt;0),R82*(4*$N$4*(O82^3-N82^3)-(O82^4-N82^4))/(24*$N$3*1000000*$N$5)*1000,"")</f>
        <v/>
      </c>
      <c r="V82" s="120" t="str">
        <f>IF(COUNTA(M82:Q82)=0,"",IF(AND(COUNT(N82:Q82)=4,N82&gt;=0,O82&gt;N82,O82&lt;=$N$4,P82&gt;=0,Q82&gt;0),IF(COUNTIFS($N$13:$N$81,"&lt;"&amp;O82,$O$13:$O$81,"&gt;"&amp;N82)&gt;0,"OVERLAP","OK"),"CHECK INPUTS"))</f>
        <v/>
      </c>
      <c r="AA82" s="120">
        <f>IF(AND(J82="OK",ISNUMBER($B$5),$B$5&gt;0,ISNUMBER($B$3),$B$3&gt;0),F82/(6*$B$3*1000000*$B$5)*(IF(B82&lt;($B$4*0/10),($B$4*0/10)*(MIN(C82,($B$4*0/10))^3-B82^3)-(MIN(C82,($B$4*0/10))^4-B82^4)/4,0)+IF(C82&gt;($B$4*0/10),($B$4*0/10)^2*(1.5*(C82^2-MAX(B82,($B$4*0/10))^2)-($B$4*0/10)*(C82-MAX(B82,($B$4*0/10)))),0))*1000,0)</f>
        <v>0</v>
      </c>
      <c r="AB82" s="120">
        <f>IF(AND(J82="OK",ISNUMBER($B$5),$B$5&gt;0,ISNUMBER($B$3),$B$3&gt;0),F82/(6*$B$3*1000000*$B$5)*(IF(B82&lt;($B$4*1/10),($B$4*1/10)*(MIN(C82,($B$4*1/10))^3-B82^3)-(MIN(C82,($B$4*1/10))^4-B82^4)/4,0)+IF(C82&gt;($B$4*1/10),($B$4*1/10)^2*(1.5*(C82^2-MAX(B82,($B$4*1/10))^2)-($B$4*1/10)*(C82-MAX(B82,($B$4*1/10)))),0))*1000,0)</f>
        <v>0</v>
      </c>
      <c r="AC82" s="120">
        <f>IF(AND(J82="OK",ISNUMBER($B$5),$B$5&gt;0,ISNUMBER($B$3),$B$3&gt;0),F82/(6*$B$3*1000000*$B$5)*(IF(B82&lt;($B$4*2/10),($B$4*2/10)*(MIN(C82,($B$4*2/10))^3-B82^3)-(MIN(C82,($B$4*2/10))^4-B82^4)/4,0)+IF(C82&gt;($B$4*2/10),($B$4*2/10)^2*(1.5*(C82^2-MAX(B82,($B$4*2/10))^2)-($B$4*2/10)*(C82-MAX(B82,($B$4*2/10)))),0))*1000,0)</f>
        <v>0</v>
      </c>
      <c r="AD82" s="120">
        <f>IF(AND(J82="OK",ISNUMBER($B$5),$B$5&gt;0,ISNUMBER($B$3),$B$3&gt;0),F82/(6*$B$3*1000000*$B$5)*(IF(B82&lt;($B$4*3/10),($B$4*3/10)*(MIN(C82,($B$4*3/10))^3-B82^3)-(MIN(C82,($B$4*3/10))^4-B82^4)/4,0)+IF(C82&gt;($B$4*3/10),($B$4*3/10)^2*(1.5*(C82^2-MAX(B82,($B$4*3/10))^2)-($B$4*3/10)*(C82-MAX(B82,($B$4*3/10)))),0))*1000,0)</f>
        <v>0</v>
      </c>
      <c r="AE82" s="120">
        <f>IF(AND(J82="OK",ISNUMBER($B$5),$B$5&gt;0,ISNUMBER($B$3),$B$3&gt;0),F82/(6*$B$3*1000000*$B$5)*(IF(B82&lt;($B$4*4/10),($B$4*4/10)*(MIN(C82,($B$4*4/10))^3-B82^3)-(MIN(C82,($B$4*4/10))^4-B82^4)/4,0)+IF(C82&gt;($B$4*4/10),($B$4*4/10)^2*(1.5*(C82^2-MAX(B82,($B$4*4/10))^2)-($B$4*4/10)*(C82-MAX(B82,($B$4*4/10)))),0))*1000,0)</f>
        <v>0</v>
      </c>
      <c r="AF82" s="120">
        <f>IF(AND(J82="OK",ISNUMBER($B$5),$B$5&gt;0,ISNUMBER($B$3),$B$3&gt;0),F82/(6*$B$3*1000000*$B$5)*(IF(B82&lt;($B$4*5/10),($B$4*5/10)*(MIN(C82,($B$4*5/10))^3-B82^3)-(MIN(C82,($B$4*5/10))^4-B82^4)/4,0)+IF(C82&gt;($B$4*5/10),($B$4*5/10)^2*(1.5*(C82^2-MAX(B82,($B$4*5/10))^2)-($B$4*5/10)*(C82-MAX(B82,($B$4*5/10)))),0))*1000,0)</f>
        <v>0</v>
      </c>
      <c r="AG82" s="120">
        <f>IF(AND(J82="OK",ISNUMBER($B$5),$B$5&gt;0,ISNUMBER($B$3),$B$3&gt;0),F82/(6*$B$3*1000000*$B$5)*(IF(B82&lt;($B$4*6/10),($B$4*6/10)*(MIN(C82,($B$4*6/10))^3-B82^3)-(MIN(C82,($B$4*6/10))^4-B82^4)/4,0)+IF(C82&gt;($B$4*6/10),($B$4*6/10)^2*(1.5*(C82^2-MAX(B82,($B$4*6/10))^2)-($B$4*6/10)*(C82-MAX(B82,($B$4*6/10)))),0))*1000,0)</f>
        <v>0</v>
      </c>
      <c r="AH82" s="120">
        <f>IF(AND(J82="OK",ISNUMBER($B$5),$B$5&gt;0,ISNUMBER($B$3),$B$3&gt;0),F82/(6*$B$3*1000000*$B$5)*(IF(B82&lt;($B$4*7/10),($B$4*7/10)*(MIN(C82,($B$4*7/10))^3-B82^3)-(MIN(C82,($B$4*7/10))^4-B82^4)/4,0)+IF(C82&gt;($B$4*7/10),($B$4*7/10)^2*(1.5*(C82^2-MAX(B82,($B$4*7/10))^2)-($B$4*7/10)*(C82-MAX(B82,($B$4*7/10)))),0))*1000,0)</f>
        <v>0</v>
      </c>
      <c r="AI82" s="120">
        <f>IF(AND(J82="OK",ISNUMBER($B$5),$B$5&gt;0,ISNUMBER($B$3),$B$3&gt;0),F82/(6*$B$3*1000000*$B$5)*(IF(B82&lt;($B$4*8/10),($B$4*8/10)*(MIN(C82,($B$4*8/10))^3-B82^3)-(MIN(C82,($B$4*8/10))^4-B82^4)/4,0)+IF(C82&gt;($B$4*8/10),($B$4*8/10)^2*(1.5*(C82^2-MAX(B82,($B$4*8/10))^2)-($B$4*8/10)*(C82-MAX(B82,($B$4*8/10)))),0))*1000,0)</f>
        <v>0</v>
      </c>
      <c r="AJ82" s="120">
        <f>IF(AND(J82="OK",ISNUMBER($B$5),$B$5&gt;0,ISNUMBER($B$3),$B$3&gt;0),F82/(6*$B$3*1000000*$B$5)*(IF(B82&lt;($B$4*9/10),($B$4*9/10)*(MIN(C82,($B$4*9/10))^3-B82^3)-(MIN(C82,($B$4*9/10))^4-B82^4)/4,0)+IF(C82&gt;($B$4*9/10),($B$4*9/10)^2*(1.5*(C82^2-MAX(B82,($B$4*9/10))^2)-($B$4*9/10)*(C82-MAX(B82,($B$4*9/10)))),0))*1000,0)</f>
        <v>0</v>
      </c>
      <c r="AK82" s="120">
        <f>IF(AND(J82="OK",ISNUMBER($B$5),$B$5&gt;0,ISNUMBER($B$3),$B$3&gt;0),F82/(6*$B$3*1000000*$B$5)*(IF(B82&lt;($B$4*10/10),($B$4*10/10)*(MIN(C82,($B$4*10/10))^3-B82^3)-(MIN(C82,($B$4*10/10))^4-B82^4)/4,0)+IF(C82&gt;($B$4*10/10),($B$4*10/10)^2*(1.5*(C82^2-MAX(B82,($B$4*10/10))^2)-($B$4*10/10)*(C82-MAX(B82,($B$4*10/10)))),0))*1000,0)</f>
        <v>0</v>
      </c>
      <c r="AM82" s="120">
        <f>IF(AND(V82="OK",ISNUMBER($N$5),$N$5&gt;0,ISNUMBER($N$3),$N$3&gt;0),R82/(6*$N$3*1000000*$N$5)*(IF(N82&lt;($N$4*0/10),($N$4*0/10)*(MIN(O82,($N$4*0/10))^3-N82^3)-(MIN(O82,($N$4*0/10))^4-N82^4)/4,0)+IF(O82&gt;($N$4*0/10),($N$4*0/10)^2*(1.5*(O82^2-MAX(N82,($N$4*0/10))^2)-($N$4*0/10)*(O82-MAX(N82,($N$4*0/10)))),0))*1000,0)</f>
        <v>0</v>
      </c>
      <c r="AN82" s="120">
        <f>IF(AND(V82="OK",ISNUMBER($N$5),$N$5&gt;0,ISNUMBER($N$3),$N$3&gt;0),R82/(6*$N$3*1000000*$N$5)*(IF(N82&lt;($N$4*1/10),($N$4*1/10)*(MIN(O82,($N$4*1/10))^3-N82^3)-(MIN(O82,($N$4*1/10))^4-N82^4)/4,0)+IF(O82&gt;($N$4*1/10),($N$4*1/10)^2*(1.5*(O82^2-MAX(N82,($N$4*1/10))^2)-($N$4*1/10)*(O82-MAX(N82,($N$4*1/10)))),0))*1000,0)</f>
        <v>0</v>
      </c>
      <c r="AO82" s="120">
        <f>IF(AND(V82="OK",ISNUMBER($N$5),$N$5&gt;0,ISNUMBER($N$3),$N$3&gt;0),R82/(6*$N$3*1000000*$N$5)*(IF(N82&lt;($N$4*2/10),($N$4*2/10)*(MIN(O82,($N$4*2/10))^3-N82^3)-(MIN(O82,($N$4*2/10))^4-N82^4)/4,0)+IF(O82&gt;($N$4*2/10),($N$4*2/10)^2*(1.5*(O82^2-MAX(N82,($N$4*2/10))^2)-($N$4*2/10)*(O82-MAX(N82,($N$4*2/10)))),0))*1000,0)</f>
        <v>0</v>
      </c>
      <c r="AP82" s="120">
        <f>IF(AND(V82="OK",ISNUMBER($N$5),$N$5&gt;0,ISNUMBER($N$3),$N$3&gt;0),R82/(6*$N$3*1000000*$N$5)*(IF(N82&lt;($N$4*3/10),($N$4*3/10)*(MIN(O82,($N$4*3/10))^3-N82^3)-(MIN(O82,($N$4*3/10))^4-N82^4)/4,0)+IF(O82&gt;($N$4*3/10),($N$4*3/10)^2*(1.5*(O82^2-MAX(N82,($N$4*3/10))^2)-($N$4*3/10)*(O82-MAX(N82,($N$4*3/10)))),0))*1000,0)</f>
        <v>0</v>
      </c>
      <c r="AQ82" s="120">
        <f>IF(AND(V82="OK",ISNUMBER($N$5),$N$5&gt;0,ISNUMBER($N$3),$N$3&gt;0),R82/(6*$N$3*1000000*$N$5)*(IF(N82&lt;($N$4*4/10),($N$4*4/10)*(MIN(O82,($N$4*4/10))^3-N82^3)-(MIN(O82,($N$4*4/10))^4-N82^4)/4,0)+IF(O82&gt;($N$4*4/10),($N$4*4/10)^2*(1.5*(O82^2-MAX(N82,($N$4*4/10))^2)-($N$4*4/10)*(O82-MAX(N82,($N$4*4/10)))),0))*1000,0)</f>
        <v>0</v>
      </c>
      <c r="AR82" s="120">
        <f>IF(AND(V82="OK",ISNUMBER($N$5),$N$5&gt;0,ISNUMBER($N$3),$N$3&gt;0),R82/(6*$N$3*1000000*$N$5)*(IF(N82&lt;($N$4*5/10),($N$4*5/10)*(MIN(O82,($N$4*5/10))^3-N82^3)-(MIN(O82,($N$4*5/10))^4-N82^4)/4,0)+IF(O82&gt;($N$4*5/10),($N$4*5/10)^2*(1.5*(O82^2-MAX(N82,($N$4*5/10))^2)-($N$4*5/10)*(O82-MAX(N82,($N$4*5/10)))),0))*1000,0)</f>
        <v>0</v>
      </c>
      <c r="AS82" s="120">
        <f>IF(AND(V82="OK",ISNUMBER($N$5),$N$5&gt;0,ISNUMBER($N$3),$N$3&gt;0),R82/(6*$N$3*1000000*$N$5)*(IF(N82&lt;($N$4*6/10),($N$4*6/10)*(MIN(O82,($N$4*6/10))^3-N82^3)-(MIN(O82,($N$4*6/10))^4-N82^4)/4,0)+IF(O82&gt;($N$4*6/10),($N$4*6/10)^2*(1.5*(O82^2-MAX(N82,($N$4*6/10))^2)-($N$4*6/10)*(O82-MAX(N82,($N$4*6/10)))),0))*1000,0)</f>
        <v>0</v>
      </c>
      <c r="AT82" s="120">
        <f>IF(AND(V82="OK",ISNUMBER($N$5),$N$5&gt;0,ISNUMBER($N$3),$N$3&gt;0),R82/(6*$N$3*1000000*$N$5)*(IF(N82&lt;($N$4*7/10),($N$4*7/10)*(MIN(O82,($N$4*7/10))^3-N82^3)-(MIN(O82,($N$4*7/10))^4-N82^4)/4,0)+IF(O82&gt;($N$4*7/10),($N$4*7/10)^2*(1.5*(O82^2-MAX(N82,($N$4*7/10))^2)-($N$4*7/10)*(O82-MAX(N82,($N$4*7/10)))),0))*1000,0)</f>
        <v>0</v>
      </c>
      <c r="AU82" s="120">
        <f>IF(AND(V82="OK",ISNUMBER($N$5),$N$5&gt;0,ISNUMBER($N$3),$N$3&gt;0),R82/(6*$N$3*1000000*$N$5)*(IF(N82&lt;($N$4*8/10),($N$4*8/10)*(MIN(O82,($N$4*8/10))^3-N82^3)-(MIN(O82,($N$4*8/10))^4-N82^4)/4,0)+IF(O82&gt;($N$4*8/10),($N$4*8/10)^2*(1.5*(O82^2-MAX(N82,($N$4*8/10))^2)-($N$4*8/10)*(O82-MAX(N82,($N$4*8/10)))),0))*1000,0)</f>
        <v>0</v>
      </c>
      <c r="AV82" s="120">
        <f>IF(AND(V82="OK",ISNUMBER($N$5),$N$5&gt;0,ISNUMBER($N$3),$N$3&gt;0),R82/(6*$N$3*1000000*$N$5)*(IF(N82&lt;($N$4*9/10),($N$4*9/10)*(MIN(O82,($N$4*9/10))^3-N82^3)-(MIN(O82,($N$4*9/10))^4-N82^4)/4,0)+IF(O82&gt;($N$4*9/10),($N$4*9/10)^2*(1.5*(O82^2-MAX(N82,($N$4*9/10))^2)-($N$4*9/10)*(O82-MAX(N82,($N$4*9/10)))),0))*1000,0)</f>
        <v>0</v>
      </c>
      <c r="AW82" s="120">
        <f>IF(AND(V82="OK",ISNUMBER($N$5),$N$5&gt;0,ISNUMBER($N$3),$N$3&gt;0),R82/(6*$N$3*1000000*$N$5)*(IF(N82&lt;($N$4*10/10),($N$4*10/10)*(MIN(O82,($N$4*10/10))^3-N82^3)-(MIN(O82,($N$4*10/10))^4-N82^4)/4,0)+IF(O82&gt;($N$4*10/10),($N$4*10/10)^2*(1.5*(O82^2-MAX(N82,($N$4*10/10))^2)-($N$4*10/10)*(O82-MAX(N82,($N$4*10/10)))),0))*1000,0)</f>
        <v>0</v>
      </c>
    </row>
    <row r="83" spans="1:49">
      <c r="A83" s="124"/>
      <c r="B83" s="125"/>
      <c r="C83" s="125"/>
      <c r="D83" s="125"/>
      <c r="E83" s="125"/>
      <c r="F83" s="126" t="str">
        <f>IF(J83="OK",D83*E83,"")</f>
        <v/>
      </c>
      <c r="G83" s="126" t="str">
        <f>IF(J83="OK",F83*(C83-B83),"")</f>
        <v/>
      </c>
      <c r="H83" s="126" t="str">
        <f>IF(J83="OK",G83*(C83+B83)/2,"")</f>
        <v/>
      </c>
      <c r="I83" s="126" t="str">
        <f>IF(AND(J83="OK",ISNUMBER($B$5),$B$5&gt;0,ISNUMBER($B$3),$B$3&gt;0),F83*(4*$B$4*(C83^3-B83^3)-(C83^4-B83^4))/(24*$B$3*1000000*$B$5)*1000,"")</f>
        <v/>
      </c>
      <c r="J83" s="120" t="str">
        <f>IF(COUNTA(A83:E83)=0,"",IF(AND(COUNT(B83:E83)=4,B83&gt;=0,C83&gt;B83,C83&lt;=$B$4,D83&gt;=0,E83&gt;0),IF(COUNTIFS($B$13:$B$82,"&lt;"&amp;C83,$C$13:$C$82,"&gt;"&amp;B83)&gt;0,"OVERLAP","OK"),"CHECK INPUTS"))</f>
        <v/>
      </c>
      <c r="M83" s="124"/>
      <c r="N83" s="125"/>
      <c r="O83" s="125"/>
      <c r="P83" s="125"/>
      <c r="Q83" s="125"/>
      <c r="R83" s="126" t="str">
        <f>IF(V83="OK",P83*Q83,"")</f>
        <v/>
      </c>
      <c r="S83" s="126" t="str">
        <f>IF(V83="OK",R83*(O83-N83),"")</f>
        <v/>
      </c>
      <c r="T83" s="126" t="str">
        <f>IF(V83="OK",S83*(O83+N83)/2,"")</f>
        <v/>
      </c>
      <c r="U83" s="126" t="str">
        <f>IF(AND(V83="OK",ISNUMBER($N$5),$N$5&gt;0,ISNUMBER($N$3),$N$3&gt;0),R83*(4*$N$4*(O83^3-N83^3)-(O83^4-N83^4))/(24*$N$3*1000000*$N$5)*1000,"")</f>
        <v/>
      </c>
      <c r="V83" s="120" t="str">
        <f>IF(COUNTA(M83:Q83)=0,"",IF(AND(COUNT(N83:Q83)=4,N83&gt;=0,O83&gt;N83,O83&lt;=$N$4,P83&gt;=0,Q83&gt;0),IF(COUNTIFS($N$13:$N$82,"&lt;"&amp;O83,$O$13:$O$82,"&gt;"&amp;N83)&gt;0,"OVERLAP","OK"),"CHECK INPUTS"))</f>
        <v/>
      </c>
      <c r="AA83" s="120">
        <f>IF(AND(J83="OK",ISNUMBER($B$5),$B$5&gt;0,ISNUMBER($B$3),$B$3&gt;0),F83/(6*$B$3*1000000*$B$5)*(IF(B83&lt;($B$4*0/10),($B$4*0/10)*(MIN(C83,($B$4*0/10))^3-B83^3)-(MIN(C83,($B$4*0/10))^4-B83^4)/4,0)+IF(C83&gt;($B$4*0/10),($B$4*0/10)^2*(1.5*(C83^2-MAX(B83,($B$4*0/10))^2)-($B$4*0/10)*(C83-MAX(B83,($B$4*0/10)))),0))*1000,0)</f>
        <v>0</v>
      </c>
      <c r="AB83" s="120">
        <f>IF(AND(J83="OK",ISNUMBER($B$5),$B$5&gt;0,ISNUMBER($B$3),$B$3&gt;0),F83/(6*$B$3*1000000*$B$5)*(IF(B83&lt;($B$4*1/10),($B$4*1/10)*(MIN(C83,($B$4*1/10))^3-B83^3)-(MIN(C83,($B$4*1/10))^4-B83^4)/4,0)+IF(C83&gt;($B$4*1/10),($B$4*1/10)^2*(1.5*(C83^2-MAX(B83,($B$4*1/10))^2)-($B$4*1/10)*(C83-MAX(B83,($B$4*1/10)))),0))*1000,0)</f>
        <v>0</v>
      </c>
      <c r="AC83" s="120">
        <f>IF(AND(J83="OK",ISNUMBER($B$5),$B$5&gt;0,ISNUMBER($B$3),$B$3&gt;0),F83/(6*$B$3*1000000*$B$5)*(IF(B83&lt;($B$4*2/10),($B$4*2/10)*(MIN(C83,($B$4*2/10))^3-B83^3)-(MIN(C83,($B$4*2/10))^4-B83^4)/4,0)+IF(C83&gt;($B$4*2/10),($B$4*2/10)^2*(1.5*(C83^2-MAX(B83,($B$4*2/10))^2)-($B$4*2/10)*(C83-MAX(B83,($B$4*2/10)))),0))*1000,0)</f>
        <v>0</v>
      </c>
      <c r="AD83" s="120">
        <f>IF(AND(J83="OK",ISNUMBER($B$5),$B$5&gt;0,ISNUMBER($B$3),$B$3&gt;0),F83/(6*$B$3*1000000*$B$5)*(IF(B83&lt;($B$4*3/10),($B$4*3/10)*(MIN(C83,($B$4*3/10))^3-B83^3)-(MIN(C83,($B$4*3/10))^4-B83^4)/4,0)+IF(C83&gt;($B$4*3/10),($B$4*3/10)^2*(1.5*(C83^2-MAX(B83,($B$4*3/10))^2)-($B$4*3/10)*(C83-MAX(B83,($B$4*3/10)))),0))*1000,0)</f>
        <v>0</v>
      </c>
      <c r="AE83" s="120">
        <f>IF(AND(J83="OK",ISNUMBER($B$5),$B$5&gt;0,ISNUMBER($B$3),$B$3&gt;0),F83/(6*$B$3*1000000*$B$5)*(IF(B83&lt;($B$4*4/10),($B$4*4/10)*(MIN(C83,($B$4*4/10))^3-B83^3)-(MIN(C83,($B$4*4/10))^4-B83^4)/4,0)+IF(C83&gt;($B$4*4/10),($B$4*4/10)^2*(1.5*(C83^2-MAX(B83,($B$4*4/10))^2)-($B$4*4/10)*(C83-MAX(B83,($B$4*4/10)))),0))*1000,0)</f>
        <v>0</v>
      </c>
      <c r="AF83" s="120">
        <f>IF(AND(J83="OK",ISNUMBER($B$5),$B$5&gt;0,ISNUMBER($B$3),$B$3&gt;0),F83/(6*$B$3*1000000*$B$5)*(IF(B83&lt;($B$4*5/10),($B$4*5/10)*(MIN(C83,($B$4*5/10))^3-B83^3)-(MIN(C83,($B$4*5/10))^4-B83^4)/4,0)+IF(C83&gt;($B$4*5/10),($B$4*5/10)^2*(1.5*(C83^2-MAX(B83,($B$4*5/10))^2)-($B$4*5/10)*(C83-MAX(B83,($B$4*5/10)))),0))*1000,0)</f>
        <v>0</v>
      </c>
      <c r="AG83" s="120">
        <f>IF(AND(J83="OK",ISNUMBER($B$5),$B$5&gt;0,ISNUMBER($B$3),$B$3&gt;0),F83/(6*$B$3*1000000*$B$5)*(IF(B83&lt;($B$4*6/10),($B$4*6/10)*(MIN(C83,($B$4*6/10))^3-B83^3)-(MIN(C83,($B$4*6/10))^4-B83^4)/4,0)+IF(C83&gt;($B$4*6/10),($B$4*6/10)^2*(1.5*(C83^2-MAX(B83,($B$4*6/10))^2)-($B$4*6/10)*(C83-MAX(B83,($B$4*6/10)))),0))*1000,0)</f>
        <v>0</v>
      </c>
      <c r="AH83" s="120">
        <f>IF(AND(J83="OK",ISNUMBER($B$5),$B$5&gt;0,ISNUMBER($B$3),$B$3&gt;0),F83/(6*$B$3*1000000*$B$5)*(IF(B83&lt;($B$4*7/10),($B$4*7/10)*(MIN(C83,($B$4*7/10))^3-B83^3)-(MIN(C83,($B$4*7/10))^4-B83^4)/4,0)+IF(C83&gt;($B$4*7/10),($B$4*7/10)^2*(1.5*(C83^2-MAX(B83,($B$4*7/10))^2)-($B$4*7/10)*(C83-MAX(B83,($B$4*7/10)))),0))*1000,0)</f>
        <v>0</v>
      </c>
      <c r="AI83" s="120">
        <f>IF(AND(J83="OK",ISNUMBER($B$5),$B$5&gt;0,ISNUMBER($B$3),$B$3&gt;0),F83/(6*$B$3*1000000*$B$5)*(IF(B83&lt;($B$4*8/10),($B$4*8/10)*(MIN(C83,($B$4*8/10))^3-B83^3)-(MIN(C83,($B$4*8/10))^4-B83^4)/4,0)+IF(C83&gt;($B$4*8/10),($B$4*8/10)^2*(1.5*(C83^2-MAX(B83,($B$4*8/10))^2)-($B$4*8/10)*(C83-MAX(B83,($B$4*8/10)))),0))*1000,0)</f>
        <v>0</v>
      </c>
      <c r="AJ83" s="120">
        <f>IF(AND(J83="OK",ISNUMBER($B$5),$B$5&gt;0,ISNUMBER($B$3),$B$3&gt;0),F83/(6*$B$3*1000000*$B$5)*(IF(B83&lt;($B$4*9/10),($B$4*9/10)*(MIN(C83,($B$4*9/10))^3-B83^3)-(MIN(C83,($B$4*9/10))^4-B83^4)/4,0)+IF(C83&gt;($B$4*9/10),($B$4*9/10)^2*(1.5*(C83^2-MAX(B83,($B$4*9/10))^2)-($B$4*9/10)*(C83-MAX(B83,($B$4*9/10)))),0))*1000,0)</f>
        <v>0</v>
      </c>
      <c r="AK83" s="120">
        <f>IF(AND(J83="OK",ISNUMBER($B$5),$B$5&gt;0,ISNUMBER($B$3),$B$3&gt;0),F83/(6*$B$3*1000000*$B$5)*(IF(B83&lt;($B$4*10/10),($B$4*10/10)*(MIN(C83,($B$4*10/10))^3-B83^3)-(MIN(C83,($B$4*10/10))^4-B83^4)/4,0)+IF(C83&gt;($B$4*10/10),($B$4*10/10)^2*(1.5*(C83^2-MAX(B83,($B$4*10/10))^2)-($B$4*10/10)*(C83-MAX(B83,($B$4*10/10)))),0))*1000,0)</f>
        <v>0</v>
      </c>
      <c r="AM83" s="120">
        <f>IF(AND(V83="OK",ISNUMBER($N$5),$N$5&gt;0,ISNUMBER($N$3),$N$3&gt;0),R83/(6*$N$3*1000000*$N$5)*(IF(N83&lt;($N$4*0/10),($N$4*0/10)*(MIN(O83,($N$4*0/10))^3-N83^3)-(MIN(O83,($N$4*0/10))^4-N83^4)/4,0)+IF(O83&gt;($N$4*0/10),($N$4*0/10)^2*(1.5*(O83^2-MAX(N83,($N$4*0/10))^2)-($N$4*0/10)*(O83-MAX(N83,($N$4*0/10)))),0))*1000,0)</f>
        <v>0</v>
      </c>
      <c r="AN83" s="120">
        <f>IF(AND(V83="OK",ISNUMBER($N$5),$N$5&gt;0,ISNUMBER($N$3),$N$3&gt;0),R83/(6*$N$3*1000000*$N$5)*(IF(N83&lt;($N$4*1/10),($N$4*1/10)*(MIN(O83,($N$4*1/10))^3-N83^3)-(MIN(O83,($N$4*1/10))^4-N83^4)/4,0)+IF(O83&gt;($N$4*1/10),($N$4*1/10)^2*(1.5*(O83^2-MAX(N83,($N$4*1/10))^2)-($N$4*1/10)*(O83-MAX(N83,($N$4*1/10)))),0))*1000,0)</f>
        <v>0</v>
      </c>
      <c r="AO83" s="120">
        <f>IF(AND(V83="OK",ISNUMBER($N$5),$N$5&gt;0,ISNUMBER($N$3),$N$3&gt;0),R83/(6*$N$3*1000000*$N$5)*(IF(N83&lt;($N$4*2/10),($N$4*2/10)*(MIN(O83,($N$4*2/10))^3-N83^3)-(MIN(O83,($N$4*2/10))^4-N83^4)/4,0)+IF(O83&gt;($N$4*2/10),($N$4*2/10)^2*(1.5*(O83^2-MAX(N83,($N$4*2/10))^2)-($N$4*2/10)*(O83-MAX(N83,($N$4*2/10)))),0))*1000,0)</f>
        <v>0</v>
      </c>
      <c r="AP83" s="120">
        <f>IF(AND(V83="OK",ISNUMBER($N$5),$N$5&gt;0,ISNUMBER($N$3),$N$3&gt;0),R83/(6*$N$3*1000000*$N$5)*(IF(N83&lt;($N$4*3/10),($N$4*3/10)*(MIN(O83,($N$4*3/10))^3-N83^3)-(MIN(O83,($N$4*3/10))^4-N83^4)/4,0)+IF(O83&gt;($N$4*3/10),($N$4*3/10)^2*(1.5*(O83^2-MAX(N83,($N$4*3/10))^2)-($N$4*3/10)*(O83-MAX(N83,($N$4*3/10)))),0))*1000,0)</f>
        <v>0</v>
      </c>
      <c r="AQ83" s="120">
        <f>IF(AND(V83="OK",ISNUMBER($N$5),$N$5&gt;0,ISNUMBER($N$3),$N$3&gt;0),R83/(6*$N$3*1000000*$N$5)*(IF(N83&lt;($N$4*4/10),($N$4*4/10)*(MIN(O83,($N$4*4/10))^3-N83^3)-(MIN(O83,($N$4*4/10))^4-N83^4)/4,0)+IF(O83&gt;($N$4*4/10),($N$4*4/10)^2*(1.5*(O83^2-MAX(N83,($N$4*4/10))^2)-($N$4*4/10)*(O83-MAX(N83,($N$4*4/10)))),0))*1000,0)</f>
        <v>0</v>
      </c>
      <c r="AR83" s="120">
        <f>IF(AND(V83="OK",ISNUMBER($N$5),$N$5&gt;0,ISNUMBER($N$3),$N$3&gt;0),R83/(6*$N$3*1000000*$N$5)*(IF(N83&lt;($N$4*5/10),($N$4*5/10)*(MIN(O83,($N$4*5/10))^3-N83^3)-(MIN(O83,($N$4*5/10))^4-N83^4)/4,0)+IF(O83&gt;($N$4*5/10),($N$4*5/10)^2*(1.5*(O83^2-MAX(N83,($N$4*5/10))^2)-($N$4*5/10)*(O83-MAX(N83,($N$4*5/10)))),0))*1000,0)</f>
        <v>0</v>
      </c>
      <c r="AS83" s="120">
        <f>IF(AND(V83="OK",ISNUMBER($N$5),$N$5&gt;0,ISNUMBER($N$3),$N$3&gt;0),R83/(6*$N$3*1000000*$N$5)*(IF(N83&lt;($N$4*6/10),($N$4*6/10)*(MIN(O83,($N$4*6/10))^3-N83^3)-(MIN(O83,($N$4*6/10))^4-N83^4)/4,0)+IF(O83&gt;($N$4*6/10),($N$4*6/10)^2*(1.5*(O83^2-MAX(N83,($N$4*6/10))^2)-($N$4*6/10)*(O83-MAX(N83,($N$4*6/10)))),0))*1000,0)</f>
        <v>0</v>
      </c>
      <c r="AT83" s="120">
        <f>IF(AND(V83="OK",ISNUMBER($N$5),$N$5&gt;0,ISNUMBER($N$3),$N$3&gt;0),R83/(6*$N$3*1000000*$N$5)*(IF(N83&lt;($N$4*7/10),($N$4*7/10)*(MIN(O83,($N$4*7/10))^3-N83^3)-(MIN(O83,($N$4*7/10))^4-N83^4)/4,0)+IF(O83&gt;($N$4*7/10),($N$4*7/10)^2*(1.5*(O83^2-MAX(N83,($N$4*7/10))^2)-($N$4*7/10)*(O83-MAX(N83,($N$4*7/10)))),0))*1000,0)</f>
        <v>0</v>
      </c>
      <c r="AU83" s="120">
        <f>IF(AND(V83="OK",ISNUMBER($N$5),$N$5&gt;0,ISNUMBER($N$3),$N$3&gt;0),R83/(6*$N$3*1000000*$N$5)*(IF(N83&lt;($N$4*8/10),($N$4*8/10)*(MIN(O83,($N$4*8/10))^3-N83^3)-(MIN(O83,($N$4*8/10))^4-N83^4)/4,0)+IF(O83&gt;($N$4*8/10),($N$4*8/10)^2*(1.5*(O83^2-MAX(N83,($N$4*8/10))^2)-($N$4*8/10)*(O83-MAX(N83,($N$4*8/10)))),0))*1000,0)</f>
        <v>0</v>
      </c>
      <c r="AV83" s="120">
        <f>IF(AND(V83="OK",ISNUMBER($N$5),$N$5&gt;0,ISNUMBER($N$3),$N$3&gt;0),R83/(6*$N$3*1000000*$N$5)*(IF(N83&lt;($N$4*9/10),($N$4*9/10)*(MIN(O83,($N$4*9/10))^3-N83^3)-(MIN(O83,($N$4*9/10))^4-N83^4)/4,0)+IF(O83&gt;($N$4*9/10),($N$4*9/10)^2*(1.5*(O83^2-MAX(N83,($N$4*9/10))^2)-($N$4*9/10)*(O83-MAX(N83,($N$4*9/10)))),0))*1000,0)</f>
        <v>0</v>
      </c>
      <c r="AW83" s="120">
        <f>IF(AND(V83="OK",ISNUMBER($N$5),$N$5&gt;0,ISNUMBER($N$3),$N$3&gt;0),R83/(6*$N$3*1000000*$N$5)*(IF(N83&lt;($N$4*10/10),($N$4*10/10)*(MIN(O83,($N$4*10/10))^3-N83^3)-(MIN(O83,($N$4*10/10))^4-N83^4)/4,0)+IF(O83&gt;($N$4*10/10),($N$4*10/10)^2*(1.5*(O83^2-MAX(N83,($N$4*10/10))^2)-($N$4*10/10)*(O83-MAX(N83,($N$4*10/10)))),0))*1000,0)</f>
        <v>0</v>
      </c>
    </row>
    <row r="84" spans="1:49">
      <c r="A84" s="124"/>
      <c r="B84" s="125"/>
      <c r="C84" s="125"/>
      <c r="D84" s="125"/>
      <c r="E84" s="125"/>
      <c r="F84" s="126" t="str">
        <f>IF(J84="OK",D84*E84,"")</f>
        <v/>
      </c>
      <c r="G84" s="126" t="str">
        <f>IF(J84="OK",F84*(C84-B84),"")</f>
        <v/>
      </c>
      <c r="H84" s="126" t="str">
        <f>IF(J84="OK",G84*(C84+B84)/2,"")</f>
        <v/>
      </c>
      <c r="I84" s="126" t="str">
        <f>IF(AND(J84="OK",ISNUMBER($B$5),$B$5&gt;0,ISNUMBER($B$3),$B$3&gt;0),F84*(4*$B$4*(C84^3-B84^3)-(C84^4-B84^4))/(24*$B$3*1000000*$B$5)*1000,"")</f>
        <v/>
      </c>
      <c r="J84" s="120" t="str">
        <f>IF(COUNTA(A84:E84)=0,"",IF(AND(COUNT(B84:E84)=4,B84&gt;=0,C84&gt;B84,C84&lt;=$B$4,D84&gt;=0,E84&gt;0),IF(COUNTIFS($B$13:$B$83,"&lt;"&amp;C84,$C$13:$C$83,"&gt;"&amp;B84)&gt;0,"OVERLAP","OK"),"CHECK INPUTS"))</f>
        <v/>
      </c>
      <c r="M84" s="124"/>
      <c r="N84" s="125"/>
      <c r="O84" s="125"/>
      <c r="P84" s="125"/>
      <c r="Q84" s="125"/>
      <c r="R84" s="126" t="str">
        <f>IF(V84="OK",P84*Q84,"")</f>
        <v/>
      </c>
      <c r="S84" s="126" t="str">
        <f>IF(V84="OK",R84*(O84-N84),"")</f>
        <v/>
      </c>
      <c r="T84" s="126" t="str">
        <f>IF(V84="OK",S84*(O84+N84)/2,"")</f>
        <v/>
      </c>
      <c r="U84" s="126" t="str">
        <f>IF(AND(V84="OK",ISNUMBER($N$5),$N$5&gt;0,ISNUMBER($N$3),$N$3&gt;0),R84*(4*$N$4*(O84^3-N84^3)-(O84^4-N84^4))/(24*$N$3*1000000*$N$5)*1000,"")</f>
        <v/>
      </c>
      <c r="V84" s="120" t="str">
        <f>IF(COUNTA(M84:Q84)=0,"",IF(AND(COUNT(N84:Q84)=4,N84&gt;=0,O84&gt;N84,O84&lt;=$N$4,P84&gt;=0,Q84&gt;0),IF(COUNTIFS($N$13:$N$83,"&lt;"&amp;O84,$O$13:$O$83,"&gt;"&amp;N84)&gt;0,"OVERLAP","OK"),"CHECK INPUTS"))</f>
        <v/>
      </c>
      <c r="AA84" s="120">
        <f>IF(AND(J84="OK",ISNUMBER($B$5),$B$5&gt;0,ISNUMBER($B$3),$B$3&gt;0),F84/(6*$B$3*1000000*$B$5)*(IF(B84&lt;($B$4*0/10),($B$4*0/10)*(MIN(C84,($B$4*0/10))^3-B84^3)-(MIN(C84,($B$4*0/10))^4-B84^4)/4,0)+IF(C84&gt;($B$4*0/10),($B$4*0/10)^2*(1.5*(C84^2-MAX(B84,($B$4*0/10))^2)-($B$4*0/10)*(C84-MAX(B84,($B$4*0/10)))),0))*1000,0)</f>
        <v>0</v>
      </c>
      <c r="AB84" s="120">
        <f>IF(AND(J84="OK",ISNUMBER($B$5),$B$5&gt;0,ISNUMBER($B$3),$B$3&gt;0),F84/(6*$B$3*1000000*$B$5)*(IF(B84&lt;($B$4*1/10),($B$4*1/10)*(MIN(C84,($B$4*1/10))^3-B84^3)-(MIN(C84,($B$4*1/10))^4-B84^4)/4,0)+IF(C84&gt;($B$4*1/10),($B$4*1/10)^2*(1.5*(C84^2-MAX(B84,($B$4*1/10))^2)-($B$4*1/10)*(C84-MAX(B84,($B$4*1/10)))),0))*1000,0)</f>
        <v>0</v>
      </c>
      <c r="AC84" s="120">
        <f>IF(AND(J84="OK",ISNUMBER($B$5),$B$5&gt;0,ISNUMBER($B$3),$B$3&gt;0),F84/(6*$B$3*1000000*$B$5)*(IF(B84&lt;($B$4*2/10),($B$4*2/10)*(MIN(C84,($B$4*2/10))^3-B84^3)-(MIN(C84,($B$4*2/10))^4-B84^4)/4,0)+IF(C84&gt;($B$4*2/10),($B$4*2/10)^2*(1.5*(C84^2-MAX(B84,($B$4*2/10))^2)-($B$4*2/10)*(C84-MAX(B84,($B$4*2/10)))),0))*1000,0)</f>
        <v>0</v>
      </c>
      <c r="AD84" s="120">
        <f>IF(AND(J84="OK",ISNUMBER($B$5),$B$5&gt;0,ISNUMBER($B$3),$B$3&gt;0),F84/(6*$B$3*1000000*$B$5)*(IF(B84&lt;($B$4*3/10),($B$4*3/10)*(MIN(C84,($B$4*3/10))^3-B84^3)-(MIN(C84,($B$4*3/10))^4-B84^4)/4,0)+IF(C84&gt;($B$4*3/10),($B$4*3/10)^2*(1.5*(C84^2-MAX(B84,($B$4*3/10))^2)-($B$4*3/10)*(C84-MAX(B84,($B$4*3/10)))),0))*1000,0)</f>
        <v>0</v>
      </c>
      <c r="AE84" s="120">
        <f>IF(AND(J84="OK",ISNUMBER($B$5),$B$5&gt;0,ISNUMBER($B$3),$B$3&gt;0),F84/(6*$B$3*1000000*$B$5)*(IF(B84&lt;($B$4*4/10),($B$4*4/10)*(MIN(C84,($B$4*4/10))^3-B84^3)-(MIN(C84,($B$4*4/10))^4-B84^4)/4,0)+IF(C84&gt;($B$4*4/10),($B$4*4/10)^2*(1.5*(C84^2-MAX(B84,($B$4*4/10))^2)-($B$4*4/10)*(C84-MAX(B84,($B$4*4/10)))),0))*1000,0)</f>
        <v>0</v>
      </c>
      <c r="AF84" s="120">
        <f>IF(AND(J84="OK",ISNUMBER($B$5),$B$5&gt;0,ISNUMBER($B$3),$B$3&gt;0),F84/(6*$B$3*1000000*$B$5)*(IF(B84&lt;($B$4*5/10),($B$4*5/10)*(MIN(C84,($B$4*5/10))^3-B84^3)-(MIN(C84,($B$4*5/10))^4-B84^4)/4,0)+IF(C84&gt;($B$4*5/10),($B$4*5/10)^2*(1.5*(C84^2-MAX(B84,($B$4*5/10))^2)-($B$4*5/10)*(C84-MAX(B84,($B$4*5/10)))),0))*1000,0)</f>
        <v>0</v>
      </c>
      <c r="AG84" s="120">
        <f>IF(AND(J84="OK",ISNUMBER($B$5),$B$5&gt;0,ISNUMBER($B$3),$B$3&gt;0),F84/(6*$B$3*1000000*$B$5)*(IF(B84&lt;($B$4*6/10),($B$4*6/10)*(MIN(C84,($B$4*6/10))^3-B84^3)-(MIN(C84,($B$4*6/10))^4-B84^4)/4,0)+IF(C84&gt;($B$4*6/10),($B$4*6/10)^2*(1.5*(C84^2-MAX(B84,($B$4*6/10))^2)-($B$4*6/10)*(C84-MAX(B84,($B$4*6/10)))),0))*1000,0)</f>
        <v>0</v>
      </c>
      <c r="AH84" s="120">
        <f>IF(AND(J84="OK",ISNUMBER($B$5),$B$5&gt;0,ISNUMBER($B$3),$B$3&gt;0),F84/(6*$B$3*1000000*$B$5)*(IF(B84&lt;($B$4*7/10),($B$4*7/10)*(MIN(C84,($B$4*7/10))^3-B84^3)-(MIN(C84,($B$4*7/10))^4-B84^4)/4,0)+IF(C84&gt;($B$4*7/10),($B$4*7/10)^2*(1.5*(C84^2-MAX(B84,($B$4*7/10))^2)-($B$4*7/10)*(C84-MAX(B84,($B$4*7/10)))),0))*1000,0)</f>
        <v>0</v>
      </c>
      <c r="AI84" s="120">
        <f>IF(AND(J84="OK",ISNUMBER($B$5),$B$5&gt;0,ISNUMBER($B$3),$B$3&gt;0),F84/(6*$B$3*1000000*$B$5)*(IF(B84&lt;($B$4*8/10),($B$4*8/10)*(MIN(C84,($B$4*8/10))^3-B84^3)-(MIN(C84,($B$4*8/10))^4-B84^4)/4,0)+IF(C84&gt;($B$4*8/10),($B$4*8/10)^2*(1.5*(C84^2-MAX(B84,($B$4*8/10))^2)-($B$4*8/10)*(C84-MAX(B84,($B$4*8/10)))),0))*1000,0)</f>
        <v>0</v>
      </c>
      <c r="AJ84" s="120">
        <f>IF(AND(J84="OK",ISNUMBER($B$5),$B$5&gt;0,ISNUMBER($B$3),$B$3&gt;0),F84/(6*$B$3*1000000*$B$5)*(IF(B84&lt;($B$4*9/10),($B$4*9/10)*(MIN(C84,($B$4*9/10))^3-B84^3)-(MIN(C84,($B$4*9/10))^4-B84^4)/4,0)+IF(C84&gt;($B$4*9/10),($B$4*9/10)^2*(1.5*(C84^2-MAX(B84,($B$4*9/10))^2)-($B$4*9/10)*(C84-MAX(B84,($B$4*9/10)))),0))*1000,0)</f>
        <v>0</v>
      </c>
      <c r="AK84" s="120">
        <f>IF(AND(J84="OK",ISNUMBER($B$5),$B$5&gt;0,ISNUMBER($B$3),$B$3&gt;0),F84/(6*$B$3*1000000*$B$5)*(IF(B84&lt;($B$4*10/10),($B$4*10/10)*(MIN(C84,($B$4*10/10))^3-B84^3)-(MIN(C84,($B$4*10/10))^4-B84^4)/4,0)+IF(C84&gt;($B$4*10/10),($B$4*10/10)^2*(1.5*(C84^2-MAX(B84,($B$4*10/10))^2)-($B$4*10/10)*(C84-MAX(B84,($B$4*10/10)))),0))*1000,0)</f>
        <v>0</v>
      </c>
      <c r="AM84" s="120">
        <f>IF(AND(V84="OK",ISNUMBER($N$5),$N$5&gt;0,ISNUMBER($N$3),$N$3&gt;0),R84/(6*$N$3*1000000*$N$5)*(IF(N84&lt;($N$4*0/10),($N$4*0/10)*(MIN(O84,($N$4*0/10))^3-N84^3)-(MIN(O84,($N$4*0/10))^4-N84^4)/4,0)+IF(O84&gt;($N$4*0/10),($N$4*0/10)^2*(1.5*(O84^2-MAX(N84,($N$4*0/10))^2)-($N$4*0/10)*(O84-MAX(N84,($N$4*0/10)))),0))*1000,0)</f>
        <v>0</v>
      </c>
      <c r="AN84" s="120">
        <f>IF(AND(V84="OK",ISNUMBER($N$5),$N$5&gt;0,ISNUMBER($N$3),$N$3&gt;0),R84/(6*$N$3*1000000*$N$5)*(IF(N84&lt;($N$4*1/10),($N$4*1/10)*(MIN(O84,($N$4*1/10))^3-N84^3)-(MIN(O84,($N$4*1/10))^4-N84^4)/4,0)+IF(O84&gt;($N$4*1/10),($N$4*1/10)^2*(1.5*(O84^2-MAX(N84,($N$4*1/10))^2)-($N$4*1/10)*(O84-MAX(N84,($N$4*1/10)))),0))*1000,0)</f>
        <v>0</v>
      </c>
      <c r="AO84" s="120">
        <f>IF(AND(V84="OK",ISNUMBER($N$5),$N$5&gt;0,ISNUMBER($N$3),$N$3&gt;0),R84/(6*$N$3*1000000*$N$5)*(IF(N84&lt;($N$4*2/10),($N$4*2/10)*(MIN(O84,($N$4*2/10))^3-N84^3)-(MIN(O84,($N$4*2/10))^4-N84^4)/4,0)+IF(O84&gt;($N$4*2/10),($N$4*2/10)^2*(1.5*(O84^2-MAX(N84,($N$4*2/10))^2)-($N$4*2/10)*(O84-MAX(N84,($N$4*2/10)))),0))*1000,0)</f>
        <v>0</v>
      </c>
      <c r="AP84" s="120">
        <f>IF(AND(V84="OK",ISNUMBER($N$5),$N$5&gt;0,ISNUMBER($N$3),$N$3&gt;0),R84/(6*$N$3*1000000*$N$5)*(IF(N84&lt;($N$4*3/10),($N$4*3/10)*(MIN(O84,($N$4*3/10))^3-N84^3)-(MIN(O84,($N$4*3/10))^4-N84^4)/4,0)+IF(O84&gt;($N$4*3/10),($N$4*3/10)^2*(1.5*(O84^2-MAX(N84,($N$4*3/10))^2)-($N$4*3/10)*(O84-MAX(N84,($N$4*3/10)))),0))*1000,0)</f>
        <v>0</v>
      </c>
      <c r="AQ84" s="120">
        <f>IF(AND(V84="OK",ISNUMBER($N$5),$N$5&gt;0,ISNUMBER($N$3),$N$3&gt;0),R84/(6*$N$3*1000000*$N$5)*(IF(N84&lt;($N$4*4/10),($N$4*4/10)*(MIN(O84,($N$4*4/10))^3-N84^3)-(MIN(O84,($N$4*4/10))^4-N84^4)/4,0)+IF(O84&gt;($N$4*4/10),($N$4*4/10)^2*(1.5*(O84^2-MAX(N84,($N$4*4/10))^2)-($N$4*4/10)*(O84-MAX(N84,($N$4*4/10)))),0))*1000,0)</f>
        <v>0</v>
      </c>
      <c r="AR84" s="120">
        <f>IF(AND(V84="OK",ISNUMBER($N$5),$N$5&gt;0,ISNUMBER($N$3),$N$3&gt;0),R84/(6*$N$3*1000000*$N$5)*(IF(N84&lt;($N$4*5/10),($N$4*5/10)*(MIN(O84,($N$4*5/10))^3-N84^3)-(MIN(O84,($N$4*5/10))^4-N84^4)/4,0)+IF(O84&gt;($N$4*5/10),($N$4*5/10)^2*(1.5*(O84^2-MAX(N84,($N$4*5/10))^2)-($N$4*5/10)*(O84-MAX(N84,($N$4*5/10)))),0))*1000,0)</f>
        <v>0</v>
      </c>
      <c r="AS84" s="120">
        <f>IF(AND(V84="OK",ISNUMBER($N$5),$N$5&gt;0,ISNUMBER($N$3),$N$3&gt;0),R84/(6*$N$3*1000000*$N$5)*(IF(N84&lt;($N$4*6/10),($N$4*6/10)*(MIN(O84,($N$4*6/10))^3-N84^3)-(MIN(O84,($N$4*6/10))^4-N84^4)/4,0)+IF(O84&gt;($N$4*6/10),($N$4*6/10)^2*(1.5*(O84^2-MAX(N84,($N$4*6/10))^2)-($N$4*6/10)*(O84-MAX(N84,($N$4*6/10)))),0))*1000,0)</f>
        <v>0</v>
      </c>
      <c r="AT84" s="120">
        <f>IF(AND(V84="OK",ISNUMBER($N$5),$N$5&gt;0,ISNUMBER($N$3),$N$3&gt;0),R84/(6*$N$3*1000000*$N$5)*(IF(N84&lt;($N$4*7/10),($N$4*7/10)*(MIN(O84,($N$4*7/10))^3-N84^3)-(MIN(O84,($N$4*7/10))^4-N84^4)/4,0)+IF(O84&gt;($N$4*7/10),($N$4*7/10)^2*(1.5*(O84^2-MAX(N84,($N$4*7/10))^2)-($N$4*7/10)*(O84-MAX(N84,($N$4*7/10)))),0))*1000,0)</f>
        <v>0</v>
      </c>
      <c r="AU84" s="120">
        <f>IF(AND(V84="OK",ISNUMBER($N$5),$N$5&gt;0,ISNUMBER($N$3),$N$3&gt;0),R84/(6*$N$3*1000000*$N$5)*(IF(N84&lt;($N$4*8/10),($N$4*8/10)*(MIN(O84,($N$4*8/10))^3-N84^3)-(MIN(O84,($N$4*8/10))^4-N84^4)/4,0)+IF(O84&gt;($N$4*8/10),($N$4*8/10)^2*(1.5*(O84^2-MAX(N84,($N$4*8/10))^2)-($N$4*8/10)*(O84-MAX(N84,($N$4*8/10)))),0))*1000,0)</f>
        <v>0</v>
      </c>
      <c r="AV84" s="120">
        <f>IF(AND(V84="OK",ISNUMBER($N$5),$N$5&gt;0,ISNUMBER($N$3),$N$3&gt;0),R84/(6*$N$3*1000000*$N$5)*(IF(N84&lt;($N$4*9/10),($N$4*9/10)*(MIN(O84,($N$4*9/10))^3-N84^3)-(MIN(O84,($N$4*9/10))^4-N84^4)/4,0)+IF(O84&gt;($N$4*9/10),($N$4*9/10)^2*(1.5*(O84^2-MAX(N84,($N$4*9/10))^2)-($N$4*9/10)*(O84-MAX(N84,($N$4*9/10)))),0))*1000,0)</f>
        <v>0</v>
      </c>
      <c r="AW84" s="120">
        <f>IF(AND(V84="OK",ISNUMBER($N$5),$N$5&gt;0,ISNUMBER($N$3),$N$3&gt;0),R84/(6*$N$3*1000000*$N$5)*(IF(N84&lt;($N$4*10/10),($N$4*10/10)*(MIN(O84,($N$4*10/10))^3-N84^3)-(MIN(O84,($N$4*10/10))^4-N84^4)/4,0)+IF(O84&gt;($N$4*10/10),($N$4*10/10)^2*(1.5*(O84^2-MAX(N84,($N$4*10/10))^2)-($N$4*10/10)*(O84-MAX(N84,($N$4*10/10)))),0))*1000,0)</f>
        <v>0</v>
      </c>
    </row>
    <row r="85" spans="1:49">
      <c r="A85" s="124"/>
      <c r="B85" s="125"/>
      <c r="C85" s="125"/>
      <c r="D85" s="125"/>
      <c r="E85" s="125"/>
      <c r="F85" s="126" t="str">
        <f>IF(J85="OK",D85*E85,"")</f>
        <v/>
      </c>
      <c r="G85" s="126" t="str">
        <f>IF(J85="OK",F85*(C85-B85),"")</f>
        <v/>
      </c>
      <c r="H85" s="126" t="str">
        <f>IF(J85="OK",G85*(C85+B85)/2,"")</f>
        <v/>
      </c>
      <c r="I85" s="126" t="str">
        <f>IF(AND(J85="OK",ISNUMBER($B$5),$B$5&gt;0,ISNUMBER($B$3),$B$3&gt;0),F85*(4*$B$4*(C85^3-B85^3)-(C85^4-B85^4))/(24*$B$3*1000000*$B$5)*1000,"")</f>
        <v/>
      </c>
      <c r="J85" s="120" t="str">
        <f>IF(COUNTA(A85:E85)=0,"",IF(AND(COUNT(B85:E85)=4,B85&gt;=0,C85&gt;B85,C85&lt;=$B$4,D85&gt;=0,E85&gt;0),IF(COUNTIFS($B$13:$B$84,"&lt;"&amp;C85,$C$13:$C$84,"&gt;"&amp;B85)&gt;0,"OVERLAP","OK"),"CHECK INPUTS"))</f>
        <v/>
      </c>
      <c r="M85" s="124"/>
      <c r="N85" s="125"/>
      <c r="O85" s="125"/>
      <c r="P85" s="125"/>
      <c r="Q85" s="125"/>
      <c r="R85" s="126" t="str">
        <f>IF(V85="OK",P85*Q85,"")</f>
        <v/>
      </c>
      <c r="S85" s="126" t="str">
        <f>IF(V85="OK",R85*(O85-N85),"")</f>
        <v/>
      </c>
      <c r="T85" s="126" t="str">
        <f>IF(V85="OK",S85*(O85+N85)/2,"")</f>
        <v/>
      </c>
      <c r="U85" s="126" t="str">
        <f>IF(AND(V85="OK",ISNUMBER($N$5),$N$5&gt;0,ISNUMBER($N$3),$N$3&gt;0),R85*(4*$N$4*(O85^3-N85^3)-(O85^4-N85^4))/(24*$N$3*1000000*$N$5)*1000,"")</f>
        <v/>
      </c>
      <c r="V85" s="120" t="str">
        <f>IF(COUNTA(M85:Q85)=0,"",IF(AND(COUNT(N85:Q85)=4,N85&gt;=0,O85&gt;N85,O85&lt;=$N$4,P85&gt;=0,Q85&gt;0),IF(COUNTIFS($N$13:$N$84,"&lt;"&amp;O85,$O$13:$O$84,"&gt;"&amp;N85)&gt;0,"OVERLAP","OK"),"CHECK INPUTS"))</f>
        <v/>
      </c>
      <c r="AA85" s="120">
        <f>IF(AND(J85="OK",ISNUMBER($B$5),$B$5&gt;0,ISNUMBER($B$3),$B$3&gt;0),F85/(6*$B$3*1000000*$B$5)*(IF(B85&lt;($B$4*0/10),($B$4*0/10)*(MIN(C85,($B$4*0/10))^3-B85^3)-(MIN(C85,($B$4*0/10))^4-B85^4)/4,0)+IF(C85&gt;($B$4*0/10),($B$4*0/10)^2*(1.5*(C85^2-MAX(B85,($B$4*0/10))^2)-($B$4*0/10)*(C85-MAX(B85,($B$4*0/10)))),0))*1000,0)</f>
        <v>0</v>
      </c>
      <c r="AB85" s="120">
        <f>IF(AND(J85="OK",ISNUMBER($B$5),$B$5&gt;0,ISNUMBER($B$3),$B$3&gt;0),F85/(6*$B$3*1000000*$B$5)*(IF(B85&lt;($B$4*1/10),($B$4*1/10)*(MIN(C85,($B$4*1/10))^3-B85^3)-(MIN(C85,($B$4*1/10))^4-B85^4)/4,0)+IF(C85&gt;($B$4*1/10),($B$4*1/10)^2*(1.5*(C85^2-MAX(B85,($B$4*1/10))^2)-($B$4*1/10)*(C85-MAX(B85,($B$4*1/10)))),0))*1000,0)</f>
        <v>0</v>
      </c>
      <c r="AC85" s="120">
        <f>IF(AND(J85="OK",ISNUMBER($B$5),$B$5&gt;0,ISNUMBER($B$3),$B$3&gt;0),F85/(6*$B$3*1000000*$B$5)*(IF(B85&lt;($B$4*2/10),($B$4*2/10)*(MIN(C85,($B$4*2/10))^3-B85^3)-(MIN(C85,($B$4*2/10))^4-B85^4)/4,0)+IF(C85&gt;($B$4*2/10),($B$4*2/10)^2*(1.5*(C85^2-MAX(B85,($B$4*2/10))^2)-($B$4*2/10)*(C85-MAX(B85,($B$4*2/10)))),0))*1000,0)</f>
        <v>0</v>
      </c>
      <c r="AD85" s="120">
        <f>IF(AND(J85="OK",ISNUMBER($B$5),$B$5&gt;0,ISNUMBER($B$3),$B$3&gt;0),F85/(6*$B$3*1000000*$B$5)*(IF(B85&lt;($B$4*3/10),($B$4*3/10)*(MIN(C85,($B$4*3/10))^3-B85^3)-(MIN(C85,($B$4*3/10))^4-B85^4)/4,0)+IF(C85&gt;($B$4*3/10),($B$4*3/10)^2*(1.5*(C85^2-MAX(B85,($B$4*3/10))^2)-($B$4*3/10)*(C85-MAX(B85,($B$4*3/10)))),0))*1000,0)</f>
        <v>0</v>
      </c>
      <c r="AE85" s="120">
        <f>IF(AND(J85="OK",ISNUMBER($B$5),$B$5&gt;0,ISNUMBER($B$3),$B$3&gt;0),F85/(6*$B$3*1000000*$B$5)*(IF(B85&lt;($B$4*4/10),($B$4*4/10)*(MIN(C85,($B$4*4/10))^3-B85^3)-(MIN(C85,($B$4*4/10))^4-B85^4)/4,0)+IF(C85&gt;($B$4*4/10),($B$4*4/10)^2*(1.5*(C85^2-MAX(B85,($B$4*4/10))^2)-($B$4*4/10)*(C85-MAX(B85,($B$4*4/10)))),0))*1000,0)</f>
        <v>0</v>
      </c>
      <c r="AF85" s="120">
        <f>IF(AND(J85="OK",ISNUMBER($B$5),$B$5&gt;0,ISNUMBER($B$3),$B$3&gt;0),F85/(6*$B$3*1000000*$B$5)*(IF(B85&lt;($B$4*5/10),($B$4*5/10)*(MIN(C85,($B$4*5/10))^3-B85^3)-(MIN(C85,($B$4*5/10))^4-B85^4)/4,0)+IF(C85&gt;($B$4*5/10),($B$4*5/10)^2*(1.5*(C85^2-MAX(B85,($B$4*5/10))^2)-($B$4*5/10)*(C85-MAX(B85,($B$4*5/10)))),0))*1000,0)</f>
        <v>0</v>
      </c>
      <c r="AG85" s="120">
        <f>IF(AND(J85="OK",ISNUMBER($B$5),$B$5&gt;0,ISNUMBER($B$3),$B$3&gt;0),F85/(6*$B$3*1000000*$B$5)*(IF(B85&lt;($B$4*6/10),($B$4*6/10)*(MIN(C85,($B$4*6/10))^3-B85^3)-(MIN(C85,($B$4*6/10))^4-B85^4)/4,0)+IF(C85&gt;($B$4*6/10),($B$4*6/10)^2*(1.5*(C85^2-MAX(B85,($B$4*6/10))^2)-($B$4*6/10)*(C85-MAX(B85,($B$4*6/10)))),0))*1000,0)</f>
        <v>0</v>
      </c>
      <c r="AH85" s="120">
        <f>IF(AND(J85="OK",ISNUMBER($B$5),$B$5&gt;0,ISNUMBER($B$3),$B$3&gt;0),F85/(6*$B$3*1000000*$B$5)*(IF(B85&lt;($B$4*7/10),($B$4*7/10)*(MIN(C85,($B$4*7/10))^3-B85^3)-(MIN(C85,($B$4*7/10))^4-B85^4)/4,0)+IF(C85&gt;($B$4*7/10),($B$4*7/10)^2*(1.5*(C85^2-MAX(B85,($B$4*7/10))^2)-($B$4*7/10)*(C85-MAX(B85,($B$4*7/10)))),0))*1000,0)</f>
        <v>0</v>
      </c>
      <c r="AI85" s="120">
        <f>IF(AND(J85="OK",ISNUMBER($B$5),$B$5&gt;0,ISNUMBER($B$3),$B$3&gt;0),F85/(6*$B$3*1000000*$B$5)*(IF(B85&lt;($B$4*8/10),($B$4*8/10)*(MIN(C85,($B$4*8/10))^3-B85^3)-(MIN(C85,($B$4*8/10))^4-B85^4)/4,0)+IF(C85&gt;($B$4*8/10),($B$4*8/10)^2*(1.5*(C85^2-MAX(B85,($B$4*8/10))^2)-($B$4*8/10)*(C85-MAX(B85,($B$4*8/10)))),0))*1000,0)</f>
        <v>0</v>
      </c>
      <c r="AJ85" s="120">
        <f>IF(AND(J85="OK",ISNUMBER($B$5),$B$5&gt;0,ISNUMBER($B$3),$B$3&gt;0),F85/(6*$B$3*1000000*$B$5)*(IF(B85&lt;($B$4*9/10),($B$4*9/10)*(MIN(C85,($B$4*9/10))^3-B85^3)-(MIN(C85,($B$4*9/10))^4-B85^4)/4,0)+IF(C85&gt;($B$4*9/10),($B$4*9/10)^2*(1.5*(C85^2-MAX(B85,($B$4*9/10))^2)-($B$4*9/10)*(C85-MAX(B85,($B$4*9/10)))),0))*1000,0)</f>
        <v>0</v>
      </c>
      <c r="AK85" s="120">
        <f>IF(AND(J85="OK",ISNUMBER($B$5),$B$5&gt;0,ISNUMBER($B$3),$B$3&gt;0),F85/(6*$B$3*1000000*$B$5)*(IF(B85&lt;($B$4*10/10),($B$4*10/10)*(MIN(C85,($B$4*10/10))^3-B85^3)-(MIN(C85,($B$4*10/10))^4-B85^4)/4,0)+IF(C85&gt;($B$4*10/10),($B$4*10/10)^2*(1.5*(C85^2-MAX(B85,($B$4*10/10))^2)-($B$4*10/10)*(C85-MAX(B85,($B$4*10/10)))),0))*1000,0)</f>
        <v>0</v>
      </c>
      <c r="AM85" s="120">
        <f>IF(AND(V85="OK",ISNUMBER($N$5),$N$5&gt;0,ISNUMBER($N$3),$N$3&gt;0),R85/(6*$N$3*1000000*$N$5)*(IF(N85&lt;($N$4*0/10),($N$4*0/10)*(MIN(O85,($N$4*0/10))^3-N85^3)-(MIN(O85,($N$4*0/10))^4-N85^4)/4,0)+IF(O85&gt;($N$4*0/10),($N$4*0/10)^2*(1.5*(O85^2-MAX(N85,($N$4*0/10))^2)-($N$4*0/10)*(O85-MAX(N85,($N$4*0/10)))),0))*1000,0)</f>
        <v>0</v>
      </c>
      <c r="AN85" s="120">
        <f>IF(AND(V85="OK",ISNUMBER($N$5),$N$5&gt;0,ISNUMBER($N$3),$N$3&gt;0),R85/(6*$N$3*1000000*$N$5)*(IF(N85&lt;($N$4*1/10),($N$4*1/10)*(MIN(O85,($N$4*1/10))^3-N85^3)-(MIN(O85,($N$4*1/10))^4-N85^4)/4,0)+IF(O85&gt;($N$4*1/10),($N$4*1/10)^2*(1.5*(O85^2-MAX(N85,($N$4*1/10))^2)-($N$4*1/10)*(O85-MAX(N85,($N$4*1/10)))),0))*1000,0)</f>
        <v>0</v>
      </c>
      <c r="AO85" s="120">
        <f>IF(AND(V85="OK",ISNUMBER($N$5),$N$5&gt;0,ISNUMBER($N$3),$N$3&gt;0),R85/(6*$N$3*1000000*$N$5)*(IF(N85&lt;($N$4*2/10),($N$4*2/10)*(MIN(O85,($N$4*2/10))^3-N85^3)-(MIN(O85,($N$4*2/10))^4-N85^4)/4,0)+IF(O85&gt;($N$4*2/10),($N$4*2/10)^2*(1.5*(O85^2-MAX(N85,($N$4*2/10))^2)-($N$4*2/10)*(O85-MAX(N85,($N$4*2/10)))),0))*1000,0)</f>
        <v>0</v>
      </c>
      <c r="AP85" s="120">
        <f>IF(AND(V85="OK",ISNUMBER($N$5),$N$5&gt;0,ISNUMBER($N$3),$N$3&gt;0),R85/(6*$N$3*1000000*$N$5)*(IF(N85&lt;($N$4*3/10),($N$4*3/10)*(MIN(O85,($N$4*3/10))^3-N85^3)-(MIN(O85,($N$4*3/10))^4-N85^4)/4,0)+IF(O85&gt;($N$4*3/10),($N$4*3/10)^2*(1.5*(O85^2-MAX(N85,($N$4*3/10))^2)-($N$4*3/10)*(O85-MAX(N85,($N$4*3/10)))),0))*1000,0)</f>
        <v>0</v>
      </c>
      <c r="AQ85" s="120">
        <f>IF(AND(V85="OK",ISNUMBER($N$5),$N$5&gt;0,ISNUMBER($N$3),$N$3&gt;0),R85/(6*$N$3*1000000*$N$5)*(IF(N85&lt;($N$4*4/10),($N$4*4/10)*(MIN(O85,($N$4*4/10))^3-N85^3)-(MIN(O85,($N$4*4/10))^4-N85^4)/4,0)+IF(O85&gt;($N$4*4/10),($N$4*4/10)^2*(1.5*(O85^2-MAX(N85,($N$4*4/10))^2)-($N$4*4/10)*(O85-MAX(N85,($N$4*4/10)))),0))*1000,0)</f>
        <v>0</v>
      </c>
      <c r="AR85" s="120">
        <f>IF(AND(V85="OK",ISNUMBER($N$5),$N$5&gt;0,ISNUMBER($N$3),$N$3&gt;0),R85/(6*$N$3*1000000*$N$5)*(IF(N85&lt;($N$4*5/10),($N$4*5/10)*(MIN(O85,($N$4*5/10))^3-N85^3)-(MIN(O85,($N$4*5/10))^4-N85^4)/4,0)+IF(O85&gt;($N$4*5/10),($N$4*5/10)^2*(1.5*(O85^2-MAX(N85,($N$4*5/10))^2)-($N$4*5/10)*(O85-MAX(N85,($N$4*5/10)))),0))*1000,0)</f>
        <v>0</v>
      </c>
      <c r="AS85" s="120">
        <f>IF(AND(V85="OK",ISNUMBER($N$5),$N$5&gt;0,ISNUMBER($N$3),$N$3&gt;0),R85/(6*$N$3*1000000*$N$5)*(IF(N85&lt;($N$4*6/10),($N$4*6/10)*(MIN(O85,($N$4*6/10))^3-N85^3)-(MIN(O85,($N$4*6/10))^4-N85^4)/4,0)+IF(O85&gt;($N$4*6/10),($N$4*6/10)^2*(1.5*(O85^2-MAX(N85,($N$4*6/10))^2)-($N$4*6/10)*(O85-MAX(N85,($N$4*6/10)))),0))*1000,0)</f>
        <v>0</v>
      </c>
      <c r="AT85" s="120">
        <f>IF(AND(V85="OK",ISNUMBER($N$5),$N$5&gt;0,ISNUMBER($N$3),$N$3&gt;0),R85/(6*$N$3*1000000*$N$5)*(IF(N85&lt;($N$4*7/10),($N$4*7/10)*(MIN(O85,($N$4*7/10))^3-N85^3)-(MIN(O85,($N$4*7/10))^4-N85^4)/4,0)+IF(O85&gt;($N$4*7/10),($N$4*7/10)^2*(1.5*(O85^2-MAX(N85,($N$4*7/10))^2)-($N$4*7/10)*(O85-MAX(N85,($N$4*7/10)))),0))*1000,0)</f>
        <v>0</v>
      </c>
      <c r="AU85" s="120">
        <f>IF(AND(V85="OK",ISNUMBER($N$5),$N$5&gt;0,ISNUMBER($N$3),$N$3&gt;0),R85/(6*$N$3*1000000*$N$5)*(IF(N85&lt;($N$4*8/10),($N$4*8/10)*(MIN(O85,($N$4*8/10))^3-N85^3)-(MIN(O85,($N$4*8/10))^4-N85^4)/4,0)+IF(O85&gt;($N$4*8/10),($N$4*8/10)^2*(1.5*(O85^2-MAX(N85,($N$4*8/10))^2)-($N$4*8/10)*(O85-MAX(N85,($N$4*8/10)))),0))*1000,0)</f>
        <v>0</v>
      </c>
      <c r="AV85" s="120">
        <f>IF(AND(V85="OK",ISNUMBER($N$5),$N$5&gt;0,ISNUMBER($N$3),$N$3&gt;0),R85/(6*$N$3*1000000*$N$5)*(IF(N85&lt;($N$4*9/10),($N$4*9/10)*(MIN(O85,($N$4*9/10))^3-N85^3)-(MIN(O85,($N$4*9/10))^4-N85^4)/4,0)+IF(O85&gt;($N$4*9/10),($N$4*9/10)^2*(1.5*(O85^2-MAX(N85,($N$4*9/10))^2)-($N$4*9/10)*(O85-MAX(N85,($N$4*9/10)))),0))*1000,0)</f>
        <v>0</v>
      </c>
      <c r="AW85" s="120">
        <f>IF(AND(V85="OK",ISNUMBER($N$5),$N$5&gt;0,ISNUMBER($N$3),$N$3&gt;0),R85/(6*$N$3*1000000*$N$5)*(IF(N85&lt;($N$4*10/10),($N$4*10/10)*(MIN(O85,($N$4*10/10))^3-N85^3)-(MIN(O85,($N$4*10/10))^4-N85^4)/4,0)+IF(O85&gt;($N$4*10/10),($N$4*10/10)^2*(1.5*(O85^2-MAX(N85,($N$4*10/10))^2)-($N$4*10/10)*(O85-MAX(N85,($N$4*10/10)))),0))*1000,0)</f>
        <v>0</v>
      </c>
    </row>
    <row r="86" spans="1:49">
      <c r="A86" s="124"/>
      <c r="B86" s="125"/>
      <c r="C86" s="125"/>
      <c r="D86" s="125"/>
      <c r="E86" s="125"/>
      <c r="F86" s="126" t="str">
        <f>IF(J86="OK",D86*E86,"")</f>
        <v/>
      </c>
      <c r="G86" s="126" t="str">
        <f>IF(J86="OK",F86*(C86-B86),"")</f>
        <v/>
      </c>
      <c r="H86" s="126" t="str">
        <f>IF(J86="OK",G86*(C86+B86)/2,"")</f>
        <v/>
      </c>
      <c r="I86" s="126" t="str">
        <f>IF(AND(J86="OK",ISNUMBER($B$5),$B$5&gt;0,ISNUMBER($B$3),$B$3&gt;0),F86*(4*$B$4*(C86^3-B86^3)-(C86^4-B86^4))/(24*$B$3*1000000*$B$5)*1000,"")</f>
        <v/>
      </c>
      <c r="J86" s="120" t="str">
        <f>IF(COUNTA(A86:E86)=0,"",IF(AND(COUNT(B86:E86)=4,B86&gt;=0,C86&gt;B86,C86&lt;=$B$4,D86&gt;=0,E86&gt;0),IF(COUNTIFS($B$13:$B$85,"&lt;"&amp;C86,$C$13:$C$85,"&gt;"&amp;B86)&gt;0,"OVERLAP","OK"),"CHECK INPUTS"))</f>
        <v/>
      </c>
      <c r="M86" s="124"/>
      <c r="N86" s="125"/>
      <c r="O86" s="125"/>
      <c r="P86" s="125"/>
      <c r="Q86" s="125"/>
      <c r="R86" s="126" t="str">
        <f>IF(V86="OK",P86*Q86,"")</f>
        <v/>
      </c>
      <c r="S86" s="126" t="str">
        <f>IF(V86="OK",R86*(O86-N86),"")</f>
        <v/>
      </c>
      <c r="T86" s="126" t="str">
        <f>IF(V86="OK",S86*(O86+N86)/2,"")</f>
        <v/>
      </c>
      <c r="U86" s="126" t="str">
        <f>IF(AND(V86="OK",ISNUMBER($N$5),$N$5&gt;0,ISNUMBER($N$3),$N$3&gt;0),R86*(4*$N$4*(O86^3-N86^3)-(O86^4-N86^4))/(24*$N$3*1000000*$N$5)*1000,"")</f>
        <v/>
      </c>
      <c r="V86" s="120" t="str">
        <f>IF(COUNTA(M86:Q86)=0,"",IF(AND(COUNT(N86:Q86)=4,N86&gt;=0,O86&gt;N86,O86&lt;=$N$4,P86&gt;=0,Q86&gt;0),IF(COUNTIFS($N$13:$N$85,"&lt;"&amp;O86,$O$13:$O$85,"&gt;"&amp;N86)&gt;0,"OVERLAP","OK"),"CHECK INPUTS"))</f>
        <v/>
      </c>
      <c r="AA86" s="120">
        <f>IF(AND(J86="OK",ISNUMBER($B$5),$B$5&gt;0,ISNUMBER($B$3),$B$3&gt;0),F86/(6*$B$3*1000000*$B$5)*(IF(B86&lt;($B$4*0/10),($B$4*0/10)*(MIN(C86,($B$4*0/10))^3-B86^3)-(MIN(C86,($B$4*0/10))^4-B86^4)/4,0)+IF(C86&gt;($B$4*0/10),($B$4*0/10)^2*(1.5*(C86^2-MAX(B86,($B$4*0/10))^2)-($B$4*0/10)*(C86-MAX(B86,($B$4*0/10)))),0))*1000,0)</f>
        <v>0</v>
      </c>
      <c r="AB86" s="120">
        <f>IF(AND(J86="OK",ISNUMBER($B$5),$B$5&gt;0,ISNUMBER($B$3),$B$3&gt;0),F86/(6*$B$3*1000000*$B$5)*(IF(B86&lt;($B$4*1/10),($B$4*1/10)*(MIN(C86,($B$4*1/10))^3-B86^3)-(MIN(C86,($B$4*1/10))^4-B86^4)/4,0)+IF(C86&gt;($B$4*1/10),($B$4*1/10)^2*(1.5*(C86^2-MAX(B86,($B$4*1/10))^2)-($B$4*1/10)*(C86-MAX(B86,($B$4*1/10)))),0))*1000,0)</f>
        <v>0</v>
      </c>
      <c r="AC86" s="120">
        <f>IF(AND(J86="OK",ISNUMBER($B$5),$B$5&gt;0,ISNUMBER($B$3),$B$3&gt;0),F86/(6*$B$3*1000000*$B$5)*(IF(B86&lt;($B$4*2/10),($B$4*2/10)*(MIN(C86,($B$4*2/10))^3-B86^3)-(MIN(C86,($B$4*2/10))^4-B86^4)/4,0)+IF(C86&gt;($B$4*2/10),($B$4*2/10)^2*(1.5*(C86^2-MAX(B86,($B$4*2/10))^2)-($B$4*2/10)*(C86-MAX(B86,($B$4*2/10)))),0))*1000,0)</f>
        <v>0</v>
      </c>
      <c r="AD86" s="120">
        <f>IF(AND(J86="OK",ISNUMBER($B$5),$B$5&gt;0,ISNUMBER($B$3),$B$3&gt;0),F86/(6*$B$3*1000000*$B$5)*(IF(B86&lt;($B$4*3/10),($B$4*3/10)*(MIN(C86,($B$4*3/10))^3-B86^3)-(MIN(C86,($B$4*3/10))^4-B86^4)/4,0)+IF(C86&gt;($B$4*3/10),($B$4*3/10)^2*(1.5*(C86^2-MAX(B86,($B$4*3/10))^2)-($B$4*3/10)*(C86-MAX(B86,($B$4*3/10)))),0))*1000,0)</f>
        <v>0</v>
      </c>
      <c r="AE86" s="120">
        <f>IF(AND(J86="OK",ISNUMBER($B$5),$B$5&gt;0,ISNUMBER($B$3),$B$3&gt;0),F86/(6*$B$3*1000000*$B$5)*(IF(B86&lt;($B$4*4/10),($B$4*4/10)*(MIN(C86,($B$4*4/10))^3-B86^3)-(MIN(C86,($B$4*4/10))^4-B86^4)/4,0)+IF(C86&gt;($B$4*4/10),($B$4*4/10)^2*(1.5*(C86^2-MAX(B86,($B$4*4/10))^2)-($B$4*4/10)*(C86-MAX(B86,($B$4*4/10)))),0))*1000,0)</f>
        <v>0</v>
      </c>
      <c r="AF86" s="120">
        <f>IF(AND(J86="OK",ISNUMBER($B$5),$B$5&gt;0,ISNUMBER($B$3),$B$3&gt;0),F86/(6*$B$3*1000000*$B$5)*(IF(B86&lt;($B$4*5/10),($B$4*5/10)*(MIN(C86,($B$4*5/10))^3-B86^3)-(MIN(C86,($B$4*5/10))^4-B86^4)/4,0)+IF(C86&gt;($B$4*5/10),($B$4*5/10)^2*(1.5*(C86^2-MAX(B86,($B$4*5/10))^2)-($B$4*5/10)*(C86-MAX(B86,($B$4*5/10)))),0))*1000,0)</f>
        <v>0</v>
      </c>
      <c r="AG86" s="120">
        <f>IF(AND(J86="OK",ISNUMBER($B$5),$B$5&gt;0,ISNUMBER($B$3),$B$3&gt;0),F86/(6*$B$3*1000000*$B$5)*(IF(B86&lt;($B$4*6/10),($B$4*6/10)*(MIN(C86,($B$4*6/10))^3-B86^3)-(MIN(C86,($B$4*6/10))^4-B86^4)/4,0)+IF(C86&gt;($B$4*6/10),($B$4*6/10)^2*(1.5*(C86^2-MAX(B86,($B$4*6/10))^2)-($B$4*6/10)*(C86-MAX(B86,($B$4*6/10)))),0))*1000,0)</f>
        <v>0</v>
      </c>
      <c r="AH86" s="120">
        <f>IF(AND(J86="OK",ISNUMBER($B$5),$B$5&gt;0,ISNUMBER($B$3),$B$3&gt;0),F86/(6*$B$3*1000000*$B$5)*(IF(B86&lt;($B$4*7/10),($B$4*7/10)*(MIN(C86,($B$4*7/10))^3-B86^3)-(MIN(C86,($B$4*7/10))^4-B86^4)/4,0)+IF(C86&gt;($B$4*7/10),($B$4*7/10)^2*(1.5*(C86^2-MAX(B86,($B$4*7/10))^2)-($B$4*7/10)*(C86-MAX(B86,($B$4*7/10)))),0))*1000,0)</f>
        <v>0</v>
      </c>
      <c r="AI86" s="120">
        <f>IF(AND(J86="OK",ISNUMBER($B$5),$B$5&gt;0,ISNUMBER($B$3),$B$3&gt;0),F86/(6*$B$3*1000000*$B$5)*(IF(B86&lt;($B$4*8/10),($B$4*8/10)*(MIN(C86,($B$4*8/10))^3-B86^3)-(MIN(C86,($B$4*8/10))^4-B86^4)/4,0)+IF(C86&gt;($B$4*8/10),($B$4*8/10)^2*(1.5*(C86^2-MAX(B86,($B$4*8/10))^2)-($B$4*8/10)*(C86-MAX(B86,($B$4*8/10)))),0))*1000,0)</f>
        <v>0</v>
      </c>
      <c r="AJ86" s="120">
        <f>IF(AND(J86="OK",ISNUMBER($B$5),$B$5&gt;0,ISNUMBER($B$3),$B$3&gt;0),F86/(6*$B$3*1000000*$B$5)*(IF(B86&lt;($B$4*9/10),($B$4*9/10)*(MIN(C86,($B$4*9/10))^3-B86^3)-(MIN(C86,($B$4*9/10))^4-B86^4)/4,0)+IF(C86&gt;($B$4*9/10),($B$4*9/10)^2*(1.5*(C86^2-MAX(B86,($B$4*9/10))^2)-($B$4*9/10)*(C86-MAX(B86,($B$4*9/10)))),0))*1000,0)</f>
        <v>0</v>
      </c>
      <c r="AK86" s="120">
        <f>IF(AND(J86="OK",ISNUMBER($B$5),$B$5&gt;0,ISNUMBER($B$3),$B$3&gt;0),F86/(6*$B$3*1000000*$B$5)*(IF(B86&lt;($B$4*10/10),($B$4*10/10)*(MIN(C86,($B$4*10/10))^3-B86^3)-(MIN(C86,($B$4*10/10))^4-B86^4)/4,0)+IF(C86&gt;($B$4*10/10),($B$4*10/10)^2*(1.5*(C86^2-MAX(B86,($B$4*10/10))^2)-($B$4*10/10)*(C86-MAX(B86,($B$4*10/10)))),0))*1000,0)</f>
        <v>0</v>
      </c>
      <c r="AM86" s="120">
        <f>IF(AND(V86="OK",ISNUMBER($N$5),$N$5&gt;0,ISNUMBER($N$3),$N$3&gt;0),R86/(6*$N$3*1000000*$N$5)*(IF(N86&lt;($N$4*0/10),($N$4*0/10)*(MIN(O86,($N$4*0/10))^3-N86^3)-(MIN(O86,($N$4*0/10))^4-N86^4)/4,0)+IF(O86&gt;($N$4*0/10),($N$4*0/10)^2*(1.5*(O86^2-MAX(N86,($N$4*0/10))^2)-($N$4*0/10)*(O86-MAX(N86,($N$4*0/10)))),0))*1000,0)</f>
        <v>0</v>
      </c>
      <c r="AN86" s="120">
        <f>IF(AND(V86="OK",ISNUMBER($N$5),$N$5&gt;0,ISNUMBER($N$3),$N$3&gt;0),R86/(6*$N$3*1000000*$N$5)*(IF(N86&lt;($N$4*1/10),($N$4*1/10)*(MIN(O86,($N$4*1/10))^3-N86^3)-(MIN(O86,($N$4*1/10))^4-N86^4)/4,0)+IF(O86&gt;($N$4*1/10),($N$4*1/10)^2*(1.5*(O86^2-MAX(N86,($N$4*1/10))^2)-($N$4*1/10)*(O86-MAX(N86,($N$4*1/10)))),0))*1000,0)</f>
        <v>0</v>
      </c>
      <c r="AO86" s="120">
        <f>IF(AND(V86="OK",ISNUMBER($N$5),$N$5&gt;0,ISNUMBER($N$3),$N$3&gt;0),R86/(6*$N$3*1000000*$N$5)*(IF(N86&lt;($N$4*2/10),($N$4*2/10)*(MIN(O86,($N$4*2/10))^3-N86^3)-(MIN(O86,($N$4*2/10))^4-N86^4)/4,0)+IF(O86&gt;($N$4*2/10),($N$4*2/10)^2*(1.5*(O86^2-MAX(N86,($N$4*2/10))^2)-($N$4*2/10)*(O86-MAX(N86,($N$4*2/10)))),0))*1000,0)</f>
        <v>0</v>
      </c>
      <c r="AP86" s="120">
        <f>IF(AND(V86="OK",ISNUMBER($N$5),$N$5&gt;0,ISNUMBER($N$3),$N$3&gt;0),R86/(6*$N$3*1000000*$N$5)*(IF(N86&lt;($N$4*3/10),($N$4*3/10)*(MIN(O86,($N$4*3/10))^3-N86^3)-(MIN(O86,($N$4*3/10))^4-N86^4)/4,0)+IF(O86&gt;($N$4*3/10),($N$4*3/10)^2*(1.5*(O86^2-MAX(N86,($N$4*3/10))^2)-($N$4*3/10)*(O86-MAX(N86,($N$4*3/10)))),0))*1000,0)</f>
        <v>0</v>
      </c>
      <c r="AQ86" s="120">
        <f>IF(AND(V86="OK",ISNUMBER($N$5),$N$5&gt;0,ISNUMBER($N$3),$N$3&gt;0),R86/(6*$N$3*1000000*$N$5)*(IF(N86&lt;($N$4*4/10),($N$4*4/10)*(MIN(O86,($N$4*4/10))^3-N86^3)-(MIN(O86,($N$4*4/10))^4-N86^4)/4,0)+IF(O86&gt;($N$4*4/10),($N$4*4/10)^2*(1.5*(O86^2-MAX(N86,($N$4*4/10))^2)-($N$4*4/10)*(O86-MAX(N86,($N$4*4/10)))),0))*1000,0)</f>
        <v>0</v>
      </c>
      <c r="AR86" s="120">
        <f>IF(AND(V86="OK",ISNUMBER($N$5),$N$5&gt;0,ISNUMBER($N$3),$N$3&gt;0),R86/(6*$N$3*1000000*$N$5)*(IF(N86&lt;($N$4*5/10),($N$4*5/10)*(MIN(O86,($N$4*5/10))^3-N86^3)-(MIN(O86,($N$4*5/10))^4-N86^4)/4,0)+IF(O86&gt;($N$4*5/10),($N$4*5/10)^2*(1.5*(O86^2-MAX(N86,($N$4*5/10))^2)-($N$4*5/10)*(O86-MAX(N86,($N$4*5/10)))),0))*1000,0)</f>
        <v>0</v>
      </c>
      <c r="AS86" s="120">
        <f>IF(AND(V86="OK",ISNUMBER($N$5),$N$5&gt;0,ISNUMBER($N$3),$N$3&gt;0),R86/(6*$N$3*1000000*$N$5)*(IF(N86&lt;($N$4*6/10),($N$4*6/10)*(MIN(O86,($N$4*6/10))^3-N86^3)-(MIN(O86,($N$4*6/10))^4-N86^4)/4,0)+IF(O86&gt;($N$4*6/10),($N$4*6/10)^2*(1.5*(O86^2-MAX(N86,($N$4*6/10))^2)-($N$4*6/10)*(O86-MAX(N86,($N$4*6/10)))),0))*1000,0)</f>
        <v>0</v>
      </c>
      <c r="AT86" s="120">
        <f>IF(AND(V86="OK",ISNUMBER($N$5),$N$5&gt;0,ISNUMBER($N$3),$N$3&gt;0),R86/(6*$N$3*1000000*$N$5)*(IF(N86&lt;($N$4*7/10),($N$4*7/10)*(MIN(O86,($N$4*7/10))^3-N86^3)-(MIN(O86,($N$4*7/10))^4-N86^4)/4,0)+IF(O86&gt;($N$4*7/10),($N$4*7/10)^2*(1.5*(O86^2-MAX(N86,($N$4*7/10))^2)-($N$4*7/10)*(O86-MAX(N86,($N$4*7/10)))),0))*1000,0)</f>
        <v>0</v>
      </c>
      <c r="AU86" s="120">
        <f>IF(AND(V86="OK",ISNUMBER($N$5),$N$5&gt;0,ISNUMBER($N$3),$N$3&gt;0),R86/(6*$N$3*1000000*$N$5)*(IF(N86&lt;($N$4*8/10),($N$4*8/10)*(MIN(O86,($N$4*8/10))^3-N86^3)-(MIN(O86,($N$4*8/10))^4-N86^4)/4,0)+IF(O86&gt;($N$4*8/10),($N$4*8/10)^2*(1.5*(O86^2-MAX(N86,($N$4*8/10))^2)-($N$4*8/10)*(O86-MAX(N86,($N$4*8/10)))),0))*1000,0)</f>
        <v>0</v>
      </c>
      <c r="AV86" s="120">
        <f>IF(AND(V86="OK",ISNUMBER($N$5),$N$5&gt;0,ISNUMBER($N$3),$N$3&gt;0),R86/(6*$N$3*1000000*$N$5)*(IF(N86&lt;($N$4*9/10),($N$4*9/10)*(MIN(O86,($N$4*9/10))^3-N86^3)-(MIN(O86,($N$4*9/10))^4-N86^4)/4,0)+IF(O86&gt;($N$4*9/10),($N$4*9/10)^2*(1.5*(O86^2-MAX(N86,($N$4*9/10))^2)-($N$4*9/10)*(O86-MAX(N86,($N$4*9/10)))),0))*1000,0)</f>
        <v>0</v>
      </c>
      <c r="AW86" s="120">
        <f>IF(AND(V86="OK",ISNUMBER($N$5),$N$5&gt;0,ISNUMBER($N$3),$N$3&gt;0),R86/(6*$N$3*1000000*$N$5)*(IF(N86&lt;($N$4*10/10),($N$4*10/10)*(MIN(O86,($N$4*10/10))^3-N86^3)-(MIN(O86,($N$4*10/10))^4-N86^4)/4,0)+IF(O86&gt;($N$4*10/10),($N$4*10/10)^2*(1.5*(O86^2-MAX(N86,($N$4*10/10))^2)-($N$4*10/10)*(O86-MAX(N86,($N$4*10/10)))),0))*1000,0)</f>
        <v>0</v>
      </c>
    </row>
    <row r="87" spans="1:49">
      <c r="A87" s="124"/>
      <c r="B87" s="125"/>
      <c r="C87" s="125"/>
      <c r="D87" s="125"/>
      <c r="E87" s="125"/>
      <c r="F87" s="126" t="str">
        <f>IF(J87="OK",D87*E87,"")</f>
        <v/>
      </c>
      <c r="G87" s="126" t="str">
        <f>IF(J87="OK",F87*(C87-B87),"")</f>
        <v/>
      </c>
      <c r="H87" s="126" t="str">
        <f>IF(J87="OK",G87*(C87+B87)/2,"")</f>
        <v/>
      </c>
      <c r="I87" s="126" t="str">
        <f>IF(AND(J87="OK",ISNUMBER($B$5),$B$5&gt;0,ISNUMBER($B$3),$B$3&gt;0),F87*(4*$B$4*(C87^3-B87^3)-(C87^4-B87^4))/(24*$B$3*1000000*$B$5)*1000,"")</f>
        <v/>
      </c>
      <c r="J87" s="120" t="str">
        <f>IF(COUNTA(A87:E87)=0,"",IF(AND(COUNT(B87:E87)=4,B87&gt;=0,C87&gt;B87,C87&lt;=$B$4,D87&gt;=0,E87&gt;0),IF(COUNTIFS($B$13:$B$86,"&lt;"&amp;C87,$C$13:$C$86,"&gt;"&amp;B87)&gt;0,"OVERLAP","OK"),"CHECK INPUTS"))</f>
        <v/>
      </c>
      <c r="M87" s="124"/>
      <c r="N87" s="125"/>
      <c r="O87" s="125"/>
      <c r="P87" s="125"/>
      <c r="Q87" s="125"/>
      <c r="R87" s="126" t="str">
        <f>IF(V87="OK",P87*Q87,"")</f>
        <v/>
      </c>
      <c r="S87" s="126" t="str">
        <f>IF(V87="OK",R87*(O87-N87),"")</f>
        <v/>
      </c>
      <c r="T87" s="126" t="str">
        <f>IF(V87="OK",S87*(O87+N87)/2,"")</f>
        <v/>
      </c>
      <c r="U87" s="126" t="str">
        <f>IF(AND(V87="OK",ISNUMBER($N$5),$N$5&gt;0,ISNUMBER($N$3),$N$3&gt;0),R87*(4*$N$4*(O87^3-N87^3)-(O87^4-N87^4))/(24*$N$3*1000000*$N$5)*1000,"")</f>
        <v/>
      </c>
      <c r="V87" s="120" t="str">
        <f>IF(COUNTA(M87:Q87)=0,"",IF(AND(COUNT(N87:Q87)=4,N87&gt;=0,O87&gt;N87,O87&lt;=$N$4,P87&gt;=0,Q87&gt;0),IF(COUNTIFS($N$13:$N$86,"&lt;"&amp;O87,$O$13:$O$86,"&gt;"&amp;N87)&gt;0,"OVERLAP","OK"),"CHECK INPUTS"))</f>
        <v/>
      </c>
      <c r="AA87" s="120">
        <f>IF(AND(J87="OK",ISNUMBER($B$5),$B$5&gt;0,ISNUMBER($B$3),$B$3&gt;0),F87/(6*$B$3*1000000*$B$5)*(IF(B87&lt;($B$4*0/10),($B$4*0/10)*(MIN(C87,($B$4*0/10))^3-B87^3)-(MIN(C87,($B$4*0/10))^4-B87^4)/4,0)+IF(C87&gt;($B$4*0/10),($B$4*0/10)^2*(1.5*(C87^2-MAX(B87,($B$4*0/10))^2)-($B$4*0/10)*(C87-MAX(B87,($B$4*0/10)))),0))*1000,0)</f>
        <v>0</v>
      </c>
      <c r="AB87" s="120">
        <f>IF(AND(J87="OK",ISNUMBER($B$5),$B$5&gt;0,ISNUMBER($B$3),$B$3&gt;0),F87/(6*$B$3*1000000*$B$5)*(IF(B87&lt;($B$4*1/10),($B$4*1/10)*(MIN(C87,($B$4*1/10))^3-B87^3)-(MIN(C87,($B$4*1/10))^4-B87^4)/4,0)+IF(C87&gt;($B$4*1/10),($B$4*1/10)^2*(1.5*(C87^2-MAX(B87,($B$4*1/10))^2)-($B$4*1/10)*(C87-MAX(B87,($B$4*1/10)))),0))*1000,0)</f>
        <v>0</v>
      </c>
      <c r="AC87" s="120">
        <f>IF(AND(J87="OK",ISNUMBER($B$5),$B$5&gt;0,ISNUMBER($B$3),$B$3&gt;0),F87/(6*$B$3*1000000*$B$5)*(IF(B87&lt;($B$4*2/10),($B$4*2/10)*(MIN(C87,($B$4*2/10))^3-B87^3)-(MIN(C87,($B$4*2/10))^4-B87^4)/4,0)+IF(C87&gt;($B$4*2/10),($B$4*2/10)^2*(1.5*(C87^2-MAX(B87,($B$4*2/10))^2)-($B$4*2/10)*(C87-MAX(B87,($B$4*2/10)))),0))*1000,0)</f>
        <v>0</v>
      </c>
      <c r="AD87" s="120">
        <f>IF(AND(J87="OK",ISNUMBER($B$5),$B$5&gt;0,ISNUMBER($B$3),$B$3&gt;0),F87/(6*$B$3*1000000*$B$5)*(IF(B87&lt;($B$4*3/10),($B$4*3/10)*(MIN(C87,($B$4*3/10))^3-B87^3)-(MIN(C87,($B$4*3/10))^4-B87^4)/4,0)+IF(C87&gt;($B$4*3/10),($B$4*3/10)^2*(1.5*(C87^2-MAX(B87,($B$4*3/10))^2)-($B$4*3/10)*(C87-MAX(B87,($B$4*3/10)))),0))*1000,0)</f>
        <v>0</v>
      </c>
      <c r="AE87" s="120">
        <f>IF(AND(J87="OK",ISNUMBER($B$5),$B$5&gt;0,ISNUMBER($B$3),$B$3&gt;0),F87/(6*$B$3*1000000*$B$5)*(IF(B87&lt;($B$4*4/10),($B$4*4/10)*(MIN(C87,($B$4*4/10))^3-B87^3)-(MIN(C87,($B$4*4/10))^4-B87^4)/4,0)+IF(C87&gt;($B$4*4/10),($B$4*4/10)^2*(1.5*(C87^2-MAX(B87,($B$4*4/10))^2)-($B$4*4/10)*(C87-MAX(B87,($B$4*4/10)))),0))*1000,0)</f>
        <v>0</v>
      </c>
      <c r="AF87" s="120">
        <f>IF(AND(J87="OK",ISNUMBER($B$5),$B$5&gt;0,ISNUMBER($B$3),$B$3&gt;0),F87/(6*$B$3*1000000*$B$5)*(IF(B87&lt;($B$4*5/10),($B$4*5/10)*(MIN(C87,($B$4*5/10))^3-B87^3)-(MIN(C87,($B$4*5/10))^4-B87^4)/4,0)+IF(C87&gt;($B$4*5/10),($B$4*5/10)^2*(1.5*(C87^2-MAX(B87,($B$4*5/10))^2)-($B$4*5/10)*(C87-MAX(B87,($B$4*5/10)))),0))*1000,0)</f>
        <v>0</v>
      </c>
      <c r="AG87" s="120">
        <f>IF(AND(J87="OK",ISNUMBER($B$5),$B$5&gt;0,ISNUMBER($B$3),$B$3&gt;0),F87/(6*$B$3*1000000*$B$5)*(IF(B87&lt;($B$4*6/10),($B$4*6/10)*(MIN(C87,($B$4*6/10))^3-B87^3)-(MIN(C87,($B$4*6/10))^4-B87^4)/4,0)+IF(C87&gt;($B$4*6/10),($B$4*6/10)^2*(1.5*(C87^2-MAX(B87,($B$4*6/10))^2)-($B$4*6/10)*(C87-MAX(B87,($B$4*6/10)))),0))*1000,0)</f>
        <v>0</v>
      </c>
      <c r="AH87" s="120">
        <f>IF(AND(J87="OK",ISNUMBER($B$5),$B$5&gt;0,ISNUMBER($B$3),$B$3&gt;0),F87/(6*$B$3*1000000*$B$5)*(IF(B87&lt;($B$4*7/10),($B$4*7/10)*(MIN(C87,($B$4*7/10))^3-B87^3)-(MIN(C87,($B$4*7/10))^4-B87^4)/4,0)+IF(C87&gt;($B$4*7/10),($B$4*7/10)^2*(1.5*(C87^2-MAX(B87,($B$4*7/10))^2)-($B$4*7/10)*(C87-MAX(B87,($B$4*7/10)))),0))*1000,0)</f>
        <v>0</v>
      </c>
      <c r="AI87" s="120">
        <f>IF(AND(J87="OK",ISNUMBER($B$5),$B$5&gt;0,ISNUMBER($B$3),$B$3&gt;0),F87/(6*$B$3*1000000*$B$5)*(IF(B87&lt;($B$4*8/10),($B$4*8/10)*(MIN(C87,($B$4*8/10))^3-B87^3)-(MIN(C87,($B$4*8/10))^4-B87^4)/4,0)+IF(C87&gt;($B$4*8/10),($B$4*8/10)^2*(1.5*(C87^2-MAX(B87,($B$4*8/10))^2)-($B$4*8/10)*(C87-MAX(B87,($B$4*8/10)))),0))*1000,0)</f>
        <v>0</v>
      </c>
      <c r="AJ87" s="120">
        <f>IF(AND(J87="OK",ISNUMBER($B$5),$B$5&gt;0,ISNUMBER($B$3),$B$3&gt;0),F87/(6*$B$3*1000000*$B$5)*(IF(B87&lt;($B$4*9/10),($B$4*9/10)*(MIN(C87,($B$4*9/10))^3-B87^3)-(MIN(C87,($B$4*9/10))^4-B87^4)/4,0)+IF(C87&gt;($B$4*9/10),($B$4*9/10)^2*(1.5*(C87^2-MAX(B87,($B$4*9/10))^2)-($B$4*9/10)*(C87-MAX(B87,($B$4*9/10)))),0))*1000,0)</f>
        <v>0</v>
      </c>
      <c r="AK87" s="120">
        <f>IF(AND(J87="OK",ISNUMBER($B$5),$B$5&gt;0,ISNUMBER($B$3),$B$3&gt;0),F87/(6*$B$3*1000000*$B$5)*(IF(B87&lt;($B$4*10/10),($B$4*10/10)*(MIN(C87,($B$4*10/10))^3-B87^3)-(MIN(C87,($B$4*10/10))^4-B87^4)/4,0)+IF(C87&gt;($B$4*10/10),($B$4*10/10)^2*(1.5*(C87^2-MAX(B87,($B$4*10/10))^2)-($B$4*10/10)*(C87-MAX(B87,($B$4*10/10)))),0))*1000,0)</f>
        <v>0</v>
      </c>
      <c r="AM87" s="120">
        <f>IF(AND(V87="OK",ISNUMBER($N$5),$N$5&gt;0,ISNUMBER($N$3),$N$3&gt;0),R87/(6*$N$3*1000000*$N$5)*(IF(N87&lt;($N$4*0/10),($N$4*0/10)*(MIN(O87,($N$4*0/10))^3-N87^3)-(MIN(O87,($N$4*0/10))^4-N87^4)/4,0)+IF(O87&gt;($N$4*0/10),($N$4*0/10)^2*(1.5*(O87^2-MAX(N87,($N$4*0/10))^2)-($N$4*0/10)*(O87-MAX(N87,($N$4*0/10)))),0))*1000,0)</f>
        <v>0</v>
      </c>
      <c r="AN87" s="120">
        <f>IF(AND(V87="OK",ISNUMBER($N$5),$N$5&gt;0,ISNUMBER($N$3),$N$3&gt;0),R87/(6*$N$3*1000000*$N$5)*(IF(N87&lt;($N$4*1/10),($N$4*1/10)*(MIN(O87,($N$4*1/10))^3-N87^3)-(MIN(O87,($N$4*1/10))^4-N87^4)/4,0)+IF(O87&gt;($N$4*1/10),($N$4*1/10)^2*(1.5*(O87^2-MAX(N87,($N$4*1/10))^2)-($N$4*1/10)*(O87-MAX(N87,($N$4*1/10)))),0))*1000,0)</f>
        <v>0</v>
      </c>
      <c r="AO87" s="120">
        <f>IF(AND(V87="OK",ISNUMBER($N$5),$N$5&gt;0,ISNUMBER($N$3),$N$3&gt;0),R87/(6*$N$3*1000000*$N$5)*(IF(N87&lt;($N$4*2/10),($N$4*2/10)*(MIN(O87,($N$4*2/10))^3-N87^3)-(MIN(O87,($N$4*2/10))^4-N87^4)/4,0)+IF(O87&gt;($N$4*2/10),($N$4*2/10)^2*(1.5*(O87^2-MAX(N87,($N$4*2/10))^2)-($N$4*2/10)*(O87-MAX(N87,($N$4*2/10)))),0))*1000,0)</f>
        <v>0</v>
      </c>
      <c r="AP87" s="120">
        <f>IF(AND(V87="OK",ISNUMBER($N$5),$N$5&gt;0,ISNUMBER($N$3),$N$3&gt;0),R87/(6*$N$3*1000000*$N$5)*(IF(N87&lt;($N$4*3/10),($N$4*3/10)*(MIN(O87,($N$4*3/10))^3-N87^3)-(MIN(O87,($N$4*3/10))^4-N87^4)/4,0)+IF(O87&gt;($N$4*3/10),($N$4*3/10)^2*(1.5*(O87^2-MAX(N87,($N$4*3/10))^2)-($N$4*3/10)*(O87-MAX(N87,($N$4*3/10)))),0))*1000,0)</f>
        <v>0</v>
      </c>
      <c r="AQ87" s="120">
        <f>IF(AND(V87="OK",ISNUMBER($N$5),$N$5&gt;0,ISNUMBER($N$3),$N$3&gt;0),R87/(6*$N$3*1000000*$N$5)*(IF(N87&lt;($N$4*4/10),($N$4*4/10)*(MIN(O87,($N$4*4/10))^3-N87^3)-(MIN(O87,($N$4*4/10))^4-N87^4)/4,0)+IF(O87&gt;($N$4*4/10),($N$4*4/10)^2*(1.5*(O87^2-MAX(N87,($N$4*4/10))^2)-($N$4*4/10)*(O87-MAX(N87,($N$4*4/10)))),0))*1000,0)</f>
        <v>0</v>
      </c>
      <c r="AR87" s="120">
        <f>IF(AND(V87="OK",ISNUMBER($N$5),$N$5&gt;0,ISNUMBER($N$3),$N$3&gt;0),R87/(6*$N$3*1000000*$N$5)*(IF(N87&lt;($N$4*5/10),($N$4*5/10)*(MIN(O87,($N$4*5/10))^3-N87^3)-(MIN(O87,($N$4*5/10))^4-N87^4)/4,0)+IF(O87&gt;($N$4*5/10),($N$4*5/10)^2*(1.5*(O87^2-MAX(N87,($N$4*5/10))^2)-($N$4*5/10)*(O87-MAX(N87,($N$4*5/10)))),0))*1000,0)</f>
        <v>0</v>
      </c>
      <c r="AS87" s="120">
        <f>IF(AND(V87="OK",ISNUMBER($N$5),$N$5&gt;0,ISNUMBER($N$3),$N$3&gt;0),R87/(6*$N$3*1000000*$N$5)*(IF(N87&lt;($N$4*6/10),($N$4*6/10)*(MIN(O87,($N$4*6/10))^3-N87^3)-(MIN(O87,($N$4*6/10))^4-N87^4)/4,0)+IF(O87&gt;($N$4*6/10),($N$4*6/10)^2*(1.5*(O87^2-MAX(N87,($N$4*6/10))^2)-($N$4*6/10)*(O87-MAX(N87,($N$4*6/10)))),0))*1000,0)</f>
        <v>0</v>
      </c>
      <c r="AT87" s="120">
        <f>IF(AND(V87="OK",ISNUMBER($N$5),$N$5&gt;0,ISNUMBER($N$3),$N$3&gt;0),R87/(6*$N$3*1000000*$N$5)*(IF(N87&lt;($N$4*7/10),($N$4*7/10)*(MIN(O87,($N$4*7/10))^3-N87^3)-(MIN(O87,($N$4*7/10))^4-N87^4)/4,0)+IF(O87&gt;($N$4*7/10),($N$4*7/10)^2*(1.5*(O87^2-MAX(N87,($N$4*7/10))^2)-($N$4*7/10)*(O87-MAX(N87,($N$4*7/10)))),0))*1000,0)</f>
        <v>0</v>
      </c>
      <c r="AU87" s="120">
        <f>IF(AND(V87="OK",ISNUMBER($N$5),$N$5&gt;0,ISNUMBER($N$3),$N$3&gt;0),R87/(6*$N$3*1000000*$N$5)*(IF(N87&lt;($N$4*8/10),($N$4*8/10)*(MIN(O87,($N$4*8/10))^3-N87^3)-(MIN(O87,($N$4*8/10))^4-N87^4)/4,0)+IF(O87&gt;($N$4*8/10),($N$4*8/10)^2*(1.5*(O87^2-MAX(N87,($N$4*8/10))^2)-($N$4*8/10)*(O87-MAX(N87,($N$4*8/10)))),0))*1000,0)</f>
        <v>0</v>
      </c>
      <c r="AV87" s="120">
        <f>IF(AND(V87="OK",ISNUMBER($N$5),$N$5&gt;0,ISNUMBER($N$3),$N$3&gt;0),R87/(6*$N$3*1000000*$N$5)*(IF(N87&lt;($N$4*9/10),($N$4*9/10)*(MIN(O87,($N$4*9/10))^3-N87^3)-(MIN(O87,($N$4*9/10))^4-N87^4)/4,0)+IF(O87&gt;($N$4*9/10),($N$4*9/10)^2*(1.5*(O87^2-MAX(N87,($N$4*9/10))^2)-($N$4*9/10)*(O87-MAX(N87,($N$4*9/10)))),0))*1000,0)</f>
        <v>0</v>
      </c>
      <c r="AW87" s="120">
        <f>IF(AND(V87="OK",ISNUMBER($N$5),$N$5&gt;0,ISNUMBER($N$3),$N$3&gt;0),R87/(6*$N$3*1000000*$N$5)*(IF(N87&lt;($N$4*10/10),($N$4*10/10)*(MIN(O87,($N$4*10/10))^3-N87^3)-(MIN(O87,($N$4*10/10))^4-N87^4)/4,0)+IF(O87&gt;($N$4*10/10),($N$4*10/10)^2*(1.5*(O87^2-MAX(N87,($N$4*10/10))^2)-($N$4*10/10)*(O87-MAX(N87,($N$4*10/10)))),0))*1000,0)</f>
        <v>0</v>
      </c>
    </row>
    <row r="88" spans="1:49">
      <c r="A88" s="124"/>
      <c r="B88" s="125"/>
      <c r="C88" s="125"/>
      <c r="D88" s="125"/>
      <c r="E88" s="125"/>
      <c r="F88" s="126" t="str">
        <f>IF(J88="OK",D88*E88,"")</f>
        <v/>
      </c>
      <c r="G88" s="126" t="str">
        <f>IF(J88="OK",F88*(C88-B88),"")</f>
        <v/>
      </c>
      <c r="H88" s="126" t="str">
        <f>IF(J88="OK",G88*(C88+B88)/2,"")</f>
        <v/>
      </c>
      <c r="I88" s="126" t="str">
        <f>IF(AND(J88="OK",ISNUMBER($B$5),$B$5&gt;0,ISNUMBER($B$3),$B$3&gt;0),F88*(4*$B$4*(C88^3-B88^3)-(C88^4-B88^4))/(24*$B$3*1000000*$B$5)*1000,"")</f>
        <v/>
      </c>
      <c r="J88" s="120" t="str">
        <f>IF(COUNTA(A88:E88)=0,"",IF(AND(COUNT(B88:E88)=4,B88&gt;=0,C88&gt;B88,C88&lt;=$B$4,D88&gt;=0,E88&gt;0),IF(COUNTIFS($B$13:$B$87,"&lt;"&amp;C88,$C$13:$C$87,"&gt;"&amp;B88)&gt;0,"OVERLAP","OK"),"CHECK INPUTS"))</f>
        <v/>
      </c>
      <c r="M88" s="124"/>
      <c r="N88" s="125"/>
      <c r="O88" s="125"/>
      <c r="P88" s="125"/>
      <c r="Q88" s="125"/>
      <c r="R88" s="126" t="str">
        <f>IF(V88="OK",P88*Q88,"")</f>
        <v/>
      </c>
      <c r="S88" s="126" t="str">
        <f>IF(V88="OK",R88*(O88-N88),"")</f>
        <v/>
      </c>
      <c r="T88" s="126" t="str">
        <f>IF(V88="OK",S88*(O88+N88)/2,"")</f>
        <v/>
      </c>
      <c r="U88" s="126" t="str">
        <f>IF(AND(V88="OK",ISNUMBER($N$5),$N$5&gt;0,ISNUMBER($N$3),$N$3&gt;0),R88*(4*$N$4*(O88^3-N88^3)-(O88^4-N88^4))/(24*$N$3*1000000*$N$5)*1000,"")</f>
        <v/>
      </c>
      <c r="V88" s="120" t="str">
        <f>IF(COUNTA(M88:Q88)=0,"",IF(AND(COUNT(N88:Q88)=4,N88&gt;=0,O88&gt;N88,O88&lt;=$N$4,P88&gt;=0,Q88&gt;0),IF(COUNTIFS($N$13:$N$87,"&lt;"&amp;O88,$O$13:$O$87,"&gt;"&amp;N88)&gt;0,"OVERLAP","OK"),"CHECK INPUTS"))</f>
        <v/>
      </c>
      <c r="AA88" s="120">
        <f>IF(AND(J88="OK",ISNUMBER($B$5),$B$5&gt;0,ISNUMBER($B$3),$B$3&gt;0),F88/(6*$B$3*1000000*$B$5)*(IF(B88&lt;($B$4*0/10),($B$4*0/10)*(MIN(C88,($B$4*0/10))^3-B88^3)-(MIN(C88,($B$4*0/10))^4-B88^4)/4,0)+IF(C88&gt;($B$4*0/10),($B$4*0/10)^2*(1.5*(C88^2-MAX(B88,($B$4*0/10))^2)-($B$4*0/10)*(C88-MAX(B88,($B$4*0/10)))),0))*1000,0)</f>
        <v>0</v>
      </c>
      <c r="AB88" s="120">
        <f>IF(AND(J88="OK",ISNUMBER($B$5),$B$5&gt;0,ISNUMBER($B$3),$B$3&gt;0),F88/(6*$B$3*1000000*$B$5)*(IF(B88&lt;($B$4*1/10),($B$4*1/10)*(MIN(C88,($B$4*1/10))^3-B88^3)-(MIN(C88,($B$4*1/10))^4-B88^4)/4,0)+IF(C88&gt;($B$4*1/10),($B$4*1/10)^2*(1.5*(C88^2-MAX(B88,($B$4*1/10))^2)-($B$4*1/10)*(C88-MAX(B88,($B$4*1/10)))),0))*1000,0)</f>
        <v>0</v>
      </c>
      <c r="AC88" s="120">
        <f>IF(AND(J88="OK",ISNUMBER($B$5),$B$5&gt;0,ISNUMBER($B$3),$B$3&gt;0),F88/(6*$B$3*1000000*$B$5)*(IF(B88&lt;($B$4*2/10),($B$4*2/10)*(MIN(C88,($B$4*2/10))^3-B88^3)-(MIN(C88,($B$4*2/10))^4-B88^4)/4,0)+IF(C88&gt;($B$4*2/10),($B$4*2/10)^2*(1.5*(C88^2-MAX(B88,($B$4*2/10))^2)-($B$4*2/10)*(C88-MAX(B88,($B$4*2/10)))),0))*1000,0)</f>
        <v>0</v>
      </c>
      <c r="AD88" s="120">
        <f>IF(AND(J88="OK",ISNUMBER($B$5),$B$5&gt;0,ISNUMBER($B$3),$B$3&gt;0),F88/(6*$B$3*1000000*$B$5)*(IF(B88&lt;($B$4*3/10),($B$4*3/10)*(MIN(C88,($B$4*3/10))^3-B88^3)-(MIN(C88,($B$4*3/10))^4-B88^4)/4,0)+IF(C88&gt;($B$4*3/10),($B$4*3/10)^2*(1.5*(C88^2-MAX(B88,($B$4*3/10))^2)-($B$4*3/10)*(C88-MAX(B88,($B$4*3/10)))),0))*1000,0)</f>
        <v>0</v>
      </c>
      <c r="AE88" s="120">
        <f>IF(AND(J88="OK",ISNUMBER($B$5),$B$5&gt;0,ISNUMBER($B$3),$B$3&gt;0),F88/(6*$B$3*1000000*$B$5)*(IF(B88&lt;($B$4*4/10),($B$4*4/10)*(MIN(C88,($B$4*4/10))^3-B88^3)-(MIN(C88,($B$4*4/10))^4-B88^4)/4,0)+IF(C88&gt;($B$4*4/10),($B$4*4/10)^2*(1.5*(C88^2-MAX(B88,($B$4*4/10))^2)-($B$4*4/10)*(C88-MAX(B88,($B$4*4/10)))),0))*1000,0)</f>
        <v>0</v>
      </c>
      <c r="AF88" s="120">
        <f>IF(AND(J88="OK",ISNUMBER($B$5),$B$5&gt;0,ISNUMBER($B$3),$B$3&gt;0),F88/(6*$B$3*1000000*$B$5)*(IF(B88&lt;($B$4*5/10),($B$4*5/10)*(MIN(C88,($B$4*5/10))^3-B88^3)-(MIN(C88,($B$4*5/10))^4-B88^4)/4,0)+IF(C88&gt;($B$4*5/10),($B$4*5/10)^2*(1.5*(C88^2-MAX(B88,($B$4*5/10))^2)-($B$4*5/10)*(C88-MAX(B88,($B$4*5/10)))),0))*1000,0)</f>
        <v>0</v>
      </c>
      <c r="AG88" s="120">
        <f>IF(AND(J88="OK",ISNUMBER($B$5),$B$5&gt;0,ISNUMBER($B$3),$B$3&gt;0),F88/(6*$B$3*1000000*$B$5)*(IF(B88&lt;($B$4*6/10),($B$4*6/10)*(MIN(C88,($B$4*6/10))^3-B88^3)-(MIN(C88,($B$4*6/10))^4-B88^4)/4,0)+IF(C88&gt;($B$4*6/10),($B$4*6/10)^2*(1.5*(C88^2-MAX(B88,($B$4*6/10))^2)-($B$4*6/10)*(C88-MAX(B88,($B$4*6/10)))),0))*1000,0)</f>
        <v>0</v>
      </c>
      <c r="AH88" s="120">
        <f>IF(AND(J88="OK",ISNUMBER($B$5),$B$5&gt;0,ISNUMBER($B$3),$B$3&gt;0),F88/(6*$B$3*1000000*$B$5)*(IF(B88&lt;($B$4*7/10),($B$4*7/10)*(MIN(C88,($B$4*7/10))^3-B88^3)-(MIN(C88,($B$4*7/10))^4-B88^4)/4,0)+IF(C88&gt;($B$4*7/10),($B$4*7/10)^2*(1.5*(C88^2-MAX(B88,($B$4*7/10))^2)-($B$4*7/10)*(C88-MAX(B88,($B$4*7/10)))),0))*1000,0)</f>
        <v>0</v>
      </c>
      <c r="AI88" s="120">
        <f>IF(AND(J88="OK",ISNUMBER($B$5),$B$5&gt;0,ISNUMBER($B$3),$B$3&gt;0),F88/(6*$B$3*1000000*$B$5)*(IF(B88&lt;($B$4*8/10),($B$4*8/10)*(MIN(C88,($B$4*8/10))^3-B88^3)-(MIN(C88,($B$4*8/10))^4-B88^4)/4,0)+IF(C88&gt;($B$4*8/10),($B$4*8/10)^2*(1.5*(C88^2-MAX(B88,($B$4*8/10))^2)-($B$4*8/10)*(C88-MAX(B88,($B$4*8/10)))),0))*1000,0)</f>
        <v>0</v>
      </c>
      <c r="AJ88" s="120">
        <f>IF(AND(J88="OK",ISNUMBER($B$5),$B$5&gt;0,ISNUMBER($B$3),$B$3&gt;0),F88/(6*$B$3*1000000*$B$5)*(IF(B88&lt;($B$4*9/10),($B$4*9/10)*(MIN(C88,($B$4*9/10))^3-B88^3)-(MIN(C88,($B$4*9/10))^4-B88^4)/4,0)+IF(C88&gt;($B$4*9/10),($B$4*9/10)^2*(1.5*(C88^2-MAX(B88,($B$4*9/10))^2)-($B$4*9/10)*(C88-MAX(B88,($B$4*9/10)))),0))*1000,0)</f>
        <v>0</v>
      </c>
      <c r="AK88" s="120">
        <f>IF(AND(J88="OK",ISNUMBER($B$5),$B$5&gt;0,ISNUMBER($B$3),$B$3&gt;0),F88/(6*$B$3*1000000*$B$5)*(IF(B88&lt;($B$4*10/10),($B$4*10/10)*(MIN(C88,($B$4*10/10))^3-B88^3)-(MIN(C88,($B$4*10/10))^4-B88^4)/4,0)+IF(C88&gt;($B$4*10/10),($B$4*10/10)^2*(1.5*(C88^2-MAX(B88,($B$4*10/10))^2)-($B$4*10/10)*(C88-MAX(B88,($B$4*10/10)))),0))*1000,0)</f>
        <v>0</v>
      </c>
      <c r="AM88" s="120">
        <f>IF(AND(V88="OK",ISNUMBER($N$5),$N$5&gt;0,ISNUMBER($N$3),$N$3&gt;0),R88/(6*$N$3*1000000*$N$5)*(IF(N88&lt;($N$4*0/10),($N$4*0/10)*(MIN(O88,($N$4*0/10))^3-N88^3)-(MIN(O88,($N$4*0/10))^4-N88^4)/4,0)+IF(O88&gt;($N$4*0/10),($N$4*0/10)^2*(1.5*(O88^2-MAX(N88,($N$4*0/10))^2)-($N$4*0/10)*(O88-MAX(N88,($N$4*0/10)))),0))*1000,0)</f>
        <v>0</v>
      </c>
      <c r="AN88" s="120">
        <f>IF(AND(V88="OK",ISNUMBER($N$5),$N$5&gt;0,ISNUMBER($N$3),$N$3&gt;0),R88/(6*$N$3*1000000*$N$5)*(IF(N88&lt;($N$4*1/10),($N$4*1/10)*(MIN(O88,($N$4*1/10))^3-N88^3)-(MIN(O88,($N$4*1/10))^4-N88^4)/4,0)+IF(O88&gt;($N$4*1/10),($N$4*1/10)^2*(1.5*(O88^2-MAX(N88,($N$4*1/10))^2)-($N$4*1/10)*(O88-MAX(N88,($N$4*1/10)))),0))*1000,0)</f>
        <v>0</v>
      </c>
      <c r="AO88" s="120">
        <f>IF(AND(V88="OK",ISNUMBER($N$5),$N$5&gt;0,ISNUMBER($N$3),$N$3&gt;0),R88/(6*$N$3*1000000*$N$5)*(IF(N88&lt;($N$4*2/10),($N$4*2/10)*(MIN(O88,($N$4*2/10))^3-N88^3)-(MIN(O88,($N$4*2/10))^4-N88^4)/4,0)+IF(O88&gt;($N$4*2/10),($N$4*2/10)^2*(1.5*(O88^2-MAX(N88,($N$4*2/10))^2)-($N$4*2/10)*(O88-MAX(N88,($N$4*2/10)))),0))*1000,0)</f>
        <v>0</v>
      </c>
      <c r="AP88" s="120">
        <f>IF(AND(V88="OK",ISNUMBER($N$5),$N$5&gt;0,ISNUMBER($N$3),$N$3&gt;0),R88/(6*$N$3*1000000*$N$5)*(IF(N88&lt;($N$4*3/10),($N$4*3/10)*(MIN(O88,($N$4*3/10))^3-N88^3)-(MIN(O88,($N$4*3/10))^4-N88^4)/4,0)+IF(O88&gt;($N$4*3/10),($N$4*3/10)^2*(1.5*(O88^2-MAX(N88,($N$4*3/10))^2)-($N$4*3/10)*(O88-MAX(N88,($N$4*3/10)))),0))*1000,0)</f>
        <v>0</v>
      </c>
      <c r="AQ88" s="120">
        <f>IF(AND(V88="OK",ISNUMBER($N$5),$N$5&gt;0,ISNUMBER($N$3),$N$3&gt;0),R88/(6*$N$3*1000000*$N$5)*(IF(N88&lt;($N$4*4/10),($N$4*4/10)*(MIN(O88,($N$4*4/10))^3-N88^3)-(MIN(O88,($N$4*4/10))^4-N88^4)/4,0)+IF(O88&gt;($N$4*4/10),($N$4*4/10)^2*(1.5*(O88^2-MAX(N88,($N$4*4/10))^2)-($N$4*4/10)*(O88-MAX(N88,($N$4*4/10)))),0))*1000,0)</f>
        <v>0</v>
      </c>
      <c r="AR88" s="120">
        <f>IF(AND(V88="OK",ISNUMBER($N$5),$N$5&gt;0,ISNUMBER($N$3),$N$3&gt;0),R88/(6*$N$3*1000000*$N$5)*(IF(N88&lt;($N$4*5/10),($N$4*5/10)*(MIN(O88,($N$4*5/10))^3-N88^3)-(MIN(O88,($N$4*5/10))^4-N88^4)/4,0)+IF(O88&gt;($N$4*5/10),($N$4*5/10)^2*(1.5*(O88^2-MAX(N88,($N$4*5/10))^2)-($N$4*5/10)*(O88-MAX(N88,($N$4*5/10)))),0))*1000,0)</f>
        <v>0</v>
      </c>
      <c r="AS88" s="120">
        <f>IF(AND(V88="OK",ISNUMBER($N$5),$N$5&gt;0,ISNUMBER($N$3),$N$3&gt;0),R88/(6*$N$3*1000000*$N$5)*(IF(N88&lt;($N$4*6/10),($N$4*6/10)*(MIN(O88,($N$4*6/10))^3-N88^3)-(MIN(O88,($N$4*6/10))^4-N88^4)/4,0)+IF(O88&gt;($N$4*6/10),($N$4*6/10)^2*(1.5*(O88^2-MAX(N88,($N$4*6/10))^2)-($N$4*6/10)*(O88-MAX(N88,($N$4*6/10)))),0))*1000,0)</f>
        <v>0</v>
      </c>
      <c r="AT88" s="120">
        <f>IF(AND(V88="OK",ISNUMBER($N$5),$N$5&gt;0,ISNUMBER($N$3),$N$3&gt;0),R88/(6*$N$3*1000000*$N$5)*(IF(N88&lt;($N$4*7/10),($N$4*7/10)*(MIN(O88,($N$4*7/10))^3-N88^3)-(MIN(O88,($N$4*7/10))^4-N88^4)/4,0)+IF(O88&gt;($N$4*7/10),($N$4*7/10)^2*(1.5*(O88^2-MAX(N88,($N$4*7/10))^2)-($N$4*7/10)*(O88-MAX(N88,($N$4*7/10)))),0))*1000,0)</f>
        <v>0</v>
      </c>
      <c r="AU88" s="120">
        <f>IF(AND(V88="OK",ISNUMBER($N$5),$N$5&gt;0,ISNUMBER($N$3),$N$3&gt;0),R88/(6*$N$3*1000000*$N$5)*(IF(N88&lt;($N$4*8/10),($N$4*8/10)*(MIN(O88,($N$4*8/10))^3-N88^3)-(MIN(O88,($N$4*8/10))^4-N88^4)/4,0)+IF(O88&gt;($N$4*8/10),($N$4*8/10)^2*(1.5*(O88^2-MAX(N88,($N$4*8/10))^2)-($N$4*8/10)*(O88-MAX(N88,($N$4*8/10)))),0))*1000,0)</f>
        <v>0</v>
      </c>
      <c r="AV88" s="120">
        <f>IF(AND(V88="OK",ISNUMBER($N$5),$N$5&gt;0,ISNUMBER($N$3),$N$3&gt;0),R88/(6*$N$3*1000000*$N$5)*(IF(N88&lt;($N$4*9/10),($N$4*9/10)*(MIN(O88,($N$4*9/10))^3-N88^3)-(MIN(O88,($N$4*9/10))^4-N88^4)/4,0)+IF(O88&gt;($N$4*9/10),($N$4*9/10)^2*(1.5*(O88^2-MAX(N88,($N$4*9/10))^2)-($N$4*9/10)*(O88-MAX(N88,($N$4*9/10)))),0))*1000,0)</f>
        <v>0</v>
      </c>
      <c r="AW88" s="120">
        <f>IF(AND(V88="OK",ISNUMBER($N$5),$N$5&gt;0,ISNUMBER($N$3),$N$3&gt;0),R88/(6*$N$3*1000000*$N$5)*(IF(N88&lt;($N$4*10/10),($N$4*10/10)*(MIN(O88,($N$4*10/10))^3-N88^3)-(MIN(O88,($N$4*10/10))^4-N88^4)/4,0)+IF(O88&gt;($N$4*10/10),($N$4*10/10)^2*(1.5*(O88^2-MAX(N88,($N$4*10/10))^2)-($N$4*10/10)*(O88-MAX(N88,($N$4*10/10)))),0))*1000,0)</f>
        <v>0</v>
      </c>
    </row>
    <row r="89" spans="1:49">
      <c r="A89" s="124"/>
      <c r="B89" s="125"/>
      <c r="C89" s="125"/>
      <c r="D89" s="125"/>
      <c r="E89" s="125"/>
      <c r="F89" s="126" t="str">
        <f>IF(J89="OK",D89*E89,"")</f>
        <v/>
      </c>
      <c r="G89" s="126" t="str">
        <f>IF(J89="OK",F89*(C89-B89),"")</f>
        <v/>
      </c>
      <c r="H89" s="126" t="str">
        <f>IF(J89="OK",G89*(C89+B89)/2,"")</f>
        <v/>
      </c>
      <c r="I89" s="126" t="str">
        <f>IF(AND(J89="OK",ISNUMBER($B$5),$B$5&gt;0,ISNUMBER($B$3),$B$3&gt;0),F89*(4*$B$4*(C89^3-B89^3)-(C89^4-B89^4))/(24*$B$3*1000000*$B$5)*1000,"")</f>
        <v/>
      </c>
      <c r="J89" s="120" t="str">
        <f>IF(COUNTA(A89:E89)=0,"",IF(AND(COUNT(B89:E89)=4,B89&gt;=0,C89&gt;B89,C89&lt;=$B$4,D89&gt;=0,E89&gt;0),IF(COUNTIFS($B$13:$B$88,"&lt;"&amp;C89,$C$13:$C$88,"&gt;"&amp;B89)&gt;0,"OVERLAP","OK"),"CHECK INPUTS"))</f>
        <v/>
      </c>
      <c r="M89" s="124"/>
      <c r="N89" s="125"/>
      <c r="O89" s="125"/>
      <c r="P89" s="125"/>
      <c r="Q89" s="125"/>
      <c r="R89" s="126" t="str">
        <f>IF(V89="OK",P89*Q89,"")</f>
        <v/>
      </c>
      <c r="S89" s="126" t="str">
        <f>IF(V89="OK",R89*(O89-N89),"")</f>
        <v/>
      </c>
      <c r="T89" s="126" t="str">
        <f>IF(V89="OK",S89*(O89+N89)/2,"")</f>
        <v/>
      </c>
      <c r="U89" s="126" t="str">
        <f>IF(AND(V89="OK",ISNUMBER($N$5),$N$5&gt;0,ISNUMBER($N$3),$N$3&gt;0),R89*(4*$N$4*(O89^3-N89^3)-(O89^4-N89^4))/(24*$N$3*1000000*$N$5)*1000,"")</f>
        <v/>
      </c>
      <c r="V89" s="120" t="str">
        <f>IF(COUNTA(M89:Q89)=0,"",IF(AND(COUNT(N89:Q89)=4,N89&gt;=0,O89&gt;N89,O89&lt;=$N$4,P89&gt;=0,Q89&gt;0),IF(COUNTIFS($N$13:$N$88,"&lt;"&amp;O89,$O$13:$O$88,"&gt;"&amp;N89)&gt;0,"OVERLAP","OK"),"CHECK INPUTS"))</f>
        <v/>
      </c>
      <c r="AA89" s="120">
        <f>IF(AND(J89="OK",ISNUMBER($B$5),$B$5&gt;0,ISNUMBER($B$3),$B$3&gt;0),F89/(6*$B$3*1000000*$B$5)*(IF(B89&lt;($B$4*0/10),($B$4*0/10)*(MIN(C89,($B$4*0/10))^3-B89^3)-(MIN(C89,($B$4*0/10))^4-B89^4)/4,0)+IF(C89&gt;($B$4*0/10),($B$4*0/10)^2*(1.5*(C89^2-MAX(B89,($B$4*0/10))^2)-($B$4*0/10)*(C89-MAX(B89,($B$4*0/10)))),0))*1000,0)</f>
        <v>0</v>
      </c>
      <c r="AB89" s="120">
        <f>IF(AND(J89="OK",ISNUMBER($B$5),$B$5&gt;0,ISNUMBER($B$3),$B$3&gt;0),F89/(6*$B$3*1000000*$B$5)*(IF(B89&lt;($B$4*1/10),($B$4*1/10)*(MIN(C89,($B$4*1/10))^3-B89^3)-(MIN(C89,($B$4*1/10))^4-B89^4)/4,0)+IF(C89&gt;($B$4*1/10),($B$4*1/10)^2*(1.5*(C89^2-MAX(B89,($B$4*1/10))^2)-($B$4*1/10)*(C89-MAX(B89,($B$4*1/10)))),0))*1000,0)</f>
        <v>0</v>
      </c>
      <c r="AC89" s="120">
        <f>IF(AND(J89="OK",ISNUMBER($B$5),$B$5&gt;0,ISNUMBER($B$3),$B$3&gt;0),F89/(6*$B$3*1000000*$B$5)*(IF(B89&lt;($B$4*2/10),($B$4*2/10)*(MIN(C89,($B$4*2/10))^3-B89^3)-(MIN(C89,($B$4*2/10))^4-B89^4)/4,0)+IF(C89&gt;($B$4*2/10),($B$4*2/10)^2*(1.5*(C89^2-MAX(B89,($B$4*2/10))^2)-($B$4*2/10)*(C89-MAX(B89,($B$4*2/10)))),0))*1000,0)</f>
        <v>0</v>
      </c>
      <c r="AD89" s="120">
        <f>IF(AND(J89="OK",ISNUMBER($B$5),$B$5&gt;0,ISNUMBER($B$3),$B$3&gt;0),F89/(6*$B$3*1000000*$B$5)*(IF(B89&lt;($B$4*3/10),($B$4*3/10)*(MIN(C89,($B$4*3/10))^3-B89^3)-(MIN(C89,($B$4*3/10))^4-B89^4)/4,0)+IF(C89&gt;($B$4*3/10),($B$4*3/10)^2*(1.5*(C89^2-MAX(B89,($B$4*3/10))^2)-($B$4*3/10)*(C89-MAX(B89,($B$4*3/10)))),0))*1000,0)</f>
        <v>0</v>
      </c>
      <c r="AE89" s="120">
        <f>IF(AND(J89="OK",ISNUMBER($B$5),$B$5&gt;0,ISNUMBER($B$3),$B$3&gt;0),F89/(6*$B$3*1000000*$B$5)*(IF(B89&lt;($B$4*4/10),($B$4*4/10)*(MIN(C89,($B$4*4/10))^3-B89^3)-(MIN(C89,($B$4*4/10))^4-B89^4)/4,0)+IF(C89&gt;($B$4*4/10),($B$4*4/10)^2*(1.5*(C89^2-MAX(B89,($B$4*4/10))^2)-($B$4*4/10)*(C89-MAX(B89,($B$4*4/10)))),0))*1000,0)</f>
        <v>0</v>
      </c>
      <c r="AF89" s="120">
        <f>IF(AND(J89="OK",ISNUMBER($B$5),$B$5&gt;0,ISNUMBER($B$3),$B$3&gt;0),F89/(6*$B$3*1000000*$B$5)*(IF(B89&lt;($B$4*5/10),($B$4*5/10)*(MIN(C89,($B$4*5/10))^3-B89^3)-(MIN(C89,($B$4*5/10))^4-B89^4)/4,0)+IF(C89&gt;($B$4*5/10),($B$4*5/10)^2*(1.5*(C89^2-MAX(B89,($B$4*5/10))^2)-($B$4*5/10)*(C89-MAX(B89,($B$4*5/10)))),0))*1000,0)</f>
        <v>0</v>
      </c>
      <c r="AG89" s="120">
        <f>IF(AND(J89="OK",ISNUMBER($B$5),$B$5&gt;0,ISNUMBER($B$3),$B$3&gt;0),F89/(6*$B$3*1000000*$B$5)*(IF(B89&lt;($B$4*6/10),($B$4*6/10)*(MIN(C89,($B$4*6/10))^3-B89^3)-(MIN(C89,($B$4*6/10))^4-B89^4)/4,0)+IF(C89&gt;($B$4*6/10),($B$4*6/10)^2*(1.5*(C89^2-MAX(B89,($B$4*6/10))^2)-($B$4*6/10)*(C89-MAX(B89,($B$4*6/10)))),0))*1000,0)</f>
        <v>0</v>
      </c>
      <c r="AH89" s="120">
        <f>IF(AND(J89="OK",ISNUMBER($B$5),$B$5&gt;0,ISNUMBER($B$3),$B$3&gt;0),F89/(6*$B$3*1000000*$B$5)*(IF(B89&lt;($B$4*7/10),($B$4*7/10)*(MIN(C89,($B$4*7/10))^3-B89^3)-(MIN(C89,($B$4*7/10))^4-B89^4)/4,0)+IF(C89&gt;($B$4*7/10),($B$4*7/10)^2*(1.5*(C89^2-MAX(B89,($B$4*7/10))^2)-($B$4*7/10)*(C89-MAX(B89,($B$4*7/10)))),0))*1000,0)</f>
        <v>0</v>
      </c>
      <c r="AI89" s="120">
        <f>IF(AND(J89="OK",ISNUMBER($B$5),$B$5&gt;0,ISNUMBER($B$3),$B$3&gt;0),F89/(6*$B$3*1000000*$B$5)*(IF(B89&lt;($B$4*8/10),($B$4*8/10)*(MIN(C89,($B$4*8/10))^3-B89^3)-(MIN(C89,($B$4*8/10))^4-B89^4)/4,0)+IF(C89&gt;($B$4*8/10),($B$4*8/10)^2*(1.5*(C89^2-MAX(B89,($B$4*8/10))^2)-($B$4*8/10)*(C89-MAX(B89,($B$4*8/10)))),0))*1000,0)</f>
        <v>0</v>
      </c>
      <c r="AJ89" s="120">
        <f>IF(AND(J89="OK",ISNUMBER($B$5),$B$5&gt;0,ISNUMBER($B$3),$B$3&gt;0),F89/(6*$B$3*1000000*$B$5)*(IF(B89&lt;($B$4*9/10),($B$4*9/10)*(MIN(C89,($B$4*9/10))^3-B89^3)-(MIN(C89,($B$4*9/10))^4-B89^4)/4,0)+IF(C89&gt;($B$4*9/10),($B$4*9/10)^2*(1.5*(C89^2-MAX(B89,($B$4*9/10))^2)-($B$4*9/10)*(C89-MAX(B89,($B$4*9/10)))),0))*1000,0)</f>
        <v>0</v>
      </c>
      <c r="AK89" s="120">
        <f>IF(AND(J89="OK",ISNUMBER($B$5),$B$5&gt;0,ISNUMBER($B$3),$B$3&gt;0),F89/(6*$B$3*1000000*$B$5)*(IF(B89&lt;($B$4*10/10),($B$4*10/10)*(MIN(C89,($B$4*10/10))^3-B89^3)-(MIN(C89,($B$4*10/10))^4-B89^4)/4,0)+IF(C89&gt;($B$4*10/10),($B$4*10/10)^2*(1.5*(C89^2-MAX(B89,($B$4*10/10))^2)-($B$4*10/10)*(C89-MAX(B89,($B$4*10/10)))),0))*1000,0)</f>
        <v>0</v>
      </c>
      <c r="AM89" s="120">
        <f>IF(AND(V89="OK",ISNUMBER($N$5),$N$5&gt;0,ISNUMBER($N$3),$N$3&gt;0),R89/(6*$N$3*1000000*$N$5)*(IF(N89&lt;($N$4*0/10),($N$4*0/10)*(MIN(O89,($N$4*0/10))^3-N89^3)-(MIN(O89,($N$4*0/10))^4-N89^4)/4,0)+IF(O89&gt;($N$4*0/10),($N$4*0/10)^2*(1.5*(O89^2-MAX(N89,($N$4*0/10))^2)-($N$4*0/10)*(O89-MAX(N89,($N$4*0/10)))),0))*1000,0)</f>
        <v>0</v>
      </c>
      <c r="AN89" s="120">
        <f>IF(AND(V89="OK",ISNUMBER($N$5),$N$5&gt;0,ISNUMBER($N$3),$N$3&gt;0),R89/(6*$N$3*1000000*$N$5)*(IF(N89&lt;($N$4*1/10),($N$4*1/10)*(MIN(O89,($N$4*1/10))^3-N89^3)-(MIN(O89,($N$4*1/10))^4-N89^4)/4,0)+IF(O89&gt;($N$4*1/10),($N$4*1/10)^2*(1.5*(O89^2-MAX(N89,($N$4*1/10))^2)-($N$4*1/10)*(O89-MAX(N89,($N$4*1/10)))),0))*1000,0)</f>
        <v>0</v>
      </c>
      <c r="AO89" s="120">
        <f>IF(AND(V89="OK",ISNUMBER($N$5),$N$5&gt;0,ISNUMBER($N$3),$N$3&gt;0),R89/(6*$N$3*1000000*$N$5)*(IF(N89&lt;($N$4*2/10),($N$4*2/10)*(MIN(O89,($N$4*2/10))^3-N89^3)-(MIN(O89,($N$4*2/10))^4-N89^4)/4,0)+IF(O89&gt;($N$4*2/10),($N$4*2/10)^2*(1.5*(O89^2-MAX(N89,($N$4*2/10))^2)-($N$4*2/10)*(O89-MAX(N89,($N$4*2/10)))),0))*1000,0)</f>
        <v>0</v>
      </c>
      <c r="AP89" s="120">
        <f>IF(AND(V89="OK",ISNUMBER($N$5),$N$5&gt;0,ISNUMBER($N$3),$N$3&gt;0),R89/(6*$N$3*1000000*$N$5)*(IF(N89&lt;($N$4*3/10),($N$4*3/10)*(MIN(O89,($N$4*3/10))^3-N89^3)-(MIN(O89,($N$4*3/10))^4-N89^4)/4,0)+IF(O89&gt;($N$4*3/10),($N$4*3/10)^2*(1.5*(O89^2-MAX(N89,($N$4*3/10))^2)-($N$4*3/10)*(O89-MAX(N89,($N$4*3/10)))),0))*1000,0)</f>
        <v>0</v>
      </c>
      <c r="AQ89" s="120">
        <f>IF(AND(V89="OK",ISNUMBER($N$5),$N$5&gt;0,ISNUMBER($N$3),$N$3&gt;0),R89/(6*$N$3*1000000*$N$5)*(IF(N89&lt;($N$4*4/10),($N$4*4/10)*(MIN(O89,($N$4*4/10))^3-N89^3)-(MIN(O89,($N$4*4/10))^4-N89^4)/4,0)+IF(O89&gt;($N$4*4/10),($N$4*4/10)^2*(1.5*(O89^2-MAX(N89,($N$4*4/10))^2)-($N$4*4/10)*(O89-MAX(N89,($N$4*4/10)))),0))*1000,0)</f>
        <v>0</v>
      </c>
      <c r="AR89" s="120">
        <f>IF(AND(V89="OK",ISNUMBER($N$5),$N$5&gt;0,ISNUMBER($N$3),$N$3&gt;0),R89/(6*$N$3*1000000*$N$5)*(IF(N89&lt;($N$4*5/10),($N$4*5/10)*(MIN(O89,($N$4*5/10))^3-N89^3)-(MIN(O89,($N$4*5/10))^4-N89^4)/4,0)+IF(O89&gt;($N$4*5/10),($N$4*5/10)^2*(1.5*(O89^2-MAX(N89,($N$4*5/10))^2)-($N$4*5/10)*(O89-MAX(N89,($N$4*5/10)))),0))*1000,0)</f>
        <v>0</v>
      </c>
      <c r="AS89" s="120">
        <f>IF(AND(V89="OK",ISNUMBER($N$5),$N$5&gt;0,ISNUMBER($N$3),$N$3&gt;0),R89/(6*$N$3*1000000*$N$5)*(IF(N89&lt;($N$4*6/10),($N$4*6/10)*(MIN(O89,($N$4*6/10))^3-N89^3)-(MIN(O89,($N$4*6/10))^4-N89^4)/4,0)+IF(O89&gt;($N$4*6/10),($N$4*6/10)^2*(1.5*(O89^2-MAX(N89,($N$4*6/10))^2)-($N$4*6/10)*(O89-MAX(N89,($N$4*6/10)))),0))*1000,0)</f>
        <v>0</v>
      </c>
      <c r="AT89" s="120">
        <f>IF(AND(V89="OK",ISNUMBER($N$5),$N$5&gt;0,ISNUMBER($N$3),$N$3&gt;0),R89/(6*$N$3*1000000*$N$5)*(IF(N89&lt;($N$4*7/10),($N$4*7/10)*(MIN(O89,($N$4*7/10))^3-N89^3)-(MIN(O89,($N$4*7/10))^4-N89^4)/4,0)+IF(O89&gt;($N$4*7/10),($N$4*7/10)^2*(1.5*(O89^2-MAX(N89,($N$4*7/10))^2)-($N$4*7/10)*(O89-MAX(N89,($N$4*7/10)))),0))*1000,0)</f>
        <v>0</v>
      </c>
      <c r="AU89" s="120">
        <f>IF(AND(V89="OK",ISNUMBER($N$5),$N$5&gt;0,ISNUMBER($N$3),$N$3&gt;0),R89/(6*$N$3*1000000*$N$5)*(IF(N89&lt;($N$4*8/10),($N$4*8/10)*(MIN(O89,($N$4*8/10))^3-N89^3)-(MIN(O89,($N$4*8/10))^4-N89^4)/4,0)+IF(O89&gt;($N$4*8/10),($N$4*8/10)^2*(1.5*(O89^2-MAX(N89,($N$4*8/10))^2)-($N$4*8/10)*(O89-MAX(N89,($N$4*8/10)))),0))*1000,0)</f>
        <v>0</v>
      </c>
      <c r="AV89" s="120">
        <f>IF(AND(V89="OK",ISNUMBER($N$5),$N$5&gt;0,ISNUMBER($N$3),$N$3&gt;0),R89/(6*$N$3*1000000*$N$5)*(IF(N89&lt;($N$4*9/10),($N$4*9/10)*(MIN(O89,($N$4*9/10))^3-N89^3)-(MIN(O89,($N$4*9/10))^4-N89^4)/4,0)+IF(O89&gt;($N$4*9/10),($N$4*9/10)^2*(1.5*(O89^2-MAX(N89,($N$4*9/10))^2)-($N$4*9/10)*(O89-MAX(N89,($N$4*9/10)))),0))*1000,0)</f>
        <v>0</v>
      </c>
      <c r="AW89" s="120">
        <f>IF(AND(V89="OK",ISNUMBER($N$5),$N$5&gt;0,ISNUMBER($N$3),$N$3&gt;0),R89/(6*$N$3*1000000*$N$5)*(IF(N89&lt;($N$4*10/10),($N$4*10/10)*(MIN(O89,($N$4*10/10))^3-N89^3)-(MIN(O89,($N$4*10/10))^4-N89^4)/4,0)+IF(O89&gt;($N$4*10/10),($N$4*10/10)^2*(1.5*(O89^2-MAX(N89,($N$4*10/10))^2)-($N$4*10/10)*(O89-MAX(N89,($N$4*10/10)))),0))*1000,0)</f>
        <v>0</v>
      </c>
    </row>
    <row r="90" spans="1:49">
      <c r="A90" s="124"/>
      <c r="B90" s="125"/>
      <c r="C90" s="125"/>
      <c r="D90" s="125"/>
      <c r="E90" s="125"/>
      <c r="F90" s="126" t="str">
        <f>IF(J90="OK",D90*E90,"")</f>
        <v/>
      </c>
      <c r="G90" s="126" t="str">
        <f>IF(J90="OK",F90*(C90-B90),"")</f>
        <v/>
      </c>
      <c r="H90" s="126" t="str">
        <f>IF(J90="OK",G90*(C90+B90)/2,"")</f>
        <v/>
      </c>
      <c r="I90" s="126" t="str">
        <f>IF(AND(J90="OK",ISNUMBER($B$5),$B$5&gt;0,ISNUMBER($B$3),$B$3&gt;0),F90*(4*$B$4*(C90^3-B90^3)-(C90^4-B90^4))/(24*$B$3*1000000*$B$5)*1000,"")</f>
        <v/>
      </c>
      <c r="J90" s="120" t="str">
        <f>IF(COUNTA(A90:E90)=0,"",IF(AND(COUNT(B90:E90)=4,B90&gt;=0,C90&gt;B90,C90&lt;=$B$4,D90&gt;=0,E90&gt;0),IF(COUNTIFS($B$13:$B$89,"&lt;"&amp;C90,$C$13:$C$89,"&gt;"&amp;B90)&gt;0,"OVERLAP","OK"),"CHECK INPUTS"))</f>
        <v/>
      </c>
      <c r="M90" s="124"/>
      <c r="N90" s="125"/>
      <c r="O90" s="125"/>
      <c r="P90" s="125"/>
      <c r="Q90" s="125"/>
      <c r="R90" s="126" t="str">
        <f>IF(V90="OK",P90*Q90,"")</f>
        <v/>
      </c>
      <c r="S90" s="126" t="str">
        <f>IF(V90="OK",R90*(O90-N90),"")</f>
        <v/>
      </c>
      <c r="T90" s="126" t="str">
        <f>IF(V90="OK",S90*(O90+N90)/2,"")</f>
        <v/>
      </c>
      <c r="U90" s="126" t="str">
        <f>IF(AND(V90="OK",ISNUMBER($N$5),$N$5&gt;0,ISNUMBER($N$3),$N$3&gt;0),R90*(4*$N$4*(O90^3-N90^3)-(O90^4-N90^4))/(24*$N$3*1000000*$N$5)*1000,"")</f>
        <v/>
      </c>
      <c r="V90" s="120" t="str">
        <f>IF(COUNTA(M90:Q90)=0,"",IF(AND(COUNT(N90:Q90)=4,N90&gt;=0,O90&gt;N90,O90&lt;=$N$4,P90&gt;=0,Q90&gt;0),IF(COUNTIFS($N$13:$N$89,"&lt;"&amp;O90,$O$13:$O$89,"&gt;"&amp;N90)&gt;0,"OVERLAP","OK"),"CHECK INPUTS"))</f>
        <v/>
      </c>
      <c r="AA90" s="120">
        <f>IF(AND(J90="OK",ISNUMBER($B$5),$B$5&gt;0,ISNUMBER($B$3),$B$3&gt;0),F90/(6*$B$3*1000000*$B$5)*(IF(B90&lt;($B$4*0/10),($B$4*0/10)*(MIN(C90,($B$4*0/10))^3-B90^3)-(MIN(C90,($B$4*0/10))^4-B90^4)/4,0)+IF(C90&gt;($B$4*0/10),($B$4*0/10)^2*(1.5*(C90^2-MAX(B90,($B$4*0/10))^2)-($B$4*0/10)*(C90-MAX(B90,($B$4*0/10)))),0))*1000,0)</f>
        <v>0</v>
      </c>
      <c r="AB90" s="120">
        <f>IF(AND(J90="OK",ISNUMBER($B$5),$B$5&gt;0,ISNUMBER($B$3),$B$3&gt;0),F90/(6*$B$3*1000000*$B$5)*(IF(B90&lt;($B$4*1/10),($B$4*1/10)*(MIN(C90,($B$4*1/10))^3-B90^3)-(MIN(C90,($B$4*1/10))^4-B90^4)/4,0)+IF(C90&gt;($B$4*1/10),($B$4*1/10)^2*(1.5*(C90^2-MAX(B90,($B$4*1/10))^2)-($B$4*1/10)*(C90-MAX(B90,($B$4*1/10)))),0))*1000,0)</f>
        <v>0</v>
      </c>
      <c r="AC90" s="120">
        <f>IF(AND(J90="OK",ISNUMBER($B$5),$B$5&gt;0,ISNUMBER($B$3),$B$3&gt;0),F90/(6*$B$3*1000000*$B$5)*(IF(B90&lt;($B$4*2/10),($B$4*2/10)*(MIN(C90,($B$4*2/10))^3-B90^3)-(MIN(C90,($B$4*2/10))^4-B90^4)/4,0)+IF(C90&gt;($B$4*2/10),($B$4*2/10)^2*(1.5*(C90^2-MAX(B90,($B$4*2/10))^2)-($B$4*2/10)*(C90-MAX(B90,($B$4*2/10)))),0))*1000,0)</f>
        <v>0</v>
      </c>
      <c r="AD90" s="120">
        <f>IF(AND(J90="OK",ISNUMBER($B$5),$B$5&gt;0,ISNUMBER($B$3),$B$3&gt;0),F90/(6*$B$3*1000000*$B$5)*(IF(B90&lt;($B$4*3/10),($B$4*3/10)*(MIN(C90,($B$4*3/10))^3-B90^3)-(MIN(C90,($B$4*3/10))^4-B90^4)/4,0)+IF(C90&gt;($B$4*3/10),($B$4*3/10)^2*(1.5*(C90^2-MAX(B90,($B$4*3/10))^2)-($B$4*3/10)*(C90-MAX(B90,($B$4*3/10)))),0))*1000,0)</f>
        <v>0</v>
      </c>
      <c r="AE90" s="120">
        <f>IF(AND(J90="OK",ISNUMBER($B$5),$B$5&gt;0,ISNUMBER($B$3),$B$3&gt;0),F90/(6*$B$3*1000000*$B$5)*(IF(B90&lt;($B$4*4/10),($B$4*4/10)*(MIN(C90,($B$4*4/10))^3-B90^3)-(MIN(C90,($B$4*4/10))^4-B90^4)/4,0)+IF(C90&gt;($B$4*4/10),($B$4*4/10)^2*(1.5*(C90^2-MAX(B90,($B$4*4/10))^2)-($B$4*4/10)*(C90-MAX(B90,($B$4*4/10)))),0))*1000,0)</f>
        <v>0</v>
      </c>
      <c r="AF90" s="120">
        <f>IF(AND(J90="OK",ISNUMBER($B$5),$B$5&gt;0,ISNUMBER($B$3),$B$3&gt;0),F90/(6*$B$3*1000000*$B$5)*(IF(B90&lt;($B$4*5/10),($B$4*5/10)*(MIN(C90,($B$4*5/10))^3-B90^3)-(MIN(C90,($B$4*5/10))^4-B90^4)/4,0)+IF(C90&gt;($B$4*5/10),($B$4*5/10)^2*(1.5*(C90^2-MAX(B90,($B$4*5/10))^2)-($B$4*5/10)*(C90-MAX(B90,($B$4*5/10)))),0))*1000,0)</f>
        <v>0</v>
      </c>
      <c r="AG90" s="120">
        <f>IF(AND(J90="OK",ISNUMBER($B$5),$B$5&gt;0,ISNUMBER($B$3),$B$3&gt;0),F90/(6*$B$3*1000000*$B$5)*(IF(B90&lt;($B$4*6/10),($B$4*6/10)*(MIN(C90,($B$4*6/10))^3-B90^3)-(MIN(C90,($B$4*6/10))^4-B90^4)/4,0)+IF(C90&gt;($B$4*6/10),($B$4*6/10)^2*(1.5*(C90^2-MAX(B90,($B$4*6/10))^2)-($B$4*6/10)*(C90-MAX(B90,($B$4*6/10)))),0))*1000,0)</f>
        <v>0</v>
      </c>
      <c r="AH90" s="120">
        <f>IF(AND(J90="OK",ISNUMBER($B$5),$B$5&gt;0,ISNUMBER($B$3),$B$3&gt;0),F90/(6*$B$3*1000000*$B$5)*(IF(B90&lt;($B$4*7/10),($B$4*7/10)*(MIN(C90,($B$4*7/10))^3-B90^3)-(MIN(C90,($B$4*7/10))^4-B90^4)/4,0)+IF(C90&gt;($B$4*7/10),($B$4*7/10)^2*(1.5*(C90^2-MAX(B90,($B$4*7/10))^2)-($B$4*7/10)*(C90-MAX(B90,($B$4*7/10)))),0))*1000,0)</f>
        <v>0</v>
      </c>
      <c r="AI90" s="120">
        <f>IF(AND(J90="OK",ISNUMBER($B$5),$B$5&gt;0,ISNUMBER($B$3),$B$3&gt;0),F90/(6*$B$3*1000000*$B$5)*(IF(B90&lt;($B$4*8/10),($B$4*8/10)*(MIN(C90,($B$4*8/10))^3-B90^3)-(MIN(C90,($B$4*8/10))^4-B90^4)/4,0)+IF(C90&gt;($B$4*8/10),($B$4*8/10)^2*(1.5*(C90^2-MAX(B90,($B$4*8/10))^2)-($B$4*8/10)*(C90-MAX(B90,($B$4*8/10)))),0))*1000,0)</f>
        <v>0</v>
      </c>
      <c r="AJ90" s="120">
        <f>IF(AND(J90="OK",ISNUMBER($B$5),$B$5&gt;0,ISNUMBER($B$3),$B$3&gt;0),F90/(6*$B$3*1000000*$B$5)*(IF(B90&lt;($B$4*9/10),($B$4*9/10)*(MIN(C90,($B$4*9/10))^3-B90^3)-(MIN(C90,($B$4*9/10))^4-B90^4)/4,0)+IF(C90&gt;($B$4*9/10),($B$4*9/10)^2*(1.5*(C90^2-MAX(B90,($B$4*9/10))^2)-($B$4*9/10)*(C90-MAX(B90,($B$4*9/10)))),0))*1000,0)</f>
        <v>0</v>
      </c>
      <c r="AK90" s="120">
        <f>IF(AND(J90="OK",ISNUMBER($B$5),$B$5&gt;0,ISNUMBER($B$3),$B$3&gt;0),F90/(6*$B$3*1000000*$B$5)*(IF(B90&lt;($B$4*10/10),($B$4*10/10)*(MIN(C90,($B$4*10/10))^3-B90^3)-(MIN(C90,($B$4*10/10))^4-B90^4)/4,0)+IF(C90&gt;($B$4*10/10),($B$4*10/10)^2*(1.5*(C90^2-MAX(B90,($B$4*10/10))^2)-($B$4*10/10)*(C90-MAX(B90,($B$4*10/10)))),0))*1000,0)</f>
        <v>0</v>
      </c>
      <c r="AM90" s="120">
        <f>IF(AND(V90="OK",ISNUMBER($N$5),$N$5&gt;0,ISNUMBER($N$3),$N$3&gt;0),R90/(6*$N$3*1000000*$N$5)*(IF(N90&lt;($N$4*0/10),($N$4*0/10)*(MIN(O90,($N$4*0/10))^3-N90^3)-(MIN(O90,($N$4*0/10))^4-N90^4)/4,0)+IF(O90&gt;($N$4*0/10),($N$4*0/10)^2*(1.5*(O90^2-MAX(N90,($N$4*0/10))^2)-($N$4*0/10)*(O90-MAX(N90,($N$4*0/10)))),0))*1000,0)</f>
        <v>0</v>
      </c>
      <c r="AN90" s="120">
        <f>IF(AND(V90="OK",ISNUMBER($N$5),$N$5&gt;0,ISNUMBER($N$3),$N$3&gt;0),R90/(6*$N$3*1000000*$N$5)*(IF(N90&lt;($N$4*1/10),($N$4*1/10)*(MIN(O90,($N$4*1/10))^3-N90^3)-(MIN(O90,($N$4*1/10))^4-N90^4)/4,0)+IF(O90&gt;($N$4*1/10),($N$4*1/10)^2*(1.5*(O90^2-MAX(N90,($N$4*1/10))^2)-($N$4*1/10)*(O90-MAX(N90,($N$4*1/10)))),0))*1000,0)</f>
        <v>0</v>
      </c>
      <c r="AO90" s="120">
        <f>IF(AND(V90="OK",ISNUMBER($N$5),$N$5&gt;0,ISNUMBER($N$3),$N$3&gt;0),R90/(6*$N$3*1000000*$N$5)*(IF(N90&lt;($N$4*2/10),($N$4*2/10)*(MIN(O90,($N$4*2/10))^3-N90^3)-(MIN(O90,($N$4*2/10))^4-N90^4)/4,0)+IF(O90&gt;($N$4*2/10),($N$4*2/10)^2*(1.5*(O90^2-MAX(N90,($N$4*2/10))^2)-($N$4*2/10)*(O90-MAX(N90,($N$4*2/10)))),0))*1000,0)</f>
        <v>0</v>
      </c>
      <c r="AP90" s="120">
        <f>IF(AND(V90="OK",ISNUMBER($N$5),$N$5&gt;0,ISNUMBER($N$3),$N$3&gt;0),R90/(6*$N$3*1000000*$N$5)*(IF(N90&lt;($N$4*3/10),($N$4*3/10)*(MIN(O90,($N$4*3/10))^3-N90^3)-(MIN(O90,($N$4*3/10))^4-N90^4)/4,0)+IF(O90&gt;($N$4*3/10),($N$4*3/10)^2*(1.5*(O90^2-MAX(N90,($N$4*3/10))^2)-($N$4*3/10)*(O90-MAX(N90,($N$4*3/10)))),0))*1000,0)</f>
        <v>0</v>
      </c>
      <c r="AQ90" s="120">
        <f>IF(AND(V90="OK",ISNUMBER($N$5),$N$5&gt;0,ISNUMBER($N$3),$N$3&gt;0),R90/(6*$N$3*1000000*$N$5)*(IF(N90&lt;($N$4*4/10),($N$4*4/10)*(MIN(O90,($N$4*4/10))^3-N90^3)-(MIN(O90,($N$4*4/10))^4-N90^4)/4,0)+IF(O90&gt;($N$4*4/10),($N$4*4/10)^2*(1.5*(O90^2-MAX(N90,($N$4*4/10))^2)-($N$4*4/10)*(O90-MAX(N90,($N$4*4/10)))),0))*1000,0)</f>
        <v>0</v>
      </c>
      <c r="AR90" s="120">
        <f>IF(AND(V90="OK",ISNUMBER($N$5),$N$5&gt;0,ISNUMBER($N$3),$N$3&gt;0),R90/(6*$N$3*1000000*$N$5)*(IF(N90&lt;($N$4*5/10),($N$4*5/10)*(MIN(O90,($N$4*5/10))^3-N90^3)-(MIN(O90,($N$4*5/10))^4-N90^4)/4,0)+IF(O90&gt;($N$4*5/10),($N$4*5/10)^2*(1.5*(O90^2-MAX(N90,($N$4*5/10))^2)-($N$4*5/10)*(O90-MAX(N90,($N$4*5/10)))),0))*1000,0)</f>
        <v>0</v>
      </c>
      <c r="AS90" s="120">
        <f>IF(AND(V90="OK",ISNUMBER($N$5),$N$5&gt;0,ISNUMBER($N$3),$N$3&gt;0),R90/(6*$N$3*1000000*$N$5)*(IF(N90&lt;($N$4*6/10),($N$4*6/10)*(MIN(O90,($N$4*6/10))^3-N90^3)-(MIN(O90,($N$4*6/10))^4-N90^4)/4,0)+IF(O90&gt;($N$4*6/10),($N$4*6/10)^2*(1.5*(O90^2-MAX(N90,($N$4*6/10))^2)-($N$4*6/10)*(O90-MAX(N90,($N$4*6/10)))),0))*1000,0)</f>
        <v>0</v>
      </c>
      <c r="AT90" s="120">
        <f>IF(AND(V90="OK",ISNUMBER($N$5),$N$5&gt;0,ISNUMBER($N$3),$N$3&gt;0),R90/(6*$N$3*1000000*$N$5)*(IF(N90&lt;($N$4*7/10),($N$4*7/10)*(MIN(O90,($N$4*7/10))^3-N90^3)-(MIN(O90,($N$4*7/10))^4-N90^4)/4,0)+IF(O90&gt;($N$4*7/10),($N$4*7/10)^2*(1.5*(O90^2-MAX(N90,($N$4*7/10))^2)-($N$4*7/10)*(O90-MAX(N90,($N$4*7/10)))),0))*1000,0)</f>
        <v>0</v>
      </c>
      <c r="AU90" s="120">
        <f>IF(AND(V90="OK",ISNUMBER($N$5),$N$5&gt;0,ISNUMBER($N$3),$N$3&gt;0),R90/(6*$N$3*1000000*$N$5)*(IF(N90&lt;($N$4*8/10),($N$4*8/10)*(MIN(O90,($N$4*8/10))^3-N90^3)-(MIN(O90,($N$4*8/10))^4-N90^4)/4,0)+IF(O90&gt;($N$4*8/10),($N$4*8/10)^2*(1.5*(O90^2-MAX(N90,($N$4*8/10))^2)-($N$4*8/10)*(O90-MAX(N90,($N$4*8/10)))),0))*1000,0)</f>
        <v>0</v>
      </c>
      <c r="AV90" s="120">
        <f>IF(AND(V90="OK",ISNUMBER($N$5),$N$5&gt;0,ISNUMBER($N$3),$N$3&gt;0),R90/(6*$N$3*1000000*$N$5)*(IF(N90&lt;($N$4*9/10),($N$4*9/10)*(MIN(O90,($N$4*9/10))^3-N90^3)-(MIN(O90,($N$4*9/10))^4-N90^4)/4,0)+IF(O90&gt;($N$4*9/10),($N$4*9/10)^2*(1.5*(O90^2-MAX(N90,($N$4*9/10))^2)-($N$4*9/10)*(O90-MAX(N90,($N$4*9/10)))),0))*1000,0)</f>
        <v>0</v>
      </c>
      <c r="AW90" s="120">
        <f>IF(AND(V90="OK",ISNUMBER($N$5),$N$5&gt;0,ISNUMBER($N$3),$N$3&gt;0),R90/(6*$N$3*1000000*$N$5)*(IF(N90&lt;($N$4*10/10),($N$4*10/10)*(MIN(O90,($N$4*10/10))^3-N90^3)-(MIN(O90,($N$4*10/10))^4-N90^4)/4,0)+IF(O90&gt;($N$4*10/10),($N$4*10/10)^2*(1.5*(O90^2-MAX(N90,($N$4*10/10))^2)-($N$4*10/10)*(O90-MAX(N90,($N$4*10/10)))),0))*1000,0)</f>
        <v>0</v>
      </c>
    </row>
    <row r="91" spans="1:49">
      <c r="A91" s="124"/>
      <c r="B91" s="125"/>
      <c r="C91" s="125"/>
      <c r="D91" s="125"/>
      <c r="E91" s="125"/>
      <c r="F91" s="126" t="str">
        <f>IF(J91="OK",D91*E91,"")</f>
        <v/>
      </c>
      <c r="G91" s="126" t="str">
        <f>IF(J91="OK",F91*(C91-B91),"")</f>
        <v/>
      </c>
      <c r="H91" s="126" t="str">
        <f>IF(J91="OK",G91*(C91+B91)/2,"")</f>
        <v/>
      </c>
      <c r="I91" s="126" t="str">
        <f>IF(AND(J91="OK",ISNUMBER($B$5),$B$5&gt;0,ISNUMBER($B$3),$B$3&gt;0),F91*(4*$B$4*(C91^3-B91^3)-(C91^4-B91^4))/(24*$B$3*1000000*$B$5)*1000,"")</f>
        <v/>
      </c>
      <c r="J91" s="120" t="str">
        <f>IF(COUNTA(A91:E91)=0,"",IF(AND(COUNT(B91:E91)=4,B91&gt;=0,C91&gt;B91,C91&lt;=$B$4,D91&gt;=0,E91&gt;0),IF(COUNTIFS($B$13:$B$90,"&lt;"&amp;C91,$C$13:$C$90,"&gt;"&amp;B91)&gt;0,"OVERLAP","OK"),"CHECK INPUTS"))</f>
        <v/>
      </c>
      <c r="M91" s="124"/>
      <c r="N91" s="125"/>
      <c r="O91" s="125"/>
      <c r="P91" s="125"/>
      <c r="Q91" s="125"/>
      <c r="R91" s="126" t="str">
        <f>IF(V91="OK",P91*Q91,"")</f>
        <v/>
      </c>
      <c r="S91" s="126" t="str">
        <f>IF(V91="OK",R91*(O91-N91),"")</f>
        <v/>
      </c>
      <c r="T91" s="126" t="str">
        <f>IF(V91="OK",S91*(O91+N91)/2,"")</f>
        <v/>
      </c>
      <c r="U91" s="126" t="str">
        <f>IF(AND(V91="OK",ISNUMBER($N$5),$N$5&gt;0,ISNUMBER($N$3),$N$3&gt;0),R91*(4*$N$4*(O91^3-N91^3)-(O91^4-N91^4))/(24*$N$3*1000000*$N$5)*1000,"")</f>
        <v/>
      </c>
      <c r="V91" s="120" t="str">
        <f>IF(COUNTA(M91:Q91)=0,"",IF(AND(COUNT(N91:Q91)=4,N91&gt;=0,O91&gt;N91,O91&lt;=$N$4,P91&gt;=0,Q91&gt;0),IF(COUNTIFS($N$13:$N$90,"&lt;"&amp;O91,$O$13:$O$90,"&gt;"&amp;N91)&gt;0,"OVERLAP","OK"),"CHECK INPUTS"))</f>
        <v/>
      </c>
      <c r="AA91" s="120">
        <f>IF(AND(J91="OK",ISNUMBER($B$5),$B$5&gt;0,ISNUMBER($B$3),$B$3&gt;0),F91/(6*$B$3*1000000*$B$5)*(IF(B91&lt;($B$4*0/10),($B$4*0/10)*(MIN(C91,($B$4*0/10))^3-B91^3)-(MIN(C91,($B$4*0/10))^4-B91^4)/4,0)+IF(C91&gt;($B$4*0/10),($B$4*0/10)^2*(1.5*(C91^2-MAX(B91,($B$4*0/10))^2)-($B$4*0/10)*(C91-MAX(B91,($B$4*0/10)))),0))*1000,0)</f>
        <v>0</v>
      </c>
      <c r="AB91" s="120">
        <f>IF(AND(J91="OK",ISNUMBER($B$5),$B$5&gt;0,ISNUMBER($B$3),$B$3&gt;0),F91/(6*$B$3*1000000*$B$5)*(IF(B91&lt;($B$4*1/10),($B$4*1/10)*(MIN(C91,($B$4*1/10))^3-B91^3)-(MIN(C91,($B$4*1/10))^4-B91^4)/4,0)+IF(C91&gt;($B$4*1/10),($B$4*1/10)^2*(1.5*(C91^2-MAX(B91,($B$4*1/10))^2)-($B$4*1/10)*(C91-MAX(B91,($B$4*1/10)))),0))*1000,0)</f>
        <v>0</v>
      </c>
      <c r="AC91" s="120">
        <f>IF(AND(J91="OK",ISNUMBER($B$5),$B$5&gt;0,ISNUMBER($B$3),$B$3&gt;0),F91/(6*$B$3*1000000*$B$5)*(IF(B91&lt;($B$4*2/10),($B$4*2/10)*(MIN(C91,($B$4*2/10))^3-B91^3)-(MIN(C91,($B$4*2/10))^4-B91^4)/4,0)+IF(C91&gt;($B$4*2/10),($B$4*2/10)^2*(1.5*(C91^2-MAX(B91,($B$4*2/10))^2)-($B$4*2/10)*(C91-MAX(B91,($B$4*2/10)))),0))*1000,0)</f>
        <v>0</v>
      </c>
      <c r="AD91" s="120">
        <f>IF(AND(J91="OK",ISNUMBER($B$5),$B$5&gt;0,ISNUMBER($B$3),$B$3&gt;0),F91/(6*$B$3*1000000*$B$5)*(IF(B91&lt;($B$4*3/10),($B$4*3/10)*(MIN(C91,($B$4*3/10))^3-B91^3)-(MIN(C91,($B$4*3/10))^4-B91^4)/4,0)+IF(C91&gt;($B$4*3/10),($B$4*3/10)^2*(1.5*(C91^2-MAX(B91,($B$4*3/10))^2)-($B$4*3/10)*(C91-MAX(B91,($B$4*3/10)))),0))*1000,0)</f>
        <v>0</v>
      </c>
      <c r="AE91" s="120">
        <f>IF(AND(J91="OK",ISNUMBER($B$5),$B$5&gt;0,ISNUMBER($B$3),$B$3&gt;0),F91/(6*$B$3*1000000*$B$5)*(IF(B91&lt;($B$4*4/10),($B$4*4/10)*(MIN(C91,($B$4*4/10))^3-B91^3)-(MIN(C91,($B$4*4/10))^4-B91^4)/4,0)+IF(C91&gt;($B$4*4/10),($B$4*4/10)^2*(1.5*(C91^2-MAX(B91,($B$4*4/10))^2)-($B$4*4/10)*(C91-MAX(B91,($B$4*4/10)))),0))*1000,0)</f>
        <v>0</v>
      </c>
      <c r="AF91" s="120">
        <f>IF(AND(J91="OK",ISNUMBER($B$5),$B$5&gt;0,ISNUMBER($B$3),$B$3&gt;0),F91/(6*$B$3*1000000*$B$5)*(IF(B91&lt;($B$4*5/10),($B$4*5/10)*(MIN(C91,($B$4*5/10))^3-B91^3)-(MIN(C91,($B$4*5/10))^4-B91^4)/4,0)+IF(C91&gt;($B$4*5/10),($B$4*5/10)^2*(1.5*(C91^2-MAX(B91,($B$4*5/10))^2)-($B$4*5/10)*(C91-MAX(B91,($B$4*5/10)))),0))*1000,0)</f>
        <v>0</v>
      </c>
      <c r="AG91" s="120">
        <f>IF(AND(J91="OK",ISNUMBER($B$5),$B$5&gt;0,ISNUMBER($B$3),$B$3&gt;0),F91/(6*$B$3*1000000*$B$5)*(IF(B91&lt;($B$4*6/10),($B$4*6/10)*(MIN(C91,($B$4*6/10))^3-B91^3)-(MIN(C91,($B$4*6/10))^4-B91^4)/4,0)+IF(C91&gt;($B$4*6/10),($B$4*6/10)^2*(1.5*(C91^2-MAX(B91,($B$4*6/10))^2)-($B$4*6/10)*(C91-MAX(B91,($B$4*6/10)))),0))*1000,0)</f>
        <v>0</v>
      </c>
      <c r="AH91" s="120">
        <f>IF(AND(J91="OK",ISNUMBER($B$5),$B$5&gt;0,ISNUMBER($B$3),$B$3&gt;0),F91/(6*$B$3*1000000*$B$5)*(IF(B91&lt;($B$4*7/10),($B$4*7/10)*(MIN(C91,($B$4*7/10))^3-B91^3)-(MIN(C91,($B$4*7/10))^4-B91^4)/4,0)+IF(C91&gt;($B$4*7/10),($B$4*7/10)^2*(1.5*(C91^2-MAX(B91,($B$4*7/10))^2)-($B$4*7/10)*(C91-MAX(B91,($B$4*7/10)))),0))*1000,0)</f>
        <v>0</v>
      </c>
      <c r="AI91" s="120">
        <f>IF(AND(J91="OK",ISNUMBER($B$5),$B$5&gt;0,ISNUMBER($B$3),$B$3&gt;0),F91/(6*$B$3*1000000*$B$5)*(IF(B91&lt;($B$4*8/10),($B$4*8/10)*(MIN(C91,($B$4*8/10))^3-B91^3)-(MIN(C91,($B$4*8/10))^4-B91^4)/4,0)+IF(C91&gt;($B$4*8/10),($B$4*8/10)^2*(1.5*(C91^2-MAX(B91,($B$4*8/10))^2)-($B$4*8/10)*(C91-MAX(B91,($B$4*8/10)))),0))*1000,0)</f>
        <v>0</v>
      </c>
      <c r="AJ91" s="120">
        <f>IF(AND(J91="OK",ISNUMBER($B$5),$B$5&gt;0,ISNUMBER($B$3),$B$3&gt;0),F91/(6*$B$3*1000000*$B$5)*(IF(B91&lt;($B$4*9/10),($B$4*9/10)*(MIN(C91,($B$4*9/10))^3-B91^3)-(MIN(C91,($B$4*9/10))^4-B91^4)/4,0)+IF(C91&gt;($B$4*9/10),($B$4*9/10)^2*(1.5*(C91^2-MAX(B91,($B$4*9/10))^2)-($B$4*9/10)*(C91-MAX(B91,($B$4*9/10)))),0))*1000,0)</f>
        <v>0</v>
      </c>
      <c r="AK91" s="120">
        <f>IF(AND(J91="OK",ISNUMBER($B$5),$B$5&gt;0,ISNUMBER($B$3),$B$3&gt;0),F91/(6*$B$3*1000000*$B$5)*(IF(B91&lt;($B$4*10/10),($B$4*10/10)*(MIN(C91,($B$4*10/10))^3-B91^3)-(MIN(C91,($B$4*10/10))^4-B91^4)/4,0)+IF(C91&gt;($B$4*10/10),($B$4*10/10)^2*(1.5*(C91^2-MAX(B91,($B$4*10/10))^2)-($B$4*10/10)*(C91-MAX(B91,($B$4*10/10)))),0))*1000,0)</f>
        <v>0</v>
      </c>
      <c r="AM91" s="120">
        <f>IF(AND(V91="OK",ISNUMBER($N$5),$N$5&gt;0,ISNUMBER($N$3),$N$3&gt;0),R91/(6*$N$3*1000000*$N$5)*(IF(N91&lt;($N$4*0/10),($N$4*0/10)*(MIN(O91,($N$4*0/10))^3-N91^3)-(MIN(O91,($N$4*0/10))^4-N91^4)/4,0)+IF(O91&gt;($N$4*0/10),($N$4*0/10)^2*(1.5*(O91^2-MAX(N91,($N$4*0/10))^2)-($N$4*0/10)*(O91-MAX(N91,($N$4*0/10)))),0))*1000,0)</f>
        <v>0</v>
      </c>
      <c r="AN91" s="120">
        <f>IF(AND(V91="OK",ISNUMBER($N$5),$N$5&gt;0,ISNUMBER($N$3),$N$3&gt;0),R91/(6*$N$3*1000000*$N$5)*(IF(N91&lt;($N$4*1/10),($N$4*1/10)*(MIN(O91,($N$4*1/10))^3-N91^3)-(MIN(O91,($N$4*1/10))^4-N91^4)/4,0)+IF(O91&gt;($N$4*1/10),($N$4*1/10)^2*(1.5*(O91^2-MAX(N91,($N$4*1/10))^2)-($N$4*1/10)*(O91-MAX(N91,($N$4*1/10)))),0))*1000,0)</f>
        <v>0</v>
      </c>
      <c r="AO91" s="120">
        <f>IF(AND(V91="OK",ISNUMBER($N$5),$N$5&gt;0,ISNUMBER($N$3),$N$3&gt;0),R91/(6*$N$3*1000000*$N$5)*(IF(N91&lt;($N$4*2/10),($N$4*2/10)*(MIN(O91,($N$4*2/10))^3-N91^3)-(MIN(O91,($N$4*2/10))^4-N91^4)/4,0)+IF(O91&gt;($N$4*2/10),($N$4*2/10)^2*(1.5*(O91^2-MAX(N91,($N$4*2/10))^2)-($N$4*2/10)*(O91-MAX(N91,($N$4*2/10)))),0))*1000,0)</f>
        <v>0</v>
      </c>
      <c r="AP91" s="120">
        <f>IF(AND(V91="OK",ISNUMBER($N$5),$N$5&gt;0,ISNUMBER($N$3),$N$3&gt;0),R91/(6*$N$3*1000000*$N$5)*(IF(N91&lt;($N$4*3/10),($N$4*3/10)*(MIN(O91,($N$4*3/10))^3-N91^3)-(MIN(O91,($N$4*3/10))^4-N91^4)/4,0)+IF(O91&gt;($N$4*3/10),($N$4*3/10)^2*(1.5*(O91^2-MAX(N91,($N$4*3/10))^2)-($N$4*3/10)*(O91-MAX(N91,($N$4*3/10)))),0))*1000,0)</f>
        <v>0</v>
      </c>
      <c r="AQ91" s="120">
        <f>IF(AND(V91="OK",ISNUMBER($N$5),$N$5&gt;0,ISNUMBER($N$3),$N$3&gt;0),R91/(6*$N$3*1000000*$N$5)*(IF(N91&lt;($N$4*4/10),($N$4*4/10)*(MIN(O91,($N$4*4/10))^3-N91^3)-(MIN(O91,($N$4*4/10))^4-N91^4)/4,0)+IF(O91&gt;($N$4*4/10),($N$4*4/10)^2*(1.5*(O91^2-MAX(N91,($N$4*4/10))^2)-($N$4*4/10)*(O91-MAX(N91,($N$4*4/10)))),0))*1000,0)</f>
        <v>0</v>
      </c>
      <c r="AR91" s="120">
        <f>IF(AND(V91="OK",ISNUMBER($N$5),$N$5&gt;0,ISNUMBER($N$3),$N$3&gt;0),R91/(6*$N$3*1000000*$N$5)*(IF(N91&lt;($N$4*5/10),($N$4*5/10)*(MIN(O91,($N$4*5/10))^3-N91^3)-(MIN(O91,($N$4*5/10))^4-N91^4)/4,0)+IF(O91&gt;($N$4*5/10),($N$4*5/10)^2*(1.5*(O91^2-MAX(N91,($N$4*5/10))^2)-($N$4*5/10)*(O91-MAX(N91,($N$4*5/10)))),0))*1000,0)</f>
        <v>0</v>
      </c>
      <c r="AS91" s="120">
        <f>IF(AND(V91="OK",ISNUMBER($N$5),$N$5&gt;0,ISNUMBER($N$3),$N$3&gt;0),R91/(6*$N$3*1000000*$N$5)*(IF(N91&lt;($N$4*6/10),($N$4*6/10)*(MIN(O91,($N$4*6/10))^3-N91^3)-(MIN(O91,($N$4*6/10))^4-N91^4)/4,0)+IF(O91&gt;($N$4*6/10),($N$4*6/10)^2*(1.5*(O91^2-MAX(N91,($N$4*6/10))^2)-($N$4*6/10)*(O91-MAX(N91,($N$4*6/10)))),0))*1000,0)</f>
        <v>0</v>
      </c>
      <c r="AT91" s="120">
        <f>IF(AND(V91="OK",ISNUMBER($N$5),$N$5&gt;0,ISNUMBER($N$3),$N$3&gt;0),R91/(6*$N$3*1000000*$N$5)*(IF(N91&lt;($N$4*7/10),($N$4*7/10)*(MIN(O91,($N$4*7/10))^3-N91^3)-(MIN(O91,($N$4*7/10))^4-N91^4)/4,0)+IF(O91&gt;($N$4*7/10),($N$4*7/10)^2*(1.5*(O91^2-MAX(N91,($N$4*7/10))^2)-($N$4*7/10)*(O91-MAX(N91,($N$4*7/10)))),0))*1000,0)</f>
        <v>0</v>
      </c>
      <c r="AU91" s="120">
        <f>IF(AND(V91="OK",ISNUMBER($N$5),$N$5&gt;0,ISNUMBER($N$3),$N$3&gt;0),R91/(6*$N$3*1000000*$N$5)*(IF(N91&lt;($N$4*8/10),($N$4*8/10)*(MIN(O91,($N$4*8/10))^3-N91^3)-(MIN(O91,($N$4*8/10))^4-N91^4)/4,0)+IF(O91&gt;($N$4*8/10),($N$4*8/10)^2*(1.5*(O91^2-MAX(N91,($N$4*8/10))^2)-($N$4*8/10)*(O91-MAX(N91,($N$4*8/10)))),0))*1000,0)</f>
        <v>0</v>
      </c>
      <c r="AV91" s="120">
        <f>IF(AND(V91="OK",ISNUMBER($N$5),$N$5&gt;0,ISNUMBER($N$3),$N$3&gt;0),R91/(6*$N$3*1000000*$N$5)*(IF(N91&lt;($N$4*9/10),($N$4*9/10)*(MIN(O91,($N$4*9/10))^3-N91^3)-(MIN(O91,($N$4*9/10))^4-N91^4)/4,0)+IF(O91&gt;($N$4*9/10),($N$4*9/10)^2*(1.5*(O91^2-MAX(N91,($N$4*9/10))^2)-($N$4*9/10)*(O91-MAX(N91,($N$4*9/10)))),0))*1000,0)</f>
        <v>0</v>
      </c>
      <c r="AW91" s="120">
        <f>IF(AND(V91="OK",ISNUMBER($N$5),$N$5&gt;0,ISNUMBER($N$3),$N$3&gt;0),R91/(6*$N$3*1000000*$N$5)*(IF(N91&lt;($N$4*10/10),($N$4*10/10)*(MIN(O91,($N$4*10/10))^3-N91^3)-(MIN(O91,($N$4*10/10))^4-N91^4)/4,0)+IF(O91&gt;($N$4*10/10),($N$4*10/10)^2*(1.5*(O91^2-MAX(N91,($N$4*10/10))^2)-($N$4*10/10)*(O91-MAX(N91,($N$4*10/10)))),0))*1000,0)</f>
        <v>0</v>
      </c>
    </row>
    <row r="92" spans="1:49">
      <c r="A92" s="124"/>
      <c r="B92" s="125"/>
      <c r="C92" s="125"/>
      <c r="D92" s="125"/>
      <c r="E92" s="125"/>
      <c r="F92" s="126" t="str">
        <f>IF(J92="OK",D92*E92,"")</f>
        <v/>
      </c>
      <c r="G92" s="126" t="str">
        <f>IF(J92="OK",F92*(C92-B92),"")</f>
        <v/>
      </c>
      <c r="H92" s="126" t="str">
        <f>IF(J92="OK",G92*(C92+B92)/2,"")</f>
        <v/>
      </c>
      <c r="I92" s="126" t="str">
        <f>IF(AND(J92="OK",ISNUMBER($B$5),$B$5&gt;0,ISNUMBER($B$3),$B$3&gt;0),F92*(4*$B$4*(C92^3-B92^3)-(C92^4-B92^4))/(24*$B$3*1000000*$B$5)*1000,"")</f>
        <v/>
      </c>
      <c r="J92" s="120" t="str">
        <f>IF(COUNTA(A92:E92)=0,"",IF(AND(COUNT(B92:E92)=4,B92&gt;=0,C92&gt;B92,C92&lt;=$B$4,D92&gt;=0,E92&gt;0),IF(COUNTIFS($B$13:$B$91,"&lt;"&amp;C92,$C$13:$C$91,"&gt;"&amp;B92)&gt;0,"OVERLAP","OK"),"CHECK INPUTS"))</f>
        <v/>
      </c>
      <c r="M92" s="124"/>
      <c r="N92" s="125"/>
      <c r="O92" s="125"/>
      <c r="P92" s="125"/>
      <c r="Q92" s="125"/>
      <c r="R92" s="126" t="str">
        <f>IF(V92="OK",P92*Q92,"")</f>
        <v/>
      </c>
      <c r="S92" s="126" t="str">
        <f>IF(V92="OK",R92*(O92-N92),"")</f>
        <v/>
      </c>
      <c r="T92" s="126" t="str">
        <f>IF(V92="OK",S92*(O92+N92)/2,"")</f>
        <v/>
      </c>
      <c r="U92" s="126" t="str">
        <f>IF(AND(V92="OK",ISNUMBER($N$5),$N$5&gt;0,ISNUMBER($N$3),$N$3&gt;0),R92*(4*$N$4*(O92^3-N92^3)-(O92^4-N92^4))/(24*$N$3*1000000*$N$5)*1000,"")</f>
        <v/>
      </c>
      <c r="V92" s="120" t="str">
        <f>IF(COUNTA(M92:Q92)=0,"",IF(AND(COUNT(N92:Q92)=4,N92&gt;=0,O92&gt;N92,O92&lt;=$N$4,P92&gt;=0,Q92&gt;0),IF(COUNTIFS($N$13:$N$91,"&lt;"&amp;O92,$O$13:$O$91,"&gt;"&amp;N92)&gt;0,"OVERLAP","OK"),"CHECK INPUTS"))</f>
        <v/>
      </c>
      <c r="AA92" s="120">
        <f>IF(AND(J92="OK",ISNUMBER($B$5),$B$5&gt;0,ISNUMBER($B$3),$B$3&gt;0),F92/(6*$B$3*1000000*$B$5)*(IF(B92&lt;($B$4*0/10),($B$4*0/10)*(MIN(C92,($B$4*0/10))^3-B92^3)-(MIN(C92,($B$4*0/10))^4-B92^4)/4,0)+IF(C92&gt;($B$4*0/10),($B$4*0/10)^2*(1.5*(C92^2-MAX(B92,($B$4*0/10))^2)-($B$4*0/10)*(C92-MAX(B92,($B$4*0/10)))),0))*1000,0)</f>
        <v>0</v>
      </c>
      <c r="AB92" s="120">
        <f>IF(AND(J92="OK",ISNUMBER($B$5),$B$5&gt;0,ISNUMBER($B$3),$B$3&gt;0),F92/(6*$B$3*1000000*$B$5)*(IF(B92&lt;($B$4*1/10),($B$4*1/10)*(MIN(C92,($B$4*1/10))^3-B92^3)-(MIN(C92,($B$4*1/10))^4-B92^4)/4,0)+IF(C92&gt;($B$4*1/10),($B$4*1/10)^2*(1.5*(C92^2-MAX(B92,($B$4*1/10))^2)-($B$4*1/10)*(C92-MAX(B92,($B$4*1/10)))),0))*1000,0)</f>
        <v>0</v>
      </c>
      <c r="AC92" s="120">
        <f>IF(AND(J92="OK",ISNUMBER($B$5),$B$5&gt;0,ISNUMBER($B$3),$B$3&gt;0),F92/(6*$B$3*1000000*$B$5)*(IF(B92&lt;($B$4*2/10),($B$4*2/10)*(MIN(C92,($B$4*2/10))^3-B92^3)-(MIN(C92,($B$4*2/10))^4-B92^4)/4,0)+IF(C92&gt;($B$4*2/10),($B$4*2/10)^2*(1.5*(C92^2-MAX(B92,($B$4*2/10))^2)-($B$4*2/10)*(C92-MAX(B92,($B$4*2/10)))),0))*1000,0)</f>
        <v>0</v>
      </c>
      <c r="AD92" s="120">
        <f>IF(AND(J92="OK",ISNUMBER($B$5),$B$5&gt;0,ISNUMBER($B$3),$B$3&gt;0),F92/(6*$B$3*1000000*$B$5)*(IF(B92&lt;($B$4*3/10),($B$4*3/10)*(MIN(C92,($B$4*3/10))^3-B92^3)-(MIN(C92,($B$4*3/10))^4-B92^4)/4,0)+IF(C92&gt;($B$4*3/10),($B$4*3/10)^2*(1.5*(C92^2-MAX(B92,($B$4*3/10))^2)-($B$4*3/10)*(C92-MAX(B92,($B$4*3/10)))),0))*1000,0)</f>
        <v>0</v>
      </c>
      <c r="AE92" s="120">
        <f>IF(AND(J92="OK",ISNUMBER($B$5),$B$5&gt;0,ISNUMBER($B$3),$B$3&gt;0),F92/(6*$B$3*1000000*$B$5)*(IF(B92&lt;($B$4*4/10),($B$4*4/10)*(MIN(C92,($B$4*4/10))^3-B92^3)-(MIN(C92,($B$4*4/10))^4-B92^4)/4,0)+IF(C92&gt;($B$4*4/10),($B$4*4/10)^2*(1.5*(C92^2-MAX(B92,($B$4*4/10))^2)-($B$4*4/10)*(C92-MAX(B92,($B$4*4/10)))),0))*1000,0)</f>
        <v>0</v>
      </c>
      <c r="AF92" s="120">
        <f>IF(AND(J92="OK",ISNUMBER($B$5),$B$5&gt;0,ISNUMBER($B$3),$B$3&gt;0),F92/(6*$B$3*1000000*$B$5)*(IF(B92&lt;($B$4*5/10),($B$4*5/10)*(MIN(C92,($B$4*5/10))^3-B92^3)-(MIN(C92,($B$4*5/10))^4-B92^4)/4,0)+IF(C92&gt;($B$4*5/10),($B$4*5/10)^2*(1.5*(C92^2-MAX(B92,($B$4*5/10))^2)-($B$4*5/10)*(C92-MAX(B92,($B$4*5/10)))),0))*1000,0)</f>
        <v>0</v>
      </c>
      <c r="AG92" s="120">
        <f>IF(AND(J92="OK",ISNUMBER($B$5),$B$5&gt;0,ISNUMBER($B$3),$B$3&gt;0),F92/(6*$B$3*1000000*$B$5)*(IF(B92&lt;($B$4*6/10),($B$4*6/10)*(MIN(C92,($B$4*6/10))^3-B92^3)-(MIN(C92,($B$4*6/10))^4-B92^4)/4,0)+IF(C92&gt;($B$4*6/10),($B$4*6/10)^2*(1.5*(C92^2-MAX(B92,($B$4*6/10))^2)-($B$4*6/10)*(C92-MAX(B92,($B$4*6/10)))),0))*1000,0)</f>
        <v>0</v>
      </c>
      <c r="AH92" s="120">
        <f>IF(AND(J92="OK",ISNUMBER($B$5),$B$5&gt;0,ISNUMBER($B$3),$B$3&gt;0),F92/(6*$B$3*1000000*$B$5)*(IF(B92&lt;($B$4*7/10),($B$4*7/10)*(MIN(C92,($B$4*7/10))^3-B92^3)-(MIN(C92,($B$4*7/10))^4-B92^4)/4,0)+IF(C92&gt;($B$4*7/10),($B$4*7/10)^2*(1.5*(C92^2-MAX(B92,($B$4*7/10))^2)-($B$4*7/10)*(C92-MAX(B92,($B$4*7/10)))),0))*1000,0)</f>
        <v>0</v>
      </c>
      <c r="AI92" s="120">
        <f>IF(AND(J92="OK",ISNUMBER($B$5),$B$5&gt;0,ISNUMBER($B$3),$B$3&gt;0),F92/(6*$B$3*1000000*$B$5)*(IF(B92&lt;($B$4*8/10),($B$4*8/10)*(MIN(C92,($B$4*8/10))^3-B92^3)-(MIN(C92,($B$4*8/10))^4-B92^4)/4,0)+IF(C92&gt;($B$4*8/10),($B$4*8/10)^2*(1.5*(C92^2-MAX(B92,($B$4*8/10))^2)-($B$4*8/10)*(C92-MAX(B92,($B$4*8/10)))),0))*1000,0)</f>
        <v>0</v>
      </c>
      <c r="AJ92" s="120">
        <f>IF(AND(J92="OK",ISNUMBER($B$5),$B$5&gt;0,ISNUMBER($B$3),$B$3&gt;0),F92/(6*$B$3*1000000*$B$5)*(IF(B92&lt;($B$4*9/10),($B$4*9/10)*(MIN(C92,($B$4*9/10))^3-B92^3)-(MIN(C92,($B$4*9/10))^4-B92^4)/4,0)+IF(C92&gt;($B$4*9/10),($B$4*9/10)^2*(1.5*(C92^2-MAX(B92,($B$4*9/10))^2)-($B$4*9/10)*(C92-MAX(B92,($B$4*9/10)))),0))*1000,0)</f>
        <v>0</v>
      </c>
      <c r="AK92" s="120">
        <f>IF(AND(J92="OK",ISNUMBER($B$5),$B$5&gt;0,ISNUMBER($B$3),$B$3&gt;0),F92/(6*$B$3*1000000*$B$5)*(IF(B92&lt;($B$4*10/10),($B$4*10/10)*(MIN(C92,($B$4*10/10))^3-B92^3)-(MIN(C92,($B$4*10/10))^4-B92^4)/4,0)+IF(C92&gt;($B$4*10/10),($B$4*10/10)^2*(1.5*(C92^2-MAX(B92,($B$4*10/10))^2)-($B$4*10/10)*(C92-MAX(B92,($B$4*10/10)))),0))*1000,0)</f>
        <v>0</v>
      </c>
      <c r="AM92" s="120">
        <f>IF(AND(V92="OK",ISNUMBER($N$5),$N$5&gt;0,ISNUMBER($N$3),$N$3&gt;0),R92/(6*$N$3*1000000*$N$5)*(IF(N92&lt;($N$4*0/10),($N$4*0/10)*(MIN(O92,($N$4*0/10))^3-N92^3)-(MIN(O92,($N$4*0/10))^4-N92^4)/4,0)+IF(O92&gt;($N$4*0/10),($N$4*0/10)^2*(1.5*(O92^2-MAX(N92,($N$4*0/10))^2)-($N$4*0/10)*(O92-MAX(N92,($N$4*0/10)))),0))*1000,0)</f>
        <v>0</v>
      </c>
      <c r="AN92" s="120">
        <f>IF(AND(V92="OK",ISNUMBER($N$5),$N$5&gt;0,ISNUMBER($N$3),$N$3&gt;0),R92/(6*$N$3*1000000*$N$5)*(IF(N92&lt;($N$4*1/10),($N$4*1/10)*(MIN(O92,($N$4*1/10))^3-N92^3)-(MIN(O92,($N$4*1/10))^4-N92^4)/4,0)+IF(O92&gt;($N$4*1/10),($N$4*1/10)^2*(1.5*(O92^2-MAX(N92,($N$4*1/10))^2)-($N$4*1/10)*(O92-MAX(N92,($N$4*1/10)))),0))*1000,0)</f>
        <v>0</v>
      </c>
      <c r="AO92" s="120">
        <f>IF(AND(V92="OK",ISNUMBER($N$5),$N$5&gt;0,ISNUMBER($N$3),$N$3&gt;0),R92/(6*$N$3*1000000*$N$5)*(IF(N92&lt;($N$4*2/10),($N$4*2/10)*(MIN(O92,($N$4*2/10))^3-N92^3)-(MIN(O92,($N$4*2/10))^4-N92^4)/4,0)+IF(O92&gt;($N$4*2/10),($N$4*2/10)^2*(1.5*(O92^2-MAX(N92,($N$4*2/10))^2)-($N$4*2/10)*(O92-MAX(N92,($N$4*2/10)))),0))*1000,0)</f>
        <v>0</v>
      </c>
      <c r="AP92" s="120">
        <f>IF(AND(V92="OK",ISNUMBER($N$5),$N$5&gt;0,ISNUMBER($N$3),$N$3&gt;0),R92/(6*$N$3*1000000*$N$5)*(IF(N92&lt;($N$4*3/10),($N$4*3/10)*(MIN(O92,($N$4*3/10))^3-N92^3)-(MIN(O92,($N$4*3/10))^4-N92^4)/4,0)+IF(O92&gt;($N$4*3/10),($N$4*3/10)^2*(1.5*(O92^2-MAX(N92,($N$4*3/10))^2)-($N$4*3/10)*(O92-MAX(N92,($N$4*3/10)))),0))*1000,0)</f>
        <v>0</v>
      </c>
      <c r="AQ92" s="120">
        <f>IF(AND(V92="OK",ISNUMBER($N$5),$N$5&gt;0,ISNUMBER($N$3),$N$3&gt;0),R92/(6*$N$3*1000000*$N$5)*(IF(N92&lt;($N$4*4/10),($N$4*4/10)*(MIN(O92,($N$4*4/10))^3-N92^3)-(MIN(O92,($N$4*4/10))^4-N92^4)/4,0)+IF(O92&gt;($N$4*4/10),($N$4*4/10)^2*(1.5*(O92^2-MAX(N92,($N$4*4/10))^2)-($N$4*4/10)*(O92-MAX(N92,($N$4*4/10)))),0))*1000,0)</f>
        <v>0</v>
      </c>
      <c r="AR92" s="120">
        <f>IF(AND(V92="OK",ISNUMBER($N$5),$N$5&gt;0,ISNUMBER($N$3),$N$3&gt;0),R92/(6*$N$3*1000000*$N$5)*(IF(N92&lt;($N$4*5/10),($N$4*5/10)*(MIN(O92,($N$4*5/10))^3-N92^3)-(MIN(O92,($N$4*5/10))^4-N92^4)/4,0)+IF(O92&gt;($N$4*5/10),($N$4*5/10)^2*(1.5*(O92^2-MAX(N92,($N$4*5/10))^2)-($N$4*5/10)*(O92-MAX(N92,($N$4*5/10)))),0))*1000,0)</f>
        <v>0</v>
      </c>
      <c r="AS92" s="120">
        <f>IF(AND(V92="OK",ISNUMBER($N$5),$N$5&gt;0,ISNUMBER($N$3),$N$3&gt;0),R92/(6*$N$3*1000000*$N$5)*(IF(N92&lt;($N$4*6/10),($N$4*6/10)*(MIN(O92,($N$4*6/10))^3-N92^3)-(MIN(O92,($N$4*6/10))^4-N92^4)/4,0)+IF(O92&gt;($N$4*6/10),($N$4*6/10)^2*(1.5*(O92^2-MAX(N92,($N$4*6/10))^2)-($N$4*6/10)*(O92-MAX(N92,($N$4*6/10)))),0))*1000,0)</f>
        <v>0</v>
      </c>
      <c r="AT92" s="120">
        <f>IF(AND(V92="OK",ISNUMBER($N$5),$N$5&gt;0,ISNUMBER($N$3),$N$3&gt;0),R92/(6*$N$3*1000000*$N$5)*(IF(N92&lt;($N$4*7/10),($N$4*7/10)*(MIN(O92,($N$4*7/10))^3-N92^3)-(MIN(O92,($N$4*7/10))^4-N92^4)/4,0)+IF(O92&gt;($N$4*7/10),($N$4*7/10)^2*(1.5*(O92^2-MAX(N92,($N$4*7/10))^2)-($N$4*7/10)*(O92-MAX(N92,($N$4*7/10)))),0))*1000,0)</f>
        <v>0</v>
      </c>
      <c r="AU92" s="120">
        <f>IF(AND(V92="OK",ISNUMBER($N$5),$N$5&gt;0,ISNUMBER($N$3),$N$3&gt;0),R92/(6*$N$3*1000000*$N$5)*(IF(N92&lt;($N$4*8/10),($N$4*8/10)*(MIN(O92,($N$4*8/10))^3-N92^3)-(MIN(O92,($N$4*8/10))^4-N92^4)/4,0)+IF(O92&gt;($N$4*8/10),($N$4*8/10)^2*(1.5*(O92^2-MAX(N92,($N$4*8/10))^2)-($N$4*8/10)*(O92-MAX(N92,($N$4*8/10)))),0))*1000,0)</f>
        <v>0</v>
      </c>
      <c r="AV92" s="120">
        <f>IF(AND(V92="OK",ISNUMBER($N$5),$N$5&gt;0,ISNUMBER($N$3),$N$3&gt;0),R92/(6*$N$3*1000000*$N$5)*(IF(N92&lt;($N$4*9/10),($N$4*9/10)*(MIN(O92,($N$4*9/10))^3-N92^3)-(MIN(O92,($N$4*9/10))^4-N92^4)/4,0)+IF(O92&gt;($N$4*9/10),($N$4*9/10)^2*(1.5*(O92^2-MAX(N92,($N$4*9/10))^2)-($N$4*9/10)*(O92-MAX(N92,($N$4*9/10)))),0))*1000,0)</f>
        <v>0</v>
      </c>
      <c r="AW92" s="120">
        <f>IF(AND(V92="OK",ISNUMBER($N$5),$N$5&gt;0,ISNUMBER($N$3),$N$3&gt;0),R92/(6*$N$3*1000000*$N$5)*(IF(N92&lt;($N$4*10/10),($N$4*10/10)*(MIN(O92,($N$4*10/10))^3-N92^3)-(MIN(O92,($N$4*10/10))^4-N92^4)/4,0)+IF(O92&gt;($N$4*10/10),($N$4*10/10)^2*(1.5*(O92^2-MAX(N92,($N$4*10/10))^2)-($N$4*10/10)*(O92-MAX(N92,($N$4*10/10)))),0))*1000,0)</f>
        <v>0</v>
      </c>
    </row>
    <row r="93" spans="1:49">
      <c r="A93" s="124"/>
      <c r="B93" s="125"/>
      <c r="C93" s="125"/>
      <c r="D93" s="125"/>
      <c r="E93" s="125"/>
      <c r="F93" s="126" t="str">
        <f>IF(J93="OK",D93*E93,"")</f>
        <v/>
      </c>
      <c r="G93" s="126" t="str">
        <f>IF(J93="OK",F93*(C93-B93),"")</f>
        <v/>
      </c>
      <c r="H93" s="126" t="str">
        <f>IF(J93="OK",G93*(C93+B93)/2,"")</f>
        <v/>
      </c>
      <c r="I93" s="126" t="str">
        <f>IF(AND(J93="OK",ISNUMBER($B$5),$B$5&gt;0,ISNUMBER($B$3),$B$3&gt;0),F93*(4*$B$4*(C93^3-B93^3)-(C93^4-B93^4))/(24*$B$3*1000000*$B$5)*1000,"")</f>
        <v/>
      </c>
      <c r="J93" s="120" t="str">
        <f>IF(COUNTA(A93:E93)=0,"",IF(AND(COUNT(B93:E93)=4,B93&gt;=0,C93&gt;B93,C93&lt;=$B$4,D93&gt;=0,E93&gt;0),IF(COUNTIFS($B$13:$B$92,"&lt;"&amp;C93,$C$13:$C$92,"&gt;"&amp;B93)&gt;0,"OVERLAP","OK"),"CHECK INPUTS"))</f>
        <v/>
      </c>
      <c r="M93" s="124"/>
      <c r="N93" s="125"/>
      <c r="O93" s="125"/>
      <c r="P93" s="125"/>
      <c r="Q93" s="125"/>
      <c r="R93" s="126" t="str">
        <f>IF(V93="OK",P93*Q93,"")</f>
        <v/>
      </c>
      <c r="S93" s="126" t="str">
        <f>IF(V93="OK",R93*(O93-N93),"")</f>
        <v/>
      </c>
      <c r="T93" s="126" t="str">
        <f>IF(V93="OK",S93*(O93+N93)/2,"")</f>
        <v/>
      </c>
      <c r="U93" s="126" t="str">
        <f>IF(AND(V93="OK",ISNUMBER($N$5),$N$5&gt;0,ISNUMBER($N$3),$N$3&gt;0),R93*(4*$N$4*(O93^3-N93^3)-(O93^4-N93^4))/(24*$N$3*1000000*$N$5)*1000,"")</f>
        <v/>
      </c>
      <c r="V93" s="120" t="str">
        <f>IF(COUNTA(M93:Q93)=0,"",IF(AND(COUNT(N93:Q93)=4,N93&gt;=0,O93&gt;N93,O93&lt;=$N$4,P93&gt;=0,Q93&gt;0),IF(COUNTIFS($N$13:$N$92,"&lt;"&amp;O93,$O$13:$O$92,"&gt;"&amp;N93)&gt;0,"OVERLAP","OK"),"CHECK INPUTS"))</f>
        <v/>
      </c>
      <c r="AA93" s="120">
        <f>IF(AND(J93="OK",ISNUMBER($B$5),$B$5&gt;0,ISNUMBER($B$3),$B$3&gt;0),F93/(6*$B$3*1000000*$B$5)*(IF(B93&lt;($B$4*0/10),($B$4*0/10)*(MIN(C93,($B$4*0/10))^3-B93^3)-(MIN(C93,($B$4*0/10))^4-B93^4)/4,0)+IF(C93&gt;($B$4*0/10),($B$4*0/10)^2*(1.5*(C93^2-MAX(B93,($B$4*0/10))^2)-($B$4*0/10)*(C93-MAX(B93,($B$4*0/10)))),0))*1000,0)</f>
        <v>0</v>
      </c>
      <c r="AB93" s="120">
        <f>IF(AND(J93="OK",ISNUMBER($B$5),$B$5&gt;0,ISNUMBER($B$3),$B$3&gt;0),F93/(6*$B$3*1000000*$B$5)*(IF(B93&lt;($B$4*1/10),($B$4*1/10)*(MIN(C93,($B$4*1/10))^3-B93^3)-(MIN(C93,($B$4*1/10))^4-B93^4)/4,0)+IF(C93&gt;($B$4*1/10),($B$4*1/10)^2*(1.5*(C93^2-MAX(B93,($B$4*1/10))^2)-($B$4*1/10)*(C93-MAX(B93,($B$4*1/10)))),0))*1000,0)</f>
        <v>0</v>
      </c>
      <c r="AC93" s="120">
        <f>IF(AND(J93="OK",ISNUMBER($B$5),$B$5&gt;0,ISNUMBER($B$3),$B$3&gt;0),F93/(6*$B$3*1000000*$B$5)*(IF(B93&lt;($B$4*2/10),($B$4*2/10)*(MIN(C93,($B$4*2/10))^3-B93^3)-(MIN(C93,($B$4*2/10))^4-B93^4)/4,0)+IF(C93&gt;($B$4*2/10),($B$4*2/10)^2*(1.5*(C93^2-MAX(B93,($B$4*2/10))^2)-($B$4*2/10)*(C93-MAX(B93,($B$4*2/10)))),0))*1000,0)</f>
        <v>0</v>
      </c>
      <c r="AD93" s="120">
        <f>IF(AND(J93="OK",ISNUMBER($B$5),$B$5&gt;0,ISNUMBER($B$3),$B$3&gt;0),F93/(6*$B$3*1000000*$B$5)*(IF(B93&lt;($B$4*3/10),($B$4*3/10)*(MIN(C93,($B$4*3/10))^3-B93^3)-(MIN(C93,($B$4*3/10))^4-B93^4)/4,0)+IF(C93&gt;($B$4*3/10),($B$4*3/10)^2*(1.5*(C93^2-MAX(B93,($B$4*3/10))^2)-($B$4*3/10)*(C93-MAX(B93,($B$4*3/10)))),0))*1000,0)</f>
        <v>0</v>
      </c>
      <c r="AE93" s="120">
        <f>IF(AND(J93="OK",ISNUMBER($B$5),$B$5&gt;0,ISNUMBER($B$3),$B$3&gt;0),F93/(6*$B$3*1000000*$B$5)*(IF(B93&lt;($B$4*4/10),($B$4*4/10)*(MIN(C93,($B$4*4/10))^3-B93^3)-(MIN(C93,($B$4*4/10))^4-B93^4)/4,0)+IF(C93&gt;($B$4*4/10),($B$4*4/10)^2*(1.5*(C93^2-MAX(B93,($B$4*4/10))^2)-($B$4*4/10)*(C93-MAX(B93,($B$4*4/10)))),0))*1000,0)</f>
        <v>0</v>
      </c>
      <c r="AF93" s="120">
        <f>IF(AND(J93="OK",ISNUMBER($B$5),$B$5&gt;0,ISNUMBER($B$3),$B$3&gt;0),F93/(6*$B$3*1000000*$B$5)*(IF(B93&lt;($B$4*5/10),($B$4*5/10)*(MIN(C93,($B$4*5/10))^3-B93^3)-(MIN(C93,($B$4*5/10))^4-B93^4)/4,0)+IF(C93&gt;($B$4*5/10),($B$4*5/10)^2*(1.5*(C93^2-MAX(B93,($B$4*5/10))^2)-($B$4*5/10)*(C93-MAX(B93,($B$4*5/10)))),0))*1000,0)</f>
        <v>0</v>
      </c>
      <c r="AG93" s="120">
        <f>IF(AND(J93="OK",ISNUMBER($B$5),$B$5&gt;0,ISNUMBER($B$3),$B$3&gt;0),F93/(6*$B$3*1000000*$B$5)*(IF(B93&lt;($B$4*6/10),($B$4*6/10)*(MIN(C93,($B$4*6/10))^3-B93^3)-(MIN(C93,($B$4*6/10))^4-B93^4)/4,0)+IF(C93&gt;($B$4*6/10),($B$4*6/10)^2*(1.5*(C93^2-MAX(B93,($B$4*6/10))^2)-($B$4*6/10)*(C93-MAX(B93,($B$4*6/10)))),0))*1000,0)</f>
        <v>0</v>
      </c>
      <c r="AH93" s="120">
        <f>IF(AND(J93="OK",ISNUMBER($B$5),$B$5&gt;0,ISNUMBER($B$3),$B$3&gt;0),F93/(6*$B$3*1000000*$B$5)*(IF(B93&lt;($B$4*7/10),($B$4*7/10)*(MIN(C93,($B$4*7/10))^3-B93^3)-(MIN(C93,($B$4*7/10))^4-B93^4)/4,0)+IF(C93&gt;($B$4*7/10),($B$4*7/10)^2*(1.5*(C93^2-MAX(B93,($B$4*7/10))^2)-($B$4*7/10)*(C93-MAX(B93,($B$4*7/10)))),0))*1000,0)</f>
        <v>0</v>
      </c>
      <c r="AI93" s="120">
        <f>IF(AND(J93="OK",ISNUMBER($B$5),$B$5&gt;0,ISNUMBER($B$3),$B$3&gt;0),F93/(6*$B$3*1000000*$B$5)*(IF(B93&lt;($B$4*8/10),($B$4*8/10)*(MIN(C93,($B$4*8/10))^3-B93^3)-(MIN(C93,($B$4*8/10))^4-B93^4)/4,0)+IF(C93&gt;($B$4*8/10),($B$4*8/10)^2*(1.5*(C93^2-MAX(B93,($B$4*8/10))^2)-($B$4*8/10)*(C93-MAX(B93,($B$4*8/10)))),0))*1000,0)</f>
        <v>0</v>
      </c>
      <c r="AJ93" s="120">
        <f>IF(AND(J93="OK",ISNUMBER($B$5),$B$5&gt;0,ISNUMBER($B$3),$B$3&gt;0),F93/(6*$B$3*1000000*$B$5)*(IF(B93&lt;($B$4*9/10),($B$4*9/10)*(MIN(C93,($B$4*9/10))^3-B93^3)-(MIN(C93,($B$4*9/10))^4-B93^4)/4,0)+IF(C93&gt;($B$4*9/10),($B$4*9/10)^2*(1.5*(C93^2-MAX(B93,($B$4*9/10))^2)-($B$4*9/10)*(C93-MAX(B93,($B$4*9/10)))),0))*1000,0)</f>
        <v>0</v>
      </c>
      <c r="AK93" s="120">
        <f>IF(AND(J93="OK",ISNUMBER($B$5),$B$5&gt;0,ISNUMBER($B$3),$B$3&gt;0),F93/(6*$B$3*1000000*$B$5)*(IF(B93&lt;($B$4*10/10),($B$4*10/10)*(MIN(C93,($B$4*10/10))^3-B93^3)-(MIN(C93,($B$4*10/10))^4-B93^4)/4,0)+IF(C93&gt;($B$4*10/10),($B$4*10/10)^2*(1.5*(C93^2-MAX(B93,($B$4*10/10))^2)-($B$4*10/10)*(C93-MAX(B93,($B$4*10/10)))),0))*1000,0)</f>
        <v>0</v>
      </c>
      <c r="AM93" s="120">
        <f>IF(AND(V93="OK",ISNUMBER($N$5),$N$5&gt;0,ISNUMBER($N$3),$N$3&gt;0),R93/(6*$N$3*1000000*$N$5)*(IF(N93&lt;($N$4*0/10),($N$4*0/10)*(MIN(O93,($N$4*0/10))^3-N93^3)-(MIN(O93,($N$4*0/10))^4-N93^4)/4,0)+IF(O93&gt;($N$4*0/10),($N$4*0/10)^2*(1.5*(O93^2-MAX(N93,($N$4*0/10))^2)-($N$4*0/10)*(O93-MAX(N93,($N$4*0/10)))),0))*1000,0)</f>
        <v>0</v>
      </c>
      <c r="AN93" s="120">
        <f>IF(AND(V93="OK",ISNUMBER($N$5),$N$5&gt;0,ISNUMBER($N$3),$N$3&gt;0),R93/(6*$N$3*1000000*$N$5)*(IF(N93&lt;($N$4*1/10),($N$4*1/10)*(MIN(O93,($N$4*1/10))^3-N93^3)-(MIN(O93,($N$4*1/10))^4-N93^4)/4,0)+IF(O93&gt;($N$4*1/10),($N$4*1/10)^2*(1.5*(O93^2-MAX(N93,($N$4*1/10))^2)-($N$4*1/10)*(O93-MAX(N93,($N$4*1/10)))),0))*1000,0)</f>
        <v>0</v>
      </c>
      <c r="AO93" s="120">
        <f>IF(AND(V93="OK",ISNUMBER($N$5),$N$5&gt;0,ISNUMBER($N$3),$N$3&gt;0),R93/(6*$N$3*1000000*$N$5)*(IF(N93&lt;($N$4*2/10),($N$4*2/10)*(MIN(O93,($N$4*2/10))^3-N93^3)-(MIN(O93,($N$4*2/10))^4-N93^4)/4,0)+IF(O93&gt;($N$4*2/10),($N$4*2/10)^2*(1.5*(O93^2-MAX(N93,($N$4*2/10))^2)-($N$4*2/10)*(O93-MAX(N93,($N$4*2/10)))),0))*1000,0)</f>
        <v>0</v>
      </c>
      <c r="AP93" s="120">
        <f>IF(AND(V93="OK",ISNUMBER($N$5),$N$5&gt;0,ISNUMBER($N$3),$N$3&gt;0),R93/(6*$N$3*1000000*$N$5)*(IF(N93&lt;($N$4*3/10),($N$4*3/10)*(MIN(O93,($N$4*3/10))^3-N93^3)-(MIN(O93,($N$4*3/10))^4-N93^4)/4,0)+IF(O93&gt;($N$4*3/10),($N$4*3/10)^2*(1.5*(O93^2-MAX(N93,($N$4*3/10))^2)-($N$4*3/10)*(O93-MAX(N93,($N$4*3/10)))),0))*1000,0)</f>
        <v>0</v>
      </c>
      <c r="AQ93" s="120">
        <f>IF(AND(V93="OK",ISNUMBER($N$5),$N$5&gt;0,ISNUMBER($N$3),$N$3&gt;0),R93/(6*$N$3*1000000*$N$5)*(IF(N93&lt;($N$4*4/10),($N$4*4/10)*(MIN(O93,($N$4*4/10))^3-N93^3)-(MIN(O93,($N$4*4/10))^4-N93^4)/4,0)+IF(O93&gt;($N$4*4/10),($N$4*4/10)^2*(1.5*(O93^2-MAX(N93,($N$4*4/10))^2)-($N$4*4/10)*(O93-MAX(N93,($N$4*4/10)))),0))*1000,0)</f>
        <v>0</v>
      </c>
      <c r="AR93" s="120">
        <f>IF(AND(V93="OK",ISNUMBER($N$5),$N$5&gt;0,ISNUMBER($N$3),$N$3&gt;0),R93/(6*$N$3*1000000*$N$5)*(IF(N93&lt;($N$4*5/10),($N$4*5/10)*(MIN(O93,($N$4*5/10))^3-N93^3)-(MIN(O93,($N$4*5/10))^4-N93^4)/4,0)+IF(O93&gt;($N$4*5/10),($N$4*5/10)^2*(1.5*(O93^2-MAX(N93,($N$4*5/10))^2)-($N$4*5/10)*(O93-MAX(N93,($N$4*5/10)))),0))*1000,0)</f>
        <v>0</v>
      </c>
      <c r="AS93" s="120">
        <f>IF(AND(V93="OK",ISNUMBER($N$5),$N$5&gt;0,ISNUMBER($N$3),$N$3&gt;0),R93/(6*$N$3*1000000*$N$5)*(IF(N93&lt;($N$4*6/10),($N$4*6/10)*(MIN(O93,($N$4*6/10))^3-N93^3)-(MIN(O93,($N$4*6/10))^4-N93^4)/4,0)+IF(O93&gt;($N$4*6/10),($N$4*6/10)^2*(1.5*(O93^2-MAX(N93,($N$4*6/10))^2)-($N$4*6/10)*(O93-MAX(N93,($N$4*6/10)))),0))*1000,0)</f>
        <v>0</v>
      </c>
      <c r="AT93" s="120">
        <f>IF(AND(V93="OK",ISNUMBER($N$5),$N$5&gt;0,ISNUMBER($N$3),$N$3&gt;0),R93/(6*$N$3*1000000*$N$5)*(IF(N93&lt;($N$4*7/10),($N$4*7/10)*(MIN(O93,($N$4*7/10))^3-N93^3)-(MIN(O93,($N$4*7/10))^4-N93^4)/4,0)+IF(O93&gt;($N$4*7/10),($N$4*7/10)^2*(1.5*(O93^2-MAX(N93,($N$4*7/10))^2)-($N$4*7/10)*(O93-MAX(N93,($N$4*7/10)))),0))*1000,0)</f>
        <v>0</v>
      </c>
      <c r="AU93" s="120">
        <f>IF(AND(V93="OK",ISNUMBER($N$5),$N$5&gt;0,ISNUMBER($N$3),$N$3&gt;0),R93/(6*$N$3*1000000*$N$5)*(IF(N93&lt;($N$4*8/10),($N$4*8/10)*(MIN(O93,($N$4*8/10))^3-N93^3)-(MIN(O93,($N$4*8/10))^4-N93^4)/4,0)+IF(O93&gt;($N$4*8/10),($N$4*8/10)^2*(1.5*(O93^2-MAX(N93,($N$4*8/10))^2)-($N$4*8/10)*(O93-MAX(N93,($N$4*8/10)))),0))*1000,0)</f>
        <v>0</v>
      </c>
      <c r="AV93" s="120">
        <f>IF(AND(V93="OK",ISNUMBER($N$5),$N$5&gt;0,ISNUMBER($N$3),$N$3&gt;0),R93/(6*$N$3*1000000*$N$5)*(IF(N93&lt;($N$4*9/10),($N$4*9/10)*(MIN(O93,($N$4*9/10))^3-N93^3)-(MIN(O93,($N$4*9/10))^4-N93^4)/4,0)+IF(O93&gt;($N$4*9/10),($N$4*9/10)^2*(1.5*(O93^2-MAX(N93,($N$4*9/10))^2)-($N$4*9/10)*(O93-MAX(N93,($N$4*9/10)))),0))*1000,0)</f>
        <v>0</v>
      </c>
      <c r="AW93" s="120">
        <f>IF(AND(V93="OK",ISNUMBER($N$5),$N$5&gt;0,ISNUMBER($N$3),$N$3&gt;0),R93/(6*$N$3*1000000*$N$5)*(IF(N93&lt;($N$4*10/10),($N$4*10/10)*(MIN(O93,($N$4*10/10))^3-N93^3)-(MIN(O93,($N$4*10/10))^4-N93^4)/4,0)+IF(O93&gt;($N$4*10/10),($N$4*10/10)^2*(1.5*(O93^2-MAX(N93,($N$4*10/10))^2)-($N$4*10/10)*(O93-MAX(N93,($N$4*10/10)))),0))*1000,0)</f>
        <v>0</v>
      </c>
    </row>
    <row r="94" spans="1:49">
      <c r="A94" s="124"/>
      <c r="B94" s="125"/>
      <c r="C94" s="125"/>
      <c r="D94" s="125"/>
      <c r="E94" s="125"/>
      <c r="F94" s="126" t="str">
        <f>IF(J94="OK",D94*E94,"")</f>
        <v/>
      </c>
      <c r="G94" s="126" t="str">
        <f>IF(J94="OK",F94*(C94-B94),"")</f>
        <v/>
      </c>
      <c r="H94" s="126" t="str">
        <f>IF(J94="OK",G94*(C94+B94)/2,"")</f>
        <v/>
      </c>
      <c r="I94" s="126" t="str">
        <f>IF(AND(J94="OK",ISNUMBER($B$5),$B$5&gt;0,ISNUMBER($B$3),$B$3&gt;0),F94*(4*$B$4*(C94^3-B94^3)-(C94^4-B94^4))/(24*$B$3*1000000*$B$5)*1000,"")</f>
        <v/>
      </c>
      <c r="J94" s="120" t="str">
        <f>IF(COUNTA(A94:E94)=0,"",IF(AND(COUNT(B94:E94)=4,B94&gt;=0,C94&gt;B94,C94&lt;=$B$4,D94&gt;=0,E94&gt;0),IF(COUNTIFS($B$13:$B$93,"&lt;"&amp;C94,$C$13:$C$93,"&gt;"&amp;B94)&gt;0,"OVERLAP","OK"),"CHECK INPUTS"))</f>
        <v/>
      </c>
      <c r="M94" s="124"/>
      <c r="N94" s="125"/>
      <c r="O94" s="125"/>
      <c r="P94" s="125"/>
      <c r="Q94" s="125"/>
      <c r="R94" s="126" t="str">
        <f>IF(V94="OK",P94*Q94,"")</f>
        <v/>
      </c>
      <c r="S94" s="126" t="str">
        <f>IF(V94="OK",R94*(O94-N94),"")</f>
        <v/>
      </c>
      <c r="T94" s="126" t="str">
        <f>IF(V94="OK",S94*(O94+N94)/2,"")</f>
        <v/>
      </c>
      <c r="U94" s="126" t="str">
        <f>IF(AND(V94="OK",ISNUMBER($N$5),$N$5&gt;0,ISNUMBER($N$3),$N$3&gt;0),R94*(4*$N$4*(O94^3-N94^3)-(O94^4-N94^4))/(24*$N$3*1000000*$N$5)*1000,"")</f>
        <v/>
      </c>
      <c r="V94" s="120" t="str">
        <f>IF(COUNTA(M94:Q94)=0,"",IF(AND(COUNT(N94:Q94)=4,N94&gt;=0,O94&gt;N94,O94&lt;=$N$4,P94&gt;=0,Q94&gt;0),IF(COUNTIFS($N$13:$N$93,"&lt;"&amp;O94,$O$13:$O$93,"&gt;"&amp;N94)&gt;0,"OVERLAP","OK"),"CHECK INPUTS"))</f>
        <v/>
      </c>
      <c r="AA94" s="120">
        <f>IF(AND(J94="OK",ISNUMBER($B$5),$B$5&gt;0,ISNUMBER($B$3),$B$3&gt;0),F94/(6*$B$3*1000000*$B$5)*(IF(B94&lt;($B$4*0/10),($B$4*0/10)*(MIN(C94,($B$4*0/10))^3-B94^3)-(MIN(C94,($B$4*0/10))^4-B94^4)/4,0)+IF(C94&gt;($B$4*0/10),($B$4*0/10)^2*(1.5*(C94^2-MAX(B94,($B$4*0/10))^2)-($B$4*0/10)*(C94-MAX(B94,($B$4*0/10)))),0))*1000,0)</f>
        <v>0</v>
      </c>
      <c r="AB94" s="120">
        <f>IF(AND(J94="OK",ISNUMBER($B$5),$B$5&gt;0,ISNUMBER($B$3),$B$3&gt;0),F94/(6*$B$3*1000000*$B$5)*(IF(B94&lt;($B$4*1/10),($B$4*1/10)*(MIN(C94,($B$4*1/10))^3-B94^3)-(MIN(C94,($B$4*1/10))^4-B94^4)/4,0)+IF(C94&gt;($B$4*1/10),($B$4*1/10)^2*(1.5*(C94^2-MAX(B94,($B$4*1/10))^2)-($B$4*1/10)*(C94-MAX(B94,($B$4*1/10)))),0))*1000,0)</f>
        <v>0</v>
      </c>
      <c r="AC94" s="120">
        <f>IF(AND(J94="OK",ISNUMBER($B$5),$B$5&gt;0,ISNUMBER($B$3),$B$3&gt;0),F94/(6*$B$3*1000000*$B$5)*(IF(B94&lt;($B$4*2/10),($B$4*2/10)*(MIN(C94,($B$4*2/10))^3-B94^3)-(MIN(C94,($B$4*2/10))^4-B94^4)/4,0)+IF(C94&gt;($B$4*2/10),($B$4*2/10)^2*(1.5*(C94^2-MAX(B94,($B$4*2/10))^2)-($B$4*2/10)*(C94-MAX(B94,($B$4*2/10)))),0))*1000,0)</f>
        <v>0</v>
      </c>
      <c r="AD94" s="120">
        <f>IF(AND(J94="OK",ISNUMBER($B$5),$B$5&gt;0,ISNUMBER($B$3),$B$3&gt;0),F94/(6*$B$3*1000000*$B$5)*(IF(B94&lt;($B$4*3/10),($B$4*3/10)*(MIN(C94,($B$4*3/10))^3-B94^3)-(MIN(C94,($B$4*3/10))^4-B94^4)/4,0)+IF(C94&gt;($B$4*3/10),($B$4*3/10)^2*(1.5*(C94^2-MAX(B94,($B$4*3/10))^2)-($B$4*3/10)*(C94-MAX(B94,($B$4*3/10)))),0))*1000,0)</f>
        <v>0</v>
      </c>
      <c r="AE94" s="120">
        <f>IF(AND(J94="OK",ISNUMBER($B$5),$B$5&gt;0,ISNUMBER($B$3),$B$3&gt;0),F94/(6*$B$3*1000000*$B$5)*(IF(B94&lt;($B$4*4/10),($B$4*4/10)*(MIN(C94,($B$4*4/10))^3-B94^3)-(MIN(C94,($B$4*4/10))^4-B94^4)/4,0)+IF(C94&gt;($B$4*4/10),($B$4*4/10)^2*(1.5*(C94^2-MAX(B94,($B$4*4/10))^2)-($B$4*4/10)*(C94-MAX(B94,($B$4*4/10)))),0))*1000,0)</f>
        <v>0</v>
      </c>
      <c r="AF94" s="120">
        <f>IF(AND(J94="OK",ISNUMBER($B$5),$B$5&gt;0,ISNUMBER($B$3),$B$3&gt;0),F94/(6*$B$3*1000000*$B$5)*(IF(B94&lt;($B$4*5/10),($B$4*5/10)*(MIN(C94,($B$4*5/10))^3-B94^3)-(MIN(C94,($B$4*5/10))^4-B94^4)/4,0)+IF(C94&gt;($B$4*5/10),($B$4*5/10)^2*(1.5*(C94^2-MAX(B94,($B$4*5/10))^2)-($B$4*5/10)*(C94-MAX(B94,($B$4*5/10)))),0))*1000,0)</f>
        <v>0</v>
      </c>
      <c r="AG94" s="120">
        <f>IF(AND(J94="OK",ISNUMBER($B$5),$B$5&gt;0,ISNUMBER($B$3),$B$3&gt;0),F94/(6*$B$3*1000000*$B$5)*(IF(B94&lt;($B$4*6/10),($B$4*6/10)*(MIN(C94,($B$4*6/10))^3-B94^3)-(MIN(C94,($B$4*6/10))^4-B94^4)/4,0)+IF(C94&gt;($B$4*6/10),($B$4*6/10)^2*(1.5*(C94^2-MAX(B94,($B$4*6/10))^2)-($B$4*6/10)*(C94-MAX(B94,($B$4*6/10)))),0))*1000,0)</f>
        <v>0</v>
      </c>
      <c r="AH94" s="120">
        <f>IF(AND(J94="OK",ISNUMBER($B$5),$B$5&gt;0,ISNUMBER($B$3),$B$3&gt;0),F94/(6*$B$3*1000000*$B$5)*(IF(B94&lt;($B$4*7/10),($B$4*7/10)*(MIN(C94,($B$4*7/10))^3-B94^3)-(MIN(C94,($B$4*7/10))^4-B94^4)/4,0)+IF(C94&gt;($B$4*7/10),($B$4*7/10)^2*(1.5*(C94^2-MAX(B94,($B$4*7/10))^2)-($B$4*7/10)*(C94-MAX(B94,($B$4*7/10)))),0))*1000,0)</f>
        <v>0</v>
      </c>
      <c r="AI94" s="120">
        <f>IF(AND(J94="OK",ISNUMBER($B$5),$B$5&gt;0,ISNUMBER($B$3),$B$3&gt;0),F94/(6*$B$3*1000000*$B$5)*(IF(B94&lt;($B$4*8/10),($B$4*8/10)*(MIN(C94,($B$4*8/10))^3-B94^3)-(MIN(C94,($B$4*8/10))^4-B94^4)/4,0)+IF(C94&gt;($B$4*8/10),($B$4*8/10)^2*(1.5*(C94^2-MAX(B94,($B$4*8/10))^2)-($B$4*8/10)*(C94-MAX(B94,($B$4*8/10)))),0))*1000,0)</f>
        <v>0</v>
      </c>
      <c r="AJ94" s="120">
        <f>IF(AND(J94="OK",ISNUMBER($B$5),$B$5&gt;0,ISNUMBER($B$3),$B$3&gt;0),F94/(6*$B$3*1000000*$B$5)*(IF(B94&lt;($B$4*9/10),($B$4*9/10)*(MIN(C94,($B$4*9/10))^3-B94^3)-(MIN(C94,($B$4*9/10))^4-B94^4)/4,0)+IF(C94&gt;($B$4*9/10),($B$4*9/10)^2*(1.5*(C94^2-MAX(B94,($B$4*9/10))^2)-($B$4*9/10)*(C94-MAX(B94,($B$4*9/10)))),0))*1000,0)</f>
        <v>0</v>
      </c>
      <c r="AK94" s="120">
        <f>IF(AND(J94="OK",ISNUMBER($B$5),$B$5&gt;0,ISNUMBER($B$3),$B$3&gt;0),F94/(6*$B$3*1000000*$B$5)*(IF(B94&lt;($B$4*10/10),($B$4*10/10)*(MIN(C94,($B$4*10/10))^3-B94^3)-(MIN(C94,($B$4*10/10))^4-B94^4)/4,0)+IF(C94&gt;($B$4*10/10),($B$4*10/10)^2*(1.5*(C94^2-MAX(B94,($B$4*10/10))^2)-($B$4*10/10)*(C94-MAX(B94,($B$4*10/10)))),0))*1000,0)</f>
        <v>0</v>
      </c>
      <c r="AM94" s="120">
        <f>IF(AND(V94="OK",ISNUMBER($N$5),$N$5&gt;0,ISNUMBER($N$3),$N$3&gt;0),R94/(6*$N$3*1000000*$N$5)*(IF(N94&lt;($N$4*0/10),($N$4*0/10)*(MIN(O94,($N$4*0/10))^3-N94^3)-(MIN(O94,($N$4*0/10))^4-N94^4)/4,0)+IF(O94&gt;($N$4*0/10),($N$4*0/10)^2*(1.5*(O94^2-MAX(N94,($N$4*0/10))^2)-($N$4*0/10)*(O94-MAX(N94,($N$4*0/10)))),0))*1000,0)</f>
        <v>0</v>
      </c>
      <c r="AN94" s="120">
        <f>IF(AND(V94="OK",ISNUMBER($N$5),$N$5&gt;0,ISNUMBER($N$3),$N$3&gt;0),R94/(6*$N$3*1000000*$N$5)*(IF(N94&lt;($N$4*1/10),($N$4*1/10)*(MIN(O94,($N$4*1/10))^3-N94^3)-(MIN(O94,($N$4*1/10))^4-N94^4)/4,0)+IF(O94&gt;($N$4*1/10),($N$4*1/10)^2*(1.5*(O94^2-MAX(N94,($N$4*1/10))^2)-($N$4*1/10)*(O94-MAX(N94,($N$4*1/10)))),0))*1000,0)</f>
        <v>0</v>
      </c>
      <c r="AO94" s="120">
        <f>IF(AND(V94="OK",ISNUMBER($N$5),$N$5&gt;0,ISNUMBER($N$3),$N$3&gt;0),R94/(6*$N$3*1000000*$N$5)*(IF(N94&lt;($N$4*2/10),($N$4*2/10)*(MIN(O94,($N$4*2/10))^3-N94^3)-(MIN(O94,($N$4*2/10))^4-N94^4)/4,0)+IF(O94&gt;($N$4*2/10),($N$4*2/10)^2*(1.5*(O94^2-MAX(N94,($N$4*2/10))^2)-($N$4*2/10)*(O94-MAX(N94,($N$4*2/10)))),0))*1000,0)</f>
        <v>0</v>
      </c>
      <c r="AP94" s="120">
        <f>IF(AND(V94="OK",ISNUMBER($N$5),$N$5&gt;0,ISNUMBER($N$3),$N$3&gt;0),R94/(6*$N$3*1000000*$N$5)*(IF(N94&lt;($N$4*3/10),($N$4*3/10)*(MIN(O94,($N$4*3/10))^3-N94^3)-(MIN(O94,($N$4*3/10))^4-N94^4)/4,0)+IF(O94&gt;($N$4*3/10),($N$4*3/10)^2*(1.5*(O94^2-MAX(N94,($N$4*3/10))^2)-($N$4*3/10)*(O94-MAX(N94,($N$4*3/10)))),0))*1000,0)</f>
        <v>0</v>
      </c>
      <c r="AQ94" s="120">
        <f>IF(AND(V94="OK",ISNUMBER($N$5),$N$5&gt;0,ISNUMBER($N$3),$N$3&gt;0),R94/(6*$N$3*1000000*$N$5)*(IF(N94&lt;($N$4*4/10),($N$4*4/10)*(MIN(O94,($N$4*4/10))^3-N94^3)-(MIN(O94,($N$4*4/10))^4-N94^4)/4,0)+IF(O94&gt;($N$4*4/10),($N$4*4/10)^2*(1.5*(O94^2-MAX(N94,($N$4*4/10))^2)-($N$4*4/10)*(O94-MAX(N94,($N$4*4/10)))),0))*1000,0)</f>
        <v>0</v>
      </c>
      <c r="AR94" s="120">
        <f>IF(AND(V94="OK",ISNUMBER($N$5),$N$5&gt;0,ISNUMBER($N$3),$N$3&gt;0),R94/(6*$N$3*1000000*$N$5)*(IF(N94&lt;($N$4*5/10),($N$4*5/10)*(MIN(O94,($N$4*5/10))^3-N94^3)-(MIN(O94,($N$4*5/10))^4-N94^4)/4,0)+IF(O94&gt;($N$4*5/10),($N$4*5/10)^2*(1.5*(O94^2-MAX(N94,($N$4*5/10))^2)-($N$4*5/10)*(O94-MAX(N94,($N$4*5/10)))),0))*1000,0)</f>
        <v>0</v>
      </c>
      <c r="AS94" s="120">
        <f>IF(AND(V94="OK",ISNUMBER($N$5),$N$5&gt;0,ISNUMBER($N$3),$N$3&gt;0),R94/(6*$N$3*1000000*$N$5)*(IF(N94&lt;($N$4*6/10),($N$4*6/10)*(MIN(O94,($N$4*6/10))^3-N94^3)-(MIN(O94,($N$4*6/10))^4-N94^4)/4,0)+IF(O94&gt;($N$4*6/10),($N$4*6/10)^2*(1.5*(O94^2-MAX(N94,($N$4*6/10))^2)-($N$4*6/10)*(O94-MAX(N94,($N$4*6/10)))),0))*1000,0)</f>
        <v>0</v>
      </c>
      <c r="AT94" s="120">
        <f>IF(AND(V94="OK",ISNUMBER($N$5),$N$5&gt;0,ISNUMBER($N$3),$N$3&gt;0),R94/(6*$N$3*1000000*$N$5)*(IF(N94&lt;($N$4*7/10),($N$4*7/10)*(MIN(O94,($N$4*7/10))^3-N94^3)-(MIN(O94,($N$4*7/10))^4-N94^4)/4,0)+IF(O94&gt;($N$4*7/10),($N$4*7/10)^2*(1.5*(O94^2-MAX(N94,($N$4*7/10))^2)-($N$4*7/10)*(O94-MAX(N94,($N$4*7/10)))),0))*1000,0)</f>
        <v>0</v>
      </c>
      <c r="AU94" s="120">
        <f>IF(AND(V94="OK",ISNUMBER($N$5),$N$5&gt;0,ISNUMBER($N$3),$N$3&gt;0),R94/(6*$N$3*1000000*$N$5)*(IF(N94&lt;($N$4*8/10),($N$4*8/10)*(MIN(O94,($N$4*8/10))^3-N94^3)-(MIN(O94,($N$4*8/10))^4-N94^4)/4,0)+IF(O94&gt;($N$4*8/10),($N$4*8/10)^2*(1.5*(O94^2-MAX(N94,($N$4*8/10))^2)-($N$4*8/10)*(O94-MAX(N94,($N$4*8/10)))),0))*1000,0)</f>
        <v>0</v>
      </c>
      <c r="AV94" s="120">
        <f>IF(AND(V94="OK",ISNUMBER($N$5),$N$5&gt;0,ISNUMBER($N$3),$N$3&gt;0),R94/(6*$N$3*1000000*$N$5)*(IF(N94&lt;($N$4*9/10),($N$4*9/10)*(MIN(O94,($N$4*9/10))^3-N94^3)-(MIN(O94,($N$4*9/10))^4-N94^4)/4,0)+IF(O94&gt;($N$4*9/10),($N$4*9/10)^2*(1.5*(O94^2-MAX(N94,($N$4*9/10))^2)-($N$4*9/10)*(O94-MAX(N94,($N$4*9/10)))),0))*1000,0)</f>
        <v>0</v>
      </c>
      <c r="AW94" s="120">
        <f>IF(AND(V94="OK",ISNUMBER($N$5),$N$5&gt;0,ISNUMBER($N$3),$N$3&gt;0),R94/(6*$N$3*1000000*$N$5)*(IF(N94&lt;($N$4*10/10),($N$4*10/10)*(MIN(O94,($N$4*10/10))^3-N94^3)-(MIN(O94,($N$4*10/10))^4-N94^4)/4,0)+IF(O94&gt;($N$4*10/10),($N$4*10/10)^2*(1.5*(O94^2-MAX(N94,($N$4*10/10))^2)-($N$4*10/10)*(O94-MAX(N94,($N$4*10/10)))),0))*1000,0)</f>
        <v>0</v>
      </c>
    </row>
    <row r="95" spans="1:49">
      <c r="A95" s="124"/>
      <c r="B95" s="125"/>
      <c r="C95" s="125"/>
      <c r="D95" s="125"/>
      <c r="E95" s="125"/>
      <c r="F95" s="126" t="str">
        <f>IF(J95="OK",D95*E95,"")</f>
        <v/>
      </c>
      <c r="G95" s="126" t="str">
        <f>IF(J95="OK",F95*(C95-B95),"")</f>
        <v/>
      </c>
      <c r="H95" s="126" t="str">
        <f>IF(J95="OK",G95*(C95+B95)/2,"")</f>
        <v/>
      </c>
      <c r="I95" s="126" t="str">
        <f>IF(AND(J95="OK",ISNUMBER($B$5),$B$5&gt;0,ISNUMBER($B$3),$B$3&gt;0),F95*(4*$B$4*(C95^3-B95^3)-(C95^4-B95^4))/(24*$B$3*1000000*$B$5)*1000,"")</f>
        <v/>
      </c>
      <c r="J95" s="120" t="str">
        <f>IF(COUNTA(A95:E95)=0,"",IF(AND(COUNT(B95:E95)=4,B95&gt;=0,C95&gt;B95,C95&lt;=$B$4,D95&gt;=0,E95&gt;0),IF(COUNTIFS($B$13:$B$94,"&lt;"&amp;C95,$C$13:$C$94,"&gt;"&amp;B95)&gt;0,"OVERLAP","OK"),"CHECK INPUTS"))</f>
        <v/>
      </c>
      <c r="M95" s="124"/>
      <c r="N95" s="125"/>
      <c r="O95" s="125"/>
      <c r="P95" s="125"/>
      <c r="Q95" s="125"/>
      <c r="R95" s="126" t="str">
        <f>IF(V95="OK",P95*Q95,"")</f>
        <v/>
      </c>
      <c r="S95" s="126" t="str">
        <f>IF(V95="OK",R95*(O95-N95),"")</f>
        <v/>
      </c>
      <c r="T95" s="126" t="str">
        <f>IF(V95="OK",S95*(O95+N95)/2,"")</f>
        <v/>
      </c>
      <c r="U95" s="126" t="str">
        <f>IF(AND(V95="OK",ISNUMBER($N$5),$N$5&gt;0,ISNUMBER($N$3),$N$3&gt;0),R95*(4*$N$4*(O95^3-N95^3)-(O95^4-N95^4))/(24*$N$3*1000000*$N$5)*1000,"")</f>
        <v/>
      </c>
      <c r="V95" s="120" t="str">
        <f>IF(COUNTA(M95:Q95)=0,"",IF(AND(COUNT(N95:Q95)=4,N95&gt;=0,O95&gt;N95,O95&lt;=$N$4,P95&gt;=0,Q95&gt;0),IF(COUNTIFS($N$13:$N$94,"&lt;"&amp;O95,$O$13:$O$94,"&gt;"&amp;N95)&gt;0,"OVERLAP","OK"),"CHECK INPUTS"))</f>
        <v/>
      </c>
      <c r="AA95" s="120">
        <f>IF(AND(J95="OK",ISNUMBER($B$5),$B$5&gt;0,ISNUMBER($B$3),$B$3&gt;0),F95/(6*$B$3*1000000*$B$5)*(IF(B95&lt;($B$4*0/10),($B$4*0/10)*(MIN(C95,($B$4*0/10))^3-B95^3)-(MIN(C95,($B$4*0/10))^4-B95^4)/4,0)+IF(C95&gt;($B$4*0/10),($B$4*0/10)^2*(1.5*(C95^2-MAX(B95,($B$4*0/10))^2)-($B$4*0/10)*(C95-MAX(B95,($B$4*0/10)))),0))*1000,0)</f>
        <v>0</v>
      </c>
      <c r="AB95" s="120">
        <f>IF(AND(J95="OK",ISNUMBER($B$5),$B$5&gt;0,ISNUMBER($B$3),$B$3&gt;0),F95/(6*$B$3*1000000*$B$5)*(IF(B95&lt;($B$4*1/10),($B$4*1/10)*(MIN(C95,($B$4*1/10))^3-B95^3)-(MIN(C95,($B$4*1/10))^4-B95^4)/4,0)+IF(C95&gt;($B$4*1/10),($B$4*1/10)^2*(1.5*(C95^2-MAX(B95,($B$4*1/10))^2)-($B$4*1/10)*(C95-MAX(B95,($B$4*1/10)))),0))*1000,0)</f>
        <v>0</v>
      </c>
      <c r="AC95" s="120">
        <f>IF(AND(J95="OK",ISNUMBER($B$5),$B$5&gt;0,ISNUMBER($B$3),$B$3&gt;0),F95/(6*$B$3*1000000*$B$5)*(IF(B95&lt;($B$4*2/10),($B$4*2/10)*(MIN(C95,($B$4*2/10))^3-B95^3)-(MIN(C95,($B$4*2/10))^4-B95^4)/4,0)+IF(C95&gt;($B$4*2/10),($B$4*2/10)^2*(1.5*(C95^2-MAX(B95,($B$4*2/10))^2)-($B$4*2/10)*(C95-MAX(B95,($B$4*2/10)))),0))*1000,0)</f>
        <v>0</v>
      </c>
      <c r="AD95" s="120">
        <f>IF(AND(J95="OK",ISNUMBER($B$5),$B$5&gt;0,ISNUMBER($B$3),$B$3&gt;0),F95/(6*$B$3*1000000*$B$5)*(IF(B95&lt;($B$4*3/10),($B$4*3/10)*(MIN(C95,($B$4*3/10))^3-B95^3)-(MIN(C95,($B$4*3/10))^4-B95^4)/4,0)+IF(C95&gt;($B$4*3/10),($B$4*3/10)^2*(1.5*(C95^2-MAX(B95,($B$4*3/10))^2)-($B$4*3/10)*(C95-MAX(B95,($B$4*3/10)))),0))*1000,0)</f>
        <v>0</v>
      </c>
      <c r="AE95" s="120">
        <f>IF(AND(J95="OK",ISNUMBER($B$5),$B$5&gt;0,ISNUMBER($B$3),$B$3&gt;0),F95/(6*$B$3*1000000*$B$5)*(IF(B95&lt;($B$4*4/10),($B$4*4/10)*(MIN(C95,($B$4*4/10))^3-B95^3)-(MIN(C95,($B$4*4/10))^4-B95^4)/4,0)+IF(C95&gt;($B$4*4/10),($B$4*4/10)^2*(1.5*(C95^2-MAX(B95,($B$4*4/10))^2)-($B$4*4/10)*(C95-MAX(B95,($B$4*4/10)))),0))*1000,0)</f>
        <v>0</v>
      </c>
      <c r="AF95" s="120">
        <f>IF(AND(J95="OK",ISNUMBER($B$5),$B$5&gt;0,ISNUMBER($B$3),$B$3&gt;0),F95/(6*$B$3*1000000*$B$5)*(IF(B95&lt;($B$4*5/10),($B$4*5/10)*(MIN(C95,($B$4*5/10))^3-B95^3)-(MIN(C95,($B$4*5/10))^4-B95^4)/4,0)+IF(C95&gt;($B$4*5/10),($B$4*5/10)^2*(1.5*(C95^2-MAX(B95,($B$4*5/10))^2)-($B$4*5/10)*(C95-MAX(B95,($B$4*5/10)))),0))*1000,0)</f>
        <v>0</v>
      </c>
      <c r="AG95" s="120">
        <f>IF(AND(J95="OK",ISNUMBER($B$5),$B$5&gt;0,ISNUMBER($B$3),$B$3&gt;0),F95/(6*$B$3*1000000*$B$5)*(IF(B95&lt;($B$4*6/10),($B$4*6/10)*(MIN(C95,($B$4*6/10))^3-B95^3)-(MIN(C95,($B$4*6/10))^4-B95^4)/4,0)+IF(C95&gt;($B$4*6/10),($B$4*6/10)^2*(1.5*(C95^2-MAX(B95,($B$4*6/10))^2)-($B$4*6/10)*(C95-MAX(B95,($B$4*6/10)))),0))*1000,0)</f>
        <v>0</v>
      </c>
      <c r="AH95" s="120">
        <f>IF(AND(J95="OK",ISNUMBER($B$5),$B$5&gt;0,ISNUMBER($B$3),$B$3&gt;0),F95/(6*$B$3*1000000*$B$5)*(IF(B95&lt;($B$4*7/10),($B$4*7/10)*(MIN(C95,($B$4*7/10))^3-B95^3)-(MIN(C95,($B$4*7/10))^4-B95^4)/4,0)+IF(C95&gt;($B$4*7/10),($B$4*7/10)^2*(1.5*(C95^2-MAX(B95,($B$4*7/10))^2)-($B$4*7/10)*(C95-MAX(B95,($B$4*7/10)))),0))*1000,0)</f>
        <v>0</v>
      </c>
      <c r="AI95" s="120">
        <f>IF(AND(J95="OK",ISNUMBER($B$5),$B$5&gt;0,ISNUMBER($B$3),$B$3&gt;0),F95/(6*$B$3*1000000*$B$5)*(IF(B95&lt;($B$4*8/10),($B$4*8/10)*(MIN(C95,($B$4*8/10))^3-B95^3)-(MIN(C95,($B$4*8/10))^4-B95^4)/4,0)+IF(C95&gt;($B$4*8/10),($B$4*8/10)^2*(1.5*(C95^2-MAX(B95,($B$4*8/10))^2)-($B$4*8/10)*(C95-MAX(B95,($B$4*8/10)))),0))*1000,0)</f>
        <v>0</v>
      </c>
      <c r="AJ95" s="120">
        <f>IF(AND(J95="OK",ISNUMBER($B$5),$B$5&gt;0,ISNUMBER($B$3),$B$3&gt;0),F95/(6*$B$3*1000000*$B$5)*(IF(B95&lt;($B$4*9/10),($B$4*9/10)*(MIN(C95,($B$4*9/10))^3-B95^3)-(MIN(C95,($B$4*9/10))^4-B95^4)/4,0)+IF(C95&gt;($B$4*9/10),($B$4*9/10)^2*(1.5*(C95^2-MAX(B95,($B$4*9/10))^2)-($B$4*9/10)*(C95-MAX(B95,($B$4*9/10)))),0))*1000,0)</f>
        <v>0</v>
      </c>
      <c r="AK95" s="120">
        <f>IF(AND(J95="OK",ISNUMBER($B$5),$B$5&gt;0,ISNUMBER($B$3),$B$3&gt;0),F95/(6*$B$3*1000000*$B$5)*(IF(B95&lt;($B$4*10/10),($B$4*10/10)*(MIN(C95,($B$4*10/10))^3-B95^3)-(MIN(C95,($B$4*10/10))^4-B95^4)/4,0)+IF(C95&gt;($B$4*10/10),($B$4*10/10)^2*(1.5*(C95^2-MAX(B95,($B$4*10/10))^2)-($B$4*10/10)*(C95-MAX(B95,($B$4*10/10)))),0))*1000,0)</f>
        <v>0</v>
      </c>
      <c r="AM95" s="120">
        <f>IF(AND(V95="OK",ISNUMBER($N$5),$N$5&gt;0,ISNUMBER($N$3),$N$3&gt;0),R95/(6*$N$3*1000000*$N$5)*(IF(N95&lt;($N$4*0/10),($N$4*0/10)*(MIN(O95,($N$4*0/10))^3-N95^3)-(MIN(O95,($N$4*0/10))^4-N95^4)/4,0)+IF(O95&gt;($N$4*0/10),($N$4*0/10)^2*(1.5*(O95^2-MAX(N95,($N$4*0/10))^2)-($N$4*0/10)*(O95-MAX(N95,($N$4*0/10)))),0))*1000,0)</f>
        <v>0</v>
      </c>
      <c r="AN95" s="120">
        <f>IF(AND(V95="OK",ISNUMBER($N$5),$N$5&gt;0,ISNUMBER($N$3),$N$3&gt;0),R95/(6*$N$3*1000000*$N$5)*(IF(N95&lt;($N$4*1/10),($N$4*1/10)*(MIN(O95,($N$4*1/10))^3-N95^3)-(MIN(O95,($N$4*1/10))^4-N95^4)/4,0)+IF(O95&gt;($N$4*1/10),($N$4*1/10)^2*(1.5*(O95^2-MAX(N95,($N$4*1/10))^2)-($N$4*1/10)*(O95-MAX(N95,($N$4*1/10)))),0))*1000,0)</f>
        <v>0</v>
      </c>
      <c r="AO95" s="120">
        <f>IF(AND(V95="OK",ISNUMBER($N$5),$N$5&gt;0,ISNUMBER($N$3),$N$3&gt;0),R95/(6*$N$3*1000000*$N$5)*(IF(N95&lt;($N$4*2/10),($N$4*2/10)*(MIN(O95,($N$4*2/10))^3-N95^3)-(MIN(O95,($N$4*2/10))^4-N95^4)/4,0)+IF(O95&gt;($N$4*2/10),($N$4*2/10)^2*(1.5*(O95^2-MAX(N95,($N$4*2/10))^2)-($N$4*2/10)*(O95-MAX(N95,($N$4*2/10)))),0))*1000,0)</f>
        <v>0</v>
      </c>
      <c r="AP95" s="120">
        <f>IF(AND(V95="OK",ISNUMBER($N$5),$N$5&gt;0,ISNUMBER($N$3),$N$3&gt;0),R95/(6*$N$3*1000000*$N$5)*(IF(N95&lt;($N$4*3/10),($N$4*3/10)*(MIN(O95,($N$4*3/10))^3-N95^3)-(MIN(O95,($N$4*3/10))^4-N95^4)/4,0)+IF(O95&gt;($N$4*3/10),($N$4*3/10)^2*(1.5*(O95^2-MAX(N95,($N$4*3/10))^2)-($N$4*3/10)*(O95-MAX(N95,($N$4*3/10)))),0))*1000,0)</f>
        <v>0</v>
      </c>
      <c r="AQ95" s="120">
        <f>IF(AND(V95="OK",ISNUMBER($N$5),$N$5&gt;0,ISNUMBER($N$3),$N$3&gt;0),R95/(6*$N$3*1000000*$N$5)*(IF(N95&lt;($N$4*4/10),($N$4*4/10)*(MIN(O95,($N$4*4/10))^3-N95^3)-(MIN(O95,($N$4*4/10))^4-N95^4)/4,0)+IF(O95&gt;($N$4*4/10),($N$4*4/10)^2*(1.5*(O95^2-MAX(N95,($N$4*4/10))^2)-($N$4*4/10)*(O95-MAX(N95,($N$4*4/10)))),0))*1000,0)</f>
        <v>0</v>
      </c>
      <c r="AR95" s="120">
        <f>IF(AND(V95="OK",ISNUMBER($N$5),$N$5&gt;0,ISNUMBER($N$3),$N$3&gt;0),R95/(6*$N$3*1000000*$N$5)*(IF(N95&lt;($N$4*5/10),($N$4*5/10)*(MIN(O95,($N$4*5/10))^3-N95^3)-(MIN(O95,($N$4*5/10))^4-N95^4)/4,0)+IF(O95&gt;($N$4*5/10),($N$4*5/10)^2*(1.5*(O95^2-MAX(N95,($N$4*5/10))^2)-($N$4*5/10)*(O95-MAX(N95,($N$4*5/10)))),0))*1000,0)</f>
        <v>0</v>
      </c>
      <c r="AS95" s="120">
        <f>IF(AND(V95="OK",ISNUMBER($N$5),$N$5&gt;0,ISNUMBER($N$3),$N$3&gt;0),R95/(6*$N$3*1000000*$N$5)*(IF(N95&lt;($N$4*6/10),($N$4*6/10)*(MIN(O95,($N$4*6/10))^3-N95^3)-(MIN(O95,($N$4*6/10))^4-N95^4)/4,0)+IF(O95&gt;($N$4*6/10),($N$4*6/10)^2*(1.5*(O95^2-MAX(N95,($N$4*6/10))^2)-($N$4*6/10)*(O95-MAX(N95,($N$4*6/10)))),0))*1000,0)</f>
        <v>0</v>
      </c>
      <c r="AT95" s="120">
        <f>IF(AND(V95="OK",ISNUMBER($N$5),$N$5&gt;0,ISNUMBER($N$3),$N$3&gt;0),R95/(6*$N$3*1000000*$N$5)*(IF(N95&lt;($N$4*7/10),($N$4*7/10)*(MIN(O95,($N$4*7/10))^3-N95^3)-(MIN(O95,($N$4*7/10))^4-N95^4)/4,0)+IF(O95&gt;($N$4*7/10),($N$4*7/10)^2*(1.5*(O95^2-MAX(N95,($N$4*7/10))^2)-($N$4*7/10)*(O95-MAX(N95,($N$4*7/10)))),0))*1000,0)</f>
        <v>0</v>
      </c>
      <c r="AU95" s="120">
        <f>IF(AND(V95="OK",ISNUMBER($N$5),$N$5&gt;0,ISNUMBER($N$3),$N$3&gt;0),R95/(6*$N$3*1000000*$N$5)*(IF(N95&lt;($N$4*8/10),($N$4*8/10)*(MIN(O95,($N$4*8/10))^3-N95^3)-(MIN(O95,($N$4*8/10))^4-N95^4)/4,0)+IF(O95&gt;($N$4*8/10),($N$4*8/10)^2*(1.5*(O95^2-MAX(N95,($N$4*8/10))^2)-($N$4*8/10)*(O95-MAX(N95,($N$4*8/10)))),0))*1000,0)</f>
        <v>0</v>
      </c>
      <c r="AV95" s="120">
        <f>IF(AND(V95="OK",ISNUMBER($N$5),$N$5&gt;0,ISNUMBER($N$3),$N$3&gt;0),R95/(6*$N$3*1000000*$N$5)*(IF(N95&lt;($N$4*9/10),($N$4*9/10)*(MIN(O95,($N$4*9/10))^3-N95^3)-(MIN(O95,($N$4*9/10))^4-N95^4)/4,0)+IF(O95&gt;($N$4*9/10),($N$4*9/10)^2*(1.5*(O95^2-MAX(N95,($N$4*9/10))^2)-($N$4*9/10)*(O95-MAX(N95,($N$4*9/10)))),0))*1000,0)</f>
        <v>0</v>
      </c>
      <c r="AW95" s="120">
        <f>IF(AND(V95="OK",ISNUMBER($N$5),$N$5&gt;0,ISNUMBER($N$3),$N$3&gt;0),R95/(6*$N$3*1000000*$N$5)*(IF(N95&lt;($N$4*10/10),($N$4*10/10)*(MIN(O95,($N$4*10/10))^3-N95^3)-(MIN(O95,($N$4*10/10))^4-N95^4)/4,0)+IF(O95&gt;($N$4*10/10),($N$4*10/10)^2*(1.5*(O95^2-MAX(N95,($N$4*10/10))^2)-($N$4*10/10)*(O95-MAX(N95,($N$4*10/10)))),0))*1000,0)</f>
        <v>0</v>
      </c>
    </row>
    <row r="96" spans="1:49">
      <c r="A96" s="124"/>
      <c r="B96" s="125"/>
      <c r="C96" s="125"/>
      <c r="D96" s="125"/>
      <c r="E96" s="125"/>
      <c r="F96" s="126" t="str">
        <f>IF(J96="OK",D96*E96,"")</f>
        <v/>
      </c>
      <c r="G96" s="126" t="str">
        <f>IF(J96="OK",F96*(C96-B96),"")</f>
        <v/>
      </c>
      <c r="H96" s="126" t="str">
        <f>IF(J96="OK",G96*(C96+B96)/2,"")</f>
        <v/>
      </c>
      <c r="I96" s="126" t="str">
        <f>IF(AND(J96="OK",ISNUMBER($B$5),$B$5&gt;0,ISNUMBER($B$3),$B$3&gt;0),F96*(4*$B$4*(C96^3-B96^3)-(C96^4-B96^4))/(24*$B$3*1000000*$B$5)*1000,"")</f>
        <v/>
      </c>
      <c r="J96" s="120" t="str">
        <f>IF(COUNTA(A96:E96)=0,"",IF(AND(COUNT(B96:E96)=4,B96&gt;=0,C96&gt;B96,C96&lt;=$B$4,D96&gt;=0,E96&gt;0),IF(COUNTIFS($B$13:$B$95,"&lt;"&amp;C96,$C$13:$C$95,"&gt;"&amp;B96)&gt;0,"OVERLAP","OK"),"CHECK INPUTS"))</f>
        <v/>
      </c>
      <c r="M96" s="124"/>
      <c r="N96" s="125"/>
      <c r="O96" s="125"/>
      <c r="P96" s="125"/>
      <c r="Q96" s="125"/>
      <c r="R96" s="126" t="str">
        <f>IF(V96="OK",P96*Q96,"")</f>
        <v/>
      </c>
      <c r="S96" s="126" t="str">
        <f>IF(V96="OK",R96*(O96-N96),"")</f>
        <v/>
      </c>
      <c r="T96" s="126" t="str">
        <f>IF(V96="OK",S96*(O96+N96)/2,"")</f>
        <v/>
      </c>
      <c r="U96" s="126" t="str">
        <f>IF(AND(V96="OK",ISNUMBER($N$5),$N$5&gt;0,ISNUMBER($N$3),$N$3&gt;0),R96*(4*$N$4*(O96^3-N96^3)-(O96^4-N96^4))/(24*$N$3*1000000*$N$5)*1000,"")</f>
        <v/>
      </c>
      <c r="V96" s="120" t="str">
        <f>IF(COUNTA(M96:Q96)=0,"",IF(AND(COUNT(N96:Q96)=4,N96&gt;=0,O96&gt;N96,O96&lt;=$N$4,P96&gt;=0,Q96&gt;0),IF(COUNTIFS($N$13:$N$95,"&lt;"&amp;O96,$O$13:$O$95,"&gt;"&amp;N96)&gt;0,"OVERLAP","OK"),"CHECK INPUTS"))</f>
        <v/>
      </c>
      <c r="AA96" s="120">
        <f>IF(AND(J96="OK",ISNUMBER($B$5),$B$5&gt;0,ISNUMBER($B$3),$B$3&gt;0),F96/(6*$B$3*1000000*$B$5)*(IF(B96&lt;($B$4*0/10),($B$4*0/10)*(MIN(C96,($B$4*0/10))^3-B96^3)-(MIN(C96,($B$4*0/10))^4-B96^4)/4,0)+IF(C96&gt;($B$4*0/10),($B$4*0/10)^2*(1.5*(C96^2-MAX(B96,($B$4*0/10))^2)-($B$4*0/10)*(C96-MAX(B96,($B$4*0/10)))),0))*1000,0)</f>
        <v>0</v>
      </c>
      <c r="AB96" s="120">
        <f>IF(AND(J96="OK",ISNUMBER($B$5),$B$5&gt;0,ISNUMBER($B$3),$B$3&gt;0),F96/(6*$B$3*1000000*$B$5)*(IF(B96&lt;($B$4*1/10),($B$4*1/10)*(MIN(C96,($B$4*1/10))^3-B96^3)-(MIN(C96,($B$4*1/10))^4-B96^4)/4,0)+IF(C96&gt;($B$4*1/10),($B$4*1/10)^2*(1.5*(C96^2-MAX(B96,($B$4*1/10))^2)-($B$4*1/10)*(C96-MAX(B96,($B$4*1/10)))),0))*1000,0)</f>
        <v>0</v>
      </c>
      <c r="AC96" s="120">
        <f>IF(AND(J96="OK",ISNUMBER($B$5),$B$5&gt;0,ISNUMBER($B$3),$B$3&gt;0),F96/(6*$B$3*1000000*$B$5)*(IF(B96&lt;($B$4*2/10),($B$4*2/10)*(MIN(C96,($B$4*2/10))^3-B96^3)-(MIN(C96,($B$4*2/10))^4-B96^4)/4,0)+IF(C96&gt;($B$4*2/10),($B$4*2/10)^2*(1.5*(C96^2-MAX(B96,($B$4*2/10))^2)-($B$4*2/10)*(C96-MAX(B96,($B$4*2/10)))),0))*1000,0)</f>
        <v>0</v>
      </c>
      <c r="AD96" s="120">
        <f>IF(AND(J96="OK",ISNUMBER($B$5),$B$5&gt;0,ISNUMBER($B$3),$B$3&gt;0),F96/(6*$B$3*1000000*$B$5)*(IF(B96&lt;($B$4*3/10),($B$4*3/10)*(MIN(C96,($B$4*3/10))^3-B96^3)-(MIN(C96,($B$4*3/10))^4-B96^4)/4,0)+IF(C96&gt;($B$4*3/10),($B$4*3/10)^2*(1.5*(C96^2-MAX(B96,($B$4*3/10))^2)-($B$4*3/10)*(C96-MAX(B96,($B$4*3/10)))),0))*1000,0)</f>
        <v>0</v>
      </c>
      <c r="AE96" s="120">
        <f>IF(AND(J96="OK",ISNUMBER($B$5),$B$5&gt;0,ISNUMBER($B$3),$B$3&gt;0),F96/(6*$B$3*1000000*$B$5)*(IF(B96&lt;($B$4*4/10),($B$4*4/10)*(MIN(C96,($B$4*4/10))^3-B96^3)-(MIN(C96,($B$4*4/10))^4-B96^4)/4,0)+IF(C96&gt;($B$4*4/10),($B$4*4/10)^2*(1.5*(C96^2-MAX(B96,($B$4*4/10))^2)-($B$4*4/10)*(C96-MAX(B96,($B$4*4/10)))),0))*1000,0)</f>
        <v>0</v>
      </c>
      <c r="AF96" s="120">
        <f>IF(AND(J96="OK",ISNUMBER($B$5),$B$5&gt;0,ISNUMBER($B$3),$B$3&gt;0),F96/(6*$B$3*1000000*$B$5)*(IF(B96&lt;($B$4*5/10),($B$4*5/10)*(MIN(C96,($B$4*5/10))^3-B96^3)-(MIN(C96,($B$4*5/10))^4-B96^4)/4,0)+IF(C96&gt;($B$4*5/10),($B$4*5/10)^2*(1.5*(C96^2-MAX(B96,($B$4*5/10))^2)-($B$4*5/10)*(C96-MAX(B96,($B$4*5/10)))),0))*1000,0)</f>
        <v>0</v>
      </c>
      <c r="AG96" s="120">
        <f>IF(AND(J96="OK",ISNUMBER($B$5),$B$5&gt;0,ISNUMBER($B$3),$B$3&gt;0),F96/(6*$B$3*1000000*$B$5)*(IF(B96&lt;($B$4*6/10),($B$4*6/10)*(MIN(C96,($B$4*6/10))^3-B96^3)-(MIN(C96,($B$4*6/10))^4-B96^4)/4,0)+IF(C96&gt;($B$4*6/10),($B$4*6/10)^2*(1.5*(C96^2-MAX(B96,($B$4*6/10))^2)-($B$4*6/10)*(C96-MAX(B96,($B$4*6/10)))),0))*1000,0)</f>
        <v>0</v>
      </c>
      <c r="AH96" s="120">
        <f>IF(AND(J96="OK",ISNUMBER($B$5),$B$5&gt;0,ISNUMBER($B$3),$B$3&gt;0),F96/(6*$B$3*1000000*$B$5)*(IF(B96&lt;($B$4*7/10),($B$4*7/10)*(MIN(C96,($B$4*7/10))^3-B96^3)-(MIN(C96,($B$4*7/10))^4-B96^4)/4,0)+IF(C96&gt;($B$4*7/10),($B$4*7/10)^2*(1.5*(C96^2-MAX(B96,($B$4*7/10))^2)-($B$4*7/10)*(C96-MAX(B96,($B$4*7/10)))),0))*1000,0)</f>
        <v>0</v>
      </c>
      <c r="AI96" s="120">
        <f>IF(AND(J96="OK",ISNUMBER($B$5),$B$5&gt;0,ISNUMBER($B$3),$B$3&gt;0),F96/(6*$B$3*1000000*$B$5)*(IF(B96&lt;($B$4*8/10),($B$4*8/10)*(MIN(C96,($B$4*8/10))^3-B96^3)-(MIN(C96,($B$4*8/10))^4-B96^4)/4,0)+IF(C96&gt;($B$4*8/10),($B$4*8/10)^2*(1.5*(C96^2-MAX(B96,($B$4*8/10))^2)-($B$4*8/10)*(C96-MAX(B96,($B$4*8/10)))),0))*1000,0)</f>
        <v>0</v>
      </c>
      <c r="AJ96" s="120">
        <f>IF(AND(J96="OK",ISNUMBER($B$5),$B$5&gt;0,ISNUMBER($B$3),$B$3&gt;0),F96/(6*$B$3*1000000*$B$5)*(IF(B96&lt;($B$4*9/10),($B$4*9/10)*(MIN(C96,($B$4*9/10))^3-B96^3)-(MIN(C96,($B$4*9/10))^4-B96^4)/4,0)+IF(C96&gt;($B$4*9/10),($B$4*9/10)^2*(1.5*(C96^2-MAX(B96,($B$4*9/10))^2)-($B$4*9/10)*(C96-MAX(B96,($B$4*9/10)))),0))*1000,0)</f>
        <v>0</v>
      </c>
      <c r="AK96" s="120">
        <f>IF(AND(J96="OK",ISNUMBER($B$5),$B$5&gt;0,ISNUMBER($B$3),$B$3&gt;0),F96/(6*$B$3*1000000*$B$5)*(IF(B96&lt;($B$4*10/10),($B$4*10/10)*(MIN(C96,($B$4*10/10))^3-B96^3)-(MIN(C96,($B$4*10/10))^4-B96^4)/4,0)+IF(C96&gt;($B$4*10/10),($B$4*10/10)^2*(1.5*(C96^2-MAX(B96,($B$4*10/10))^2)-($B$4*10/10)*(C96-MAX(B96,($B$4*10/10)))),0))*1000,0)</f>
        <v>0</v>
      </c>
      <c r="AM96" s="120">
        <f>IF(AND(V96="OK",ISNUMBER($N$5),$N$5&gt;0,ISNUMBER($N$3),$N$3&gt;0),R96/(6*$N$3*1000000*$N$5)*(IF(N96&lt;($N$4*0/10),($N$4*0/10)*(MIN(O96,($N$4*0/10))^3-N96^3)-(MIN(O96,($N$4*0/10))^4-N96^4)/4,0)+IF(O96&gt;($N$4*0/10),($N$4*0/10)^2*(1.5*(O96^2-MAX(N96,($N$4*0/10))^2)-($N$4*0/10)*(O96-MAX(N96,($N$4*0/10)))),0))*1000,0)</f>
        <v>0</v>
      </c>
      <c r="AN96" s="120">
        <f>IF(AND(V96="OK",ISNUMBER($N$5),$N$5&gt;0,ISNUMBER($N$3),$N$3&gt;0),R96/(6*$N$3*1000000*$N$5)*(IF(N96&lt;($N$4*1/10),($N$4*1/10)*(MIN(O96,($N$4*1/10))^3-N96^3)-(MIN(O96,($N$4*1/10))^4-N96^4)/4,0)+IF(O96&gt;($N$4*1/10),($N$4*1/10)^2*(1.5*(O96^2-MAX(N96,($N$4*1/10))^2)-($N$4*1/10)*(O96-MAX(N96,($N$4*1/10)))),0))*1000,0)</f>
        <v>0</v>
      </c>
      <c r="AO96" s="120">
        <f>IF(AND(V96="OK",ISNUMBER($N$5),$N$5&gt;0,ISNUMBER($N$3),$N$3&gt;0),R96/(6*$N$3*1000000*$N$5)*(IF(N96&lt;($N$4*2/10),($N$4*2/10)*(MIN(O96,($N$4*2/10))^3-N96^3)-(MIN(O96,($N$4*2/10))^4-N96^4)/4,0)+IF(O96&gt;($N$4*2/10),($N$4*2/10)^2*(1.5*(O96^2-MAX(N96,($N$4*2/10))^2)-($N$4*2/10)*(O96-MAX(N96,($N$4*2/10)))),0))*1000,0)</f>
        <v>0</v>
      </c>
      <c r="AP96" s="120">
        <f>IF(AND(V96="OK",ISNUMBER($N$5),$N$5&gt;0,ISNUMBER($N$3),$N$3&gt;0),R96/(6*$N$3*1000000*$N$5)*(IF(N96&lt;($N$4*3/10),($N$4*3/10)*(MIN(O96,($N$4*3/10))^3-N96^3)-(MIN(O96,($N$4*3/10))^4-N96^4)/4,0)+IF(O96&gt;($N$4*3/10),($N$4*3/10)^2*(1.5*(O96^2-MAX(N96,($N$4*3/10))^2)-($N$4*3/10)*(O96-MAX(N96,($N$4*3/10)))),0))*1000,0)</f>
        <v>0</v>
      </c>
      <c r="AQ96" s="120">
        <f>IF(AND(V96="OK",ISNUMBER($N$5),$N$5&gt;0,ISNUMBER($N$3),$N$3&gt;0),R96/(6*$N$3*1000000*$N$5)*(IF(N96&lt;($N$4*4/10),($N$4*4/10)*(MIN(O96,($N$4*4/10))^3-N96^3)-(MIN(O96,($N$4*4/10))^4-N96^4)/4,0)+IF(O96&gt;($N$4*4/10),($N$4*4/10)^2*(1.5*(O96^2-MAX(N96,($N$4*4/10))^2)-($N$4*4/10)*(O96-MAX(N96,($N$4*4/10)))),0))*1000,0)</f>
        <v>0</v>
      </c>
      <c r="AR96" s="120">
        <f>IF(AND(V96="OK",ISNUMBER($N$5),$N$5&gt;0,ISNUMBER($N$3),$N$3&gt;0),R96/(6*$N$3*1000000*$N$5)*(IF(N96&lt;($N$4*5/10),($N$4*5/10)*(MIN(O96,($N$4*5/10))^3-N96^3)-(MIN(O96,($N$4*5/10))^4-N96^4)/4,0)+IF(O96&gt;($N$4*5/10),($N$4*5/10)^2*(1.5*(O96^2-MAX(N96,($N$4*5/10))^2)-($N$4*5/10)*(O96-MAX(N96,($N$4*5/10)))),0))*1000,0)</f>
        <v>0</v>
      </c>
      <c r="AS96" s="120">
        <f>IF(AND(V96="OK",ISNUMBER($N$5),$N$5&gt;0,ISNUMBER($N$3),$N$3&gt;0),R96/(6*$N$3*1000000*$N$5)*(IF(N96&lt;($N$4*6/10),($N$4*6/10)*(MIN(O96,($N$4*6/10))^3-N96^3)-(MIN(O96,($N$4*6/10))^4-N96^4)/4,0)+IF(O96&gt;($N$4*6/10),($N$4*6/10)^2*(1.5*(O96^2-MAX(N96,($N$4*6/10))^2)-($N$4*6/10)*(O96-MAX(N96,($N$4*6/10)))),0))*1000,0)</f>
        <v>0</v>
      </c>
      <c r="AT96" s="120">
        <f>IF(AND(V96="OK",ISNUMBER($N$5),$N$5&gt;0,ISNUMBER($N$3),$N$3&gt;0),R96/(6*$N$3*1000000*$N$5)*(IF(N96&lt;($N$4*7/10),($N$4*7/10)*(MIN(O96,($N$4*7/10))^3-N96^3)-(MIN(O96,($N$4*7/10))^4-N96^4)/4,0)+IF(O96&gt;($N$4*7/10),($N$4*7/10)^2*(1.5*(O96^2-MAX(N96,($N$4*7/10))^2)-($N$4*7/10)*(O96-MAX(N96,($N$4*7/10)))),0))*1000,0)</f>
        <v>0</v>
      </c>
      <c r="AU96" s="120">
        <f>IF(AND(V96="OK",ISNUMBER($N$5),$N$5&gt;0,ISNUMBER($N$3),$N$3&gt;0),R96/(6*$N$3*1000000*$N$5)*(IF(N96&lt;($N$4*8/10),($N$4*8/10)*(MIN(O96,($N$4*8/10))^3-N96^3)-(MIN(O96,($N$4*8/10))^4-N96^4)/4,0)+IF(O96&gt;($N$4*8/10),($N$4*8/10)^2*(1.5*(O96^2-MAX(N96,($N$4*8/10))^2)-($N$4*8/10)*(O96-MAX(N96,($N$4*8/10)))),0))*1000,0)</f>
        <v>0</v>
      </c>
      <c r="AV96" s="120">
        <f>IF(AND(V96="OK",ISNUMBER($N$5),$N$5&gt;0,ISNUMBER($N$3),$N$3&gt;0),R96/(6*$N$3*1000000*$N$5)*(IF(N96&lt;($N$4*9/10),($N$4*9/10)*(MIN(O96,($N$4*9/10))^3-N96^3)-(MIN(O96,($N$4*9/10))^4-N96^4)/4,0)+IF(O96&gt;($N$4*9/10),($N$4*9/10)^2*(1.5*(O96^2-MAX(N96,($N$4*9/10))^2)-($N$4*9/10)*(O96-MAX(N96,($N$4*9/10)))),0))*1000,0)</f>
        <v>0</v>
      </c>
      <c r="AW96" s="120">
        <f>IF(AND(V96="OK",ISNUMBER($N$5),$N$5&gt;0,ISNUMBER($N$3),$N$3&gt;0),R96/(6*$N$3*1000000*$N$5)*(IF(N96&lt;($N$4*10/10),($N$4*10/10)*(MIN(O96,($N$4*10/10))^3-N96^3)-(MIN(O96,($N$4*10/10))^4-N96^4)/4,0)+IF(O96&gt;($N$4*10/10),($N$4*10/10)^2*(1.5*(O96^2-MAX(N96,($N$4*10/10))^2)-($N$4*10/10)*(O96-MAX(N96,($N$4*10/10)))),0))*1000,0)</f>
        <v>0</v>
      </c>
    </row>
    <row r="97" spans="1:49">
      <c r="A97" s="124"/>
      <c r="B97" s="125"/>
      <c r="C97" s="125"/>
      <c r="D97" s="125"/>
      <c r="E97" s="125"/>
      <c r="F97" s="126" t="str">
        <f>IF(J97="OK",D97*E97,"")</f>
        <v/>
      </c>
      <c r="G97" s="126" t="str">
        <f>IF(J97="OK",F97*(C97-B97),"")</f>
        <v/>
      </c>
      <c r="H97" s="126" t="str">
        <f>IF(J97="OK",G97*(C97+B97)/2,"")</f>
        <v/>
      </c>
      <c r="I97" s="126" t="str">
        <f>IF(AND(J97="OK",ISNUMBER($B$5),$B$5&gt;0,ISNUMBER($B$3),$B$3&gt;0),F97*(4*$B$4*(C97^3-B97^3)-(C97^4-B97^4))/(24*$B$3*1000000*$B$5)*1000,"")</f>
        <v/>
      </c>
      <c r="J97" s="120" t="str">
        <f>IF(COUNTA(A97:E97)=0,"",IF(AND(COUNT(B97:E97)=4,B97&gt;=0,C97&gt;B97,C97&lt;=$B$4,D97&gt;=0,E97&gt;0),IF(COUNTIFS($B$13:$B$96,"&lt;"&amp;C97,$C$13:$C$96,"&gt;"&amp;B97)&gt;0,"OVERLAP","OK"),"CHECK INPUTS"))</f>
        <v/>
      </c>
      <c r="M97" s="124"/>
      <c r="N97" s="125"/>
      <c r="O97" s="125"/>
      <c r="P97" s="125"/>
      <c r="Q97" s="125"/>
      <c r="R97" s="126" t="str">
        <f>IF(V97="OK",P97*Q97,"")</f>
        <v/>
      </c>
      <c r="S97" s="126" t="str">
        <f>IF(V97="OK",R97*(O97-N97),"")</f>
        <v/>
      </c>
      <c r="T97" s="126" t="str">
        <f>IF(V97="OK",S97*(O97+N97)/2,"")</f>
        <v/>
      </c>
      <c r="U97" s="126" t="str">
        <f>IF(AND(V97="OK",ISNUMBER($N$5),$N$5&gt;0,ISNUMBER($N$3),$N$3&gt;0),R97*(4*$N$4*(O97^3-N97^3)-(O97^4-N97^4))/(24*$N$3*1000000*$N$5)*1000,"")</f>
        <v/>
      </c>
      <c r="V97" s="120" t="str">
        <f>IF(COUNTA(M97:Q97)=0,"",IF(AND(COUNT(N97:Q97)=4,N97&gt;=0,O97&gt;N97,O97&lt;=$N$4,P97&gt;=0,Q97&gt;0),IF(COUNTIFS($N$13:$N$96,"&lt;"&amp;O97,$O$13:$O$96,"&gt;"&amp;N97)&gt;0,"OVERLAP","OK"),"CHECK INPUTS"))</f>
        <v/>
      </c>
      <c r="AA97" s="120">
        <f>IF(AND(J97="OK",ISNUMBER($B$5),$B$5&gt;0,ISNUMBER($B$3),$B$3&gt;0),F97/(6*$B$3*1000000*$B$5)*(IF(B97&lt;($B$4*0/10),($B$4*0/10)*(MIN(C97,($B$4*0/10))^3-B97^3)-(MIN(C97,($B$4*0/10))^4-B97^4)/4,0)+IF(C97&gt;($B$4*0/10),($B$4*0/10)^2*(1.5*(C97^2-MAX(B97,($B$4*0/10))^2)-($B$4*0/10)*(C97-MAX(B97,($B$4*0/10)))),0))*1000,0)</f>
        <v>0</v>
      </c>
      <c r="AB97" s="120">
        <f>IF(AND(J97="OK",ISNUMBER($B$5),$B$5&gt;0,ISNUMBER($B$3),$B$3&gt;0),F97/(6*$B$3*1000000*$B$5)*(IF(B97&lt;($B$4*1/10),($B$4*1/10)*(MIN(C97,($B$4*1/10))^3-B97^3)-(MIN(C97,($B$4*1/10))^4-B97^4)/4,0)+IF(C97&gt;($B$4*1/10),($B$4*1/10)^2*(1.5*(C97^2-MAX(B97,($B$4*1/10))^2)-($B$4*1/10)*(C97-MAX(B97,($B$4*1/10)))),0))*1000,0)</f>
        <v>0</v>
      </c>
      <c r="AC97" s="120">
        <f>IF(AND(J97="OK",ISNUMBER($B$5),$B$5&gt;0,ISNUMBER($B$3),$B$3&gt;0),F97/(6*$B$3*1000000*$B$5)*(IF(B97&lt;($B$4*2/10),($B$4*2/10)*(MIN(C97,($B$4*2/10))^3-B97^3)-(MIN(C97,($B$4*2/10))^4-B97^4)/4,0)+IF(C97&gt;($B$4*2/10),($B$4*2/10)^2*(1.5*(C97^2-MAX(B97,($B$4*2/10))^2)-($B$4*2/10)*(C97-MAX(B97,($B$4*2/10)))),0))*1000,0)</f>
        <v>0</v>
      </c>
      <c r="AD97" s="120">
        <f>IF(AND(J97="OK",ISNUMBER($B$5),$B$5&gt;0,ISNUMBER($B$3),$B$3&gt;0),F97/(6*$B$3*1000000*$B$5)*(IF(B97&lt;($B$4*3/10),($B$4*3/10)*(MIN(C97,($B$4*3/10))^3-B97^3)-(MIN(C97,($B$4*3/10))^4-B97^4)/4,0)+IF(C97&gt;($B$4*3/10),($B$4*3/10)^2*(1.5*(C97^2-MAX(B97,($B$4*3/10))^2)-($B$4*3/10)*(C97-MAX(B97,($B$4*3/10)))),0))*1000,0)</f>
        <v>0</v>
      </c>
      <c r="AE97" s="120">
        <f>IF(AND(J97="OK",ISNUMBER($B$5),$B$5&gt;0,ISNUMBER($B$3),$B$3&gt;0),F97/(6*$B$3*1000000*$B$5)*(IF(B97&lt;($B$4*4/10),($B$4*4/10)*(MIN(C97,($B$4*4/10))^3-B97^3)-(MIN(C97,($B$4*4/10))^4-B97^4)/4,0)+IF(C97&gt;($B$4*4/10),($B$4*4/10)^2*(1.5*(C97^2-MAX(B97,($B$4*4/10))^2)-($B$4*4/10)*(C97-MAX(B97,($B$4*4/10)))),0))*1000,0)</f>
        <v>0</v>
      </c>
      <c r="AF97" s="120">
        <f>IF(AND(J97="OK",ISNUMBER($B$5),$B$5&gt;0,ISNUMBER($B$3),$B$3&gt;0),F97/(6*$B$3*1000000*$B$5)*(IF(B97&lt;($B$4*5/10),($B$4*5/10)*(MIN(C97,($B$4*5/10))^3-B97^3)-(MIN(C97,($B$4*5/10))^4-B97^4)/4,0)+IF(C97&gt;($B$4*5/10),($B$4*5/10)^2*(1.5*(C97^2-MAX(B97,($B$4*5/10))^2)-($B$4*5/10)*(C97-MAX(B97,($B$4*5/10)))),0))*1000,0)</f>
        <v>0</v>
      </c>
      <c r="AG97" s="120">
        <f>IF(AND(J97="OK",ISNUMBER($B$5),$B$5&gt;0,ISNUMBER($B$3),$B$3&gt;0),F97/(6*$B$3*1000000*$B$5)*(IF(B97&lt;($B$4*6/10),($B$4*6/10)*(MIN(C97,($B$4*6/10))^3-B97^3)-(MIN(C97,($B$4*6/10))^4-B97^4)/4,0)+IF(C97&gt;($B$4*6/10),($B$4*6/10)^2*(1.5*(C97^2-MAX(B97,($B$4*6/10))^2)-($B$4*6/10)*(C97-MAX(B97,($B$4*6/10)))),0))*1000,0)</f>
        <v>0</v>
      </c>
      <c r="AH97" s="120">
        <f>IF(AND(J97="OK",ISNUMBER($B$5),$B$5&gt;0,ISNUMBER($B$3),$B$3&gt;0),F97/(6*$B$3*1000000*$B$5)*(IF(B97&lt;($B$4*7/10),($B$4*7/10)*(MIN(C97,($B$4*7/10))^3-B97^3)-(MIN(C97,($B$4*7/10))^4-B97^4)/4,0)+IF(C97&gt;($B$4*7/10),($B$4*7/10)^2*(1.5*(C97^2-MAX(B97,($B$4*7/10))^2)-($B$4*7/10)*(C97-MAX(B97,($B$4*7/10)))),0))*1000,0)</f>
        <v>0</v>
      </c>
      <c r="AI97" s="120">
        <f>IF(AND(J97="OK",ISNUMBER($B$5),$B$5&gt;0,ISNUMBER($B$3),$B$3&gt;0),F97/(6*$B$3*1000000*$B$5)*(IF(B97&lt;($B$4*8/10),($B$4*8/10)*(MIN(C97,($B$4*8/10))^3-B97^3)-(MIN(C97,($B$4*8/10))^4-B97^4)/4,0)+IF(C97&gt;($B$4*8/10),($B$4*8/10)^2*(1.5*(C97^2-MAX(B97,($B$4*8/10))^2)-($B$4*8/10)*(C97-MAX(B97,($B$4*8/10)))),0))*1000,0)</f>
        <v>0</v>
      </c>
      <c r="AJ97" s="120">
        <f>IF(AND(J97="OK",ISNUMBER($B$5),$B$5&gt;0,ISNUMBER($B$3),$B$3&gt;0),F97/(6*$B$3*1000000*$B$5)*(IF(B97&lt;($B$4*9/10),($B$4*9/10)*(MIN(C97,($B$4*9/10))^3-B97^3)-(MIN(C97,($B$4*9/10))^4-B97^4)/4,0)+IF(C97&gt;($B$4*9/10),($B$4*9/10)^2*(1.5*(C97^2-MAX(B97,($B$4*9/10))^2)-($B$4*9/10)*(C97-MAX(B97,($B$4*9/10)))),0))*1000,0)</f>
        <v>0</v>
      </c>
      <c r="AK97" s="120">
        <f>IF(AND(J97="OK",ISNUMBER($B$5),$B$5&gt;0,ISNUMBER($B$3),$B$3&gt;0),F97/(6*$B$3*1000000*$B$5)*(IF(B97&lt;($B$4*10/10),($B$4*10/10)*(MIN(C97,($B$4*10/10))^3-B97^3)-(MIN(C97,($B$4*10/10))^4-B97^4)/4,0)+IF(C97&gt;($B$4*10/10),($B$4*10/10)^2*(1.5*(C97^2-MAX(B97,($B$4*10/10))^2)-($B$4*10/10)*(C97-MAX(B97,($B$4*10/10)))),0))*1000,0)</f>
        <v>0</v>
      </c>
      <c r="AM97" s="120">
        <f>IF(AND(V97="OK",ISNUMBER($N$5),$N$5&gt;0,ISNUMBER($N$3),$N$3&gt;0),R97/(6*$N$3*1000000*$N$5)*(IF(N97&lt;($N$4*0/10),($N$4*0/10)*(MIN(O97,($N$4*0/10))^3-N97^3)-(MIN(O97,($N$4*0/10))^4-N97^4)/4,0)+IF(O97&gt;($N$4*0/10),($N$4*0/10)^2*(1.5*(O97^2-MAX(N97,($N$4*0/10))^2)-($N$4*0/10)*(O97-MAX(N97,($N$4*0/10)))),0))*1000,0)</f>
        <v>0</v>
      </c>
      <c r="AN97" s="120">
        <f>IF(AND(V97="OK",ISNUMBER($N$5),$N$5&gt;0,ISNUMBER($N$3),$N$3&gt;0),R97/(6*$N$3*1000000*$N$5)*(IF(N97&lt;($N$4*1/10),($N$4*1/10)*(MIN(O97,($N$4*1/10))^3-N97^3)-(MIN(O97,($N$4*1/10))^4-N97^4)/4,0)+IF(O97&gt;($N$4*1/10),($N$4*1/10)^2*(1.5*(O97^2-MAX(N97,($N$4*1/10))^2)-($N$4*1/10)*(O97-MAX(N97,($N$4*1/10)))),0))*1000,0)</f>
        <v>0</v>
      </c>
      <c r="AO97" s="120">
        <f>IF(AND(V97="OK",ISNUMBER($N$5),$N$5&gt;0,ISNUMBER($N$3),$N$3&gt;0),R97/(6*$N$3*1000000*$N$5)*(IF(N97&lt;($N$4*2/10),($N$4*2/10)*(MIN(O97,($N$4*2/10))^3-N97^3)-(MIN(O97,($N$4*2/10))^4-N97^4)/4,0)+IF(O97&gt;($N$4*2/10),($N$4*2/10)^2*(1.5*(O97^2-MAX(N97,($N$4*2/10))^2)-($N$4*2/10)*(O97-MAX(N97,($N$4*2/10)))),0))*1000,0)</f>
        <v>0</v>
      </c>
      <c r="AP97" s="120">
        <f>IF(AND(V97="OK",ISNUMBER($N$5),$N$5&gt;0,ISNUMBER($N$3),$N$3&gt;0),R97/(6*$N$3*1000000*$N$5)*(IF(N97&lt;($N$4*3/10),($N$4*3/10)*(MIN(O97,($N$4*3/10))^3-N97^3)-(MIN(O97,($N$4*3/10))^4-N97^4)/4,0)+IF(O97&gt;($N$4*3/10),($N$4*3/10)^2*(1.5*(O97^2-MAX(N97,($N$4*3/10))^2)-($N$4*3/10)*(O97-MAX(N97,($N$4*3/10)))),0))*1000,0)</f>
        <v>0</v>
      </c>
      <c r="AQ97" s="120">
        <f>IF(AND(V97="OK",ISNUMBER($N$5),$N$5&gt;0,ISNUMBER($N$3),$N$3&gt;0),R97/(6*$N$3*1000000*$N$5)*(IF(N97&lt;($N$4*4/10),($N$4*4/10)*(MIN(O97,($N$4*4/10))^3-N97^3)-(MIN(O97,($N$4*4/10))^4-N97^4)/4,0)+IF(O97&gt;($N$4*4/10),($N$4*4/10)^2*(1.5*(O97^2-MAX(N97,($N$4*4/10))^2)-($N$4*4/10)*(O97-MAX(N97,($N$4*4/10)))),0))*1000,0)</f>
        <v>0</v>
      </c>
      <c r="AR97" s="120">
        <f>IF(AND(V97="OK",ISNUMBER($N$5),$N$5&gt;0,ISNUMBER($N$3),$N$3&gt;0),R97/(6*$N$3*1000000*$N$5)*(IF(N97&lt;($N$4*5/10),($N$4*5/10)*(MIN(O97,($N$4*5/10))^3-N97^3)-(MIN(O97,($N$4*5/10))^4-N97^4)/4,0)+IF(O97&gt;($N$4*5/10),($N$4*5/10)^2*(1.5*(O97^2-MAX(N97,($N$4*5/10))^2)-($N$4*5/10)*(O97-MAX(N97,($N$4*5/10)))),0))*1000,0)</f>
        <v>0</v>
      </c>
      <c r="AS97" s="120">
        <f>IF(AND(V97="OK",ISNUMBER($N$5),$N$5&gt;0,ISNUMBER($N$3),$N$3&gt;0),R97/(6*$N$3*1000000*$N$5)*(IF(N97&lt;($N$4*6/10),($N$4*6/10)*(MIN(O97,($N$4*6/10))^3-N97^3)-(MIN(O97,($N$4*6/10))^4-N97^4)/4,0)+IF(O97&gt;($N$4*6/10),($N$4*6/10)^2*(1.5*(O97^2-MAX(N97,($N$4*6/10))^2)-($N$4*6/10)*(O97-MAX(N97,($N$4*6/10)))),0))*1000,0)</f>
        <v>0</v>
      </c>
      <c r="AT97" s="120">
        <f>IF(AND(V97="OK",ISNUMBER($N$5),$N$5&gt;0,ISNUMBER($N$3),$N$3&gt;0),R97/(6*$N$3*1000000*$N$5)*(IF(N97&lt;($N$4*7/10),($N$4*7/10)*(MIN(O97,($N$4*7/10))^3-N97^3)-(MIN(O97,($N$4*7/10))^4-N97^4)/4,0)+IF(O97&gt;($N$4*7/10),($N$4*7/10)^2*(1.5*(O97^2-MAX(N97,($N$4*7/10))^2)-($N$4*7/10)*(O97-MAX(N97,($N$4*7/10)))),0))*1000,0)</f>
        <v>0</v>
      </c>
      <c r="AU97" s="120">
        <f>IF(AND(V97="OK",ISNUMBER($N$5),$N$5&gt;0,ISNUMBER($N$3),$N$3&gt;0),R97/(6*$N$3*1000000*$N$5)*(IF(N97&lt;($N$4*8/10),($N$4*8/10)*(MIN(O97,($N$4*8/10))^3-N97^3)-(MIN(O97,($N$4*8/10))^4-N97^4)/4,0)+IF(O97&gt;($N$4*8/10),($N$4*8/10)^2*(1.5*(O97^2-MAX(N97,($N$4*8/10))^2)-($N$4*8/10)*(O97-MAX(N97,($N$4*8/10)))),0))*1000,0)</f>
        <v>0</v>
      </c>
      <c r="AV97" s="120">
        <f>IF(AND(V97="OK",ISNUMBER($N$5),$N$5&gt;0,ISNUMBER($N$3),$N$3&gt;0),R97/(6*$N$3*1000000*$N$5)*(IF(N97&lt;($N$4*9/10),($N$4*9/10)*(MIN(O97,($N$4*9/10))^3-N97^3)-(MIN(O97,($N$4*9/10))^4-N97^4)/4,0)+IF(O97&gt;($N$4*9/10),($N$4*9/10)^2*(1.5*(O97^2-MAX(N97,($N$4*9/10))^2)-($N$4*9/10)*(O97-MAX(N97,($N$4*9/10)))),0))*1000,0)</f>
        <v>0</v>
      </c>
      <c r="AW97" s="120">
        <f>IF(AND(V97="OK",ISNUMBER($N$5),$N$5&gt;0,ISNUMBER($N$3),$N$3&gt;0),R97/(6*$N$3*1000000*$N$5)*(IF(N97&lt;($N$4*10/10),($N$4*10/10)*(MIN(O97,($N$4*10/10))^3-N97^3)-(MIN(O97,($N$4*10/10))^4-N97^4)/4,0)+IF(O97&gt;($N$4*10/10),($N$4*10/10)^2*(1.5*(O97^2-MAX(N97,($N$4*10/10))^2)-($N$4*10/10)*(O97-MAX(N97,($N$4*10/10)))),0))*1000,0)</f>
        <v>0</v>
      </c>
    </row>
    <row r="98" spans="1:49">
      <c r="A98" s="124"/>
      <c r="B98" s="125"/>
      <c r="C98" s="125"/>
      <c r="D98" s="125"/>
      <c r="E98" s="125"/>
      <c r="F98" s="126" t="str">
        <f>IF(J98="OK",D98*E98,"")</f>
        <v/>
      </c>
      <c r="G98" s="126" t="str">
        <f>IF(J98="OK",F98*(C98-B98),"")</f>
        <v/>
      </c>
      <c r="H98" s="126" t="str">
        <f>IF(J98="OK",G98*(C98+B98)/2,"")</f>
        <v/>
      </c>
      <c r="I98" s="126" t="str">
        <f>IF(AND(J98="OK",ISNUMBER($B$5),$B$5&gt;0,ISNUMBER($B$3),$B$3&gt;0),F98*(4*$B$4*(C98^3-B98^3)-(C98^4-B98^4))/(24*$B$3*1000000*$B$5)*1000,"")</f>
        <v/>
      </c>
      <c r="J98" s="120" t="str">
        <f>IF(COUNTA(A98:E98)=0,"",IF(AND(COUNT(B98:E98)=4,B98&gt;=0,C98&gt;B98,C98&lt;=$B$4,D98&gt;=0,E98&gt;0),IF(COUNTIFS($B$13:$B$97,"&lt;"&amp;C98,$C$13:$C$97,"&gt;"&amp;B98)&gt;0,"OVERLAP","OK"),"CHECK INPUTS"))</f>
        <v/>
      </c>
      <c r="M98" s="124"/>
      <c r="N98" s="125"/>
      <c r="O98" s="125"/>
      <c r="P98" s="125"/>
      <c r="Q98" s="125"/>
      <c r="R98" s="126" t="str">
        <f>IF(V98="OK",P98*Q98,"")</f>
        <v/>
      </c>
      <c r="S98" s="126" t="str">
        <f>IF(V98="OK",R98*(O98-N98),"")</f>
        <v/>
      </c>
      <c r="T98" s="126" t="str">
        <f>IF(V98="OK",S98*(O98+N98)/2,"")</f>
        <v/>
      </c>
      <c r="U98" s="126" t="str">
        <f>IF(AND(V98="OK",ISNUMBER($N$5),$N$5&gt;0,ISNUMBER($N$3),$N$3&gt;0),R98*(4*$N$4*(O98^3-N98^3)-(O98^4-N98^4))/(24*$N$3*1000000*$N$5)*1000,"")</f>
        <v/>
      </c>
      <c r="V98" s="120" t="str">
        <f>IF(COUNTA(M98:Q98)=0,"",IF(AND(COUNT(N98:Q98)=4,N98&gt;=0,O98&gt;N98,O98&lt;=$N$4,P98&gt;=0,Q98&gt;0),IF(COUNTIFS($N$13:$N$97,"&lt;"&amp;O98,$O$13:$O$97,"&gt;"&amp;N98)&gt;0,"OVERLAP","OK"),"CHECK INPUTS"))</f>
        <v/>
      </c>
      <c r="AA98" s="120">
        <f>IF(AND(J98="OK",ISNUMBER($B$5),$B$5&gt;0,ISNUMBER($B$3),$B$3&gt;0),F98/(6*$B$3*1000000*$B$5)*(IF(B98&lt;($B$4*0/10),($B$4*0/10)*(MIN(C98,($B$4*0/10))^3-B98^3)-(MIN(C98,($B$4*0/10))^4-B98^4)/4,0)+IF(C98&gt;($B$4*0/10),($B$4*0/10)^2*(1.5*(C98^2-MAX(B98,($B$4*0/10))^2)-($B$4*0/10)*(C98-MAX(B98,($B$4*0/10)))),0))*1000,0)</f>
        <v>0</v>
      </c>
      <c r="AB98" s="120">
        <f>IF(AND(J98="OK",ISNUMBER($B$5),$B$5&gt;0,ISNUMBER($B$3),$B$3&gt;0),F98/(6*$B$3*1000000*$B$5)*(IF(B98&lt;($B$4*1/10),($B$4*1/10)*(MIN(C98,($B$4*1/10))^3-B98^3)-(MIN(C98,($B$4*1/10))^4-B98^4)/4,0)+IF(C98&gt;($B$4*1/10),($B$4*1/10)^2*(1.5*(C98^2-MAX(B98,($B$4*1/10))^2)-($B$4*1/10)*(C98-MAX(B98,($B$4*1/10)))),0))*1000,0)</f>
        <v>0</v>
      </c>
      <c r="AC98" s="120">
        <f>IF(AND(J98="OK",ISNUMBER($B$5),$B$5&gt;0,ISNUMBER($B$3),$B$3&gt;0),F98/(6*$B$3*1000000*$B$5)*(IF(B98&lt;($B$4*2/10),($B$4*2/10)*(MIN(C98,($B$4*2/10))^3-B98^3)-(MIN(C98,($B$4*2/10))^4-B98^4)/4,0)+IF(C98&gt;($B$4*2/10),($B$4*2/10)^2*(1.5*(C98^2-MAX(B98,($B$4*2/10))^2)-($B$4*2/10)*(C98-MAX(B98,($B$4*2/10)))),0))*1000,0)</f>
        <v>0</v>
      </c>
      <c r="AD98" s="120">
        <f>IF(AND(J98="OK",ISNUMBER($B$5),$B$5&gt;0,ISNUMBER($B$3),$B$3&gt;0),F98/(6*$B$3*1000000*$B$5)*(IF(B98&lt;($B$4*3/10),($B$4*3/10)*(MIN(C98,($B$4*3/10))^3-B98^3)-(MIN(C98,($B$4*3/10))^4-B98^4)/4,0)+IF(C98&gt;($B$4*3/10),($B$4*3/10)^2*(1.5*(C98^2-MAX(B98,($B$4*3/10))^2)-($B$4*3/10)*(C98-MAX(B98,($B$4*3/10)))),0))*1000,0)</f>
        <v>0</v>
      </c>
      <c r="AE98" s="120">
        <f>IF(AND(J98="OK",ISNUMBER($B$5),$B$5&gt;0,ISNUMBER($B$3),$B$3&gt;0),F98/(6*$B$3*1000000*$B$5)*(IF(B98&lt;($B$4*4/10),($B$4*4/10)*(MIN(C98,($B$4*4/10))^3-B98^3)-(MIN(C98,($B$4*4/10))^4-B98^4)/4,0)+IF(C98&gt;($B$4*4/10),($B$4*4/10)^2*(1.5*(C98^2-MAX(B98,($B$4*4/10))^2)-($B$4*4/10)*(C98-MAX(B98,($B$4*4/10)))),0))*1000,0)</f>
        <v>0</v>
      </c>
      <c r="AF98" s="120">
        <f>IF(AND(J98="OK",ISNUMBER($B$5),$B$5&gt;0,ISNUMBER($B$3),$B$3&gt;0),F98/(6*$B$3*1000000*$B$5)*(IF(B98&lt;($B$4*5/10),($B$4*5/10)*(MIN(C98,($B$4*5/10))^3-B98^3)-(MIN(C98,($B$4*5/10))^4-B98^4)/4,0)+IF(C98&gt;($B$4*5/10),($B$4*5/10)^2*(1.5*(C98^2-MAX(B98,($B$4*5/10))^2)-($B$4*5/10)*(C98-MAX(B98,($B$4*5/10)))),0))*1000,0)</f>
        <v>0</v>
      </c>
      <c r="AG98" s="120">
        <f>IF(AND(J98="OK",ISNUMBER($B$5),$B$5&gt;0,ISNUMBER($B$3),$B$3&gt;0),F98/(6*$B$3*1000000*$B$5)*(IF(B98&lt;($B$4*6/10),($B$4*6/10)*(MIN(C98,($B$4*6/10))^3-B98^3)-(MIN(C98,($B$4*6/10))^4-B98^4)/4,0)+IF(C98&gt;($B$4*6/10),($B$4*6/10)^2*(1.5*(C98^2-MAX(B98,($B$4*6/10))^2)-($B$4*6/10)*(C98-MAX(B98,($B$4*6/10)))),0))*1000,0)</f>
        <v>0</v>
      </c>
      <c r="AH98" s="120">
        <f>IF(AND(J98="OK",ISNUMBER($B$5),$B$5&gt;0,ISNUMBER($B$3),$B$3&gt;0),F98/(6*$B$3*1000000*$B$5)*(IF(B98&lt;($B$4*7/10),($B$4*7/10)*(MIN(C98,($B$4*7/10))^3-B98^3)-(MIN(C98,($B$4*7/10))^4-B98^4)/4,0)+IF(C98&gt;($B$4*7/10),($B$4*7/10)^2*(1.5*(C98^2-MAX(B98,($B$4*7/10))^2)-($B$4*7/10)*(C98-MAX(B98,($B$4*7/10)))),0))*1000,0)</f>
        <v>0</v>
      </c>
      <c r="AI98" s="120">
        <f>IF(AND(J98="OK",ISNUMBER($B$5),$B$5&gt;0,ISNUMBER($B$3),$B$3&gt;0),F98/(6*$B$3*1000000*$B$5)*(IF(B98&lt;($B$4*8/10),($B$4*8/10)*(MIN(C98,($B$4*8/10))^3-B98^3)-(MIN(C98,($B$4*8/10))^4-B98^4)/4,0)+IF(C98&gt;($B$4*8/10),($B$4*8/10)^2*(1.5*(C98^2-MAX(B98,($B$4*8/10))^2)-($B$4*8/10)*(C98-MAX(B98,($B$4*8/10)))),0))*1000,0)</f>
        <v>0</v>
      </c>
      <c r="AJ98" s="120">
        <f>IF(AND(J98="OK",ISNUMBER($B$5),$B$5&gt;0,ISNUMBER($B$3),$B$3&gt;0),F98/(6*$B$3*1000000*$B$5)*(IF(B98&lt;($B$4*9/10),($B$4*9/10)*(MIN(C98,($B$4*9/10))^3-B98^3)-(MIN(C98,($B$4*9/10))^4-B98^4)/4,0)+IF(C98&gt;($B$4*9/10),($B$4*9/10)^2*(1.5*(C98^2-MAX(B98,($B$4*9/10))^2)-($B$4*9/10)*(C98-MAX(B98,($B$4*9/10)))),0))*1000,0)</f>
        <v>0</v>
      </c>
      <c r="AK98" s="120">
        <f>IF(AND(J98="OK",ISNUMBER($B$5),$B$5&gt;0,ISNUMBER($B$3),$B$3&gt;0),F98/(6*$B$3*1000000*$B$5)*(IF(B98&lt;($B$4*10/10),($B$4*10/10)*(MIN(C98,($B$4*10/10))^3-B98^3)-(MIN(C98,($B$4*10/10))^4-B98^4)/4,0)+IF(C98&gt;($B$4*10/10),($B$4*10/10)^2*(1.5*(C98^2-MAX(B98,($B$4*10/10))^2)-($B$4*10/10)*(C98-MAX(B98,($B$4*10/10)))),0))*1000,0)</f>
        <v>0</v>
      </c>
      <c r="AM98" s="120">
        <f>IF(AND(V98="OK",ISNUMBER($N$5),$N$5&gt;0,ISNUMBER($N$3),$N$3&gt;0),R98/(6*$N$3*1000000*$N$5)*(IF(N98&lt;($N$4*0/10),($N$4*0/10)*(MIN(O98,($N$4*0/10))^3-N98^3)-(MIN(O98,($N$4*0/10))^4-N98^4)/4,0)+IF(O98&gt;($N$4*0/10),($N$4*0/10)^2*(1.5*(O98^2-MAX(N98,($N$4*0/10))^2)-($N$4*0/10)*(O98-MAX(N98,($N$4*0/10)))),0))*1000,0)</f>
        <v>0</v>
      </c>
      <c r="AN98" s="120">
        <f>IF(AND(V98="OK",ISNUMBER($N$5),$N$5&gt;0,ISNUMBER($N$3),$N$3&gt;0),R98/(6*$N$3*1000000*$N$5)*(IF(N98&lt;($N$4*1/10),($N$4*1/10)*(MIN(O98,($N$4*1/10))^3-N98^3)-(MIN(O98,($N$4*1/10))^4-N98^4)/4,0)+IF(O98&gt;($N$4*1/10),($N$4*1/10)^2*(1.5*(O98^2-MAX(N98,($N$4*1/10))^2)-($N$4*1/10)*(O98-MAX(N98,($N$4*1/10)))),0))*1000,0)</f>
        <v>0</v>
      </c>
      <c r="AO98" s="120">
        <f>IF(AND(V98="OK",ISNUMBER($N$5),$N$5&gt;0,ISNUMBER($N$3),$N$3&gt;0),R98/(6*$N$3*1000000*$N$5)*(IF(N98&lt;($N$4*2/10),($N$4*2/10)*(MIN(O98,($N$4*2/10))^3-N98^3)-(MIN(O98,($N$4*2/10))^4-N98^4)/4,0)+IF(O98&gt;($N$4*2/10),($N$4*2/10)^2*(1.5*(O98^2-MAX(N98,($N$4*2/10))^2)-($N$4*2/10)*(O98-MAX(N98,($N$4*2/10)))),0))*1000,0)</f>
        <v>0</v>
      </c>
      <c r="AP98" s="120">
        <f>IF(AND(V98="OK",ISNUMBER($N$5),$N$5&gt;0,ISNUMBER($N$3),$N$3&gt;0),R98/(6*$N$3*1000000*$N$5)*(IF(N98&lt;($N$4*3/10),($N$4*3/10)*(MIN(O98,($N$4*3/10))^3-N98^3)-(MIN(O98,($N$4*3/10))^4-N98^4)/4,0)+IF(O98&gt;($N$4*3/10),($N$4*3/10)^2*(1.5*(O98^2-MAX(N98,($N$4*3/10))^2)-($N$4*3/10)*(O98-MAX(N98,($N$4*3/10)))),0))*1000,0)</f>
        <v>0</v>
      </c>
      <c r="AQ98" s="120">
        <f>IF(AND(V98="OK",ISNUMBER($N$5),$N$5&gt;0,ISNUMBER($N$3),$N$3&gt;0),R98/(6*$N$3*1000000*$N$5)*(IF(N98&lt;($N$4*4/10),($N$4*4/10)*(MIN(O98,($N$4*4/10))^3-N98^3)-(MIN(O98,($N$4*4/10))^4-N98^4)/4,0)+IF(O98&gt;($N$4*4/10),($N$4*4/10)^2*(1.5*(O98^2-MAX(N98,($N$4*4/10))^2)-($N$4*4/10)*(O98-MAX(N98,($N$4*4/10)))),0))*1000,0)</f>
        <v>0</v>
      </c>
      <c r="AR98" s="120">
        <f>IF(AND(V98="OK",ISNUMBER($N$5),$N$5&gt;0,ISNUMBER($N$3),$N$3&gt;0),R98/(6*$N$3*1000000*$N$5)*(IF(N98&lt;($N$4*5/10),($N$4*5/10)*(MIN(O98,($N$4*5/10))^3-N98^3)-(MIN(O98,($N$4*5/10))^4-N98^4)/4,0)+IF(O98&gt;($N$4*5/10),($N$4*5/10)^2*(1.5*(O98^2-MAX(N98,($N$4*5/10))^2)-($N$4*5/10)*(O98-MAX(N98,($N$4*5/10)))),0))*1000,0)</f>
        <v>0</v>
      </c>
      <c r="AS98" s="120">
        <f>IF(AND(V98="OK",ISNUMBER($N$5),$N$5&gt;0,ISNUMBER($N$3),$N$3&gt;0),R98/(6*$N$3*1000000*$N$5)*(IF(N98&lt;($N$4*6/10),($N$4*6/10)*(MIN(O98,($N$4*6/10))^3-N98^3)-(MIN(O98,($N$4*6/10))^4-N98^4)/4,0)+IF(O98&gt;($N$4*6/10),($N$4*6/10)^2*(1.5*(O98^2-MAX(N98,($N$4*6/10))^2)-($N$4*6/10)*(O98-MAX(N98,($N$4*6/10)))),0))*1000,0)</f>
        <v>0</v>
      </c>
      <c r="AT98" s="120">
        <f>IF(AND(V98="OK",ISNUMBER($N$5),$N$5&gt;0,ISNUMBER($N$3),$N$3&gt;0),R98/(6*$N$3*1000000*$N$5)*(IF(N98&lt;($N$4*7/10),($N$4*7/10)*(MIN(O98,($N$4*7/10))^3-N98^3)-(MIN(O98,($N$4*7/10))^4-N98^4)/4,0)+IF(O98&gt;($N$4*7/10),($N$4*7/10)^2*(1.5*(O98^2-MAX(N98,($N$4*7/10))^2)-($N$4*7/10)*(O98-MAX(N98,($N$4*7/10)))),0))*1000,0)</f>
        <v>0</v>
      </c>
      <c r="AU98" s="120">
        <f>IF(AND(V98="OK",ISNUMBER($N$5),$N$5&gt;0,ISNUMBER($N$3),$N$3&gt;0),R98/(6*$N$3*1000000*$N$5)*(IF(N98&lt;($N$4*8/10),($N$4*8/10)*(MIN(O98,($N$4*8/10))^3-N98^3)-(MIN(O98,($N$4*8/10))^4-N98^4)/4,0)+IF(O98&gt;($N$4*8/10),($N$4*8/10)^2*(1.5*(O98^2-MAX(N98,($N$4*8/10))^2)-($N$4*8/10)*(O98-MAX(N98,($N$4*8/10)))),0))*1000,0)</f>
        <v>0</v>
      </c>
      <c r="AV98" s="120">
        <f>IF(AND(V98="OK",ISNUMBER($N$5),$N$5&gt;0,ISNUMBER($N$3),$N$3&gt;0),R98/(6*$N$3*1000000*$N$5)*(IF(N98&lt;($N$4*9/10),($N$4*9/10)*(MIN(O98,($N$4*9/10))^3-N98^3)-(MIN(O98,($N$4*9/10))^4-N98^4)/4,0)+IF(O98&gt;($N$4*9/10),($N$4*9/10)^2*(1.5*(O98^2-MAX(N98,($N$4*9/10))^2)-($N$4*9/10)*(O98-MAX(N98,($N$4*9/10)))),0))*1000,0)</f>
        <v>0</v>
      </c>
      <c r="AW98" s="120">
        <f>IF(AND(V98="OK",ISNUMBER($N$5),$N$5&gt;0,ISNUMBER($N$3),$N$3&gt;0),R98/(6*$N$3*1000000*$N$5)*(IF(N98&lt;($N$4*10/10),($N$4*10/10)*(MIN(O98,($N$4*10/10))^3-N98^3)-(MIN(O98,($N$4*10/10))^4-N98^4)/4,0)+IF(O98&gt;($N$4*10/10),($N$4*10/10)^2*(1.5*(O98^2-MAX(N98,($N$4*10/10))^2)-($N$4*10/10)*(O98-MAX(N98,($N$4*10/10)))),0))*1000,0)</f>
        <v>0</v>
      </c>
    </row>
    <row r="99" spans="1:49">
      <c r="A99" s="124"/>
      <c r="B99" s="125"/>
      <c r="C99" s="125"/>
      <c r="D99" s="125"/>
      <c r="E99" s="125"/>
      <c r="F99" s="126" t="str">
        <f>IF(J99="OK",D99*E99,"")</f>
        <v/>
      </c>
      <c r="G99" s="126" t="str">
        <f>IF(J99="OK",F99*(C99-B99),"")</f>
        <v/>
      </c>
      <c r="H99" s="126" t="str">
        <f>IF(J99="OK",G99*(C99+B99)/2,"")</f>
        <v/>
      </c>
      <c r="I99" s="126" t="str">
        <f>IF(AND(J99="OK",ISNUMBER($B$5),$B$5&gt;0,ISNUMBER($B$3),$B$3&gt;0),F99*(4*$B$4*(C99^3-B99^3)-(C99^4-B99^4))/(24*$B$3*1000000*$B$5)*1000,"")</f>
        <v/>
      </c>
      <c r="J99" s="120" t="str">
        <f>IF(COUNTA(A99:E99)=0,"",IF(AND(COUNT(B99:E99)=4,B99&gt;=0,C99&gt;B99,C99&lt;=$B$4,D99&gt;=0,E99&gt;0),IF(COUNTIFS($B$13:$B$98,"&lt;"&amp;C99,$C$13:$C$98,"&gt;"&amp;B99)&gt;0,"OVERLAP","OK"),"CHECK INPUTS"))</f>
        <v/>
      </c>
      <c r="M99" s="124"/>
      <c r="N99" s="125"/>
      <c r="O99" s="125"/>
      <c r="P99" s="125"/>
      <c r="Q99" s="125"/>
      <c r="R99" s="126" t="str">
        <f>IF(V99="OK",P99*Q99,"")</f>
        <v/>
      </c>
      <c r="S99" s="126" t="str">
        <f>IF(V99="OK",R99*(O99-N99),"")</f>
        <v/>
      </c>
      <c r="T99" s="126" t="str">
        <f>IF(V99="OK",S99*(O99+N99)/2,"")</f>
        <v/>
      </c>
      <c r="U99" s="126" t="str">
        <f>IF(AND(V99="OK",ISNUMBER($N$5),$N$5&gt;0,ISNUMBER($N$3),$N$3&gt;0),R99*(4*$N$4*(O99^3-N99^3)-(O99^4-N99^4))/(24*$N$3*1000000*$N$5)*1000,"")</f>
        <v/>
      </c>
      <c r="V99" s="120" t="str">
        <f>IF(COUNTA(M99:Q99)=0,"",IF(AND(COUNT(N99:Q99)=4,N99&gt;=0,O99&gt;N99,O99&lt;=$N$4,P99&gt;=0,Q99&gt;0),IF(COUNTIFS($N$13:$N$98,"&lt;"&amp;O99,$O$13:$O$98,"&gt;"&amp;N99)&gt;0,"OVERLAP","OK"),"CHECK INPUTS"))</f>
        <v/>
      </c>
      <c r="AA99" s="120">
        <f>IF(AND(J99="OK",ISNUMBER($B$5),$B$5&gt;0,ISNUMBER($B$3),$B$3&gt;0),F99/(6*$B$3*1000000*$B$5)*(IF(B99&lt;($B$4*0/10),($B$4*0/10)*(MIN(C99,($B$4*0/10))^3-B99^3)-(MIN(C99,($B$4*0/10))^4-B99^4)/4,0)+IF(C99&gt;($B$4*0/10),($B$4*0/10)^2*(1.5*(C99^2-MAX(B99,($B$4*0/10))^2)-($B$4*0/10)*(C99-MAX(B99,($B$4*0/10)))),0))*1000,0)</f>
        <v>0</v>
      </c>
      <c r="AB99" s="120">
        <f>IF(AND(J99="OK",ISNUMBER($B$5),$B$5&gt;0,ISNUMBER($B$3),$B$3&gt;0),F99/(6*$B$3*1000000*$B$5)*(IF(B99&lt;($B$4*1/10),($B$4*1/10)*(MIN(C99,($B$4*1/10))^3-B99^3)-(MIN(C99,($B$4*1/10))^4-B99^4)/4,0)+IF(C99&gt;($B$4*1/10),($B$4*1/10)^2*(1.5*(C99^2-MAX(B99,($B$4*1/10))^2)-($B$4*1/10)*(C99-MAX(B99,($B$4*1/10)))),0))*1000,0)</f>
        <v>0</v>
      </c>
      <c r="AC99" s="120">
        <f>IF(AND(J99="OK",ISNUMBER($B$5),$B$5&gt;0,ISNUMBER($B$3),$B$3&gt;0),F99/(6*$B$3*1000000*$B$5)*(IF(B99&lt;($B$4*2/10),($B$4*2/10)*(MIN(C99,($B$4*2/10))^3-B99^3)-(MIN(C99,($B$4*2/10))^4-B99^4)/4,0)+IF(C99&gt;($B$4*2/10),($B$4*2/10)^2*(1.5*(C99^2-MAX(B99,($B$4*2/10))^2)-($B$4*2/10)*(C99-MAX(B99,($B$4*2/10)))),0))*1000,0)</f>
        <v>0</v>
      </c>
      <c r="AD99" s="120">
        <f>IF(AND(J99="OK",ISNUMBER($B$5),$B$5&gt;0,ISNUMBER($B$3),$B$3&gt;0),F99/(6*$B$3*1000000*$B$5)*(IF(B99&lt;($B$4*3/10),($B$4*3/10)*(MIN(C99,($B$4*3/10))^3-B99^3)-(MIN(C99,($B$4*3/10))^4-B99^4)/4,0)+IF(C99&gt;($B$4*3/10),($B$4*3/10)^2*(1.5*(C99^2-MAX(B99,($B$4*3/10))^2)-($B$4*3/10)*(C99-MAX(B99,($B$4*3/10)))),0))*1000,0)</f>
        <v>0</v>
      </c>
      <c r="AE99" s="120">
        <f>IF(AND(J99="OK",ISNUMBER($B$5),$B$5&gt;0,ISNUMBER($B$3),$B$3&gt;0),F99/(6*$B$3*1000000*$B$5)*(IF(B99&lt;($B$4*4/10),($B$4*4/10)*(MIN(C99,($B$4*4/10))^3-B99^3)-(MIN(C99,($B$4*4/10))^4-B99^4)/4,0)+IF(C99&gt;($B$4*4/10),($B$4*4/10)^2*(1.5*(C99^2-MAX(B99,($B$4*4/10))^2)-($B$4*4/10)*(C99-MAX(B99,($B$4*4/10)))),0))*1000,0)</f>
        <v>0</v>
      </c>
      <c r="AF99" s="120">
        <f>IF(AND(J99="OK",ISNUMBER($B$5),$B$5&gt;0,ISNUMBER($B$3),$B$3&gt;0),F99/(6*$B$3*1000000*$B$5)*(IF(B99&lt;($B$4*5/10),($B$4*5/10)*(MIN(C99,($B$4*5/10))^3-B99^3)-(MIN(C99,($B$4*5/10))^4-B99^4)/4,0)+IF(C99&gt;($B$4*5/10),($B$4*5/10)^2*(1.5*(C99^2-MAX(B99,($B$4*5/10))^2)-($B$4*5/10)*(C99-MAX(B99,($B$4*5/10)))),0))*1000,0)</f>
        <v>0</v>
      </c>
      <c r="AG99" s="120">
        <f>IF(AND(J99="OK",ISNUMBER($B$5),$B$5&gt;0,ISNUMBER($B$3),$B$3&gt;0),F99/(6*$B$3*1000000*$B$5)*(IF(B99&lt;($B$4*6/10),($B$4*6/10)*(MIN(C99,($B$4*6/10))^3-B99^3)-(MIN(C99,($B$4*6/10))^4-B99^4)/4,0)+IF(C99&gt;($B$4*6/10),($B$4*6/10)^2*(1.5*(C99^2-MAX(B99,($B$4*6/10))^2)-($B$4*6/10)*(C99-MAX(B99,($B$4*6/10)))),0))*1000,0)</f>
        <v>0</v>
      </c>
      <c r="AH99" s="120">
        <f>IF(AND(J99="OK",ISNUMBER($B$5),$B$5&gt;0,ISNUMBER($B$3),$B$3&gt;0),F99/(6*$B$3*1000000*$B$5)*(IF(B99&lt;($B$4*7/10),($B$4*7/10)*(MIN(C99,($B$4*7/10))^3-B99^3)-(MIN(C99,($B$4*7/10))^4-B99^4)/4,0)+IF(C99&gt;($B$4*7/10),($B$4*7/10)^2*(1.5*(C99^2-MAX(B99,($B$4*7/10))^2)-($B$4*7/10)*(C99-MAX(B99,($B$4*7/10)))),0))*1000,0)</f>
        <v>0</v>
      </c>
      <c r="AI99" s="120">
        <f>IF(AND(J99="OK",ISNUMBER($B$5),$B$5&gt;0,ISNUMBER($B$3),$B$3&gt;0),F99/(6*$B$3*1000000*$B$5)*(IF(B99&lt;($B$4*8/10),($B$4*8/10)*(MIN(C99,($B$4*8/10))^3-B99^3)-(MIN(C99,($B$4*8/10))^4-B99^4)/4,0)+IF(C99&gt;($B$4*8/10),($B$4*8/10)^2*(1.5*(C99^2-MAX(B99,($B$4*8/10))^2)-($B$4*8/10)*(C99-MAX(B99,($B$4*8/10)))),0))*1000,0)</f>
        <v>0</v>
      </c>
      <c r="AJ99" s="120">
        <f>IF(AND(J99="OK",ISNUMBER($B$5),$B$5&gt;0,ISNUMBER($B$3),$B$3&gt;0),F99/(6*$B$3*1000000*$B$5)*(IF(B99&lt;($B$4*9/10),($B$4*9/10)*(MIN(C99,($B$4*9/10))^3-B99^3)-(MIN(C99,($B$4*9/10))^4-B99^4)/4,0)+IF(C99&gt;($B$4*9/10),($B$4*9/10)^2*(1.5*(C99^2-MAX(B99,($B$4*9/10))^2)-($B$4*9/10)*(C99-MAX(B99,($B$4*9/10)))),0))*1000,0)</f>
        <v>0</v>
      </c>
      <c r="AK99" s="120">
        <f>IF(AND(J99="OK",ISNUMBER($B$5),$B$5&gt;0,ISNUMBER($B$3),$B$3&gt;0),F99/(6*$B$3*1000000*$B$5)*(IF(B99&lt;($B$4*10/10),($B$4*10/10)*(MIN(C99,($B$4*10/10))^3-B99^3)-(MIN(C99,($B$4*10/10))^4-B99^4)/4,0)+IF(C99&gt;($B$4*10/10),($B$4*10/10)^2*(1.5*(C99^2-MAX(B99,($B$4*10/10))^2)-($B$4*10/10)*(C99-MAX(B99,($B$4*10/10)))),0))*1000,0)</f>
        <v>0</v>
      </c>
      <c r="AM99" s="120">
        <f>IF(AND(V99="OK",ISNUMBER($N$5),$N$5&gt;0,ISNUMBER($N$3),$N$3&gt;0),R99/(6*$N$3*1000000*$N$5)*(IF(N99&lt;($N$4*0/10),($N$4*0/10)*(MIN(O99,($N$4*0/10))^3-N99^3)-(MIN(O99,($N$4*0/10))^4-N99^4)/4,0)+IF(O99&gt;($N$4*0/10),($N$4*0/10)^2*(1.5*(O99^2-MAX(N99,($N$4*0/10))^2)-($N$4*0/10)*(O99-MAX(N99,($N$4*0/10)))),0))*1000,0)</f>
        <v>0</v>
      </c>
      <c r="AN99" s="120">
        <f>IF(AND(V99="OK",ISNUMBER($N$5),$N$5&gt;0,ISNUMBER($N$3),$N$3&gt;0),R99/(6*$N$3*1000000*$N$5)*(IF(N99&lt;($N$4*1/10),($N$4*1/10)*(MIN(O99,($N$4*1/10))^3-N99^3)-(MIN(O99,($N$4*1/10))^4-N99^4)/4,0)+IF(O99&gt;($N$4*1/10),($N$4*1/10)^2*(1.5*(O99^2-MAX(N99,($N$4*1/10))^2)-($N$4*1/10)*(O99-MAX(N99,($N$4*1/10)))),0))*1000,0)</f>
        <v>0</v>
      </c>
      <c r="AO99" s="120">
        <f>IF(AND(V99="OK",ISNUMBER($N$5),$N$5&gt;0,ISNUMBER($N$3),$N$3&gt;0),R99/(6*$N$3*1000000*$N$5)*(IF(N99&lt;($N$4*2/10),($N$4*2/10)*(MIN(O99,($N$4*2/10))^3-N99^3)-(MIN(O99,($N$4*2/10))^4-N99^4)/4,0)+IF(O99&gt;($N$4*2/10),($N$4*2/10)^2*(1.5*(O99^2-MAX(N99,($N$4*2/10))^2)-($N$4*2/10)*(O99-MAX(N99,($N$4*2/10)))),0))*1000,0)</f>
        <v>0</v>
      </c>
      <c r="AP99" s="120">
        <f>IF(AND(V99="OK",ISNUMBER($N$5),$N$5&gt;0,ISNUMBER($N$3),$N$3&gt;0),R99/(6*$N$3*1000000*$N$5)*(IF(N99&lt;($N$4*3/10),($N$4*3/10)*(MIN(O99,($N$4*3/10))^3-N99^3)-(MIN(O99,($N$4*3/10))^4-N99^4)/4,0)+IF(O99&gt;($N$4*3/10),($N$4*3/10)^2*(1.5*(O99^2-MAX(N99,($N$4*3/10))^2)-($N$4*3/10)*(O99-MAX(N99,($N$4*3/10)))),0))*1000,0)</f>
        <v>0</v>
      </c>
      <c r="AQ99" s="120">
        <f>IF(AND(V99="OK",ISNUMBER($N$5),$N$5&gt;0,ISNUMBER($N$3),$N$3&gt;0),R99/(6*$N$3*1000000*$N$5)*(IF(N99&lt;($N$4*4/10),($N$4*4/10)*(MIN(O99,($N$4*4/10))^3-N99^3)-(MIN(O99,($N$4*4/10))^4-N99^4)/4,0)+IF(O99&gt;($N$4*4/10),($N$4*4/10)^2*(1.5*(O99^2-MAX(N99,($N$4*4/10))^2)-($N$4*4/10)*(O99-MAX(N99,($N$4*4/10)))),0))*1000,0)</f>
        <v>0</v>
      </c>
      <c r="AR99" s="120">
        <f>IF(AND(V99="OK",ISNUMBER($N$5),$N$5&gt;0,ISNUMBER($N$3),$N$3&gt;0),R99/(6*$N$3*1000000*$N$5)*(IF(N99&lt;($N$4*5/10),($N$4*5/10)*(MIN(O99,($N$4*5/10))^3-N99^3)-(MIN(O99,($N$4*5/10))^4-N99^4)/4,0)+IF(O99&gt;($N$4*5/10),($N$4*5/10)^2*(1.5*(O99^2-MAX(N99,($N$4*5/10))^2)-($N$4*5/10)*(O99-MAX(N99,($N$4*5/10)))),0))*1000,0)</f>
        <v>0</v>
      </c>
      <c r="AS99" s="120">
        <f>IF(AND(V99="OK",ISNUMBER($N$5),$N$5&gt;0,ISNUMBER($N$3),$N$3&gt;0),R99/(6*$N$3*1000000*$N$5)*(IF(N99&lt;($N$4*6/10),($N$4*6/10)*(MIN(O99,($N$4*6/10))^3-N99^3)-(MIN(O99,($N$4*6/10))^4-N99^4)/4,0)+IF(O99&gt;($N$4*6/10),($N$4*6/10)^2*(1.5*(O99^2-MAX(N99,($N$4*6/10))^2)-($N$4*6/10)*(O99-MAX(N99,($N$4*6/10)))),0))*1000,0)</f>
        <v>0</v>
      </c>
      <c r="AT99" s="120">
        <f>IF(AND(V99="OK",ISNUMBER($N$5),$N$5&gt;0,ISNUMBER($N$3),$N$3&gt;0),R99/(6*$N$3*1000000*$N$5)*(IF(N99&lt;($N$4*7/10),($N$4*7/10)*(MIN(O99,($N$4*7/10))^3-N99^3)-(MIN(O99,($N$4*7/10))^4-N99^4)/4,0)+IF(O99&gt;($N$4*7/10),($N$4*7/10)^2*(1.5*(O99^2-MAX(N99,($N$4*7/10))^2)-($N$4*7/10)*(O99-MAX(N99,($N$4*7/10)))),0))*1000,0)</f>
        <v>0</v>
      </c>
      <c r="AU99" s="120">
        <f>IF(AND(V99="OK",ISNUMBER($N$5),$N$5&gt;0,ISNUMBER($N$3),$N$3&gt;0),R99/(6*$N$3*1000000*$N$5)*(IF(N99&lt;($N$4*8/10),($N$4*8/10)*(MIN(O99,($N$4*8/10))^3-N99^3)-(MIN(O99,($N$4*8/10))^4-N99^4)/4,0)+IF(O99&gt;($N$4*8/10),($N$4*8/10)^2*(1.5*(O99^2-MAX(N99,($N$4*8/10))^2)-($N$4*8/10)*(O99-MAX(N99,($N$4*8/10)))),0))*1000,0)</f>
        <v>0</v>
      </c>
      <c r="AV99" s="120">
        <f>IF(AND(V99="OK",ISNUMBER($N$5),$N$5&gt;0,ISNUMBER($N$3),$N$3&gt;0),R99/(6*$N$3*1000000*$N$5)*(IF(N99&lt;($N$4*9/10),($N$4*9/10)*(MIN(O99,($N$4*9/10))^3-N99^3)-(MIN(O99,($N$4*9/10))^4-N99^4)/4,0)+IF(O99&gt;($N$4*9/10),($N$4*9/10)^2*(1.5*(O99^2-MAX(N99,($N$4*9/10))^2)-($N$4*9/10)*(O99-MAX(N99,($N$4*9/10)))),0))*1000,0)</f>
        <v>0</v>
      </c>
      <c r="AW99" s="120">
        <f>IF(AND(V99="OK",ISNUMBER($N$5),$N$5&gt;0,ISNUMBER($N$3),$N$3&gt;0),R99/(6*$N$3*1000000*$N$5)*(IF(N99&lt;($N$4*10/10),($N$4*10/10)*(MIN(O99,($N$4*10/10))^3-N99^3)-(MIN(O99,($N$4*10/10))^4-N99^4)/4,0)+IF(O99&gt;($N$4*10/10),($N$4*10/10)^2*(1.5*(O99^2-MAX(N99,($N$4*10/10))^2)-($N$4*10/10)*(O99-MAX(N99,($N$4*10/10)))),0))*1000,0)</f>
        <v>0</v>
      </c>
    </row>
    <row r="100" spans="1:49">
      <c r="A100" s="124"/>
      <c r="B100" s="125"/>
      <c r="C100" s="125"/>
      <c r="D100" s="125"/>
      <c r="E100" s="125"/>
      <c r="F100" s="126" t="str">
        <f>IF(J100="OK",D100*E100,"")</f>
        <v/>
      </c>
      <c r="G100" s="126" t="str">
        <f>IF(J100="OK",F100*(C100-B100),"")</f>
        <v/>
      </c>
      <c r="H100" s="126" t="str">
        <f>IF(J100="OK",G100*(C100+B100)/2,"")</f>
        <v/>
      </c>
      <c r="I100" s="126" t="str">
        <f>IF(AND(J100="OK",ISNUMBER($B$5),$B$5&gt;0,ISNUMBER($B$3),$B$3&gt;0),F100*(4*$B$4*(C100^3-B100^3)-(C100^4-B100^4))/(24*$B$3*1000000*$B$5)*1000,"")</f>
        <v/>
      </c>
      <c r="J100" s="120" t="str">
        <f>IF(COUNTA(A100:E100)=0,"",IF(AND(COUNT(B100:E100)=4,B100&gt;=0,C100&gt;B100,C100&lt;=$B$4,D100&gt;=0,E100&gt;0),IF(COUNTIFS($B$13:$B$99,"&lt;"&amp;C100,$C$13:$C$99,"&gt;"&amp;B100)&gt;0,"OVERLAP","OK"),"CHECK INPUTS"))</f>
        <v/>
      </c>
      <c r="M100" s="124"/>
      <c r="N100" s="125"/>
      <c r="O100" s="125"/>
      <c r="P100" s="125"/>
      <c r="Q100" s="125"/>
      <c r="R100" s="126" t="str">
        <f>IF(V100="OK",P100*Q100,"")</f>
        <v/>
      </c>
      <c r="S100" s="126" t="str">
        <f>IF(V100="OK",R100*(O100-N100),"")</f>
        <v/>
      </c>
      <c r="T100" s="126" t="str">
        <f>IF(V100="OK",S100*(O100+N100)/2,"")</f>
        <v/>
      </c>
      <c r="U100" s="126" t="str">
        <f>IF(AND(V100="OK",ISNUMBER($N$5),$N$5&gt;0,ISNUMBER($N$3),$N$3&gt;0),R100*(4*$N$4*(O100^3-N100^3)-(O100^4-N100^4))/(24*$N$3*1000000*$N$5)*1000,"")</f>
        <v/>
      </c>
      <c r="V100" s="120" t="str">
        <f>IF(COUNTA(M100:Q100)=0,"",IF(AND(COUNT(N100:Q100)=4,N100&gt;=0,O100&gt;N100,O100&lt;=$N$4,P100&gt;=0,Q100&gt;0),IF(COUNTIFS($N$13:$N$99,"&lt;"&amp;O100,$O$13:$O$99,"&gt;"&amp;N100)&gt;0,"OVERLAP","OK"),"CHECK INPUTS"))</f>
        <v/>
      </c>
      <c r="AA100" s="120">
        <f>IF(AND(J100="OK",ISNUMBER($B$5),$B$5&gt;0,ISNUMBER($B$3),$B$3&gt;0),F100/(6*$B$3*1000000*$B$5)*(IF(B100&lt;($B$4*0/10),($B$4*0/10)*(MIN(C100,($B$4*0/10))^3-B100^3)-(MIN(C100,($B$4*0/10))^4-B100^4)/4,0)+IF(C100&gt;($B$4*0/10),($B$4*0/10)^2*(1.5*(C100^2-MAX(B100,($B$4*0/10))^2)-($B$4*0/10)*(C100-MAX(B100,($B$4*0/10)))),0))*1000,0)</f>
        <v>0</v>
      </c>
      <c r="AB100" s="120">
        <f>IF(AND(J100="OK",ISNUMBER($B$5),$B$5&gt;0,ISNUMBER($B$3),$B$3&gt;0),F100/(6*$B$3*1000000*$B$5)*(IF(B100&lt;($B$4*1/10),($B$4*1/10)*(MIN(C100,($B$4*1/10))^3-B100^3)-(MIN(C100,($B$4*1/10))^4-B100^4)/4,0)+IF(C100&gt;($B$4*1/10),($B$4*1/10)^2*(1.5*(C100^2-MAX(B100,($B$4*1/10))^2)-($B$4*1/10)*(C100-MAX(B100,($B$4*1/10)))),0))*1000,0)</f>
        <v>0</v>
      </c>
      <c r="AC100" s="120">
        <f>IF(AND(J100="OK",ISNUMBER($B$5),$B$5&gt;0,ISNUMBER($B$3),$B$3&gt;0),F100/(6*$B$3*1000000*$B$5)*(IF(B100&lt;($B$4*2/10),($B$4*2/10)*(MIN(C100,($B$4*2/10))^3-B100^3)-(MIN(C100,($B$4*2/10))^4-B100^4)/4,0)+IF(C100&gt;($B$4*2/10),($B$4*2/10)^2*(1.5*(C100^2-MAX(B100,($B$4*2/10))^2)-($B$4*2/10)*(C100-MAX(B100,($B$4*2/10)))),0))*1000,0)</f>
        <v>0</v>
      </c>
      <c r="AD100" s="120">
        <f>IF(AND(J100="OK",ISNUMBER($B$5),$B$5&gt;0,ISNUMBER($B$3),$B$3&gt;0),F100/(6*$B$3*1000000*$B$5)*(IF(B100&lt;($B$4*3/10),($B$4*3/10)*(MIN(C100,($B$4*3/10))^3-B100^3)-(MIN(C100,($B$4*3/10))^4-B100^4)/4,0)+IF(C100&gt;($B$4*3/10),($B$4*3/10)^2*(1.5*(C100^2-MAX(B100,($B$4*3/10))^2)-($B$4*3/10)*(C100-MAX(B100,($B$4*3/10)))),0))*1000,0)</f>
        <v>0</v>
      </c>
      <c r="AE100" s="120">
        <f>IF(AND(J100="OK",ISNUMBER($B$5),$B$5&gt;0,ISNUMBER($B$3),$B$3&gt;0),F100/(6*$B$3*1000000*$B$5)*(IF(B100&lt;($B$4*4/10),($B$4*4/10)*(MIN(C100,($B$4*4/10))^3-B100^3)-(MIN(C100,($B$4*4/10))^4-B100^4)/4,0)+IF(C100&gt;($B$4*4/10),($B$4*4/10)^2*(1.5*(C100^2-MAX(B100,($B$4*4/10))^2)-($B$4*4/10)*(C100-MAX(B100,($B$4*4/10)))),0))*1000,0)</f>
        <v>0</v>
      </c>
      <c r="AF100" s="120">
        <f>IF(AND(J100="OK",ISNUMBER($B$5),$B$5&gt;0,ISNUMBER($B$3),$B$3&gt;0),F100/(6*$B$3*1000000*$B$5)*(IF(B100&lt;($B$4*5/10),($B$4*5/10)*(MIN(C100,($B$4*5/10))^3-B100^3)-(MIN(C100,($B$4*5/10))^4-B100^4)/4,0)+IF(C100&gt;($B$4*5/10),($B$4*5/10)^2*(1.5*(C100^2-MAX(B100,($B$4*5/10))^2)-($B$4*5/10)*(C100-MAX(B100,($B$4*5/10)))),0))*1000,0)</f>
        <v>0</v>
      </c>
      <c r="AG100" s="120">
        <f>IF(AND(J100="OK",ISNUMBER($B$5),$B$5&gt;0,ISNUMBER($B$3),$B$3&gt;0),F100/(6*$B$3*1000000*$B$5)*(IF(B100&lt;($B$4*6/10),($B$4*6/10)*(MIN(C100,($B$4*6/10))^3-B100^3)-(MIN(C100,($B$4*6/10))^4-B100^4)/4,0)+IF(C100&gt;($B$4*6/10),($B$4*6/10)^2*(1.5*(C100^2-MAX(B100,($B$4*6/10))^2)-($B$4*6/10)*(C100-MAX(B100,($B$4*6/10)))),0))*1000,0)</f>
        <v>0</v>
      </c>
      <c r="AH100" s="120">
        <f>IF(AND(J100="OK",ISNUMBER($B$5),$B$5&gt;0,ISNUMBER($B$3),$B$3&gt;0),F100/(6*$B$3*1000000*$B$5)*(IF(B100&lt;($B$4*7/10),($B$4*7/10)*(MIN(C100,($B$4*7/10))^3-B100^3)-(MIN(C100,($B$4*7/10))^4-B100^4)/4,0)+IF(C100&gt;($B$4*7/10),($B$4*7/10)^2*(1.5*(C100^2-MAX(B100,($B$4*7/10))^2)-($B$4*7/10)*(C100-MAX(B100,($B$4*7/10)))),0))*1000,0)</f>
        <v>0</v>
      </c>
      <c r="AI100" s="120">
        <f>IF(AND(J100="OK",ISNUMBER($B$5),$B$5&gt;0,ISNUMBER($B$3),$B$3&gt;0),F100/(6*$B$3*1000000*$B$5)*(IF(B100&lt;($B$4*8/10),($B$4*8/10)*(MIN(C100,($B$4*8/10))^3-B100^3)-(MIN(C100,($B$4*8/10))^4-B100^4)/4,0)+IF(C100&gt;($B$4*8/10),($B$4*8/10)^2*(1.5*(C100^2-MAX(B100,($B$4*8/10))^2)-($B$4*8/10)*(C100-MAX(B100,($B$4*8/10)))),0))*1000,0)</f>
        <v>0</v>
      </c>
      <c r="AJ100" s="120">
        <f>IF(AND(J100="OK",ISNUMBER($B$5),$B$5&gt;0,ISNUMBER($B$3),$B$3&gt;0),F100/(6*$B$3*1000000*$B$5)*(IF(B100&lt;($B$4*9/10),($B$4*9/10)*(MIN(C100,($B$4*9/10))^3-B100^3)-(MIN(C100,($B$4*9/10))^4-B100^4)/4,0)+IF(C100&gt;($B$4*9/10),($B$4*9/10)^2*(1.5*(C100^2-MAX(B100,($B$4*9/10))^2)-($B$4*9/10)*(C100-MAX(B100,($B$4*9/10)))),0))*1000,0)</f>
        <v>0</v>
      </c>
      <c r="AK100" s="120">
        <f>IF(AND(J100="OK",ISNUMBER($B$5),$B$5&gt;0,ISNUMBER($B$3),$B$3&gt;0),F100/(6*$B$3*1000000*$B$5)*(IF(B100&lt;($B$4*10/10),($B$4*10/10)*(MIN(C100,($B$4*10/10))^3-B100^3)-(MIN(C100,($B$4*10/10))^4-B100^4)/4,0)+IF(C100&gt;($B$4*10/10),($B$4*10/10)^2*(1.5*(C100^2-MAX(B100,($B$4*10/10))^2)-($B$4*10/10)*(C100-MAX(B100,($B$4*10/10)))),0))*1000,0)</f>
        <v>0</v>
      </c>
      <c r="AM100" s="120">
        <f>IF(AND(V100="OK",ISNUMBER($N$5),$N$5&gt;0,ISNUMBER($N$3),$N$3&gt;0),R100/(6*$N$3*1000000*$N$5)*(IF(N100&lt;($N$4*0/10),($N$4*0/10)*(MIN(O100,($N$4*0/10))^3-N100^3)-(MIN(O100,($N$4*0/10))^4-N100^4)/4,0)+IF(O100&gt;($N$4*0/10),($N$4*0/10)^2*(1.5*(O100^2-MAX(N100,($N$4*0/10))^2)-($N$4*0/10)*(O100-MAX(N100,($N$4*0/10)))),0))*1000,0)</f>
        <v>0</v>
      </c>
      <c r="AN100" s="120">
        <f>IF(AND(V100="OK",ISNUMBER($N$5),$N$5&gt;0,ISNUMBER($N$3),$N$3&gt;0),R100/(6*$N$3*1000000*$N$5)*(IF(N100&lt;($N$4*1/10),($N$4*1/10)*(MIN(O100,($N$4*1/10))^3-N100^3)-(MIN(O100,($N$4*1/10))^4-N100^4)/4,0)+IF(O100&gt;($N$4*1/10),($N$4*1/10)^2*(1.5*(O100^2-MAX(N100,($N$4*1/10))^2)-($N$4*1/10)*(O100-MAX(N100,($N$4*1/10)))),0))*1000,0)</f>
        <v>0</v>
      </c>
      <c r="AO100" s="120">
        <f>IF(AND(V100="OK",ISNUMBER($N$5),$N$5&gt;0,ISNUMBER($N$3),$N$3&gt;0),R100/(6*$N$3*1000000*$N$5)*(IF(N100&lt;($N$4*2/10),($N$4*2/10)*(MIN(O100,($N$4*2/10))^3-N100^3)-(MIN(O100,($N$4*2/10))^4-N100^4)/4,0)+IF(O100&gt;($N$4*2/10),($N$4*2/10)^2*(1.5*(O100^2-MAX(N100,($N$4*2/10))^2)-($N$4*2/10)*(O100-MAX(N100,($N$4*2/10)))),0))*1000,0)</f>
        <v>0</v>
      </c>
      <c r="AP100" s="120">
        <f>IF(AND(V100="OK",ISNUMBER($N$5),$N$5&gt;0,ISNUMBER($N$3),$N$3&gt;0),R100/(6*$N$3*1000000*$N$5)*(IF(N100&lt;($N$4*3/10),($N$4*3/10)*(MIN(O100,($N$4*3/10))^3-N100^3)-(MIN(O100,($N$4*3/10))^4-N100^4)/4,0)+IF(O100&gt;($N$4*3/10),($N$4*3/10)^2*(1.5*(O100^2-MAX(N100,($N$4*3/10))^2)-($N$4*3/10)*(O100-MAX(N100,($N$4*3/10)))),0))*1000,0)</f>
        <v>0</v>
      </c>
      <c r="AQ100" s="120">
        <f>IF(AND(V100="OK",ISNUMBER($N$5),$N$5&gt;0,ISNUMBER($N$3),$N$3&gt;0),R100/(6*$N$3*1000000*$N$5)*(IF(N100&lt;($N$4*4/10),($N$4*4/10)*(MIN(O100,($N$4*4/10))^3-N100^3)-(MIN(O100,($N$4*4/10))^4-N100^4)/4,0)+IF(O100&gt;($N$4*4/10),($N$4*4/10)^2*(1.5*(O100^2-MAX(N100,($N$4*4/10))^2)-($N$4*4/10)*(O100-MAX(N100,($N$4*4/10)))),0))*1000,0)</f>
        <v>0</v>
      </c>
      <c r="AR100" s="120">
        <f>IF(AND(V100="OK",ISNUMBER($N$5),$N$5&gt;0,ISNUMBER($N$3),$N$3&gt;0),R100/(6*$N$3*1000000*$N$5)*(IF(N100&lt;($N$4*5/10),($N$4*5/10)*(MIN(O100,($N$4*5/10))^3-N100^3)-(MIN(O100,($N$4*5/10))^4-N100^4)/4,0)+IF(O100&gt;($N$4*5/10),($N$4*5/10)^2*(1.5*(O100^2-MAX(N100,($N$4*5/10))^2)-($N$4*5/10)*(O100-MAX(N100,($N$4*5/10)))),0))*1000,0)</f>
        <v>0</v>
      </c>
      <c r="AS100" s="120">
        <f>IF(AND(V100="OK",ISNUMBER($N$5),$N$5&gt;0,ISNUMBER($N$3),$N$3&gt;0),R100/(6*$N$3*1000000*$N$5)*(IF(N100&lt;($N$4*6/10),($N$4*6/10)*(MIN(O100,($N$4*6/10))^3-N100^3)-(MIN(O100,($N$4*6/10))^4-N100^4)/4,0)+IF(O100&gt;($N$4*6/10),($N$4*6/10)^2*(1.5*(O100^2-MAX(N100,($N$4*6/10))^2)-($N$4*6/10)*(O100-MAX(N100,($N$4*6/10)))),0))*1000,0)</f>
        <v>0</v>
      </c>
      <c r="AT100" s="120">
        <f>IF(AND(V100="OK",ISNUMBER($N$5),$N$5&gt;0,ISNUMBER($N$3),$N$3&gt;0),R100/(6*$N$3*1000000*$N$5)*(IF(N100&lt;($N$4*7/10),($N$4*7/10)*(MIN(O100,($N$4*7/10))^3-N100^3)-(MIN(O100,($N$4*7/10))^4-N100^4)/4,0)+IF(O100&gt;($N$4*7/10),($N$4*7/10)^2*(1.5*(O100^2-MAX(N100,($N$4*7/10))^2)-($N$4*7/10)*(O100-MAX(N100,($N$4*7/10)))),0))*1000,0)</f>
        <v>0</v>
      </c>
      <c r="AU100" s="120">
        <f>IF(AND(V100="OK",ISNUMBER($N$5),$N$5&gt;0,ISNUMBER($N$3),$N$3&gt;0),R100/(6*$N$3*1000000*$N$5)*(IF(N100&lt;($N$4*8/10),($N$4*8/10)*(MIN(O100,($N$4*8/10))^3-N100^3)-(MIN(O100,($N$4*8/10))^4-N100^4)/4,0)+IF(O100&gt;($N$4*8/10),($N$4*8/10)^2*(1.5*(O100^2-MAX(N100,($N$4*8/10))^2)-($N$4*8/10)*(O100-MAX(N100,($N$4*8/10)))),0))*1000,0)</f>
        <v>0</v>
      </c>
      <c r="AV100" s="120">
        <f>IF(AND(V100="OK",ISNUMBER($N$5),$N$5&gt;0,ISNUMBER($N$3),$N$3&gt;0),R100/(6*$N$3*1000000*$N$5)*(IF(N100&lt;($N$4*9/10),($N$4*9/10)*(MIN(O100,($N$4*9/10))^3-N100^3)-(MIN(O100,($N$4*9/10))^4-N100^4)/4,0)+IF(O100&gt;($N$4*9/10),($N$4*9/10)^2*(1.5*(O100^2-MAX(N100,($N$4*9/10))^2)-($N$4*9/10)*(O100-MAX(N100,($N$4*9/10)))),0))*1000,0)</f>
        <v>0</v>
      </c>
      <c r="AW100" s="120">
        <f>IF(AND(V100="OK",ISNUMBER($N$5),$N$5&gt;0,ISNUMBER($N$3),$N$3&gt;0),R100/(6*$N$3*1000000*$N$5)*(IF(N100&lt;($N$4*10/10),($N$4*10/10)*(MIN(O100,($N$4*10/10))^3-N100^3)-(MIN(O100,($N$4*10/10))^4-N100^4)/4,0)+IF(O100&gt;($N$4*10/10),($N$4*10/10)^2*(1.5*(O100^2-MAX(N100,($N$4*10/10))^2)-($N$4*10/10)*(O100-MAX(N100,($N$4*10/10)))),0))*1000,0)</f>
        <v>0</v>
      </c>
    </row>
    <row r="101" spans="1:49">
      <c r="A101" s="124"/>
      <c r="B101" s="125"/>
      <c r="C101" s="125"/>
      <c r="D101" s="125"/>
      <c r="E101" s="125"/>
      <c r="F101" s="126" t="str">
        <f>IF(J101="OK",D101*E101,"")</f>
        <v/>
      </c>
      <c r="G101" s="126" t="str">
        <f>IF(J101="OK",F101*(C101-B101),"")</f>
        <v/>
      </c>
      <c r="H101" s="126" t="str">
        <f>IF(J101="OK",G101*(C101+B101)/2,"")</f>
        <v/>
      </c>
      <c r="I101" s="126" t="str">
        <f>IF(AND(J101="OK",ISNUMBER($B$5),$B$5&gt;0,ISNUMBER($B$3),$B$3&gt;0),F101*(4*$B$4*(C101^3-B101^3)-(C101^4-B101^4))/(24*$B$3*1000000*$B$5)*1000,"")</f>
        <v/>
      </c>
      <c r="J101" s="120" t="str">
        <f>IF(COUNTA(A101:E101)=0,"",IF(AND(COUNT(B101:E101)=4,B101&gt;=0,C101&gt;B101,C101&lt;=$B$4,D101&gt;=0,E101&gt;0),IF(COUNTIFS($B$13:$B$100,"&lt;"&amp;C101,$C$13:$C$100,"&gt;"&amp;B101)&gt;0,"OVERLAP","OK"),"CHECK INPUTS"))</f>
        <v/>
      </c>
      <c r="M101" s="124"/>
      <c r="N101" s="125"/>
      <c r="O101" s="125"/>
      <c r="P101" s="125"/>
      <c r="Q101" s="125"/>
      <c r="R101" s="126" t="str">
        <f>IF(V101="OK",P101*Q101,"")</f>
        <v/>
      </c>
      <c r="S101" s="126" t="str">
        <f>IF(V101="OK",R101*(O101-N101),"")</f>
        <v/>
      </c>
      <c r="T101" s="126" t="str">
        <f>IF(V101="OK",S101*(O101+N101)/2,"")</f>
        <v/>
      </c>
      <c r="U101" s="126" t="str">
        <f>IF(AND(V101="OK",ISNUMBER($N$5),$N$5&gt;0,ISNUMBER($N$3),$N$3&gt;0),R101*(4*$N$4*(O101^3-N101^3)-(O101^4-N101^4))/(24*$N$3*1000000*$N$5)*1000,"")</f>
        <v/>
      </c>
      <c r="V101" s="120" t="str">
        <f>IF(COUNTA(M101:Q101)=0,"",IF(AND(COUNT(N101:Q101)=4,N101&gt;=0,O101&gt;N101,O101&lt;=$N$4,P101&gt;=0,Q101&gt;0),IF(COUNTIFS($N$13:$N$100,"&lt;"&amp;O101,$O$13:$O$100,"&gt;"&amp;N101)&gt;0,"OVERLAP","OK"),"CHECK INPUTS"))</f>
        <v/>
      </c>
      <c r="AA101" s="120">
        <f>IF(AND(J101="OK",ISNUMBER($B$5),$B$5&gt;0,ISNUMBER($B$3),$B$3&gt;0),F101/(6*$B$3*1000000*$B$5)*(IF(B101&lt;($B$4*0/10),($B$4*0/10)*(MIN(C101,($B$4*0/10))^3-B101^3)-(MIN(C101,($B$4*0/10))^4-B101^4)/4,0)+IF(C101&gt;($B$4*0/10),($B$4*0/10)^2*(1.5*(C101^2-MAX(B101,($B$4*0/10))^2)-($B$4*0/10)*(C101-MAX(B101,($B$4*0/10)))),0))*1000,0)</f>
        <v>0</v>
      </c>
      <c r="AB101" s="120">
        <f>IF(AND(J101="OK",ISNUMBER($B$5),$B$5&gt;0,ISNUMBER($B$3),$B$3&gt;0),F101/(6*$B$3*1000000*$B$5)*(IF(B101&lt;($B$4*1/10),($B$4*1/10)*(MIN(C101,($B$4*1/10))^3-B101^3)-(MIN(C101,($B$4*1/10))^4-B101^4)/4,0)+IF(C101&gt;($B$4*1/10),($B$4*1/10)^2*(1.5*(C101^2-MAX(B101,($B$4*1/10))^2)-($B$4*1/10)*(C101-MAX(B101,($B$4*1/10)))),0))*1000,0)</f>
        <v>0</v>
      </c>
      <c r="AC101" s="120">
        <f>IF(AND(J101="OK",ISNUMBER($B$5),$B$5&gt;0,ISNUMBER($B$3),$B$3&gt;0),F101/(6*$B$3*1000000*$B$5)*(IF(B101&lt;($B$4*2/10),($B$4*2/10)*(MIN(C101,($B$4*2/10))^3-B101^3)-(MIN(C101,($B$4*2/10))^4-B101^4)/4,0)+IF(C101&gt;($B$4*2/10),($B$4*2/10)^2*(1.5*(C101^2-MAX(B101,($B$4*2/10))^2)-($B$4*2/10)*(C101-MAX(B101,($B$4*2/10)))),0))*1000,0)</f>
        <v>0</v>
      </c>
      <c r="AD101" s="120">
        <f>IF(AND(J101="OK",ISNUMBER($B$5),$B$5&gt;0,ISNUMBER($B$3),$B$3&gt;0),F101/(6*$B$3*1000000*$B$5)*(IF(B101&lt;($B$4*3/10),($B$4*3/10)*(MIN(C101,($B$4*3/10))^3-B101^3)-(MIN(C101,($B$4*3/10))^4-B101^4)/4,0)+IF(C101&gt;($B$4*3/10),($B$4*3/10)^2*(1.5*(C101^2-MAX(B101,($B$4*3/10))^2)-($B$4*3/10)*(C101-MAX(B101,($B$4*3/10)))),0))*1000,0)</f>
        <v>0</v>
      </c>
      <c r="AE101" s="120">
        <f>IF(AND(J101="OK",ISNUMBER($B$5),$B$5&gt;0,ISNUMBER($B$3),$B$3&gt;0),F101/(6*$B$3*1000000*$B$5)*(IF(B101&lt;($B$4*4/10),($B$4*4/10)*(MIN(C101,($B$4*4/10))^3-B101^3)-(MIN(C101,($B$4*4/10))^4-B101^4)/4,0)+IF(C101&gt;($B$4*4/10),($B$4*4/10)^2*(1.5*(C101^2-MAX(B101,($B$4*4/10))^2)-($B$4*4/10)*(C101-MAX(B101,($B$4*4/10)))),0))*1000,0)</f>
        <v>0</v>
      </c>
      <c r="AF101" s="120">
        <f>IF(AND(J101="OK",ISNUMBER($B$5),$B$5&gt;0,ISNUMBER($B$3),$B$3&gt;0),F101/(6*$B$3*1000000*$B$5)*(IF(B101&lt;($B$4*5/10),($B$4*5/10)*(MIN(C101,($B$4*5/10))^3-B101^3)-(MIN(C101,($B$4*5/10))^4-B101^4)/4,0)+IF(C101&gt;($B$4*5/10),($B$4*5/10)^2*(1.5*(C101^2-MAX(B101,($B$4*5/10))^2)-($B$4*5/10)*(C101-MAX(B101,($B$4*5/10)))),0))*1000,0)</f>
        <v>0</v>
      </c>
      <c r="AG101" s="120">
        <f>IF(AND(J101="OK",ISNUMBER($B$5),$B$5&gt;0,ISNUMBER($B$3),$B$3&gt;0),F101/(6*$B$3*1000000*$B$5)*(IF(B101&lt;($B$4*6/10),($B$4*6/10)*(MIN(C101,($B$4*6/10))^3-B101^3)-(MIN(C101,($B$4*6/10))^4-B101^4)/4,0)+IF(C101&gt;($B$4*6/10),($B$4*6/10)^2*(1.5*(C101^2-MAX(B101,($B$4*6/10))^2)-($B$4*6/10)*(C101-MAX(B101,($B$4*6/10)))),0))*1000,0)</f>
        <v>0</v>
      </c>
      <c r="AH101" s="120">
        <f>IF(AND(J101="OK",ISNUMBER($B$5),$B$5&gt;0,ISNUMBER($B$3),$B$3&gt;0),F101/(6*$B$3*1000000*$B$5)*(IF(B101&lt;($B$4*7/10),($B$4*7/10)*(MIN(C101,($B$4*7/10))^3-B101^3)-(MIN(C101,($B$4*7/10))^4-B101^4)/4,0)+IF(C101&gt;($B$4*7/10),($B$4*7/10)^2*(1.5*(C101^2-MAX(B101,($B$4*7/10))^2)-($B$4*7/10)*(C101-MAX(B101,($B$4*7/10)))),0))*1000,0)</f>
        <v>0</v>
      </c>
      <c r="AI101" s="120">
        <f>IF(AND(J101="OK",ISNUMBER($B$5),$B$5&gt;0,ISNUMBER($B$3),$B$3&gt;0),F101/(6*$B$3*1000000*$B$5)*(IF(B101&lt;($B$4*8/10),($B$4*8/10)*(MIN(C101,($B$4*8/10))^3-B101^3)-(MIN(C101,($B$4*8/10))^4-B101^4)/4,0)+IF(C101&gt;($B$4*8/10),($B$4*8/10)^2*(1.5*(C101^2-MAX(B101,($B$4*8/10))^2)-($B$4*8/10)*(C101-MAX(B101,($B$4*8/10)))),0))*1000,0)</f>
        <v>0</v>
      </c>
      <c r="AJ101" s="120">
        <f>IF(AND(J101="OK",ISNUMBER($B$5),$B$5&gt;0,ISNUMBER($B$3),$B$3&gt;0),F101/(6*$B$3*1000000*$B$5)*(IF(B101&lt;($B$4*9/10),($B$4*9/10)*(MIN(C101,($B$4*9/10))^3-B101^3)-(MIN(C101,($B$4*9/10))^4-B101^4)/4,0)+IF(C101&gt;($B$4*9/10),($B$4*9/10)^2*(1.5*(C101^2-MAX(B101,($B$4*9/10))^2)-($B$4*9/10)*(C101-MAX(B101,($B$4*9/10)))),0))*1000,0)</f>
        <v>0</v>
      </c>
      <c r="AK101" s="120">
        <f>IF(AND(J101="OK",ISNUMBER($B$5),$B$5&gt;0,ISNUMBER($B$3),$B$3&gt;0),F101/(6*$B$3*1000000*$B$5)*(IF(B101&lt;($B$4*10/10),($B$4*10/10)*(MIN(C101,($B$4*10/10))^3-B101^3)-(MIN(C101,($B$4*10/10))^4-B101^4)/4,0)+IF(C101&gt;($B$4*10/10),($B$4*10/10)^2*(1.5*(C101^2-MAX(B101,($B$4*10/10))^2)-($B$4*10/10)*(C101-MAX(B101,($B$4*10/10)))),0))*1000,0)</f>
        <v>0</v>
      </c>
      <c r="AM101" s="120">
        <f>IF(AND(V101="OK",ISNUMBER($N$5),$N$5&gt;0,ISNUMBER($N$3),$N$3&gt;0),R101/(6*$N$3*1000000*$N$5)*(IF(N101&lt;($N$4*0/10),($N$4*0/10)*(MIN(O101,($N$4*0/10))^3-N101^3)-(MIN(O101,($N$4*0/10))^4-N101^4)/4,0)+IF(O101&gt;($N$4*0/10),($N$4*0/10)^2*(1.5*(O101^2-MAX(N101,($N$4*0/10))^2)-($N$4*0/10)*(O101-MAX(N101,($N$4*0/10)))),0))*1000,0)</f>
        <v>0</v>
      </c>
      <c r="AN101" s="120">
        <f>IF(AND(V101="OK",ISNUMBER($N$5),$N$5&gt;0,ISNUMBER($N$3),$N$3&gt;0),R101/(6*$N$3*1000000*$N$5)*(IF(N101&lt;($N$4*1/10),($N$4*1/10)*(MIN(O101,($N$4*1/10))^3-N101^3)-(MIN(O101,($N$4*1/10))^4-N101^4)/4,0)+IF(O101&gt;($N$4*1/10),($N$4*1/10)^2*(1.5*(O101^2-MAX(N101,($N$4*1/10))^2)-($N$4*1/10)*(O101-MAX(N101,($N$4*1/10)))),0))*1000,0)</f>
        <v>0</v>
      </c>
      <c r="AO101" s="120">
        <f>IF(AND(V101="OK",ISNUMBER($N$5),$N$5&gt;0,ISNUMBER($N$3),$N$3&gt;0),R101/(6*$N$3*1000000*$N$5)*(IF(N101&lt;($N$4*2/10),($N$4*2/10)*(MIN(O101,($N$4*2/10))^3-N101^3)-(MIN(O101,($N$4*2/10))^4-N101^4)/4,0)+IF(O101&gt;($N$4*2/10),($N$4*2/10)^2*(1.5*(O101^2-MAX(N101,($N$4*2/10))^2)-($N$4*2/10)*(O101-MAX(N101,($N$4*2/10)))),0))*1000,0)</f>
        <v>0</v>
      </c>
      <c r="AP101" s="120">
        <f>IF(AND(V101="OK",ISNUMBER($N$5),$N$5&gt;0,ISNUMBER($N$3),$N$3&gt;0),R101/(6*$N$3*1000000*$N$5)*(IF(N101&lt;($N$4*3/10),($N$4*3/10)*(MIN(O101,($N$4*3/10))^3-N101^3)-(MIN(O101,($N$4*3/10))^4-N101^4)/4,0)+IF(O101&gt;($N$4*3/10),($N$4*3/10)^2*(1.5*(O101^2-MAX(N101,($N$4*3/10))^2)-($N$4*3/10)*(O101-MAX(N101,($N$4*3/10)))),0))*1000,0)</f>
        <v>0</v>
      </c>
      <c r="AQ101" s="120">
        <f>IF(AND(V101="OK",ISNUMBER($N$5),$N$5&gt;0,ISNUMBER($N$3),$N$3&gt;0),R101/(6*$N$3*1000000*$N$5)*(IF(N101&lt;($N$4*4/10),($N$4*4/10)*(MIN(O101,($N$4*4/10))^3-N101^3)-(MIN(O101,($N$4*4/10))^4-N101^4)/4,0)+IF(O101&gt;($N$4*4/10),($N$4*4/10)^2*(1.5*(O101^2-MAX(N101,($N$4*4/10))^2)-($N$4*4/10)*(O101-MAX(N101,($N$4*4/10)))),0))*1000,0)</f>
        <v>0</v>
      </c>
      <c r="AR101" s="120">
        <f>IF(AND(V101="OK",ISNUMBER($N$5),$N$5&gt;0,ISNUMBER($N$3),$N$3&gt;0),R101/(6*$N$3*1000000*$N$5)*(IF(N101&lt;($N$4*5/10),($N$4*5/10)*(MIN(O101,($N$4*5/10))^3-N101^3)-(MIN(O101,($N$4*5/10))^4-N101^4)/4,0)+IF(O101&gt;($N$4*5/10),($N$4*5/10)^2*(1.5*(O101^2-MAX(N101,($N$4*5/10))^2)-($N$4*5/10)*(O101-MAX(N101,($N$4*5/10)))),0))*1000,0)</f>
        <v>0</v>
      </c>
      <c r="AS101" s="120">
        <f>IF(AND(V101="OK",ISNUMBER($N$5),$N$5&gt;0,ISNUMBER($N$3),$N$3&gt;0),R101/(6*$N$3*1000000*$N$5)*(IF(N101&lt;($N$4*6/10),($N$4*6/10)*(MIN(O101,($N$4*6/10))^3-N101^3)-(MIN(O101,($N$4*6/10))^4-N101^4)/4,0)+IF(O101&gt;($N$4*6/10),($N$4*6/10)^2*(1.5*(O101^2-MAX(N101,($N$4*6/10))^2)-($N$4*6/10)*(O101-MAX(N101,($N$4*6/10)))),0))*1000,0)</f>
        <v>0</v>
      </c>
      <c r="AT101" s="120">
        <f>IF(AND(V101="OK",ISNUMBER($N$5),$N$5&gt;0,ISNUMBER($N$3),$N$3&gt;0),R101/(6*$N$3*1000000*$N$5)*(IF(N101&lt;($N$4*7/10),($N$4*7/10)*(MIN(O101,($N$4*7/10))^3-N101^3)-(MIN(O101,($N$4*7/10))^4-N101^4)/4,0)+IF(O101&gt;($N$4*7/10),($N$4*7/10)^2*(1.5*(O101^2-MAX(N101,($N$4*7/10))^2)-($N$4*7/10)*(O101-MAX(N101,($N$4*7/10)))),0))*1000,0)</f>
        <v>0</v>
      </c>
      <c r="AU101" s="120">
        <f>IF(AND(V101="OK",ISNUMBER($N$5),$N$5&gt;0,ISNUMBER($N$3),$N$3&gt;0),R101/(6*$N$3*1000000*$N$5)*(IF(N101&lt;($N$4*8/10),($N$4*8/10)*(MIN(O101,($N$4*8/10))^3-N101^3)-(MIN(O101,($N$4*8/10))^4-N101^4)/4,0)+IF(O101&gt;($N$4*8/10),($N$4*8/10)^2*(1.5*(O101^2-MAX(N101,($N$4*8/10))^2)-($N$4*8/10)*(O101-MAX(N101,($N$4*8/10)))),0))*1000,0)</f>
        <v>0</v>
      </c>
      <c r="AV101" s="120">
        <f>IF(AND(V101="OK",ISNUMBER($N$5),$N$5&gt;0,ISNUMBER($N$3),$N$3&gt;0),R101/(6*$N$3*1000000*$N$5)*(IF(N101&lt;($N$4*9/10),($N$4*9/10)*(MIN(O101,($N$4*9/10))^3-N101^3)-(MIN(O101,($N$4*9/10))^4-N101^4)/4,0)+IF(O101&gt;($N$4*9/10),($N$4*9/10)^2*(1.5*(O101^2-MAX(N101,($N$4*9/10))^2)-($N$4*9/10)*(O101-MAX(N101,($N$4*9/10)))),0))*1000,0)</f>
        <v>0</v>
      </c>
      <c r="AW101" s="120">
        <f>IF(AND(V101="OK",ISNUMBER($N$5),$N$5&gt;0,ISNUMBER($N$3),$N$3&gt;0),R101/(6*$N$3*1000000*$N$5)*(IF(N101&lt;($N$4*10/10),($N$4*10/10)*(MIN(O101,($N$4*10/10))^3-N101^3)-(MIN(O101,($N$4*10/10))^4-N101^4)/4,0)+IF(O101&gt;($N$4*10/10),($N$4*10/10)^2*(1.5*(O101^2-MAX(N101,($N$4*10/10))^2)-($N$4*10/10)*(O101-MAX(N101,($N$4*10/10)))),0))*1000,0)</f>
        <v>0</v>
      </c>
    </row>
    <row r="102" spans="1:49">
      <c r="A102" s="124"/>
      <c r="B102" s="125"/>
      <c r="C102" s="125"/>
      <c r="D102" s="125"/>
      <c r="E102" s="125"/>
      <c r="F102" s="126" t="str">
        <f>IF(J102="OK",D102*E102,"")</f>
        <v/>
      </c>
      <c r="G102" s="126" t="str">
        <f>IF(J102="OK",F102*(C102-B102),"")</f>
        <v/>
      </c>
      <c r="H102" s="126" t="str">
        <f>IF(J102="OK",G102*(C102+B102)/2,"")</f>
        <v/>
      </c>
      <c r="I102" s="126" t="str">
        <f>IF(AND(J102="OK",ISNUMBER($B$5),$B$5&gt;0,ISNUMBER($B$3),$B$3&gt;0),F102*(4*$B$4*(C102^3-B102^3)-(C102^4-B102^4))/(24*$B$3*1000000*$B$5)*1000,"")</f>
        <v/>
      </c>
      <c r="J102" s="120" t="str">
        <f>IF(COUNTA(A102:E102)=0,"",IF(AND(COUNT(B102:E102)=4,B102&gt;=0,C102&gt;B102,C102&lt;=$B$4,D102&gt;=0,E102&gt;0),IF(COUNTIFS($B$13:$B$101,"&lt;"&amp;C102,$C$13:$C$101,"&gt;"&amp;B102)&gt;0,"OVERLAP","OK"),"CHECK INPUTS"))</f>
        <v/>
      </c>
      <c r="M102" s="124"/>
      <c r="N102" s="125"/>
      <c r="O102" s="125"/>
      <c r="P102" s="125"/>
      <c r="Q102" s="125"/>
      <c r="R102" s="126" t="str">
        <f>IF(V102="OK",P102*Q102,"")</f>
        <v/>
      </c>
      <c r="S102" s="126" t="str">
        <f>IF(V102="OK",R102*(O102-N102),"")</f>
        <v/>
      </c>
      <c r="T102" s="126" t="str">
        <f>IF(V102="OK",S102*(O102+N102)/2,"")</f>
        <v/>
      </c>
      <c r="U102" s="126" t="str">
        <f>IF(AND(V102="OK",ISNUMBER($N$5),$N$5&gt;0,ISNUMBER($N$3),$N$3&gt;0),R102*(4*$N$4*(O102^3-N102^3)-(O102^4-N102^4))/(24*$N$3*1000000*$N$5)*1000,"")</f>
        <v/>
      </c>
      <c r="V102" s="120" t="str">
        <f>IF(COUNTA(M102:Q102)=0,"",IF(AND(COUNT(N102:Q102)=4,N102&gt;=0,O102&gt;N102,O102&lt;=$N$4,P102&gt;=0,Q102&gt;0),IF(COUNTIFS($N$13:$N$101,"&lt;"&amp;O102,$O$13:$O$101,"&gt;"&amp;N102)&gt;0,"OVERLAP","OK"),"CHECK INPUTS"))</f>
        <v/>
      </c>
      <c r="AA102" s="120">
        <f>IF(AND(J102="OK",ISNUMBER($B$5),$B$5&gt;0,ISNUMBER($B$3),$B$3&gt;0),F102/(6*$B$3*1000000*$B$5)*(IF(B102&lt;($B$4*0/10),($B$4*0/10)*(MIN(C102,($B$4*0/10))^3-B102^3)-(MIN(C102,($B$4*0/10))^4-B102^4)/4,0)+IF(C102&gt;($B$4*0/10),($B$4*0/10)^2*(1.5*(C102^2-MAX(B102,($B$4*0/10))^2)-($B$4*0/10)*(C102-MAX(B102,($B$4*0/10)))),0))*1000,0)</f>
        <v>0</v>
      </c>
      <c r="AB102" s="120">
        <f>IF(AND(J102="OK",ISNUMBER($B$5),$B$5&gt;0,ISNUMBER($B$3),$B$3&gt;0),F102/(6*$B$3*1000000*$B$5)*(IF(B102&lt;($B$4*1/10),($B$4*1/10)*(MIN(C102,($B$4*1/10))^3-B102^3)-(MIN(C102,($B$4*1/10))^4-B102^4)/4,0)+IF(C102&gt;($B$4*1/10),($B$4*1/10)^2*(1.5*(C102^2-MAX(B102,($B$4*1/10))^2)-($B$4*1/10)*(C102-MAX(B102,($B$4*1/10)))),0))*1000,0)</f>
        <v>0</v>
      </c>
      <c r="AC102" s="120">
        <f>IF(AND(J102="OK",ISNUMBER($B$5),$B$5&gt;0,ISNUMBER($B$3),$B$3&gt;0),F102/(6*$B$3*1000000*$B$5)*(IF(B102&lt;($B$4*2/10),($B$4*2/10)*(MIN(C102,($B$4*2/10))^3-B102^3)-(MIN(C102,($B$4*2/10))^4-B102^4)/4,0)+IF(C102&gt;($B$4*2/10),($B$4*2/10)^2*(1.5*(C102^2-MAX(B102,($B$4*2/10))^2)-($B$4*2/10)*(C102-MAX(B102,($B$4*2/10)))),0))*1000,0)</f>
        <v>0</v>
      </c>
      <c r="AD102" s="120">
        <f>IF(AND(J102="OK",ISNUMBER($B$5),$B$5&gt;0,ISNUMBER($B$3),$B$3&gt;0),F102/(6*$B$3*1000000*$B$5)*(IF(B102&lt;($B$4*3/10),($B$4*3/10)*(MIN(C102,($B$4*3/10))^3-B102^3)-(MIN(C102,($B$4*3/10))^4-B102^4)/4,0)+IF(C102&gt;($B$4*3/10),($B$4*3/10)^2*(1.5*(C102^2-MAX(B102,($B$4*3/10))^2)-($B$4*3/10)*(C102-MAX(B102,($B$4*3/10)))),0))*1000,0)</f>
        <v>0</v>
      </c>
      <c r="AE102" s="120">
        <f>IF(AND(J102="OK",ISNUMBER($B$5),$B$5&gt;0,ISNUMBER($B$3),$B$3&gt;0),F102/(6*$B$3*1000000*$B$5)*(IF(B102&lt;($B$4*4/10),($B$4*4/10)*(MIN(C102,($B$4*4/10))^3-B102^3)-(MIN(C102,($B$4*4/10))^4-B102^4)/4,0)+IF(C102&gt;($B$4*4/10),($B$4*4/10)^2*(1.5*(C102^2-MAX(B102,($B$4*4/10))^2)-($B$4*4/10)*(C102-MAX(B102,($B$4*4/10)))),0))*1000,0)</f>
        <v>0</v>
      </c>
      <c r="AF102" s="120">
        <f>IF(AND(J102="OK",ISNUMBER($B$5),$B$5&gt;0,ISNUMBER($B$3),$B$3&gt;0),F102/(6*$B$3*1000000*$B$5)*(IF(B102&lt;($B$4*5/10),($B$4*5/10)*(MIN(C102,($B$4*5/10))^3-B102^3)-(MIN(C102,($B$4*5/10))^4-B102^4)/4,0)+IF(C102&gt;($B$4*5/10),($B$4*5/10)^2*(1.5*(C102^2-MAX(B102,($B$4*5/10))^2)-($B$4*5/10)*(C102-MAX(B102,($B$4*5/10)))),0))*1000,0)</f>
        <v>0</v>
      </c>
      <c r="AG102" s="120">
        <f>IF(AND(J102="OK",ISNUMBER($B$5),$B$5&gt;0,ISNUMBER($B$3),$B$3&gt;0),F102/(6*$B$3*1000000*$B$5)*(IF(B102&lt;($B$4*6/10),($B$4*6/10)*(MIN(C102,($B$4*6/10))^3-B102^3)-(MIN(C102,($B$4*6/10))^4-B102^4)/4,0)+IF(C102&gt;($B$4*6/10),($B$4*6/10)^2*(1.5*(C102^2-MAX(B102,($B$4*6/10))^2)-($B$4*6/10)*(C102-MAX(B102,($B$4*6/10)))),0))*1000,0)</f>
        <v>0</v>
      </c>
      <c r="AH102" s="120">
        <f>IF(AND(J102="OK",ISNUMBER($B$5),$B$5&gt;0,ISNUMBER($B$3),$B$3&gt;0),F102/(6*$B$3*1000000*$B$5)*(IF(B102&lt;($B$4*7/10),($B$4*7/10)*(MIN(C102,($B$4*7/10))^3-B102^3)-(MIN(C102,($B$4*7/10))^4-B102^4)/4,0)+IF(C102&gt;($B$4*7/10),($B$4*7/10)^2*(1.5*(C102^2-MAX(B102,($B$4*7/10))^2)-($B$4*7/10)*(C102-MAX(B102,($B$4*7/10)))),0))*1000,0)</f>
        <v>0</v>
      </c>
      <c r="AI102" s="120">
        <f>IF(AND(J102="OK",ISNUMBER($B$5),$B$5&gt;0,ISNUMBER($B$3),$B$3&gt;0),F102/(6*$B$3*1000000*$B$5)*(IF(B102&lt;($B$4*8/10),($B$4*8/10)*(MIN(C102,($B$4*8/10))^3-B102^3)-(MIN(C102,($B$4*8/10))^4-B102^4)/4,0)+IF(C102&gt;($B$4*8/10),($B$4*8/10)^2*(1.5*(C102^2-MAX(B102,($B$4*8/10))^2)-($B$4*8/10)*(C102-MAX(B102,($B$4*8/10)))),0))*1000,0)</f>
        <v>0</v>
      </c>
      <c r="AJ102" s="120">
        <f>IF(AND(J102="OK",ISNUMBER($B$5),$B$5&gt;0,ISNUMBER($B$3),$B$3&gt;0),F102/(6*$B$3*1000000*$B$5)*(IF(B102&lt;($B$4*9/10),($B$4*9/10)*(MIN(C102,($B$4*9/10))^3-B102^3)-(MIN(C102,($B$4*9/10))^4-B102^4)/4,0)+IF(C102&gt;($B$4*9/10),($B$4*9/10)^2*(1.5*(C102^2-MAX(B102,($B$4*9/10))^2)-($B$4*9/10)*(C102-MAX(B102,($B$4*9/10)))),0))*1000,0)</f>
        <v>0</v>
      </c>
      <c r="AK102" s="120">
        <f>IF(AND(J102="OK",ISNUMBER($B$5),$B$5&gt;0,ISNUMBER($B$3),$B$3&gt;0),F102/(6*$B$3*1000000*$B$5)*(IF(B102&lt;($B$4*10/10),($B$4*10/10)*(MIN(C102,($B$4*10/10))^3-B102^3)-(MIN(C102,($B$4*10/10))^4-B102^4)/4,0)+IF(C102&gt;($B$4*10/10),($B$4*10/10)^2*(1.5*(C102^2-MAX(B102,($B$4*10/10))^2)-($B$4*10/10)*(C102-MAX(B102,($B$4*10/10)))),0))*1000,0)</f>
        <v>0</v>
      </c>
      <c r="AM102" s="120">
        <f>IF(AND(V102="OK",ISNUMBER($N$5),$N$5&gt;0,ISNUMBER($N$3),$N$3&gt;0),R102/(6*$N$3*1000000*$N$5)*(IF(N102&lt;($N$4*0/10),($N$4*0/10)*(MIN(O102,($N$4*0/10))^3-N102^3)-(MIN(O102,($N$4*0/10))^4-N102^4)/4,0)+IF(O102&gt;($N$4*0/10),($N$4*0/10)^2*(1.5*(O102^2-MAX(N102,($N$4*0/10))^2)-($N$4*0/10)*(O102-MAX(N102,($N$4*0/10)))),0))*1000,0)</f>
        <v>0</v>
      </c>
      <c r="AN102" s="120">
        <f>IF(AND(V102="OK",ISNUMBER($N$5),$N$5&gt;0,ISNUMBER($N$3),$N$3&gt;0),R102/(6*$N$3*1000000*$N$5)*(IF(N102&lt;($N$4*1/10),($N$4*1/10)*(MIN(O102,($N$4*1/10))^3-N102^3)-(MIN(O102,($N$4*1/10))^4-N102^4)/4,0)+IF(O102&gt;($N$4*1/10),($N$4*1/10)^2*(1.5*(O102^2-MAX(N102,($N$4*1/10))^2)-($N$4*1/10)*(O102-MAX(N102,($N$4*1/10)))),0))*1000,0)</f>
        <v>0</v>
      </c>
      <c r="AO102" s="120">
        <f>IF(AND(V102="OK",ISNUMBER($N$5),$N$5&gt;0,ISNUMBER($N$3),$N$3&gt;0),R102/(6*$N$3*1000000*$N$5)*(IF(N102&lt;($N$4*2/10),($N$4*2/10)*(MIN(O102,($N$4*2/10))^3-N102^3)-(MIN(O102,($N$4*2/10))^4-N102^4)/4,0)+IF(O102&gt;($N$4*2/10),($N$4*2/10)^2*(1.5*(O102^2-MAX(N102,($N$4*2/10))^2)-($N$4*2/10)*(O102-MAX(N102,($N$4*2/10)))),0))*1000,0)</f>
        <v>0</v>
      </c>
      <c r="AP102" s="120">
        <f>IF(AND(V102="OK",ISNUMBER($N$5),$N$5&gt;0,ISNUMBER($N$3),$N$3&gt;0),R102/(6*$N$3*1000000*$N$5)*(IF(N102&lt;($N$4*3/10),($N$4*3/10)*(MIN(O102,($N$4*3/10))^3-N102^3)-(MIN(O102,($N$4*3/10))^4-N102^4)/4,0)+IF(O102&gt;($N$4*3/10),($N$4*3/10)^2*(1.5*(O102^2-MAX(N102,($N$4*3/10))^2)-($N$4*3/10)*(O102-MAX(N102,($N$4*3/10)))),0))*1000,0)</f>
        <v>0</v>
      </c>
      <c r="AQ102" s="120">
        <f>IF(AND(V102="OK",ISNUMBER($N$5),$N$5&gt;0,ISNUMBER($N$3),$N$3&gt;0),R102/(6*$N$3*1000000*$N$5)*(IF(N102&lt;($N$4*4/10),($N$4*4/10)*(MIN(O102,($N$4*4/10))^3-N102^3)-(MIN(O102,($N$4*4/10))^4-N102^4)/4,0)+IF(O102&gt;($N$4*4/10),($N$4*4/10)^2*(1.5*(O102^2-MAX(N102,($N$4*4/10))^2)-($N$4*4/10)*(O102-MAX(N102,($N$4*4/10)))),0))*1000,0)</f>
        <v>0</v>
      </c>
      <c r="AR102" s="120">
        <f>IF(AND(V102="OK",ISNUMBER($N$5),$N$5&gt;0,ISNUMBER($N$3),$N$3&gt;0),R102/(6*$N$3*1000000*$N$5)*(IF(N102&lt;($N$4*5/10),($N$4*5/10)*(MIN(O102,($N$4*5/10))^3-N102^3)-(MIN(O102,($N$4*5/10))^4-N102^4)/4,0)+IF(O102&gt;($N$4*5/10),($N$4*5/10)^2*(1.5*(O102^2-MAX(N102,($N$4*5/10))^2)-($N$4*5/10)*(O102-MAX(N102,($N$4*5/10)))),0))*1000,0)</f>
        <v>0</v>
      </c>
      <c r="AS102" s="120">
        <f>IF(AND(V102="OK",ISNUMBER($N$5),$N$5&gt;0,ISNUMBER($N$3),$N$3&gt;0),R102/(6*$N$3*1000000*$N$5)*(IF(N102&lt;($N$4*6/10),($N$4*6/10)*(MIN(O102,($N$4*6/10))^3-N102^3)-(MIN(O102,($N$4*6/10))^4-N102^4)/4,0)+IF(O102&gt;($N$4*6/10),($N$4*6/10)^2*(1.5*(O102^2-MAX(N102,($N$4*6/10))^2)-($N$4*6/10)*(O102-MAX(N102,($N$4*6/10)))),0))*1000,0)</f>
        <v>0</v>
      </c>
      <c r="AT102" s="120">
        <f>IF(AND(V102="OK",ISNUMBER($N$5),$N$5&gt;0,ISNUMBER($N$3),$N$3&gt;0),R102/(6*$N$3*1000000*$N$5)*(IF(N102&lt;($N$4*7/10),($N$4*7/10)*(MIN(O102,($N$4*7/10))^3-N102^3)-(MIN(O102,($N$4*7/10))^4-N102^4)/4,0)+IF(O102&gt;($N$4*7/10),($N$4*7/10)^2*(1.5*(O102^2-MAX(N102,($N$4*7/10))^2)-($N$4*7/10)*(O102-MAX(N102,($N$4*7/10)))),0))*1000,0)</f>
        <v>0</v>
      </c>
      <c r="AU102" s="120">
        <f>IF(AND(V102="OK",ISNUMBER($N$5),$N$5&gt;0,ISNUMBER($N$3),$N$3&gt;0),R102/(6*$N$3*1000000*$N$5)*(IF(N102&lt;($N$4*8/10),($N$4*8/10)*(MIN(O102,($N$4*8/10))^3-N102^3)-(MIN(O102,($N$4*8/10))^4-N102^4)/4,0)+IF(O102&gt;($N$4*8/10),($N$4*8/10)^2*(1.5*(O102^2-MAX(N102,($N$4*8/10))^2)-($N$4*8/10)*(O102-MAX(N102,($N$4*8/10)))),0))*1000,0)</f>
        <v>0</v>
      </c>
      <c r="AV102" s="120">
        <f>IF(AND(V102="OK",ISNUMBER($N$5),$N$5&gt;0,ISNUMBER($N$3),$N$3&gt;0),R102/(6*$N$3*1000000*$N$5)*(IF(N102&lt;($N$4*9/10),($N$4*9/10)*(MIN(O102,($N$4*9/10))^3-N102^3)-(MIN(O102,($N$4*9/10))^4-N102^4)/4,0)+IF(O102&gt;($N$4*9/10),($N$4*9/10)^2*(1.5*(O102^2-MAX(N102,($N$4*9/10))^2)-($N$4*9/10)*(O102-MAX(N102,($N$4*9/10)))),0))*1000,0)</f>
        <v>0</v>
      </c>
      <c r="AW102" s="120">
        <f>IF(AND(V102="OK",ISNUMBER($N$5),$N$5&gt;0,ISNUMBER($N$3),$N$3&gt;0),R102/(6*$N$3*1000000*$N$5)*(IF(N102&lt;($N$4*10/10),($N$4*10/10)*(MIN(O102,($N$4*10/10))^3-N102^3)-(MIN(O102,($N$4*10/10))^4-N102^4)/4,0)+IF(O102&gt;($N$4*10/10),($N$4*10/10)^2*(1.5*(O102^2-MAX(N102,($N$4*10/10))^2)-($N$4*10/10)*(O102-MAX(N102,($N$4*10/10)))),0))*1000,0)</f>
        <v>0</v>
      </c>
    </row>
    <row r="103" spans="1:49">
      <c r="A103" s="124"/>
      <c r="B103" s="125"/>
      <c r="C103" s="125"/>
      <c r="D103" s="125"/>
      <c r="E103" s="125"/>
      <c r="F103" s="126" t="str">
        <f>IF(J103="OK",D103*E103,"")</f>
        <v/>
      </c>
      <c r="G103" s="126" t="str">
        <f>IF(J103="OK",F103*(C103-B103),"")</f>
        <v/>
      </c>
      <c r="H103" s="126" t="str">
        <f>IF(J103="OK",G103*(C103+B103)/2,"")</f>
        <v/>
      </c>
      <c r="I103" s="126" t="str">
        <f>IF(AND(J103="OK",ISNUMBER($B$5),$B$5&gt;0,ISNUMBER($B$3),$B$3&gt;0),F103*(4*$B$4*(C103^3-B103^3)-(C103^4-B103^4))/(24*$B$3*1000000*$B$5)*1000,"")</f>
        <v/>
      </c>
      <c r="J103" s="120" t="str">
        <f>IF(COUNTA(A103:E103)=0,"",IF(AND(COUNT(B103:E103)=4,B103&gt;=0,C103&gt;B103,C103&lt;=$B$4,D103&gt;=0,E103&gt;0),IF(COUNTIFS($B$13:$B$102,"&lt;"&amp;C103,$C$13:$C$102,"&gt;"&amp;B103)&gt;0,"OVERLAP","OK"),"CHECK INPUTS"))</f>
        <v/>
      </c>
      <c r="M103" s="124"/>
      <c r="N103" s="125"/>
      <c r="O103" s="125"/>
      <c r="P103" s="125"/>
      <c r="Q103" s="125"/>
      <c r="R103" s="126" t="str">
        <f>IF(V103="OK",P103*Q103,"")</f>
        <v/>
      </c>
      <c r="S103" s="126" t="str">
        <f>IF(V103="OK",R103*(O103-N103),"")</f>
        <v/>
      </c>
      <c r="T103" s="126" t="str">
        <f>IF(V103="OK",S103*(O103+N103)/2,"")</f>
        <v/>
      </c>
      <c r="U103" s="126" t="str">
        <f>IF(AND(V103="OK",ISNUMBER($N$5),$N$5&gt;0,ISNUMBER($N$3),$N$3&gt;0),R103*(4*$N$4*(O103^3-N103^3)-(O103^4-N103^4))/(24*$N$3*1000000*$N$5)*1000,"")</f>
        <v/>
      </c>
      <c r="V103" s="120" t="str">
        <f>IF(COUNTA(M103:Q103)=0,"",IF(AND(COUNT(N103:Q103)=4,N103&gt;=0,O103&gt;N103,O103&lt;=$N$4,P103&gt;=0,Q103&gt;0),IF(COUNTIFS($N$13:$N$102,"&lt;"&amp;O103,$O$13:$O$102,"&gt;"&amp;N103)&gt;0,"OVERLAP","OK"),"CHECK INPUTS"))</f>
        <v/>
      </c>
      <c r="AA103" s="120">
        <f>IF(AND(J103="OK",ISNUMBER($B$5),$B$5&gt;0,ISNUMBER($B$3),$B$3&gt;0),F103/(6*$B$3*1000000*$B$5)*(IF(B103&lt;($B$4*0/10),($B$4*0/10)*(MIN(C103,($B$4*0/10))^3-B103^3)-(MIN(C103,($B$4*0/10))^4-B103^4)/4,0)+IF(C103&gt;($B$4*0/10),($B$4*0/10)^2*(1.5*(C103^2-MAX(B103,($B$4*0/10))^2)-($B$4*0/10)*(C103-MAX(B103,($B$4*0/10)))),0))*1000,0)</f>
        <v>0</v>
      </c>
      <c r="AB103" s="120">
        <f>IF(AND(J103="OK",ISNUMBER($B$5),$B$5&gt;0,ISNUMBER($B$3),$B$3&gt;0),F103/(6*$B$3*1000000*$B$5)*(IF(B103&lt;($B$4*1/10),($B$4*1/10)*(MIN(C103,($B$4*1/10))^3-B103^3)-(MIN(C103,($B$4*1/10))^4-B103^4)/4,0)+IF(C103&gt;($B$4*1/10),($B$4*1/10)^2*(1.5*(C103^2-MAX(B103,($B$4*1/10))^2)-($B$4*1/10)*(C103-MAX(B103,($B$4*1/10)))),0))*1000,0)</f>
        <v>0</v>
      </c>
      <c r="AC103" s="120">
        <f>IF(AND(J103="OK",ISNUMBER($B$5),$B$5&gt;0,ISNUMBER($B$3),$B$3&gt;0),F103/(6*$B$3*1000000*$B$5)*(IF(B103&lt;($B$4*2/10),($B$4*2/10)*(MIN(C103,($B$4*2/10))^3-B103^3)-(MIN(C103,($B$4*2/10))^4-B103^4)/4,0)+IF(C103&gt;($B$4*2/10),($B$4*2/10)^2*(1.5*(C103^2-MAX(B103,($B$4*2/10))^2)-($B$4*2/10)*(C103-MAX(B103,($B$4*2/10)))),0))*1000,0)</f>
        <v>0</v>
      </c>
      <c r="AD103" s="120">
        <f>IF(AND(J103="OK",ISNUMBER($B$5),$B$5&gt;0,ISNUMBER($B$3),$B$3&gt;0),F103/(6*$B$3*1000000*$B$5)*(IF(B103&lt;($B$4*3/10),($B$4*3/10)*(MIN(C103,($B$4*3/10))^3-B103^3)-(MIN(C103,($B$4*3/10))^4-B103^4)/4,0)+IF(C103&gt;($B$4*3/10),($B$4*3/10)^2*(1.5*(C103^2-MAX(B103,($B$4*3/10))^2)-($B$4*3/10)*(C103-MAX(B103,($B$4*3/10)))),0))*1000,0)</f>
        <v>0</v>
      </c>
      <c r="AE103" s="120">
        <f>IF(AND(J103="OK",ISNUMBER($B$5),$B$5&gt;0,ISNUMBER($B$3),$B$3&gt;0),F103/(6*$B$3*1000000*$B$5)*(IF(B103&lt;($B$4*4/10),($B$4*4/10)*(MIN(C103,($B$4*4/10))^3-B103^3)-(MIN(C103,($B$4*4/10))^4-B103^4)/4,0)+IF(C103&gt;($B$4*4/10),($B$4*4/10)^2*(1.5*(C103^2-MAX(B103,($B$4*4/10))^2)-($B$4*4/10)*(C103-MAX(B103,($B$4*4/10)))),0))*1000,0)</f>
        <v>0</v>
      </c>
      <c r="AF103" s="120">
        <f>IF(AND(J103="OK",ISNUMBER($B$5),$B$5&gt;0,ISNUMBER($B$3),$B$3&gt;0),F103/(6*$B$3*1000000*$B$5)*(IF(B103&lt;($B$4*5/10),($B$4*5/10)*(MIN(C103,($B$4*5/10))^3-B103^3)-(MIN(C103,($B$4*5/10))^4-B103^4)/4,0)+IF(C103&gt;($B$4*5/10),($B$4*5/10)^2*(1.5*(C103^2-MAX(B103,($B$4*5/10))^2)-($B$4*5/10)*(C103-MAX(B103,($B$4*5/10)))),0))*1000,0)</f>
        <v>0</v>
      </c>
      <c r="AG103" s="120">
        <f>IF(AND(J103="OK",ISNUMBER($B$5),$B$5&gt;0,ISNUMBER($B$3),$B$3&gt;0),F103/(6*$B$3*1000000*$B$5)*(IF(B103&lt;($B$4*6/10),($B$4*6/10)*(MIN(C103,($B$4*6/10))^3-B103^3)-(MIN(C103,($B$4*6/10))^4-B103^4)/4,0)+IF(C103&gt;($B$4*6/10),($B$4*6/10)^2*(1.5*(C103^2-MAX(B103,($B$4*6/10))^2)-($B$4*6/10)*(C103-MAX(B103,($B$4*6/10)))),0))*1000,0)</f>
        <v>0</v>
      </c>
      <c r="AH103" s="120">
        <f>IF(AND(J103="OK",ISNUMBER($B$5),$B$5&gt;0,ISNUMBER($B$3),$B$3&gt;0),F103/(6*$B$3*1000000*$B$5)*(IF(B103&lt;($B$4*7/10),($B$4*7/10)*(MIN(C103,($B$4*7/10))^3-B103^3)-(MIN(C103,($B$4*7/10))^4-B103^4)/4,0)+IF(C103&gt;($B$4*7/10),($B$4*7/10)^2*(1.5*(C103^2-MAX(B103,($B$4*7/10))^2)-($B$4*7/10)*(C103-MAX(B103,($B$4*7/10)))),0))*1000,0)</f>
        <v>0</v>
      </c>
      <c r="AI103" s="120">
        <f>IF(AND(J103="OK",ISNUMBER($B$5),$B$5&gt;0,ISNUMBER($B$3),$B$3&gt;0),F103/(6*$B$3*1000000*$B$5)*(IF(B103&lt;($B$4*8/10),($B$4*8/10)*(MIN(C103,($B$4*8/10))^3-B103^3)-(MIN(C103,($B$4*8/10))^4-B103^4)/4,0)+IF(C103&gt;($B$4*8/10),($B$4*8/10)^2*(1.5*(C103^2-MAX(B103,($B$4*8/10))^2)-($B$4*8/10)*(C103-MAX(B103,($B$4*8/10)))),0))*1000,0)</f>
        <v>0</v>
      </c>
      <c r="AJ103" s="120">
        <f>IF(AND(J103="OK",ISNUMBER($B$5),$B$5&gt;0,ISNUMBER($B$3),$B$3&gt;0),F103/(6*$B$3*1000000*$B$5)*(IF(B103&lt;($B$4*9/10),($B$4*9/10)*(MIN(C103,($B$4*9/10))^3-B103^3)-(MIN(C103,($B$4*9/10))^4-B103^4)/4,0)+IF(C103&gt;($B$4*9/10),($B$4*9/10)^2*(1.5*(C103^2-MAX(B103,($B$4*9/10))^2)-($B$4*9/10)*(C103-MAX(B103,($B$4*9/10)))),0))*1000,0)</f>
        <v>0</v>
      </c>
      <c r="AK103" s="120">
        <f>IF(AND(J103="OK",ISNUMBER($B$5),$B$5&gt;0,ISNUMBER($B$3),$B$3&gt;0),F103/(6*$B$3*1000000*$B$5)*(IF(B103&lt;($B$4*10/10),($B$4*10/10)*(MIN(C103,($B$4*10/10))^3-B103^3)-(MIN(C103,($B$4*10/10))^4-B103^4)/4,0)+IF(C103&gt;($B$4*10/10),($B$4*10/10)^2*(1.5*(C103^2-MAX(B103,($B$4*10/10))^2)-($B$4*10/10)*(C103-MAX(B103,($B$4*10/10)))),0))*1000,0)</f>
        <v>0</v>
      </c>
      <c r="AM103" s="120">
        <f>IF(AND(V103="OK",ISNUMBER($N$5),$N$5&gt;0,ISNUMBER($N$3),$N$3&gt;0),R103/(6*$N$3*1000000*$N$5)*(IF(N103&lt;($N$4*0/10),($N$4*0/10)*(MIN(O103,($N$4*0/10))^3-N103^3)-(MIN(O103,($N$4*0/10))^4-N103^4)/4,0)+IF(O103&gt;($N$4*0/10),($N$4*0/10)^2*(1.5*(O103^2-MAX(N103,($N$4*0/10))^2)-($N$4*0/10)*(O103-MAX(N103,($N$4*0/10)))),0))*1000,0)</f>
        <v>0</v>
      </c>
      <c r="AN103" s="120">
        <f>IF(AND(V103="OK",ISNUMBER($N$5),$N$5&gt;0,ISNUMBER($N$3),$N$3&gt;0),R103/(6*$N$3*1000000*$N$5)*(IF(N103&lt;($N$4*1/10),($N$4*1/10)*(MIN(O103,($N$4*1/10))^3-N103^3)-(MIN(O103,($N$4*1/10))^4-N103^4)/4,0)+IF(O103&gt;($N$4*1/10),($N$4*1/10)^2*(1.5*(O103^2-MAX(N103,($N$4*1/10))^2)-($N$4*1/10)*(O103-MAX(N103,($N$4*1/10)))),0))*1000,0)</f>
        <v>0</v>
      </c>
      <c r="AO103" s="120">
        <f>IF(AND(V103="OK",ISNUMBER($N$5),$N$5&gt;0,ISNUMBER($N$3),$N$3&gt;0),R103/(6*$N$3*1000000*$N$5)*(IF(N103&lt;($N$4*2/10),($N$4*2/10)*(MIN(O103,($N$4*2/10))^3-N103^3)-(MIN(O103,($N$4*2/10))^4-N103^4)/4,0)+IF(O103&gt;($N$4*2/10),($N$4*2/10)^2*(1.5*(O103^2-MAX(N103,($N$4*2/10))^2)-($N$4*2/10)*(O103-MAX(N103,($N$4*2/10)))),0))*1000,0)</f>
        <v>0</v>
      </c>
      <c r="AP103" s="120">
        <f>IF(AND(V103="OK",ISNUMBER($N$5),$N$5&gt;0,ISNUMBER($N$3),$N$3&gt;0),R103/(6*$N$3*1000000*$N$5)*(IF(N103&lt;($N$4*3/10),($N$4*3/10)*(MIN(O103,($N$4*3/10))^3-N103^3)-(MIN(O103,($N$4*3/10))^4-N103^4)/4,0)+IF(O103&gt;($N$4*3/10),($N$4*3/10)^2*(1.5*(O103^2-MAX(N103,($N$4*3/10))^2)-($N$4*3/10)*(O103-MAX(N103,($N$4*3/10)))),0))*1000,0)</f>
        <v>0</v>
      </c>
      <c r="AQ103" s="120">
        <f>IF(AND(V103="OK",ISNUMBER($N$5),$N$5&gt;0,ISNUMBER($N$3),$N$3&gt;0),R103/(6*$N$3*1000000*$N$5)*(IF(N103&lt;($N$4*4/10),($N$4*4/10)*(MIN(O103,($N$4*4/10))^3-N103^3)-(MIN(O103,($N$4*4/10))^4-N103^4)/4,0)+IF(O103&gt;($N$4*4/10),($N$4*4/10)^2*(1.5*(O103^2-MAX(N103,($N$4*4/10))^2)-($N$4*4/10)*(O103-MAX(N103,($N$4*4/10)))),0))*1000,0)</f>
        <v>0</v>
      </c>
      <c r="AR103" s="120">
        <f>IF(AND(V103="OK",ISNUMBER($N$5),$N$5&gt;0,ISNUMBER($N$3),$N$3&gt;0),R103/(6*$N$3*1000000*$N$5)*(IF(N103&lt;($N$4*5/10),($N$4*5/10)*(MIN(O103,($N$4*5/10))^3-N103^3)-(MIN(O103,($N$4*5/10))^4-N103^4)/4,0)+IF(O103&gt;($N$4*5/10),($N$4*5/10)^2*(1.5*(O103^2-MAX(N103,($N$4*5/10))^2)-($N$4*5/10)*(O103-MAX(N103,($N$4*5/10)))),0))*1000,0)</f>
        <v>0</v>
      </c>
      <c r="AS103" s="120">
        <f>IF(AND(V103="OK",ISNUMBER($N$5),$N$5&gt;0,ISNUMBER($N$3),$N$3&gt;0),R103/(6*$N$3*1000000*$N$5)*(IF(N103&lt;($N$4*6/10),($N$4*6/10)*(MIN(O103,($N$4*6/10))^3-N103^3)-(MIN(O103,($N$4*6/10))^4-N103^4)/4,0)+IF(O103&gt;($N$4*6/10),($N$4*6/10)^2*(1.5*(O103^2-MAX(N103,($N$4*6/10))^2)-($N$4*6/10)*(O103-MAX(N103,($N$4*6/10)))),0))*1000,0)</f>
        <v>0</v>
      </c>
      <c r="AT103" s="120">
        <f>IF(AND(V103="OK",ISNUMBER($N$5),$N$5&gt;0,ISNUMBER($N$3),$N$3&gt;0),R103/(6*$N$3*1000000*$N$5)*(IF(N103&lt;($N$4*7/10),($N$4*7/10)*(MIN(O103,($N$4*7/10))^3-N103^3)-(MIN(O103,($N$4*7/10))^4-N103^4)/4,0)+IF(O103&gt;($N$4*7/10),($N$4*7/10)^2*(1.5*(O103^2-MAX(N103,($N$4*7/10))^2)-($N$4*7/10)*(O103-MAX(N103,($N$4*7/10)))),0))*1000,0)</f>
        <v>0</v>
      </c>
      <c r="AU103" s="120">
        <f>IF(AND(V103="OK",ISNUMBER($N$5),$N$5&gt;0,ISNUMBER($N$3),$N$3&gt;0),R103/(6*$N$3*1000000*$N$5)*(IF(N103&lt;($N$4*8/10),($N$4*8/10)*(MIN(O103,($N$4*8/10))^3-N103^3)-(MIN(O103,($N$4*8/10))^4-N103^4)/4,0)+IF(O103&gt;($N$4*8/10),($N$4*8/10)^2*(1.5*(O103^2-MAX(N103,($N$4*8/10))^2)-($N$4*8/10)*(O103-MAX(N103,($N$4*8/10)))),0))*1000,0)</f>
        <v>0</v>
      </c>
      <c r="AV103" s="120">
        <f>IF(AND(V103="OK",ISNUMBER($N$5),$N$5&gt;0,ISNUMBER($N$3),$N$3&gt;0),R103/(6*$N$3*1000000*$N$5)*(IF(N103&lt;($N$4*9/10),($N$4*9/10)*(MIN(O103,($N$4*9/10))^3-N103^3)-(MIN(O103,($N$4*9/10))^4-N103^4)/4,0)+IF(O103&gt;($N$4*9/10),($N$4*9/10)^2*(1.5*(O103^2-MAX(N103,($N$4*9/10))^2)-($N$4*9/10)*(O103-MAX(N103,($N$4*9/10)))),0))*1000,0)</f>
        <v>0</v>
      </c>
      <c r="AW103" s="120">
        <f>IF(AND(V103="OK",ISNUMBER($N$5),$N$5&gt;0,ISNUMBER($N$3),$N$3&gt;0),R103/(6*$N$3*1000000*$N$5)*(IF(N103&lt;($N$4*10/10),($N$4*10/10)*(MIN(O103,($N$4*10/10))^3-N103^3)-(MIN(O103,($N$4*10/10))^4-N103^4)/4,0)+IF(O103&gt;($N$4*10/10),($N$4*10/10)^2*(1.5*(O103^2-MAX(N103,($N$4*10/10))^2)-($N$4*10/10)*(O103-MAX(N103,($N$4*10/10)))),0))*1000,0)</f>
        <v>0</v>
      </c>
    </row>
    <row r="104" spans="1:49">
      <c r="A104" s="124"/>
      <c r="B104" s="125"/>
      <c r="C104" s="125"/>
      <c r="D104" s="125"/>
      <c r="E104" s="125"/>
      <c r="F104" s="126" t="str">
        <f>IF(J104="OK",D104*E104,"")</f>
        <v/>
      </c>
      <c r="G104" s="126" t="str">
        <f>IF(J104="OK",F104*(C104-B104),"")</f>
        <v/>
      </c>
      <c r="H104" s="126" t="str">
        <f>IF(J104="OK",G104*(C104+B104)/2,"")</f>
        <v/>
      </c>
      <c r="I104" s="126" t="str">
        <f>IF(AND(J104="OK",ISNUMBER($B$5),$B$5&gt;0,ISNUMBER($B$3),$B$3&gt;0),F104*(4*$B$4*(C104^3-B104^3)-(C104^4-B104^4))/(24*$B$3*1000000*$B$5)*1000,"")</f>
        <v/>
      </c>
      <c r="J104" s="120" t="str">
        <f>IF(COUNTA(A104:E104)=0,"",IF(AND(COUNT(B104:E104)=4,B104&gt;=0,C104&gt;B104,C104&lt;=$B$4,D104&gt;=0,E104&gt;0),IF(COUNTIFS($B$13:$B$103,"&lt;"&amp;C104,$C$13:$C$103,"&gt;"&amp;B104)&gt;0,"OVERLAP","OK"),"CHECK INPUTS"))</f>
        <v/>
      </c>
      <c r="M104" s="124"/>
      <c r="N104" s="125"/>
      <c r="O104" s="125"/>
      <c r="P104" s="125"/>
      <c r="Q104" s="125"/>
      <c r="R104" s="126" t="str">
        <f>IF(V104="OK",P104*Q104,"")</f>
        <v/>
      </c>
      <c r="S104" s="126" t="str">
        <f>IF(V104="OK",R104*(O104-N104),"")</f>
        <v/>
      </c>
      <c r="T104" s="126" t="str">
        <f>IF(V104="OK",S104*(O104+N104)/2,"")</f>
        <v/>
      </c>
      <c r="U104" s="126" t="str">
        <f>IF(AND(V104="OK",ISNUMBER($N$5),$N$5&gt;0,ISNUMBER($N$3),$N$3&gt;0),R104*(4*$N$4*(O104^3-N104^3)-(O104^4-N104^4))/(24*$N$3*1000000*$N$5)*1000,"")</f>
        <v/>
      </c>
      <c r="V104" s="120" t="str">
        <f>IF(COUNTA(M104:Q104)=0,"",IF(AND(COUNT(N104:Q104)=4,N104&gt;=0,O104&gt;N104,O104&lt;=$N$4,P104&gt;=0,Q104&gt;0),IF(COUNTIFS($N$13:$N$103,"&lt;"&amp;O104,$O$13:$O$103,"&gt;"&amp;N104)&gt;0,"OVERLAP","OK"),"CHECK INPUTS"))</f>
        <v/>
      </c>
      <c r="AA104" s="120">
        <f>IF(AND(J104="OK",ISNUMBER($B$5),$B$5&gt;0,ISNUMBER($B$3),$B$3&gt;0),F104/(6*$B$3*1000000*$B$5)*(IF(B104&lt;($B$4*0/10),($B$4*0/10)*(MIN(C104,($B$4*0/10))^3-B104^3)-(MIN(C104,($B$4*0/10))^4-B104^4)/4,0)+IF(C104&gt;($B$4*0/10),($B$4*0/10)^2*(1.5*(C104^2-MAX(B104,($B$4*0/10))^2)-($B$4*0/10)*(C104-MAX(B104,($B$4*0/10)))),0))*1000,0)</f>
        <v>0</v>
      </c>
      <c r="AB104" s="120">
        <f>IF(AND(J104="OK",ISNUMBER($B$5),$B$5&gt;0,ISNUMBER($B$3),$B$3&gt;0),F104/(6*$B$3*1000000*$B$5)*(IF(B104&lt;($B$4*1/10),($B$4*1/10)*(MIN(C104,($B$4*1/10))^3-B104^3)-(MIN(C104,($B$4*1/10))^4-B104^4)/4,0)+IF(C104&gt;($B$4*1/10),($B$4*1/10)^2*(1.5*(C104^2-MAX(B104,($B$4*1/10))^2)-($B$4*1/10)*(C104-MAX(B104,($B$4*1/10)))),0))*1000,0)</f>
        <v>0</v>
      </c>
      <c r="AC104" s="120">
        <f>IF(AND(J104="OK",ISNUMBER($B$5),$B$5&gt;0,ISNUMBER($B$3),$B$3&gt;0),F104/(6*$B$3*1000000*$B$5)*(IF(B104&lt;($B$4*2/10),($B$4*2/10)*(MIN(C104,($B$4*2/10))^3-B104^3)-(MIN(C104,($B$4*2/10))^4-B104^4)/4,0)+IF(C104&gt;($B$4*2/10),($B$4*2/10)^2*(1.5*(C104^2-MAX(B104,($B$4*2/10))^2)-($B$4*2/10)*(C104-MAX(B104,($B$4*2/10)))),0))*1000,0)</f>
        <v>0</v>
      </c>
      <c r="AD104" s="120">
        <f>IF(AND(J104="OK",ISNUMBER($B$5),$B$5&gt;0,ISNUMBER($B$3),$B$3&gt;0),F104/(6*$B$3*1000000*$B$5)*(IF(B104&lt;($B$4*3/10),($B$4*3/10)*(MIN(C104,($B$4*3/10))^3-B104^3)-(MIN(C104,($B$4*3/10))^4-B104^4)/4,0)+IF(C104&gt;($B$4*3/10),($B$4*3/10)^2*(1.5*(C104^2-MAX(B104,($B$4*3/10))^2)-($B$4*3/10)*(C104-MAX(B104,($B$4*3/10)))),0))*1000,0)</f>
        <v>0</v>
      </c>
      <c r="AE104" s="120">
        <f>IF(AND(J104="OK",ISNUMBER($B$5),$B$5&gt;0,ISNUMBER($B$3),$B$3&gt;0),F104/(6*$B$3*1000000*$B$5)*(IF(B104&lt;($B$4*4/10),($B$4*4/10)*(MIN(C104,($B$4*4/10))^3-B104^3)-(MIN(C104,($B$4*4/10))^4-B104^4)/4,0)+IF(C104&gt;($B$4*4/10),($B$4*4/10)^2*(1.5*(C104^2-MAX(B104,($B$4*4/10))^2)-($B$4*4/10)*(C104-MAX(B104,($B$4*4/10)))),0))*1000,0)</f>
        <v>0</v>
      </c>
      <c r="AF104" s="120">
        <f>IF(AND(J104="OK",ISNUMBER($B$5),$B$5&gt;0,ISNUMBER($B$3),$B$3&gt;0),F104/(6*$B$3*1000000*$B$5)*(IF(B104&lt;($B$4*5/10),($B$4*5/10)*(MIN(C104,($B$4*5/10))^3-B104^3)-(MIN(C104,($B$4*5/10))^4-B104^4)/4,0)+IF(C104&gt;($B$4*5/10),($B$4*5/10)^2*(1.5*(C104^2-MAX(B104,($B$4*5/10))^2)-($B$4*5/10)*(C104-MAX(B104,($B$4*5/10)))),0))*1000,0)</f>
        <v>0</v>
      </c>
      <c r="AG104" s="120">
        <f>IF(AND(J104="OK",ISNUMBER($B$5),$B$5&gt;0,ISNUMBER($B$3),$B$3&gt;0),F104/(6*$B$3*1000000*$B$5)*(IF(B104&lt;($B$4*6/10),($B$4*6/10)*(MIN(C104,($B$4*6/10))^3-B104^3)-(MIN(C104,($B$4*6/10))^4-B104^4)/4,0)+IF(C104&gt;($B$4*6/10),($B$4*6/10)^2*(1.5*(C104^2-MAX(B104,($B$4*6/10))^2)-($B$4*6/10)*(C104-MAX(B104,($B$4*6/10)))),0))*1000,0)</f>
        <v>0</v>
      </c>
      <c r="AH104" s="120">
        <f>IF(AND(J104="OK",ISNUMBER($B$5),$B$5&gt;0,ISNUMBER($B$3),$B$3&gt;0),F104/(6*$B$3*1000000*$B$5)*(IF(B104&lt;($B$4*7/10),($B$4*7/10)*(MIN(C104,($B$4*7/10))^3-B104^3)-(MIN(C104,($B$4*7/10))^4-B104^4)/4,0)+IF(C104&gt;($B$4*7/10),($B$4*7/10)^2*(1.5*(C104^2-MAX(B104,($B$4*7/10))^2)-($B$4*7/10)*(C104-MAX(B104,($B$4*7/10)))),0))*1000,0)</f>
        <v>0</v>
      </c>
      <c r="AI104" s="120">
        <f>IF(AND(J104="OK",ISNUMBER($B$5),$B$5&gt;0,ISNUMBER($B$3),$B$3&gt;0),F104/(6*$B$3*1000000*$B$5)*(IF(B104&lt;($B$4*8/10),($B$4*8/10)*(MIN(C104,($B$4*8/10))^3-B104^3)-(MIN(C104,($B$4*8/10))^4-B104^4)/4,0)+IF(C104&gt;($B$4*8/10),($B$4*8/10)^2*(1.5*(C104^2-MAX(B104,($B$4*8/10))^2)-($B$4*8/10)*(C104-MAX(B104,($B$4*8/10)))),0))*1000,0)</f>
        <v>0</v>
      </c>
      <c r="AJ104" s="120">
        <f>IF(AND(J104="OK",ISNUMBER($B$5),$B$5&gt;0,ISNUMBER($B$3),$B$3&gt;0),F104/(6*$B$3*1000000*$B$5)*(IF(B104&lt;($B$4*9/10),($B$4*9/10)*(MIN(C104,($B$4*9/10))^3-B104^3)-(MIN(C104,($B$4*9/10))^4-B104^4)/4,0)+IF(C104&gt;($B$4*9/10),($B$4*9/10)^2*(1.5*(C104^2-MAX(B104,($B$4*9/10))^2)-($B$4*9/10)*(C104-MAX(B104,($B$4*9/10)))),0))*1000,0)</f>
        <v>0</v>
      </c>
      <c r="AK104" s="120">
        <f>IF(AND(J104="OK",ISNUMBER($B$5),$B$5&gt;0,ISNUMBER($B$3),$B$3&gt;0),F104/(6*$B$3*1000000*$B$5)*(IF(B104&lt;($B$4*10/10),($B$4*10/10)*(MIN(C104,($B$4*10/10))^3-B104^3)-(MIN(C104,($B$4*10/10))^4-B104^4)/4,0)+IF(C104&gt;($B$4*10/10),($B$4*10/10)^2*(1.5*(C104^2-MAX(B104,($B$4*10/10))^2)-($B$4*10/10)*(C104-MAX(B104,($B$4*10/10)))),0))*1000,0)</f>
        <v>0</v>
      </c>
      <c r="AM104" s="120">
        <f>IF(AND(V104="OK",ISNUMBER($N$5),$N$5&gt;0,ISNUMBER($N$3),$N$3&gt;0),R104/(6*$N$3*1000000*$N$5)*(IF(N104&lt;($N$4*0/10),($N$4*0/10)*(MIN(O104,($N$4*0/10))^3-N104^3)-(MIN(O104,($N$4*0/10))^4-N104^4)/4,0)+IF(O104&gt;($N$4*0/10),($N$4*0/10)^2*(1.5*(O104^2-MAX(N104,($N$4*0/10))^2)-($N$4*0/10)*(O104-MAX(N104,($N$4*0/10)))),0))*1000,0)</f>
        <v>0</v>
      </c>
      <c r="AN104" s="120">
        <f>IF(AND(V104="OK",ISNUMBER($N$5),$N$5&gt;0,ISNUMBER($N$3),$N$3&gt;0),R104/(6*$N$3*1000000*$N$5)*(IF(N104&lt;($N$4*1/10),($N$4*1/10)*(MIN(O104,($N$4*1/10))^3-N104^3)-(MIN(O104,($N$4*1/10))^4-N104^4)/4,0)+IF(O104&gt;($N$4*1/10),($N$4*1/10)^2*(1.5*(O104^2-MAX(N104,($N$4*1/10))^2)-($N$4*1/10)*(O104-MAX(N104,($N$4*1/10)))),0))*1000,0)</f>
        <v>0</v>
      </c>
      <c r="AO104" s="120">
        <f>IF(AND(V104="OK",ISNUMBER($N$5),$N$5&gt;0,ISNUMBER($N$3),$N$3&gt;0),R104/(6*$N$3*1000000*$N$5)*(IF(N104&lt;($N$4*2/10),($N$4*2/10)*(MIN(O104,($N$4*2/10))^3-N104^3)-(MIN(O104,($N$4*2/10))^4-N104^4)/4,0)+IF(O104&gt;($N$4*2/10),($N$4*2/10)^2*(1.5*(O104^2-MAX(N104,($N$4*2/10))^2)-($N$4*2/10)*(O104-MAX(N104,($N$4*2/10)))),0))*1000,0)</f>
        <v>0</v>
      </c>
      <c r="AP104" s="120">
        <f>IF(AND(V104="OK",ISNUMBER($N$5),$N$5&gt;0,ISNUMBER($N$3),$N$3&gt;0),R104/(6*$N$3*1000000*$N$5)*(IF(N104&lt;($N$4*3/10),($N$4*3/10)*(MIN(O104,($N$4*3/10))^3-N104^3)-(MIN(O104,($N$4*3/10))^4-N104^4)/4,0)+IF(O104&gt;($N$4*3/10),($N$4*3/10)^2*(1.5*(O104^2-MAX(N104,($N$4*3/10))^2)-($N$4*3/10)*(O104-MAX(N104,($N$4*3/10)))),0))*1000,0)</f>
        <v>0</v>
      </c>
      <c r="AQ104" s="120">
        <f>IF(AND(V104="OK",ISNUMBER($N$5),$N$5&gt;0,ISNUMBER($N$3),$N$3&gt;0),R104/(6*$N$3*1000000*$N$5)*(IF(N104&lt;($N$4*4/10),($N$4*4/10)*(MIN(O104,($N$4*4/10))^3-N104^3)-(MIN(O104,($N$4*4/10))^4-N104^4)/4,0)+IF(O104&gt;($N$4*4/10),($N$4*4/10)^2*(1.5*(O104^2-MAX(N104,($N$4*4/10))^2)-($N$4*4/10)*(O104-MAX(N104,($N$4*4/10)))),0))*1000,0)</f>
        <v>0</v>
      </c>
      <c r="AR104" s="120">
        <f>IF(AND(V104="OK",ISNUMBER($N$5),$N$5&gt;0,ISNUMBER($N$3),$N$3&gt;0),R104/(6*$N$3*1000000*$N$5)*(IF(N104&lt;($N$4*5/10),($N$4*5/10)*(MIN(O104,($N$4*5/10))^3-N104^3)-(MIN(O104,($N$4*5/10))^4-N104^4)/4,0)+IF(O104&gt;($N$4*5/10),($N$4*5/10)^2*(1.5*(O104^2-MAX(N104,($N$4*5/10))^2)-($N$4*5/10)*(O104-MAX(N104,($N$4*5/10)))),0))*1000,0)</f>
        <v>0</v>
      </c>
      <c r="AS104" s="120">
        <f>IF(AND(V104="OK",ISNUMBER($N$5),$N$5&gt;0,ISNUMBER($N$3),$N$3&gt;0),R104/(6*$N$3*1000000*$N$5)*(IF(N104&lt;($N$4*6/10),($N$4*6/10)*(MIN(O104,($N$4*6/10))^3-N104^3)-(MIN(O104,($N$4*6/10))^4-N104^4)/4,0)+IF(O104&gt;($N$4*6/10),($N$4*6/10)^2*(1.5*(O104^2-MAX(N104,($N$4*6/10))^2)-($N$4*6/10)*(O104-MAX(N104,($N$4*6/10)))),0))*1000,0)</f>
        <v>0</v>
      </c>
      <c r="AT104" s="120">
        <f>IF(AND(V104="OK",ISNUMBER($N$5),$N$5&gt;0,ISNUMBER($N$3),$N$3&gt;0),R104/(6*$N$3*1000000*$N$5)*(IF(N104&lt;($N$4*7/10),($N$4*7/10)*(MIN(O104,($N$4*7/10))^3-N104^3)-(MIN(O104,($N$4*7/10))^4-N104^4)/4,0)+IF(O104&gt;($N$4*7/10),($N$4*7/10)^2*(1.5*(O104^2-MAX(N104,($N$4*7/10))^2)-($N$4*7/10)*(O104-MAX(N104,($N$4*7/10)))),0))*1000,0)</f>
        <v>0</v>
      </c>
      <c r="AU104" s="120">
        <f>IF(AND(V104="OK",ISNUMBER($N$5),$N$5&gt;0,ISNUMBER($N$3),$N$3&gt;0),R104/(6*$N$3*1000000*$N$5)*(IF(N104&lt;($N$4*8/10),($N$4*8/10)*(MIN(O104,($N$4*8/10))^3-N104^3)-(MIN(O104,($N$4*8/10))^4-N104^4)/4,0)+IF(O104&gt;($N$4*8/10),($N$4*8/10)^2*(1.5*(O104^2-MAX(N104,($N$4*8/10))^2)-($N$4*8/10)*(O104-MAX(N104,($N$4*8/10)))),0))*1000,0)</f>
        <v>0</v>
      </c>
      <c r="AV104" s="120">
        <f>IF(AND(V104="OK",ISNUMBER($N$5),$N$5&gt;0,ISNUMBER($N$3),$N$3&gt;0),R104/(6*$N$3*1000000*$N$5)*(IF(N104&lt;($N$4*9/10),($N$4*9/10)*(MIN(O104,($N$4*9/10))^3-N104^3)-(MIN(O104,($N$4*9/10))^4-N104^4)/4,0)+IF(O104&gt;($N$4*9/10),($N$4*9/10)^2*(1.5*(O104^2-MAX(N104,($N$4*9/10))^2)-($N$4*9/10)*(O104-MAX(N104,($N$4*9/10)))),0))*1000,0)</f>
        <v>0</v>
      </c>
      <c r="AW104" s="120">
        <f>IF(AND(V104="OK",ISNUMBER($N$5),$N$5&gt;0,ISNUMBER($N$3),$N$3&gt;0),R104/(6*$N$3*1000000*$N$5)*(IF(N104&lt;($N$4*10/10),($N$4*10/10)*(MIN(O104,($N$4*10/10))^3-N104^3)-(MIN(O104,($N$4*10/10))^4-N104^4)/4,0)+IF(O104&gt;($N$4*10/10),($N$4*10/10)^2*(1.5*(O104^2-MAX(N104,($N$4*10/10))^2)-($N$4*10/10)*(O104-MAX(N104,($N$4*10/10)))),0))*1000,0)</f>
        <v>0</v>
      </c>
    </row>
    <row r="105" spans="1:49">
      <c r="A105" s="124"/>
      <c r="B105" s="125"/>
      <c r="C105" s="125"/>
      <c r="D105" s="125"/>
      <c r="E105" s="125"/>
      <c r="F105" s="126" t="str">
        <f>IF(J105="OK",D105*E105,"")</f>
        <v/>
      </c>
      <c r="G105" s="126" t="str">
        <f>IF(J105="OK",F105*(C105-B105),"")</f>
        <v/>
      </c>
      <c r="H105" s="126" t="str">
        <f>IF(J105="OK",G105*(C105+B105)/2,"")</f>
        <v/>
      </c>
      <c r="I105" s="126" t="str">
        <f>IF(AND(J105="OK",ISNUMBER($B$5),$B$5&gt;0,ISNUMBER($B$3),$B$3&gt;0),F105*(4*$B$4*(C105^3-B105^3)-(C105^4-B105^4))/(24*$B$3*1000000*$B$5)*1000,"")</f>
        <v/>
      </c>
      <c r="J105" s="120" t="str">
        <f>IF(COUNTA(A105:E105)=0,"",IF(AND(COUNT(B105:E105)=4,B105&gt;=0,C105&gt;B105,C105&lt;=$B$4,D105&gt;=0,E105&gt;0),IF(COUNTIFS($B$13:$B$104,"&lt;"&amp;C105,$C$13:$C$104,"&gt;"&amp;B105)&gt;0,"OVERLAP","OK"),"CHECK INPUTS"))</f>
        <v/>
      </c>
      <c r="M105" s="124"/>
      <c r="N105" s="125"/>
      <c r="O105" s="125"/>
      <c r="P105" s="125"/>
      <c r="Q105" s="125"/>
      <c r="R105" s="126" t="str">
        <f>IF(V105="OK",P105*Q105,"")</f>
        <v/>
      </c>
      <c r="S105" s="126" t="str">
        <f>IF(V105="OK",R105*(O105-N105),"")</f>
        <v/>
      </c>
      <c r="T105" s="126" t="str">
        <f>IF(V105="OK",S105*(O105+N105)/2,"")</f>
        <v/>
      </c>
      <c r="U105" s="126" t="str">
        <f>IF(AND(V105="OK",ISNUMBER($N$5),$N$5&gt;0,ISNUMBER($N$3),$N$3&gt;0),R105*(4*$N$4*(O105^3-N105^3)-(O105^4-N105^4))/(24*$N$3*1000000*$N$5)*1000,"")</f>
        <v/>
      </c>
      <c r="V105" s="120" t="str">
        <f>IF(COUNTA(M105:Q105)=0,"",IF(AND(COUNT(N105:Q105)=4,N105&gt;=0,O105&gt;N105,O105&lt;=$N$4,P105&gt;=0,Q105&gt;0),IF(COUNTIFS($N$13:$N$104,"&lt;"&amp;O105,$O$13:$O$104,"&gt;"&amp;N105)&gt;0,"OVERLAP","OK"),"CHECK INPUTS"))</f>
        <v/>
      </c>
      <c r="AA105" s="120">
        <f>IF(AND(J105="OK",ISNUMBER($B$5),$B$5&gt;0,ISNUMBER($B$3),$B$3&gt;0),F105/(6*$B$3*1000000*$B$5)*(IF(B105&lt;($B$4*0/10),($B$4*0/10)*(MIN(C105,($B$4*0/10))^3-B105^3)-(MIN(C105,($B$4*0/10))^4-B105^4)/4,0)+IF(C105&gt;($B$4*0/10),($B$4*0/10)^2*(1.5*(C105^2-MAX(B105,($B$4*0/10))^2)-($B$4*0/10)*(C105-MAX(B105,($B$4*0/10)))),0))*1000,0)</f>
        <v>0</v>
      </c>
      <c r="AB105" s="120">
        <f>IF(AND(J105="OK",ISNUMBER($B$5),$B$5&gt;0,ISNUMBER($B$3),$B$3&gt;0),F105/(6*$B$3*1000000*$B$5)*(IF(B105&lt;($B$4*1/10),($B$4*1/10)*(MIN(C105,($B$4*1/10))^3-B105^3)-(MIN(C105,($B$4*1/10))^4-B105^4)/4,0)+IF(C105&gt;($B$4*1/10),($B$4*1/10)^2*(1.5*(C105^2-MAX(B105,($B$4*1/10))^2)-($B$4*1/10)*(C105-MAX(B105,($B$4*1/10)))),0))*1000,0)</f>
        <v>0</v>
      </c>
      <c r="AC105" s="120">
        <f>IF(AND(J105="OK",ISNUMBER($B$5),$B$5&gt;0,ISNUMBER($B$3),$B$3&gt;0),F105/(6*$B$3*1000000*$B$5)*(IF(B105&lt;($B$4*2/10),($B$4*2/10)*(MIN(C105,($B$4*2/10))^3-B105^3)-(MIN(C105,($B$4*2/10))^4-B105^4)/4,0)+IF(C105&gt;($B$4*2/10),($B$4*2/10)^2*(1.5*(C105^2-MAX(B105,($B$4*2/10))^2)-($B$4*2/10)*(C105-MAX(B105,($B$4*2/10)))),0))*1000,0)</f>
        <v>0</v>
      </c>
      <c r="AD105" s="120">
        <f>IF(AND(J105="OK",ISNUMBER($B$5),$B$5&gt;0,ISNUMBER($B$3),$B$3&gt;0),F105/(6*$B$3*1000000*$B$5)*(IF(B105&lt;($B$4*3/10),($B$4*3/10)*(MIN(C105,($B$4*3/10))^3-B105^3)-(MIN(C105,($B$4*3/10))^4-B105^4)/4,0)+IF(C105&gt;($B$4*3/10),($B$4*3/10)^2*(1.5*(C105^2-MAX(B105,($B$4*3/10))^2)-($B$4*3/10)*(C105-MAX(B105,($B$4*3/10)))),0))*1000,0)</f>
        <v>0</v>
      </c>
      <c r="AE105" s="120">
        <f>IF(AND(J105="OK",ISNUMBER($B$5),$B$5&gt;0,ISNUMBER($B$3),$B$3&gt;0),F105/(6*$B$3*1000000*$B$5)*(IF(B105&lt;($B$4*4/10),($B$4*4/10)*(MIN(C105,($B$4*4/10))^3-B105^3)-(MIN(C105,($B$4*4/10))^4-B105^4)/4,0)+IF(C105&gt;($B$4*4/10),($B$4*4/10)^2*(1.5*(C105^2-MAX(B105,($B$4*4/10))^2)-($B$4*4/10)*(C105-MAX(B105,($B$4*4/10)))),0))*1000,0)</f>
        <v>0</v>
      </c>
      <c r="AF105" s="120">
        <f>IF(AND(J105="OK",ISNUMBER($B$5),$B$5&gt;0,ISNUMBER($B$3),$B$3&gt;0),F105/(6*$B$3*1000000*$B$5)*(IF(B105&lt;($B$4*5/10),($B$4*5/10)*(MIN(C105,($B$4*5/10))^3-B105^3)-(MIN(C105,($B$4*5/10))^4-B105^4)/4,0)+IF(C105&gt;($B$4*5/10),($B$4*5/10)^2*(1.5*(C105^2-MAX(B105,($B$4*5/10))^2)-($B$4*5/10)*(C105-MAX(B105,($B$4*5/10)))),0))*1000,0)</f>
        <v>0</v>
      </c>
      <c r="AG105" s="120">
        <f>IF(AND(J105="OK",ISNUMBER($B$5),$B$5&gt;0,ISNUMBER($B$3),$B$3&gt;0),F105/(6*$B$3*1000000*$B$5)*(IF(B105&lt;($B$4*6/10),($B$4*6/10)*(MIN(C105,($B$4*6/10))^3-B105^3)-(MIN(C105,($B$4*6/10))^4-B105^4)/4,0)+IF(C105&gt;($B$4*6/10),($B$4*6/10)^2*(1.5*(C105^2-MAX(B105,($B$4*6/10))^2)-($B$4*6/10)*(C105-MAX(B105,($B$4*6/10)))),0))*1000,0)</f>
        <v>0</v>
      </c>
      <c r="AH105" s="120">
        <f>IF(AND(J105="OK",ISNUMBER($B$5),$B$5&gt;0,ISNUMBER($B$3),$B$3&gt;0),F105/(6*$B$3*1000000*$B$5)*(IF(B105&lt;($B$4*7/10),($B$4*7/10)*(MIN(C105,($B$4*7/10))^3-B105^3)-(MIN(C105,($B$4*7/10))^4-B105^4)/4,0)+IF(C105&gt;($B$4*7/10),($B$4*7/10)^2*(1.5*(C105^2-MAX(B105,($B$4*7/10))^2)-($B$4*7/10)*(C105-MAX(B105,($B$4*7/10)))),0))*1000,0)</f>
        <v>0</v>
      </c>
      <c r="AI105" s="120">
        <f>IF(AND(J105="OK",ISNUMBER($B$5),$B$5&gt;0,ISNUMBER($B$3),$B$3&gt;0),F105/(6*$B$3*1000000*$B$5)*(IF(B105&lt;($B$4*8/10),($B$4*8/10)*(MIN(C105,($B$4*8/10))^3-B105^3)-(MIN(C105,($B$4*8/10))^4-B105^4)/4,0)+IF(C105&gt;($B$4*8/10),($B$4*8/10)^2*(1.5*(C105^2-MAX(B105,($B$4*8/10))^2)-($B$4*8/10)*(C105-MAX(B105,($B$4*8/10)))),0))*1000,0)</f>
        <v>0</v>
      </c>
      <c r="AJ105" s="120">
        <f>IF(AND(J105="OK",ISNUMBER($B$5),$B$5&gt;0,ISNUMBER($B$3),$B$3&gt;0),F105/(6*$B$3*1000000*$B$5)*(IF(B105&lt;($B$4*9/10),($B$4*9/10)*(MIN(C105,($B$4*9/10))^3-B105^3)-(MIN(C105,($B$4*9/10))^4-B105^4)/4,0)+IF(C105&gt;($B$4*9/10),($B$4*9/10)^2*(1.5*(C105^2-MAX(B105,($B$4*9/10))^2)-($B$4*9/10)*(C105-MAX(B105,($B$4*9/10)))),0))*1000,0)</f>
        <v>0</v>
      </c>
      <c r="AK105" s="120">
        <f>IF(AND(J105="OK",ISNUMBER($B$5),$B$5&gt;0,ISNUMBER($B$3),$B$3&gt;0),F105/(6*$B$3*1000000*$B$5)*(IF(B105&lt;($B$4*10/10),($B$4*10/10)*(MIN(C105,($B$4*10/10))^3-B105^3)-(MIN(C105,($B$4*10/10))^4-B105^4)/4,0)+IF(C105&gt;($B$4*10/10),($B$4*10/10)^2*(1.5*(C105^2-MAX(B105,($B$4*10/10))^2)-($B$4*10/10)*(C105-MAX(B105,($B$4*10/10)))),0))*1000,0)</f>
        <v>0</v>
      </c>
      <c r="AM105" s="120">
        <f>IF(AND(V105="OK",ISNUMBER($N$5),$N$5&gt;0,ISNUMBER($N$3),$N$3&gt;0),R105/(6*$N$3*1000000*$N$5)*(IF(N105&lt;($N$4*0/10),($N$4*0/10)*(MIN(O105,($N$4*0/10))^3-N105^3)-(MIN(O105,($N$4*0/10))^4-N105^4)/4,0)+IF(O105&gt;($N$4*0/10),($N$4*0/10)^2*(1.5*(O105^2-MAX(N105,($N$4*0/10))^2)-($N$4*0/10)*(O105-MAX(N105,($N$4*0/10)))),0))*1000,0)</f>
        <v>0</v>
      </c>
      <c r="AN105" s="120">
        <f>IF(AND(V105="OK",ISNUMBER($N$5),$N$5&gt;0,ISNUMBER($N$3),$N$3&gt;0),R105/(6*$N$3*1000000*$N$5)*(IF(N105&lt;($N$4*1/10),($N$4*1/10)*(MIN(O105,($N$4*1/10))^3-N105^3)-(MIN(O105,($N$4*1/10))^4-N105^4)/4,0)+IF(O105&gt;($N$4*1/10),($N$4*1/10)^2*(1.5*(O105^2-MAX(N105,($N$4*1/10))^2)-($N$4*1/10)*(O105-MAX(N105,($N$4*1/10)))),0))*1000,0)</f>
        <v>0</v>
      </c>
      <c r="AO105" s="120">
        <f>IF(AND(V105="OK",ISNUMBER($N$5),$N$5&gt;0,ISNUMBER($N$3),$N$3&gt;0),R105/(6*$N$3*1000000*$N$5)*(IF(N105&lt;($N$4*2/10),($N$4*2/10)*(MIN(O105,($N$4*2/10))^3-N105^3)-(MIN(O105,($N$4*2/10))^4-N105^4)/4,0)+IF(O105&gt;($N$4*2/10),($N$4*2/10)^2*(1.5*(O105^2-MAX(N105,($N$4*2/10))^2)-($N$4*2/10)*(O105-MAX(N105,($N$4*2/10)))),0))*1000,0)</f>
        <v>0</v>
      </c>
      <c r="AP105" s="120">
        <f>IF(AND(V105="OK",ISNUMBER($N$5),$N$5&gt;0,ISNUMBER($N$3),$N$3&gt;0),R105/(6*$N$3*1000000*$N$5)*(IF(N105&lt;($N$4*3/10),($N$4*3/10)*(MIN(O105,($N$4*3/10))^3-N105^3)-(MIN(O105,($N$4*3/10))^4-N105^4)/4,0)+IF(O105&gt;($N$4*3/10),($N$4*3/10)^2*(1.5*(O105^2-MAX(N105,($N$4*3/10))^2)-($N$4*3/10)*(O105-MAX(N105,($N$4*3/10)))),0))*1000,0)</f>
        <v>0</v>
      </c>
      <c r="AQ105" s="120">
        <f>IF(AND(V105="OK",ISNUMBER($N$5),$N$5&gt;0,ISNUMBER($N$3),$N$3&gt;0),R105/(6*$N$3*1000000*$N$5)*(IF(N105&lt;($N$4*4/10),($N$4*4/10)*(MIN(O105,($N$4*4/10))^3-N105^3)-(MIN(O105,($N$4*4/10))^4-N105^4)/4,0)+IF(O105&gt;($N$4*4/10),($N$4*4/10)^2*(1.5*(O105^2-MAX(N105,($N$4*4/10))^2)-($N$4*4/10)*(O105-MAX(N105,($N$4*4/10)))),0))*1000,0)</f>
        <v>0</v>
      </c>
      <c r="AR105" s="120">
        <f>IF(AND(V105="OK",ISNUMBER($N$5),$N$5&gt;0,ISNUMBER($N$3),$N$3&gt;0),R105/(6*$N$3*1000000*$N$5)*(IF(N105&lt;($N$4*5/10),($N$4*5/10)*(MIN(O105,($N$4*5/10))^3-N105^3)-(MIN(O105,($N$4*5/10))^4-N105^4)/4,0)+IF(O105&gt;($N$4*5/10),($N$4*5/10)^2*(1.5*(O105^2-MAX(N105,($N$4*5/10))^2)-($N$4*5/10)*(O105-MAX(N105,($N$4*5/10)))),0))*1000,0)</f>
        <v>0</v>
      </c>
      <c r="AS105" s="120">
        <f>IF(AND(V105="OK",ISNUMBER($N$5),$N$5&gt;0,ISNUMBER($N$3),$N$3&gt;0),R105/(6*$N$3*1000000*$N$5)*(IF(N105&lt;($N$4*6/10),($N$4*6/10)*(MIN(O105,($N$4*6/10))^3-N105^3)-(MIN(O105,($N$4*6/10))^4-N105^4)/4,0)+IF(O105&gt;($N$4*6/10),($N$4*6/10)^2*(1.5*(O105^2-MAX(N105,($N$4*6/10))^2)-($N$4*6/10)*(O105-MAX(N105,($N$4*6/10)))),0))*1000,0)</f>
        <v>0</v>
      </c>
      <c r="AT105" s="120">
        <f>IF(AND(V105="OK",ISNUMBER($N$5),$N$5&gt;0,ISNUMBER($N$3),$N$3&gt;0),R105/(6*$N$3*1000000*$N$5)*(IF(N105&lt;($N$4*7/10),($N$4*7/10)*(MIN(O105,($N$4*7/10))^3-N105^3)-(MIN(O105,($N$4*7/10))^4-N105^4)/4,0)+IF(O105&gt;($N$4*7/10),($N$4*7/10)^2*(1.5*(O105^2-MAX(N105,($N$4*7/10))^2)-($N$4*7/10)*(O105-MAX(N105,($N$4*7/10)))),0))*1000,0)</f>
        <v>0</v>
      </c>
      <c r="AU105" s="120">
        <f>IF(AND(V105="OK",ISNUMBER($N$5),$N$5&gt;0,ISNUMBER($N$3),$N$3&gt;0),R105/(6*$N$3*1000000*$N$5)*(IF(N105&lt;($N$4*8/10),($N$4*8/10)*(MIN(O105,($N$4*8/10))^3-N105^3)-(MIN(O105,($N$4*8/10))^4-N105^4)/4,0)+IF(O105&gt;($N$4*8/10),($N$4*8/10)^2*(1.5*(O105^2-MAX(N105,($N$4*8/10))^2)-($N$4*8/10)*(O105-MAX(N105,($N$4*8/10)))),0))*1000,0)</f>
        <v>0</v>
      </c>
      <c r="AV105" s="120">
        <f>IF(AND(V105="OK",ISNUMBER($N$5),$N$5&gt;0,ISNUMBER($N$3),$N$3&gt;0),R105/(6*$N$3*1000000*$N$5)*(IF(N105&lt;($N$4*9/10),($N$4*9/10)*(MIN(O105,($N$4*9/10))^3-N105^3)-(MIN(O105,($N$4*9/10))^4-N105^4)/4,0)+IF(O105&gt;($N$4*9/10),($N$4*9/10)^2*(1.5*(O105^2-MAX(N105,($N$4*9/10))^2)-($N$4*9/10)*(O105-MAX(N105,($N$4*9/10)))),0))*1000,0)</f>
        <v>0</v>
      </c>
      <c r="AW105" s="120">
        <f>IF(AND(V105="OK",ISNUMBER($N$5),$N$5&gt;0,ISNUMBER($N$3),$N$3&gt;0),R105/(6*$N$3*1000000*$N$5)*(IF(N105&lt;($N$4*10/10),($N$4*10/10)*(MIN(O105,($N$4*10/10))^3-N105^3)-(MIN(O105,($N$4*10/10))^4-N105^4)/4,0)+IF(O105&gt;($N$4*10/10),($N$4*10/10)^2*(1.5*(O105^2-MAX(N105,($N$4*10/10))^2)-($N$4*10/10)*(O105-MAX(N105,($N$4*10/10)))),0))*1000,0)</f>
        <v>0</v>
      </c>
    </row>
    <row r="106" spans="1:49">
      <c r="A106" s="124"/>
      <c r="B106" s="125"/>
      <c r="C106" s="125"/>
      <c r="D106" s="125"/>
      <c r="E106" s="125"/>
      <c r="F106" s="126" t="str">
        <f>IF(J106="OK",D106*E106,"")</f>
        <v/>
      </c>
      <c r="G106" s="126" t="str">
        <f>IF(J106="OK",F106*(C106-B106),"")</f>
        <v/>
      </c>
      <c r="H106" s="126" t="str">
        <f>IF(J106="OK",G106*(C106+B106)/2,"")</f>
        <v/>
      </c>
      <c r="I106" s="126" t="str">
        <f>IF(AND(J106="OK",ISNUMBER($B$5),$B$5&gt;0,ISNUMBER($B$3),$B$3&gt;0),F106*(4*$B$4*(C106^3-B106^3)-(C106^4-B106^4))/(24*$B$3*1000000*$B$5)*1000,"")</f>
        <v/>
      </c>
      <c r="J106" s="120" t="str">
        <f>IF(COUNTA(A106:E106)=0,"",IF(AND(COUNT(B106:E106)=4,B106&gt;=0,C106&gt;B106,C106&lt;=$B$4,D106&gt;=0,E106&gt;0),IF(COUNTIFS($B$13:$B$105,"&lt;"&amp;C106,$C$13:$C$105,"&gt;"&amp;B106)&gt;0,"OVERLAP","OK"),"CHECK INPUTS"))</f>
        <v/>
      </c>
      <c r="M106" s="124"/>
      <c r="N106" s="125"/>
      <c r="O106" s="125"/>
      <c r="P106" s="125"/>
      <c r="Q106" s="125"/>
      <c r="R106" s="126" t="str">
        <f>IF(V106="OK",P106*Q106,"")</f>
        <v/>
      </c>
      <c r="S106" s="126" t="str">
        <f>IF(V106="OK",R106*(O106-N106),"")</f>
        <v/>
      </c>
      <c r="T106" s="126" t="str">
        <f>IF(V106="OK",S106*(O106+N106)/2,"")</f>
        <v/>
      </c>
      <c r="U106" s="126" t="str">
        <f>IF(AND(V106="OK",ISNUMBER($N$5),$N$5&gt;0,ISNUMBER($N$3),$N$3&gt;0),R106*(4*$N$4*(O106^3-N106^3)-(O106^4-N106^4))/(24*$N$3*1000000*$N$5)*1000,"")</f>
        <v/>
      </c>
      <c r="V106" s="120" t="str">
        <f>IF(COUNTA(M106:Q106)=0,"",IF(AND(COUNT(N106:Q106)=4,N106&gt;=0,O106&gt;N106,O106&lt;=$N$4,P106&gt;=0,Q106&gt;0),IF(COUNTIFS($N$13:$N$105,"&lt;"&amp;O106,$O$13:$O$105,"&gt;"&amp;N106)&gt;0,"OVERLAP","OK"),"CHECK INPUTS"))</f>
        <v/>
      </c>
      <c r="AA106" s="120">
        <f>IF(AND(J106="OK",ISNUMBER($B$5),$B$5&gt;0,ISNUMBER($B$3),$B$3&gt;0),F106/(6*$B$3*1000000*$B$5)*(IF(B106&lt;($B$4*0/10),($B$4*0/10)*(MIN(C106,($B$4*0/10))^3-B106^3)-(MIN(C106,($B$4*0/10))^4-B106^4)/4,0)+IF(C106&gt;($B$4*0/10),($B$4*0/10)^2*(1.5*(C106^2-MAX(B106,($B$4*0/10))^2)-($B$4*0/10)*(C106-MAX(B106,($B$4*0/10)))),0))*1000,0)</f>
        <v>0</v>
      </c>
      <c r="AB106" s="120">
        <f>IF(AND(J106="OK",ISNUMBER($B$5),$B$5&gt;0,ISNUMBER($B$3),$B$3&gt;0),F106/(6*$B$3*1000000*$B$5)*(IF(B106&lt;($B$4*1/10),($B$4*1/10)*(MIN(C106,($B$4*1/10))^3-B106^3)-(MIN(C106,($B$4*1/10))^4-B106^4)/4,0)+IF(C106&gt;($B$4*1/10),($B$4*1/10)^2*(1.5*(C106^2-MAX(B106,($B$4*1/10))^2)-($B$4*1/10)*(C106-MAX(B106,($B$4*1/10)))),0))*1000,0)</f>
        <v>0</v>
      </c>
      <c r="AC106" s="120">
        <f>IF(AND(J106="OK",ISNUMBER($B$5),$B$5&gt;0,ISNUMBER($B$3),$B$3&gt;0),F106/(6*$B$3*1000000*$B$5)*(IF(B106&lt;($B$4*2/10),($B$4*2/10)*(MIN(C106,($B$4*2/10))^3-B106^3)-(MIN(C106,($B$4*2/10))^4-B106^4)/4,0)+IF(C106&gt;($B$4*2/10),($B$4*2/10)^2*(1.5*(C106^2-MAX(B106,($B$4*2/10))^2)-($B$4*2/10)*(C106-MAX(B106,($B$4*2/10)))),0))*1000,0)</f>
        <v>0</v>
      </c>
      <c r="AD106" s="120">
        <f>IF(AND(J106="OK",ISNUMBER($B$5),$B$5&gt;0,ISNUMBER($B$3),$B$3&gt;0),F106/(6*$B$3*1000000*$B$5)*(IF(B106&lt;($B$4*3/10),($B$4*3/10)*(MIN(C106,($B$4*3/10))^3-B106^3)-(MIN(C106,($B$4*3/10))^4-B106^4)/4,0)+IF(C106&gt;($B$4*3/10),($B$4*3/10)^2*(1.5*(C106^2-MAX(B106,($B$4*3/10))^2)-($B$4*3/10)*(C106-MAX(B106,($B$4*3/10)))),0))*1000,0)</f>
        <v>0</v>
      </c>
      <c r="AE106" s="120">
        <f>IF(AND(J106="OK",ISNUMBER($B$5),$B$5&gt;0,ISNUMBER($B$3),$B$3&gt;0),F106/(6*$B$3*1000000*$B$5)*(IF(B106&lt;($B$4*4/10),($B$4*4/10)*(MIN(C106,($B$4*4/10))^3-B106^3)-(MIN(C106,($B$4*4/10))^4-B106^4)/4,0)+IF(C106&gt;($B$4*4/10),($B$4*4/10)^2*(1.5*(C106^2-MAX(B106,($B$4*4/10))^2)-($B$4*4/10)*(C106-MAX(B106,($B$4*4/10)))),0))*1000,0)</f>
        <v>0</v>
      </c>
      <c r="AF106" s="120">
        <f>IF(AND(J106="OK",ISNUMBER($B$5),$B$5&gt;0,ISNUMBER($B$3),$B$3&gt;0),F106/(6*$B$3*1000000*$B$5)*(IF(B106&lt;($B$4*5/10),($B$4*5/10)*(MIN(C106,($B$4*5/10))^3-B106^3)-(MIN(C106,($B$4*5/10))^4-B106^4)/4,0)+IF(C106&gt;($B$4*5/10),($B$4*5/10)^2*(1.5*(C106^2-MAX(B106,($B$4*5/10))^2)-($B$4*5/10)*(C106-MAX(B106,($B$4*5/10)))),0))*1000,0)</f>
        <v>0</v>
      </c>
      <c r="AG106" s="120">
        <f>IF(AND(J106="OK",ISNUMBER($B$5),$B$5&gt;0,ISNUMBER($B$3),$B$3&gt;0),F106/(6*$B$3*1000000*$B$5)*(IF(B106&lt;($B$4*6/10),($B$4*6/10)*(MIN(C106,($B$4*6/10))^3-B106^3)-(MIN(C106,($B$4*6/10))^4-B106^4)/4,0)+IF(C106&gt;($B$4*6/10),($B$4*6/10)^2*(1.5*(C106^2-MAX(B106,($B$4*6/10))^2)-($B$4*6/10)*(C106-MAX(B106,($B$4*6/10)))),0))*1000,0)</f>
        <v>0</v>
      </c>
      <c r="AH106" s="120">
        <f>IF(AND(J106="OK",ISNUMBER($B$5),$B$5&gt;0,ISNUMBER($B$3),$B$3&gt;0),F106/(6*$B$3*1000000*$B$5)*(IF(B106&lt;($B$4*7/10),($B$4*7/10)*(MIN(C106,($B$4*7/10))^3-B106^3)-(MIN(C106,($B$4*7/10))^4-B106^4)/4,0)+IF(C106&gt;($B$4*7/10),($B$4*7/10)^2*(1.5*(C106^2-MAX(B106,($B$4*7/10))^2)-($B$4*7/10)*(C106-MAX(B106,($B$4*7/10)))),0))*1000,0)</f>
        <v>0</v>
      </c>
      <c r="AI106" s="120">
        <f>IF(AND(J106="OK",ISNUMBER($B$5),$B$5&gt;0,ISNUMBER($B$3),$B$3&gt;0),F106/(6*$B$3*1000000*$B$5)*(IF(B106&lt;($B$4*8/10),($B$4*8/10)*(MIN(C106,($B$4*8/10))^3-B106^3)-(MIN(C106,($B$4*8/10))^4-B106^4)/4,0)+IF(C106&gt;($B$4*8/10),($B$4*8/10)^2*(1.5*(C106^2-MAX(B106,($B$4*8/10))^2)-($B$4*8/10)*(C106-MAX(B106,($B$4*8/10)))),0))*1000,0)</f>
        <v>0</v>
      </c>
      <c r="AJ106" s="120">
        <f>IF(AND(J106="OK",ISNUMBER($B$5),$B$5&gt;0,ISNUMBER($B$3),$B$3&gt;0),F106/(6*$B$3*1000000*$B$5)*(IF(B106&lt;($B$4*9/10),($B$4*9/10)*(MIN(C106,($B$4*9/10))^3-B106^3)-(MIN(C106,($B$4*9/10))^4-B106^4)/4,0)+IF(C106&gt;($B$4*9/10),($B$4*9/10)^2*(1.5*(C106^2-MAX(B106,($B$4*9/10))^2)-($B$4*9/10)*(C106-MAX(B106,($B$4*9/10)))),0))*1000,0)</f>
        <v>0</v>
      </c>
      <c r="AK106" s="120">
        <f>IF(AND(J106="OK",ISNUMBER($B$5),$B$5&gt;0,ISNUMBER($B$3),$B$3&gt;0),F106/(6*$B$3*1000000*$B$5)*(IF(B106&lt;($B$4*10/10),($B$4*10/10)*(MIN(C106,($B$4*10/10))^3-B106^3)-(MIN(C106,($B$4*10/10))^4-B106^4)/4,0)+IF(C106&gt;($B$4*10/10),($B$4*10/10)^2*(1.5*(C106^2-MAX(B106,($B$4*10/10))^2)-($B$4*10/10)*(C106-MAX(B106,($B$4*10/10)))),0))*1000,0)</f>
        <v>0</v>
      </c>
      <c r="AM106" s="120">
        <f>IF(AND(V106="OK",ISNUMBER($N$5),$N$5&gt;0,ISNUMBER($N$3),$N$3&gt;0),R106/(6*$N$3*1000000*$N$5)*(IF(N106&lt;($N$4*0/10),($N$4*0/10)*(MIN(O106,($N$4*0/10))^3-N106^3)-(MIN(O106,($N$4*0/10))^4-N106^4)/4,0)+IF(O106&gt;($N$4*0/10),($N$4*0/10)^2*(1.5*(O106^2-MAX(N106,($N$4*0/10))^2)-($N$4*0/10)*(O106-MAX(N106,($N$4*0/10)))),0))*1000,0)</f>
        <v>0</v>
      </c>
      <c r="AN106" s="120">
        <f>IF(AND(V106="OK",ISNUMBER($N$5),$N$5&gt;0,ISNUMBER($N$3),$N$3&gt;0),R106/(6*$N$3*1000000*$N$5)*(IF(N106&lt;($N$4*1/10),($N$4*1/10)*(MIN(O106,($N$4*1/10))^3-N106^3)-(MIN(O106,($N$4*1/10))^4-N106^4)/4,0)+IF(O106&gt;($N$4*1/10),($N$4*1/10)^2*(1.5*(O106^2-MAX(N106,($N$4*1/10))^2)-($N$4*1/10)*(O106-MAX(N106,($N$4*1/10)))),0))*1000,0)</f>
        <v>0</v>
      </c>
      <c r="AO106" s="120">
        <f>IF(AND(V106="OK",ISNUMBER($N$5),$N$5&gt;0,ISNUMBER($N$3),$N$3&gt;0),R106/(6*$N$3*1000000*$N$5)*(IF(N106&lt;($N$4*2/10),($N$4*2/10)*(MIN(O106,($N$4*2/10))^3-N106^3)-(MIN(O106,($N$4*2/10))^4-N106^4)/4,0)+IF(O106&gt;($N$4*2/10),($N$4*2/10)^2*(1.5*(O106^2-MAX(N106,($N$4*2/10))^2)-($N$4*2/10)*(O106-MAX(N106,($N$4*2/10)))),0))*1000,0)</f>
        <v>0</v>
      </c>
      <c r="AP106" s="120">
        <f>IF(AND(V106="OK",ISNUMBER($N$5),$N$5&gt;0,ISNUMBER($N$3),$N$3&gt;0),R106/(6*$N$3*1000000*$N$5)*(IF(N106&lt;($N$4*3/10),($N$4*3/10)*(MIN(O106,($N$4*3/10))^3-N106^3)-(MIN(O106,($N$4*3/10))^4-N106^4)/4,0)+IF(O106&gt;($N$4*3/10),($N$4*3/10)^2*(1.5*(O106^2-MAX(N106,($N$4*3/10))^2)-($N$4*3/10)*(O106-MAX(N106,($N$4*3/10)))),0))*1000,0)</f>
        <v>0</v>
      </c>
      <c r="AQ106" s="120">
        <f>IF(AND(V106="OK",ISNUMBER($N$5),$N$5&gt;0,ISNUMBER($N$3),$N$3&gt;0),R106/(6*$N$3*1000000*$N$5)*(IF(N106&lt;($N$4*4/10),($N$4*4/10)*(MIN(O106,($N$4*4/10))^3-N106^3)-(MIN(O106,($N$4*4/10))^4-N106^4)/4,0)+IF(O106&gt;($N$4*4/10),($N$4*4/10)^2*(1.5*(O106^2-MAX(N106,($N$4*4/10))^2)-($N$4*4/10)*(O106-MAX(N106,($N$4*4/10)))),0))*1000,0)</f>
        <v>0</v>
      </c>
      <c r="AR106" s="120">
        <f>IF(AND(V106="OK",ISNUMBER($N$5),$N$5&gt;0,ISNUMBER($N$3),$N$3&gt;0),R106/(6*$N$3*1000000*$N$5)*(IF(N106&lt;($N$4*5/10),($N$4*5/10)*(MIN(O106,($N$4*5/10))^3-N106^3)-(MIN(O106,($N$4*5/10))^4-N106^4)/4,0)+IF(O106&gt;($N$4*5/10),($N$4*5/10)^2*(1.5*(O106^2-MAX(N106,($N$4*5/10))^2)-($N$4*5/10)*(O106-MAX(N106,($N$4*5/10)))),0))*1000,0)</f>
        <v>0</v>
      </c>
      <c r="AS106" s="120">
        <f>IF(AND(V106="OK",ISNUMBER($N$5),$N$5&gt;0,ISNUMBER($N$3),$N$3&gt;0),R106/(6*$N$3*1000000*$N$5)*(IF(N106&lt;($N$4*6/10),($N$4*6/10)*(MIN(O106,($N$4*6/10))^3-N106^3)-(MIN(O106,($N$4*6/10))^4-N106^4)/4,0)+IF(O106&gt;($N$4*6/10),($N$4*6/10)^2*(1.5*(O106^2-MAX(N106,($N$4*6/10))^2)-($N$4*6/10)*(O106-MAX(N106,($N$4*6/10)))),0))*1000,0)</f>
        <v>0</v>
      </c>
      <c r="AT106" s="120">
        <f>IF(AND(V106="OK",ISNUMBER($N$5),$N$5&gt;0,ISNUMBER($N$3),$N$3&gt;0),R106/(6*$N$3*1000000*$N$5)*(IF(N106&lt;($N$4*7/10),($N$4*7/10)*(MIN(O106,($N$4*7/10))^3-N106^3)-(MIN(O106,($N$4*7/10))^4-N106^4)/4,0)+IF(O106&gt;($N$4*7/10),($N$4*7/10)^2*(1.5*(O106^2-MAX(N106,($N$4*7/10))^2)-($N$4*7/10)*(O106-MAX(N106,($N$4*7/10)))),0))*1000,0)</f>
        <v>0</v>
      </c>
      <c r="AU106" s="120">
        <f>IF(AND(V106="OK",ISNUMBER($N$5),$N$5&gt;0,ISNUMBER($N$3),$N$3&gt;0),R106/(6*$N$3*1000000*$N$5)*(IF(N106&lt;($N$4*8/10),($N$4*8/10)*(MIN(O106,($N$4*8/10))^3-N106^3)-(MIN(O106,($N$4*8/10))^4-N106^4)/4,0)+IF(O106&gt;($N$4*8/10),($N$4*8/10)^2*(1.5*(O106^2-MAX(N106,($N$4*8/10))^2)-($N$4*8/10)*(O106-MAX(N106,($N$4*8/10)))),0))*1000,0)</f>
        <v>0</v>
      </c>
      <c r="AV106" s="120">
        <f>IF(AND(V106="OK",ISNUMBER($N$5),$N$5&gt;0,ISNUMBER($N$3),$N$3&gt;0),R106/(6*$N$3*1000000*$N$5)*(IF(N106&lt;($N$4*9/10),($N$4*9/10)*(MIN(O106,($N$4*9/10))^3-N106^3)-(MIN(O106,($N$4*9/10))^4-N106^4)/4,0)+IF(O106&gt;($N$4*9/10),($N$4*9/10)^2*(1.5*(O106^2-MAX(N106,($N$4*9/10))^2)-($N$4*9/10)*(O106-MAX(N106,($N$4*9/10)))),0))*1000,0)</f>
        <v>0</v>
      </c>
      <c r="AW106" s="120">
        <f>IF(AND(V106="OK",ISNUMBER($N$5),$N$5&gt;0,ISNUMBER($N$3),$N$3&gt;0),R106/(6*$N$3*1000000*$N$5)*(IF(N106&lt;($N$4*10/10),($N$4*10/10)*(MIN(O106,($N$4*10/10))^3-N106^3)-(MIN(O106,($N$4*10/10))^4-N106^4)/4,0)+IF(O106&gt;($N$4*10/10),($N$4*10/10)^2*(1.5*(O106^2-MAX(N106,($N$4*10/10))^2)-($N$4*10/10)*(O106-MAX(N106,($N$4*10/10)))),0))*1000,0)</f>
        <v>0</v>
      </c>
    </row>
    <row r="107" spans="1:49">
      <c r="A107" s="124"/>
      <c r="B107" s="125"/>
      <c r="C107" s="125"/>
      <c r="D107" s="125"/>
      <c r="E107" s="125"/>
      <c r="F107" s="126" t="str">
        <f>IF(J107="OK",D107*E107,"")</f>
        <v/>
      </c>
      <c r="G107" s="126" t="str">
        <f>IF(J107="OK",F107*(C107-B107),"")</f>
        <v/>
      </c>
      <c r="H107" s="126" t="str">
        <f>IF(J107="OK",G107*(C107+B107)/2,"")</f>
        <v/>
      </c>
      <c r="I107" s="126" t="str">
        <f>IF(AND(J107="OK",ISNUMBER($B$5),$B$5&gt;0,ISNUMBER($B$3),$B$3&gt;0),F107*(4*$B$4*(C107^3-B107^3)-(C107^4-B107^4))/(24*$B$3*1000000*$B$5)*1000,"")</f>
        <v/>
      </c>
      <c r="J107" s="120" t="str">
        <f>IF(COUNTA(A107:E107)=0,"",IF(AND(COUNT(B107:E107)=4,B107&gt;=0,C107&gt;B107,C107&lt;=$B$4,D107&gt;=0,E107&gt;0),IF(COUNTIFS($B$13:$B$106,"&lt;"&amp;C107,$C$13:$C$106,"&gt;"&amp;B107)&gt;0,"OVERLAP","OK"),"CHECK INPUTS"))</f>
        <v/>
      </c>
      <c r="M107" s="124"/>
      <c r="N107" s="125"/>
      <c r="O107" s="125"/>
      <c r="P107" s="125"/>
      <c r="Q107" s="125"/>
      <c r="R107" s="126" t="str">
        <f>IF(V107="OK",P107*Q107,"")</f>
        <v/>
      </c>
      <c r="S107" s="126" t="str">
        <f>IF(V107="OK",R107*(O107-N107),"")</f>
        <v/>
      </c>
      <c r="T107" s="126" t="str">
        <f>IF(V107="OK",S107*(O107+N107)/2,"")</f>
        <v/>
      </c>
      <c r="U107" s="126" t="str">
        <f>IF(AND(V107="OK",ISNUMBER($N$5),$N$5&gt;0,ISNUMBER($N$3),$N$3&gt;0),R107*(4*$N$4*(O107^3-N107^3)-(O107^4-N107^4))/(24*$N$3*1000000*$N$5)*1000,"")</f>
        <v/>
      </c>
      <c r="V107" s="120" t="str">
        <f>IF(COUNTA(M107:Q107)=0,"",IF(AND(COUNT(N107:Q107)=4,N107&gt;=0,O107&gt;N107,O107&lt;=$N$4,P107&gt;=0,Q107&gt;0),IF(COUNTIFS($N$13:$N$106,"&lt;"&amp;O107,$O$13:$O$106,"&gt;"&amp;N107)&gt;0,"OVERLAP","OK"),"CHECK INPUTS"))</f>
        <v/>
      </c>
      <c r="AA107" s="120">
        <f>IF(AND(J107="OK",ISNUMBER($B$5),$B$5&gt;0,ISNUMBER($B$3),$B$3&gt;0),F107/(6*$B$3*1000000*$B$5)*(IF(B107&lt;($B$4*0/10),($B$4*0/10)*(MIN(C107,($B$4*0/10))^3-B107^3)-(MIN(C107,($B$4*0/10))^4-B107^4)/4,0)+IF(C107&gt;($B$4*0/10),($B$4*0/10)^2*(1.5*(C107^2-MAX(B107,($B$4*0/10))^2)-($B$4*0/10)*(C107-MAX(B107,($B$4*0/10)))),0))*1000,0)</f>
        <v>0</v>
      </c>
      <c r="AB107" s="120">
        <f>IF(AND(J107="OK",ISNUMBER($B$5),$B$5&gt;0,ISNUMBER($B$3),$B$3&gt;0),F107/(6*$B$3*1000000*$B$5)*(IF(B107&lt;($B$4*1/10),($B$4*1/10)*(MIN(C107,($B$4*1/10))^3-B107^3)-(MIN(C107,($B$4*1/10))^4-B107^4)/4,0)+IF(C107&gt;($B$4*1/10),($B$4*1/10)^2*(1.5*(C107^2-MAX(B107,($B$4*1/10))^2)-($B$4*1/10)*(C107-MAX(B107,($B$4*1/10)))),0))*1000,0)</f>
        <v>0</v>
      </c>
      <c r="AC107" s="120">
        <f>IF(AND(J107="OK",ISNUMBER($B$5),$B$5&gt;0,ISNUMBER($B$3),$B$3&gt;0),F107/(6*$B$3*1000000*$B$5)*(IF(B107&lt;($B$4*2/10),($B$4*2/10)*(MIN(C107,($B$4*2/10))^3-B107^3)-(MIN(C107,($B$4*2/10))^4-B107^4)/4,0)+IF(C107&gt;($B$4*2/10),($B$4*2/10)^2*(1.5*(C107^2-MAX(B107,($B$4*2/10))^2)-($B$4*2/10)*(C107-MAX(B107,($B$4*2/10)))),0))*1000,0)</f>
        <v>0</v>
      </c>
      <c r="AD107" s="120">
        <f>IF(AND(J107="OK",ISNUMBER($B$5),$B$5&gt;0,ISNUMBER($B$3),$B$3&gt;0),F107/(6*$B$3*1000000*$B$5)*(IF(B107&lt;($B$4*3/10),($B$4*3/10)*(MIN(C107,($B$4*3/10))^3-B107^3)-(MIN(C107,($B$4*3/10))^4-B107^4)/4,0)+IF(C107&gt;($B$4*3/10),($B$4*3/10)^2*(1.5*(C107^2-MAX(B107,($B$4*3/10))^2)-($B$4*3/10)*(C107-MAX(B107,($B$4*3/10)))),0))*1000,0)</f>
        <v>0</v>
      </c>
      <c r="AE107" s="120">
        <f>IF(AND(J107="OK",ISNUMBER($B$5),$B$5&gt;0,ISNUMBER($B$3),$B$3&gt;0),F107/(6*$B$3*1000000*$B$5)*(IF(B107&lt;($B$4*4/10),($B$4*4/10)*(MIN(C107,($B$4*4/10))^3-B107^3)-(MIN(C107,($B$4*4/10))^4-B107^4)/4,0)+IF(C107&gt;($B$4*4/10),($B$4*4/10)^2*(1.5*(C107^2-MAX(B107,($B$4*4/10))^2)-($B$4*4/10)*(C107-MAX(B107,($B$4*4/10)))),0))*1000,0)</f>
        <v>0</v>
      </c>
      <c r="AF107" s="120">
        <f>IF(AND(J107="OK",ISNUMBER($B$5),$B$5&gt;0,ISNUMBER($B$3),$B$3&gt;0),F107/(6*$B$3*1000000*$B$5)*(IF(B107&lt;($B$4*5/10),($B$4*5/10)*(MIN(C107,($B$4*5/10))^3-B107^3)-(MIN(C107,($B$4*5/10))^4-B107^4)/4,0)+IF(C107&gt;($B$4*5/10),($B$4*5/10)^2*(1.5*(C107^2-MAX(B107,($B$4*5/10))^2)-($B$4*5/10)*(C107-MAX(B107,($B$4*5/10)))),0))*1000,0)</f>
        <v>0</v>
      </c>
      <c r="AG107" s="120">
        <f>IF(AND(J107="OK",ISNUMBER($B$5),$B$5&gt;0,ISNUMBER($B$3),$B$3&gt;0),F107/(6*$B$3*1000000*$B$5)*(IF(B107&lt;($B$4*6/10),($B$4*6/10)*(MIN(C107,($B$4*6/10))^3-B107^3)-(MIN(C107,($B$4*6/10))^4-B107^4)/4,0)+IF(C107&gt;($B$4*6/10),($B$4*6/10)^2*(1.5*(C107^2-MAX(B107,($B$4*6/10))^2)-($B$4*6/10)*(C107-MAX(B107,($B$4*6/10)))),0))*1000,0)</f>
        <v>0</v>
      </c>
      <c r="AH107" s="120">
        <f>IF(AND(J107="OK",ISNUMBER($B$5),$B$5&gt;0,ISNUMBER($B$3),$B$3&gt;0),F107/(6*$B$3*1000000*$B$5)*(IF(B107&lt;($B$4*7/10),($B$4*7/10)*(MIN(C107,($B$4*7/10))^3-B107^3)-(MIN(C107,($B$4*7/10))^4-B107^4)/4,0)+IF(C107&gt;($B$4*7/10),($B$4*7/10)^2*(1.5*(C107^2-MAX(B107,($B$4*7/10))^2)-($B$4*7/10)*(C107-MAX(B107,($B$4*7/10)))),0))*1000,0)</f>
        <v>0</v>
      </c>
      <c r="AI107" s="120">
        <f>IF(AND(J107="OK",ISNUMBER($B$5),$B$5&gt;0,ISNUMBER($B$3),$B$3&gt;0),F107/(6*$B$3*1000000*$B$5)*(IF(B107&lt;($B$4*8/10),($B$4*8/10)*(MIN(C107,($B$4*8/10))^3-B107^3)-(MIN(C107,($B$4*8/10))^4-B107^4)/4,0)+IF(C107&gt;($B$4*8/10),($B$4*8/10)^2*(1.5*(C107^2-MAX(B107,($B$4*8/10))^2)-($B$4*8/10)*(C107-MAX(B107,($B$4*8/10)))),0))*1000,0)</f>
        <v>0</v>
      </c>
      <c r="AJ107" s="120">
        <f>IF(AND(J107="OK",ISNUMBER($B$5),$B$5&gt;0,ISNUMBER($B$3),$B$3&gt;0),F107/(6*$B$3*1000000*$B$5)*(IF(B107&lt;($B$4*9/10),($B$4*9/10)*(MIN(C107,($B$4*9/10))^3-B107^3)-(MIN(C107,($B$4*9/10))^4-B107^4)/4,0)+IF(C107&gt;($B$4*9/10),($B$4*9/10)^2*(1.5*(C107^2-MAX(B107,($B$4*9/10))^2)-($B$4*9/10)*(C107-MAX(B107,($B$4*9/10)))),0))*1000,0)</f>
        <v>0</v>
      </c>
      <c r="AK107" s="120">
        <f>IF(AND(J107="OK",ISNUMBER($B$5),$B$5&gt;0,ISNUMBER($B$3),$B$3&gt;0),F107/(6*$B$3*1000000*$B$5)*(IF(B107&lt;($B$4*10/10),($B$4*10/10)*(MIN(C107,($B$4*10/10))^3-B107^3)-(MIN(C107,($B$4*10/10))^4-B107^4)/4,0)+IF(C107&gt;($B$4*10/10),($B$4*10/10)^2*(1.5*(C107^2-MAX(B107,($B$4*10/10))^2)-($B$4*10/10)*(C107-MAX(B107,($B$4*10/10)))),0))*1000,0)</f>
        <v>0</v>
      </c>
      <c r="AM107" s="120">
        <f>IF(AND(V107="OK",ISNUMBER($N$5),$N$5&gt;0,ISNUMBER($N$3),$N$3&gt;0),R107/(6*$N$3*1000000*$N$5)*(IF(N107&lt;($N$4*0/10),($N$4*0/10)*(MIN(O107,($N$4*0/10))^3-N107^3)-(MIN(O107,($N$4*0/10))^4-N107^4)/4,0)+IF(O107&gt;($N$4*0/10),($N$4*0/10)^2*(1.5*(O107^2-MAX(N107,($N$4*0/10))^2)-($N$4*0/10)*(O107-MAX(N107,($N$4*0/10)))),0))*1000,0)</f>
        <v>0</v>
      </c>
      <c r="AN107" s="120">
        <f>IF(AND(V107="OK",ISNUMBER($N$5),$N$5&gt;0,ISNUMBER($N$3),$N$3&gt;0),R107/(6*$N$3*1000000*$N$5)*(IF(N107&lt;($N$4*1/10),($N$4*1/10)*(MIN(O107,($N$4*1/10))^3-N107^3)-(MIN(O107,($N$4*1/10))^4-N107^4)/4,0)+IF(O107&gt;($N$4*1/10),($N$4*1/10)^2*(1.5*(O107^2-MAX(N107,($N$4*1/10))^2)-($N$4*1/10)*(O107-MAX(N107,($N$4*1/10)))),0))*1000,0)</f>
        <v>0</v>
      </c>
      <c r="AO107" s="120">
        <f>IF(AND(V107="OK",ISNUMBER($N$5),$N$5&gt;0,ISNUMBER($N$3),$N$3&gt;0),R107/(6*$N$3*1000000*$N$5)*(IF(N107&lt;($N$4*2/10),($N$4*2/10)*(MIN(O107,($N$4*2/10))^3-N107^3)-(MIN(O107,($N$4*2/10))^4-N107^4)/4,0)+IF(O107&gt;($N$4*2/10),($N$4*2/10)^2*(1.5*(O107^2-MAX(N107,($N$4*2/10))^2)-($N$4*2/10)*(O107-MAX(N107,($N$4*2/10)))),0))*1000,0)</f>
        <v>0</v>
      </c>
      <c r="AP107" s="120">
        <f>IF(AND(V107="OK",ISNUMBER($N$5),$N$5&gt;0,ISNUMBER($N$3),$N$3&gt;0),R107/(6*$N$3*1000000*$N$5)*(IF(N107&lt;($N$4*3/10),($N$4*3/10)*(MIN(O107,($N$4*3/10))^3-N107^3)-(MIN(O107,($N$4*3/10))^4-N107^4)/4,0)+IF(O107&gt;($N$4*3/10),($N$4*3/10)^2*(1.5*(O107^2-MAX(N107,($N$4*3/10))^2)-($N$4*3/10)*(O107-MAX(N107,($N$4*3/10)))),0))*1000,0)</f>
        <v>0</v>
      </c>
      <c r="AQ107" s="120">
        <f>IF(AND(V107="OK",ISNUMBER($N$5),$N$5&gt;0,ISNUMBER($N$3),$N$3&gt;0),R107/(6*$N$3*1000000*$N$5)*(IF(N107&lt;($N$4*4/10),($N$4*4/10)*(MIN(O107,($N$4*4/10))^3-N107^3)-(MIN(O107,($N$4*4/10))^4-N107^4)/4,0)+IF(O107&gt;($N$4*4/10),($N$4*4/10)^2*(1.5*(O107^2-MAX(N107,($N$4*4/10))^2)-($N$4*4/10)*(O107-MAX(N107,($N$4*4/10)))),0))*1000,0)</f>
        <v>0</v>
      </c>
      <c r="AR107" s="120">
        <f>IF(AND(V107="OK",ISNUMBER($N$5),$N$5&gt;0,ISNUMBER($N$3),$N$3&gt;0),R107/(6*$N$3*1000000*$N$5)*(IF(N107&lt;($N$4*5/10),($N$4*5/10)*(MIN(O107,($N$4*5/10))^3-N107^3)-(MIN(O107,($N$4*5/10))^4-N107^4)/4,0)+IF(O107&gt;($N$4*5/10),($N$4*5/10)^2*(1.5*(O107^2-MAX(N107,($N$4*5/10))^2)-($N$4*5/10)*(O107-MAX(N107,($N$4*5/10)))),0))*1000,0)</f>
        <v>0</v>
      </c>
      <c r="AS107" s="120">
        <f>IF(AND(V107="OK",ISNUMBER($N$5),$N$5&gt;0,ISNUMBER($N$3),$N$3&gt;0),R107/(6*$N$3*1000000*$N$5)*(IF(N107&lt;($N$4*6/10),($N$4*6/10)*(MIN(O107,($N$4*6/10))^3-N107^3)-(MIN(O107,($N$4*6/10))^4-N107^4)/4,0)+IF(O107&gt;($N$4*6/10),($N$4*6/10)^2*(1.5*(O107^2-MAX(N107,($N$4*6/10))^2)-($N$4*6/10)*(O107-MAX(N107,($N$4*6/10)))),0))*1000,0)</f>
        <v>0</v>
      </c>
      <c r="AT107" s="120">
        <f>IF(AND(V107="OK",ISNUMBER($N$5),$N$5&gt;0,ISNUMBER($N$3),$N$3&gt;0),R107/(6*$N$3*1000000*$N$5)*(IF(N107&lt;($N$4*7/10),($N$4*7/10)*(MIN(O107,($N$4*7/10))^3-N107^3)-(MIN(O107,($N$4*7/10))^4-N107^4)/4,0)+IF(O107&gt;($N$4*7/10),($N$4*7/10)^2*(1.5*(O107^2-MAX(N107,($N$4*7/10))^2)-($N$4*7/10)*(O107-MAX(N107,($N$4*7/10)))),0))*1000,0)</f>
        <v>0</v>
      </c>
      <c r="AU107" s="120">
        <f>IF(AND(V107="OK",ISNUMBER($N$5),$N$5&gt;0,ISNUMBER($N$3),$N$3&gt;0),R107/(6*$N$3*1000000*$N$5)*(IF(N107&lt;($N$4*8/10),($N$4*8/10)*(MIN(O107,($N$4*8/10))^3-N107^3)-(MIN(O107,($N$4*8/10))^4-N107^4)/4,0)+IF(O107&gt;($N$4*8/10),($N$4*8/10)^2*(1.5*(O107^2-MAX(N107,($N$4*8/10))^2)-($N$4*8/10)*(O107-MAX(N107,($N$4*8/10)))),0))*1000,0)</f>
        <v>0</v>
      </c>
      <c r="AV107" s="120">
        <f>IF(AND(V107="OK",ISNUMBER($N$5),$N$5&gt;0,ISNUMBER($N$3),$N$3&gt;0),R107/(6*$N$3*1000000*$N$5)*(IF(N107&lt;($N$4*9/10),($N$4*9/10)*(MIN(O107,($N$4*9/10))^3-N107^3)-(MIN(O107,($N$4*9/10))^4-N107^4)/4,0)+IF(O107&gt;($N$4*9/10),($N$4*9/10)^2*(1.5*(O107^2-MAX(N107,($N$4*9/10))^2)-($N$4*9/10)*(O107-MAX(N107,($N$4*9/10)))),0))*1000,0)</f>
        <v>0</v>
      </c>
      <c r="AW107" s="120">
        <f>IF(AND(V107="OK",ISNUMBER($N$5),$N$5&gt;0,ISNUMBER($N$3),$N$3&gt;0),R107/(6*$N$3*1000000*$N$5)*(IF(N107&lt;($N$4*10/10),($N$4*10/10)*(MIN(O107,($N$4*10/10))^3-N107^3)-(MIN(O107,($N$4*10/10))^4-N107^4)/4,0)+IF(O107&gt;($N$4*10/10),($N$4*10/10)^2*(1.5*(O107^2-MAX(N107,($N$4*10/10))^2)-($N$4*10/10)*(O107-MAX(N107,($N$4*10/10)))),0))*1000,0)</f>
        <v>0</v>
      </c>
    </row>
    <row r="108" spans="1:49">
      <c r="A108" s="124"/>
      <c r="B108" s="125"/>
      <c r="C108" s="125"/>
      <c r="D108" s="125"/>
      <c r="E108" s="125"/>
      <c r="F108" s="126" t="str">
        <f>IF(J108="OK",D108*E108,"")</f>
        <v/>
      </c>
      <c r="G108" s="126" t="str">
        <f>IF(J108="OK",F108*(C108-B108),"")</f>
        <v/>
      </c>
      <c r="H108" s="126" t="str">
        <f>IF(J108="OK",G108*(C108+B108)/2,"")</f>
        <v/>
      </c>
      <c r="I108" s="126" t="str">
        <f>IF(AND(J108="OK",ISNUMBER($B$5),$B$5&gt;0,ISNUMBER($B$3),$B$3&gt;0),F108*(4*$B$4*(C108^3-B108^3)-(C108^4-B108^4))/(24*$B$3*1000000*$B$5)*1000,"")</f>
        <v/>
      </c>
      <c r="J108" s="120" t="str">
        <f>IF(COUNTA(A108:E108)=0,"",IF(AND(COUNT(B108:E108)=4,B108&gt;=0,C108&gt;B108,C108&lt;=$B$4,D108&gt;=0,E108&gt;0),IF(COUNTIFS($B$13:$B$107,"&lt;"&amp;C108,$C$13:$C$107,"&gt;"&amp;B108)&gt;0,"OVERLAP","OK"),"CHECK INPUTS"))</f>
        <v/>
      </c>
      <c r="M108" s="124"/>
      <c r="N108" s="125"/>
      <c r="O108" s="125"/>
      <c r="P108" s="125"/>
      <c r="Q108" s="125"/>
      <c r="R108" s="126" t="str">
        <f>IF(V108="OK",P108*Q108,"")</f>
        <v/>
      </c>
      <c r="S108" s="126" t="str">
        <f>IF(V108="OK",R108*(O108-N108),"")</f>
        <v/>
      </c>
      <c r="T108" s="126" t="str">
        <f>IF(V108="OK",S108*(O108+N108)/2,"")</f>
        <v/>
      </c>
      <c r="U108" s="126" t="str">
        <f>IF(AND(V108="OK",ISNUMBER($N$5),$N$5&gt;0,ISNUMBER($N$3),$N$3&gt;0),R108*(4*$N$4*(O108^3-N108^3)-(O108^4-N108^4))/(24*$N$3*1000000*$N$5)*1000,"")</f>
        <v/>
      </c>
      <c r="V108" s="120" t="str">
        <f>IF(COUNTA(M108:Q108)=0,"",IF(AND(COUNT(N108:Q108)=4,N108&gt;=0,O108&gt;N108,O108&lt;=$N$4,P108&gt;=0,Q108&gt;0),IF(COUNTIFS($N$13:$N$107,"&lt;"&amp;O108,$O$13:$O$107,"&gt;"&amp;N108)&gt;0,"OVERLAP","OK"),"CHECK INPUTS"))</f>
        <v/>
      </c>
      <c r="AA108" s="120">
        <f>IF(AND(J108="OK",ISNUMBER($B$5),$B$5&gt;0,ISNUMBER($B$3),$B$3&gt;0),F108/(6*$B$3*1000000*$B$5)*(IF(B108&lt;($B$4*0/10),($B$4*0/10)*(MIN(C108,($B$4*0/10))^3-B108^3)-(MIN(C108,($B$4*0/10))^4-B108^4)/4,0)+IF(C108&gt;($B$4*0/10),($B$4*0/10)^2*(1.5*(C108^2-MAX(B108,($B$4*0/10))^2)-($B$4*0/10)*(C108-MAX(B108,($B$4*0/10)))),0))*1000,0)</f>
        <v>0</v>
      </c>
      <c r="AB108" s="120">
        <f>IF(AND(J108="OK",ISNUMBER($B$5),$B$5&gt;0,ISNUMBER($B$3),$B$3&gt;0),F108/(6*$B$3*1000000*$B$5)*(IF(B108&lt;($B$4*1/10),($B$4*1/10)*(MIN(C108,($B$4*1/10))^3-B108^3)-(MIN(C108,($B$4*1/10))^4-B108^4)/4,0)+IF(C108&gt;($B$4*1/10),($B$4*1/10)^2*(1.5*(C108^2-MAX(B108,($B$4*1/10))^2)-($B$4*1/10)*(C108-MAX(B108,($B$4*1/10)))),0))*1000,0)</f>
        <v>0</v>
      </c>
      <c r="AC108" s="120">
        <f>IF(AND(J108="OK",ISNUMBER($B$5),$B$5&gt;0,ISNUMBER($B$3),$B$3&gt;0),F108/(6*$B$3*1000000*$B$5)*(IF(B108&lt;($B$4*2/10),($B$4*2/10)*(MIN(C108,($B$4*2/10))^3-B108^3)-(MIN(C108,($B$4*2/10))^4-B108^4)/4,0)+IF(C108&gt;($B$4*2/10),($B$4*2/10)^2*(1.5*(C108^2-MAX(B108,($B$4*2/10))^2)-($B$4*2/10)*(C108-MAX(B108,($B$4*2/10)))),0))*1000,0)</f>
        <v>0</v>
      </c>
      <c r="AD108" s="120">
        <f>IF(AND(J108="OK",ISNUMBER($B$5),$B$5&gt;0,ISNUMBER($B$3),$B$3&gt;0),F108/(6*$B$3*1000000*$B$5)*(IF(B108&lt;($B$4*3/10),($B$4*3/10)*(MIN(C108,($B$4*3/10))^3-B108^3)-(MIN(C108,($B$4*3/10))^4-B108^4)/4,0)+IF(C108&gt;($B$4*3/10),($B$4*3/10)^2*(1.5*(C108^2-MAX(B108,($B$4*3/10))^2)-($B$4*3/10)*(C108-MAX(B108,($B$4*3/10)))),0))*1000,0)</f>
        <v>0</v>
      </c>
      <c r="AE108" s="120">
        <f>IF(AND(J108="OK",ISNUMBER($B$5),$B$5&gt;0,ISNUMBER($B$3),$B$3&gt;0),F108/(6*$B$3*1000000*$B$5)*(IF(B108&lt;($B$4*4/10),($B$4*4/10)*(MIN(C108,($B$4*4/10))^3-B108^3)-(MIN(C108,($B$4*4/10))^4-B108^4)/4,0)+IF(C108&gt;($B$4*4/10),($B$4*4/10)^2*(1.5*(C108^2-MAX(B108,($B$4*4/10))^2)-($B$4*4/10)*(C108-MAX(B108,($B$4*4/10)))),0))*1000,0)</f>
        <v>0</v>
      </c>
      <c r="AF108" s="120">
        <f>IF(AND(J108="OK",ISNUMBER($B$5),$B$5&gt;0,ISNUMBER($B$3),$B$3&gt;0),F108/(6*$B$3*1000000*$B$5)*(IF(B108&lt;($B$4*5/10),($B$4*5/10)*(MIN(C108,($B$4*5/10))^3-B108^3)-(MIN(C108,($B$4*5/10))^4-B108^4)/4,0)+IF(C108&gt;($B$4*5/10),($B$4*5/10)^2*(1.5*(C108^2-MAX(B108,($B$4*5/10))^2)-($B$4*5/10)*(C108-MAX(B108,($B$4*5/10)))),0))*1000,0)</f>
        <v>0</v>
      </c>
      <c r="AG108" s="120">
        <f>IF(AND(J108="OK",ISNUMBER($B$5),$B$5&gt;0,ISNUMBER($B$3),$B$3&gt;0),F108/(6*$B$3*1000000*$B$5)*(IF(B108&lt;($B$4*6/10),($B$4*6/10)*(MIN(C108,($B$4*6/10))^3-B108^3)-(MIN(C108,($B$4*6/10))^4-B108^4)/4,0)+IF(C108&gt;($B$4*6/10),($B$4*6/10)^2*(1.5*(C108^2-MAX(B108,($B$4*6/10))^2)-($B$4*6/10)*(C108-MAX(B108,($B$4*6/10)))),0))*1000,0)</f>
        <v>0</v>
      </c>
      <c r="AH108" s="120">
        <f>IF(AND(J108="OK",ISNUMBER($B$5),$B$5&gt;0,ISNUMBER($B$3),$B$3&gt;0),F108/(6*$B$3*1000000*$B$5)*(IF(B108&lt;($B$4*7/10),($B$4*7/10)*(MIN(C108,($B$4*7/10))^3-B108^3)-(MIN(C108,($B$4*7/10))^4-B108^4)/4,0)+IF(C108&gt;($B$4*7/10),($B$4*7/10)^2*(1.5*(C108^2-MAX(B108,($B$4*7/10))^2)-($B$4*7/10)*(C108-MAX(B108,($B$4*7/10)))),0))*1000,0)</f>
        <v>0</v>
      </c>
      <c r="AI108" s="120">
        <f>IF(AND(J108="OK",ISNUMBER($B$5),$B$5&gt;0,ISNUMBER($B$3),$B$3&gt;0),F108/(6*$B$3*1000000*$B$5)*(IF(B108&lt;($B$4*8/10),($B$4*8/10)*(MIN(C108,($B$4*8/10))^3-B108^3)-(MIN(C108,($B$4*8/10))^4-B108^4)/4,0)+IF(C108&gt;($B$4*8/10),($B$4*8/10)^2*(1.5*(C108^2-MAX(B108,($B$4*8/10))^2)-($B$4*8/10)*(C108-MAX(B108,($B$4*8/10)))),0))*1000,0)</f>
        <v>0</v>
      </c>
      <c r="AJ108" s="120">
        <f>IF(AND(J108="OK",ISNUMBER($B$5),$B$5&gt;0,ISNUMBER($B$3),$B$3&gt;0),F108/(6*$B$3*1000000*$B$5)*(IF(B108&lt;($B$4*9/10),($B$4*9/10)*(MIN(C108,($B$4*9/10))^3-B108^3)-(MIN(C108,($B$4*9/10))^4-B108^4)/4,0)+IF(C108&gt;($B$4*9/10),($B$4*9/10)^2*(1.5*(C108^2-MAX(B108,($B$4*9/10))^2)-($B$4*9/10)*(C108-MAX(B108,($B$4*9/10)))),0))*1000,0)</f>
        <v>0</v>
      </c>
      <c r="AK108" s="120">
        <f>IF(AND(J108="OK",ISNUMBER($B$5),$B$5&gt;0,ISNUMBER($B$3),$B$3&gt;0),F108/(6*$B$3*1000000*$B$5)*(IF(B108&lt;($B$4*10/10),($B$4*10/10)*(MIN(C108,($B$4*10/10))^3-B108^3)-(MIN(C108,($B$4*10/10))^4-B108^4)/4,0)+IF(C108&gt;($B$4*10/10),($B$4*10/10)^2*(1.5*(C108^2-MAX(B108,($B$4*10/10))^2)-($B$4*10/10)*(C108-MAX(B108,($B$4*10/10)))),0))*1000,0)</f>
        <v>0</v>
      </c>
      <c r="AM108" s="120">
        <f>IF(AND(V108="OK",ISNUMBER($N$5),$N$5&gt;0,ISNUMBER($N$3),$N$3&gt;0),R108/(6*$N$3*1000000*$N$5)*(IF(N108&lt;($N$4*0/10),($N$4*0/10)*(MIN(O108,($N$4*0/10))^3-N108^3)-(MIN(O108,($N$4*0/10))^4-N108^4)/4,0)+IF(O108&gt;($N$4*0/10),($N$4*0/10)^2*(1.5*(O108^2-MAX(N108,($N$4*0/10))^2)-($N$4*0/10)*(O108-MAX(N108,($N$4*0/10)))),0))*1000,0)</f>
        <v>0</v>
      </c>
      <c r="AN108" s="120">
        <f>IF(AND(V108="OK",ISNUMBER($N$5),$N$5&gt;0,ISNUMBER($N$3),$N$3&gt;0),R108/(6*$N$3*1000000*$N$5)*(IF(N108&lt;($N$4*1/10),($N$4*1/10)*(MIN(O108,($N$4*1/10))^3-N108^3)-(MIN(O108,($N$4*1/10))^4-N108^4)/4,0)+IF(O108&gt;($N$4*1/10),($N$4*1/10)^2*(1.5*(O108^2-MAX(N108,($N$4*1/10))^2)-($N$4*1/10)*(O108-MAX(N108,($N$4*1/10)))),0))*1000,0)</f>
        <v>0</v>
      </c>
      <c r="AO108" s="120">
        <f>IF(AND(V108="OK",ISNUMBER($N$5),$N$5&gt;0,ISNUMBER($N$3),$N$3&gt;0),R108/(6*$N$3*1000000*$N$5)*(IF(N108&lt;($N$4*2/10),($N$4*2/10)*(MIN(O108,($N$4*2/10))^3-N108^3)-(MIN(O108,($N$4*2/10))^4-N108^4)/4,0)+IF(O108&gt;($N$4*2/10),($N$4*2/10)^2*(1.5*(O108^2-MAX(N108,($N$4*2/10))^2)-($N$4*2/10)*(O108-MAX(N108,($N$4*2/10)))),0))*1000,0)</f>
        <v>0</v>
      </c>
      <c r="AP108" s="120">
        <f>IF(AND(V108="OK",ISNUMBER($N$5),$N$5&gt;0,ISNUMBER($N$3),$N$3&gt;0),R108/(6*$N$3*1000000*$N$5)*(IF(N108&lt;($N$4*3/10),($N$4*3/10)*(MIN(O108,($N$4*3/10))^3-N108^3)-(MIN(O108,($N$4*3/10))^4-N108^4)/4,0)+IF(O108&gt;($N$4*3/10),($N$4*3/10)^2*(1.5*(O108^2-MAX(N108,($N$4*3/10))^2)-($N$4*3/10)*(O108-MAX(N108,($N$4*3/10)))),0))*1000,0)</f>
        <v>0</v>
      </c>
      <c r="AQ108" s="120">
        <f>IF(AND(V108="OK",ISNUMBER($N$5),$N$5&gt;0,ISNUMBER($N$3),$N$3&gt;0),R108/(6*$N$3*1000000*$N$5)*(IF(N108&lt;($N$4*4/10),($N$4*4/10)*(MIN(O108,($N$4*4/10))^3-N108^3)-(MIN(O108,($N$4*4/10))^4-N108^4)/4,0)+IF(O108&gt;($N$4*4/10),($N$4*4/10)^2*(1.5*(O108^2-MAX(N108,($N$4*4/10))^2)-($N$4*4/10)*(O108-MAX(N108,($N$4*4/10)))),0))*1000,0)</f>
        <v>0</v>
      </c>
      <c r="AR108" s="120">
        <f>IF(AND(V108="OK",ISNUMBER($N$5),$N$5&gt;0,ISNUMBER($N$3),$N$3&gt;0),R108/(6*$N$3*1000000*$N$5)*(IF(N108&lt;($N$4*5/10),($N$4*5/10)*(MIN(O108,($N$4*5/10))^3-N108^3)-(MIN(O108,($N$4*5/10))^4-N108^4)/4,0)+IF(O108&gt;($N$4*5/10),($N$4*5/10)^2*(1.5*(O108^2-MAX(N108,($N$4*5/10))^2)-($N$4*5/10)*(O108-MAX(N108,($N$4*5/10)))),0))*1000,0)</f>
        <v>0</v>
      </c>
      <c r="AS108" s="120">
        <f>IF(AND(V108="OK",ISNUMBER($N$5),$N$5&gt;0,ISNUMBER($N$3),$N$3&gt;0),R108/(6*$N$3*1000000*$N$5)*(IF(N108&lt;($N$4*6/10),($N$4*6/10)*(MIN(O108,($N$4*6/10))^3-N108^3)-(MIN(O108,($N$4*6/10))^4-N108^4)/4,0)+IF(O108&gt;($N$4*6/10),($N$4*6/10)^2*(1.5*(O108^2-MAX(N108,($N$4*6/10))^2)-($N$4*6/10)*(O108-MAX(N108,($N$4*6/10)))),0))*1000,0)</f>
        <v>0</v>
      </c>
      <c r="AT108" s="120">
        <f>IF(AND(V108="OK",ISNUMBER($N$5),$N$5&gt;0,ISNUMBER($N$3),$N$3&gt;0),R108/(6*$N$3*1000000*$N$5)*(IF(N108&lt;($N$4*7/10),($N$4*7/10)*(MIN(O108,($N$4*7/10))^3-N108^3)-(MIN(O108,($N$4*7/10))^4-N108^4)/4,0)+IF(O108&gt;($N$4*7/10),($N$4*7/10)^2*(1.5*(O108^2-MAX(N108,($N$4*7/10))^2)-($N$4*7/10)*(O108-MAX(N108,($N$4*7/10)))),0))*1000,0)</f>
        <v>0</v>
      </c>
      <c r="AU108" s="120">
        <f>IF(AND(V108="OK",ISNUMBER($N$5),$N$5&gt;0,ISNUMBER($N$3),$N$3&gt;0),R108/(6*$N$3*1000000*$N$5)*(IF(N108&lt;($N$4*8/10),($N$4*8/10)*(MIN(O108,($N$4*8/10))^3-N108^3)-(MIN(O108,($N$4*8/10))^4-N108^4)/4,0)+IF(O108&gt;($N$4*8/10),($N$4*8/10)^2*(1.5*(O108^2-MAX(N108,($N$4*8/10))^2)-($N$4*8/10)*(O108-MAX(N108,($N$4*8/10)))),0))*1000,0)</f>
        <v>0</v>
      </c>
      <c r="AV108" s="120">
        <f>IF(AND(V108="OK",ISNUMBER($N$5),$N$5&gt;0,ISNUMBER($N$3),$N$3&gt;0),R108/(6*$N$3*1000000*$N$5)*(IF(N108&lt;($N$4*9/10),($N$4*9/10)*(MIN(O108,($N$4*9/10))^3-N108^3)-(MIN(O108,($N$4*9/10))^4-N108^4)/4,0)+IF(O108&gt;($N$4*9/10),($N$4*9/10)^2*(1.5*(O108^2-MAX(N108,($N$4*9/10))^2)-($N$4*9/10)*(O108-MAX(N108,($N$4*9/10)))),0))*1000,0)</f>
        <v>0</v>
      </c>
      <c r="AW108" s="120">
        <f>IF(AND(V108="OK",ISNUMBER($N$5),$N$5&gt;0,ISNUMBER($N$3),$N$3&gt;0),R108/(6*$N$3*1000000*$N$5)*(IF(N108&lt;($N$4*10/10),($N$4*10/10)*(MIN(O108,($N$4*10/10))^3-N108^3)-(MIN(O108,($N$4*10/10))^4-N108^4)/4,0)+IF(O108&gt;($N$4*10/10),($N$4*10/10)^2*(1.5*(O108^2-MAX(N108,($N$4*10/10))^2)-($N$4*10/10)*(O108-MAX(N108,($N$4*10/10)))),0))*1000,0)</f>
        <v>0</v>
      </c>
    </row>
    <row r="109" spans="1:49">
      <c r="A109" s="124"/>
      <c r="B109" s="125"/>
      <c r="C109" s="125"/>
      <c r="D109" s="125"/>
      <c r="E109" s="125"/>
      <c r="F109" s="126" t="str">
        <f>IF(J109="OK",D109*E109,"")</f>
        <v/>
      </c>
      <c r="G109" s="126" t="str">
        <f>IF(J109="OK",F109*(C109-B109),"")</f>
        <v/>
      </c>
      <c r="H109" s="126" t="str">
        <f>IF(J109="OK",G109*(C109+B109)/2,"")</f>
        <v/>
      </c>
      <c r="I109" s="126" t="str">
        <f>IF(AND(J109="OK",ISNUMBER($B$5),$B$5&gt;0,ISNUMBER($B$3),$B$3&gt;0),F109*(4*$B$4*(C109^3-B109^3)-(C109^4-B109^4))/(24*$B$3*1000000*$B$5)*1000,"")</f>
        <v/>
      </c>
      <c r="J109" s="120" t="str">
        <f>IF(COUNTA(A109:E109)=0,"",IF(AND(COUNT(B109:E109)=4,B109&gt;=0,C109&gt;B109,C109&lt;=$B$4,D109&gt;=0,E109&gt;0),IF(COUNTIFS($B$13:$B$108,"&lt;"&amp;C109,$C$13:$C$108,"&gt;"&amp;B109)&gt;0,"OVERLAP","OK"),"CHECK INPUTS"))</f>
        <v/>
      </c>
      <c r="M109" s="124"/>
      <c r="N109" s="125"/>
      <c r="O109" s="125"/>
      <c r="P109" s="125"/>
      <c r="Q109" s="125"/>
      <c r="R109" s="126" t="str">
        <f>IF(V109="OK",P109*Q109,"")</f>
        <v/>
      </c>
      <c r="S109" s="126" t="str">
        <f>IF(V109="OK",R109*(O109-N109),"")</f>
        <v/>
      </c>
      <c r="T109" s="126" t="str">
        <f>IF(V109="OK",S109*(O109+N109)/2,"")</f>
        <v/>
      </c>
      <c r="U109" s="126" t="str">
        <f>IF(AND(V109="OK",ISNUMBER($N$5),$N$5&gt;0,ISNUMBER($N$3),$N$3&gt;0),R109*(4*$N$4*(O109^3-N109^3)-(O109^4-N109^4))/(24*$N$3*1000000*$N$5)*1000,"")</f>
        <v/>
      </c>
      <c r="V109" s="120" t="str">
        <f>IF(COUNTA(M109:Q109)=0,"",IF(AND(COUNT(N109:Q109)=4,N109&gt;=0,O109&gt;N109,O109&lt;=$N$4,P109&gt;=0,Q109&gt;0),IF(COUNTIFS($N$13:$N$108,"&lt;"&amp;O109,$O$13:$O$108,"&gt;"&amp;N109)&gt;0,"OVERLAP","OK"),"CHECK INPUTS"))</f>
        <v/>
      </c>
      <c r="AA109" s="120">
        <f>IF(AND(J109="OK",ISNUMBER($B$5),$B$5&gt;0,ISNUMBER($B$3),$B$3&gt;0),F109/(6*$B$3*1000000*$B$5)*(IF(B109&lt;($B$4*0/10),($B$4*0/10)*(MIN(C109,($B$4*0/10))^3-B109^3)-(MIN(C109,($B$4*0/10))^4-B109^4)/4,0)+IF(C109&gt;($B$4*0/10),($B$4*0/10)^2*(1.5*(C109^2-MAX(B109,($B$4*0/10))^2)-($B$4*0/10)*(C109-MAX(B109,($B$4*0/10)))),0))*1000,0)</f>
        <v>0</v>
      </c>
      <c r="AB109" s="120">
        <f>IF(AND(J109="OK",ISNUMBER($B$5),$B$5&gt;0,ISNUMBER($B$3),$B$3&gt;0),F109/(6*$B$3*1000000*$B$5)*(IF(B109&lt;($B$4*1/10),($B$4*1/10)*(MIN(C109,($B$4*1/10))^3-B109^3)-(MIN(C109,($B$4*1/10))^4-B109^4)/4,0)+IF(C109&gt;($B$4*1/10),($B$4*1/10)^2*(1.5*(C109^2-MAX(B109,($B$4*1/10))^2)-($B$4*1/10)*(C109-MAX(B109,($B$4*1/10)))),0))*1000,0)</f>
        <v>0</v>
      </c>
      <c r="AC109" s="120">
        <f>IF(AND(J109="OK",ISNUMBER($B$5),$B$5&gt;0,ISNUMBER($B$3),$B$3&gt;0),F109/(6*$B$3*1000000*$B$5)*(IF(B109&lt;($B$4*2/10),($B$4*2/10)*(MIN(C109,($B$4*2/10))^3-B109^3)-(MIN(C109,($B$4*2/10))^4-B109^4)/4,0)+IF(C109&gt;($B$4*2/10),($B$4*2/10)^2*(1.5*(C109^2-MAX(B109,($B$4*2/10))^2)-($B$4*2/10)*(C109-MAX(B109,($B$4*2/10)))),0))*1000,0)</f>
        <v>0</v>
      </c>
      <c r="AD109" s="120">
        <f>IF(AND(J109="OK",ISNUMBER($B$5),$B$5&gt;0,ISNUMBER($B$3),$B$3&gt;0),F109/(6*$B$3*1000000*$B$5)*(IF(B109&lt;($B$4*3/10),($B$4*3/10)*(MIN(C109,($B$4*3/10))^3-B109^3)-(MIN(C109,($B$4*3/10))^4-B109^4)/4,0)+IF(C109&gt;($B$4*3/10),($B$4*3/10)^2*(1.5*(C109^2-MAX(B109,($B$4*3/10))^2)-($B$4*3/10)*(C109-MAX(B109,($B$4*3/10)))),0))*1000,0)</f>
        <v>0</v>
      </c>
      <c r="AE109" s="120">
        <f>IF(AND(J109="OK",ISNUMBER($B$5),$B$5&gt;0,ISNUMBER($B$3),$B$3&gt;0),F109/(6*$B$3*1000000*$B$5)*(IF(B109&lt;($B$4*4/10),($B$4*4/10)*(MIN(C109,($B$4*4/10))^3-B109^3)-(MIN(C109,($B$4*4/10))^4-B109^4)/4,0)+IF(C109&gt;($B$4*4/10),($B$4*4/10)^2*(1.5*(C109^2-MAX(B109,($B$4*4/10))^2)-($B$4*4/10)*(C109-MAX(B109,($B$4*4/10)))),0))*1000,0)</f>
        <v>0</v>
      </c>
      <c r="AF109" s="120">
        <f>IF(AND(J109="OK",ISNUMBER($B$5),$B$5&gt;0,ISNUMBER($B$3),$B$3&gt;0),F109/(6*$B$3*1000000*$B$5)*(IF(B109&lt;($B$4*5/10),($B$4*5/10)*(MIN(C109,($B$4*5/10))^3-B109^3)-(MIN(C109,($B$4*5/10))^4-B109^4)/4,0)+IF(C109&gt;($B$4*5/10),($B$4*5/10)^2*(1.5*(C109^2-MAX(B109,($B$4*5/10))^2)-($B$4*5/10)*(C109-MAX(B109,($B$4*5/10)))),0))*1000,0)</f>
        <v>0</v>
      </c>
      <c r="AG109" s="120">
        <f>IF(AND(J109="OK",ISNUMBER($B$5),$B$5&gt;0,ISNUMBER($B$3),$B$3&gt;0),F109/(6*$B$3*1000000*$B$5)*(IF(B109&lt;($B$4*6/10),($B$4*6/10)*(MIN(C109,($B$4*6/10))^3-B109^3)-(MIN(C109,($B$4*6/10))^4-B109^4)/4,0)+IF(C109&gt;($B$4*6/10),($B$4*6/10)^2*(1.5*(C109^2-MAX(B109,($B$4*6/10))^2)-($B$4*6/10)*(C109-MAX(B109,($B$4*6/10)))),0))*1000,0)</f>
        <v>0</v>
      </c>
      <c r="AH109" s="120">
        <f>IF(AND(J109="OK",ISNUMBER($B$5),$B$5&gt;0,ISNUMBER($B$3),$B$3&gt;0),F109/(6*$B$3*1000000*$B$5)*(IF(B109&lt;($B$4*7/10),($B$4*7/10)*(MIN(C109,($B$4*7/10))^3-B109^3)-(MIN(C109,($B$4*7/10))^4-B109^4)/4,0)+IF(C109&gt;($B$4*7/10),($B$4*7/10)^2*(1.5*(C109^2-MAX(B109,($B$4*7/10))^2)-($B$4*7/10)*(C109-MAX(B109,($B$4*7/10)))),0))*1000,0)</f>
        <v>0</v>
      </c>
      <c r="AI109" s="120">
        <f>IF(AND(J109="OK",ISNUMBER($B$5),$B$5&gt;0,ISNUMBER($B$3),$B$3&gt;0),F109/(6*$B$3*1000000*$B$5)*(IF(B109&lt;($B$4*8/10),($B$4*8/10)*(MIN(C109,($B$4*8/10))^3-B109^3)-(MIN(C109,($B$4*8/10))^4-B109^4)/4,0)+IF(C109&gt;($B$4*8/10),($B$4*8/10)^2*(1.5*(C109^2-MAX(B109,($B$4*8/10))^2)-($B$4*8/10)*(C109-MAX(B109,($B$4*8/10)))),0))*1000,0)</f>
        <v>0</v>
      </c>
      <c r="AJ109" s="120">
        <f>IF(AND(J109="OK",ISNUMBER($B$5),$B$5&gt;0,ISNUMBER($B$3),$B$3&gt;0),F109/(6*$B$3*1000000*$B$5)*(IF(B109&lt;($B$4*9/10),($B$4*9/10)*(MIN(C109,($B$4*9/10))^3-B109^3)-(MIN(C109,($B$4*9/10))^4-B109^4)/4,0)+IF(C109&gt;($B$4*9/10),($B$4*9/10)^2*(1.5*(C109^2-MAX(B109,($B$4*9/10))^2)-($B$4*9/10)*(C109-MAX(B109,($B$4*9/10)))),0))*1000,0)</f>
        <v>0</v>
      </c>
      <c r="AK109" s="120">
        <f>IF(AND(J109="OK",ISNUMBER($B$5),$B$5&gt;0,ISNUMBER($B$3),$B$3&gt;0),F109/(6*$B$3*1000000*$B$5)*(IF(B109&lt;($B$4*10/10),($B$4*10/10)*(MIN(C109,($B$4*10/10))^3-B109^3)-(MIN(C109,($B$4*10/10))^4-B109^4)/4,0)+IF(C109&gt;($B$4*10/10),($B$4*10/10)^2*(1.5*(C109^2-MAX(B109,($B$4*10/10))^2)-($B$4*10/10)*(C109-MAX(B109,($B$4*10/10)))),0))*1000,0)</f>
        <v>0</v>
      </c>
      <c r="AM109" s="120">
        <f>IF(AND(V109="OK",ISNUMBER($N$5),$N$5&gt;0,ISNUMBER($N$3),$N$3&gt;0),R109/(6*$N$3*1000000*$N$5)*(IF(N109&lt;($N$4*0/10),($N$4*0/10)*(MIN(O109,($N$4*0/10))^3-N109^3)-(MIN(O109,($N$4*0/10))^4-N109^4)/4,0)+IF(O109&gt;($N$4*0/10),($N$4*0/10)^2*(1.5*(O109^2-MAX(N109,($N$4*0/10))^2)-($N$4*0/10)*(O109-MAX(N109,($N$4*0/10)))),0))*1000,0)</f>
        <v>0</v>
      </c>
      <c r="AN109" s="120">
        <f>IF(AND(V109="OK",ISNUMBER($N$5),$N$5&gt;0,ISNUMBER($N$3),$N$3&gt;0),R109/(6*$N$3*1000000*$N$5)*(IF(N109&lt;($N$4*1/10),($N$4*1/10)*(MIN(O109,($N$4*1/10))^3-N109^3)-(MIN(O109,($N$4*1/10))^4-N109^4)/4,0)+IF(O109&gt;($N$4*1/10),($N$4*1/10)^2*(1.5*(O109^2-MAX(N109,($N$4*1/10))^2)-($N$4*1/10)*(O109-MAX(N109,($N$4*1/10)))),0))*1000,0)</f>
        <v>0</v>
      </c>
      <c r="AO109" s="120">
        <f>IF(AND(V109="OK",ISNUMBER($N$5),$N$5&gt;0,ISNUMBER($N$3),$N$3&gt;0),R109/(6*$N$3*1000000*$N$5)*(IF(N109&lt;($N$4*2/10),($N$4*2/10)*(MIN(O109,($N$4*2/10))^3-N109^3)-(MIN(O109,($N$4*2/10))^4-N109^4)/4,0)+IF(O109&gt;($N$4*2/10),($N$4*2/10)^2*(1.5*(O109^2-MAX(N109,($N$4*2/10))^2)-($N$4*2/10)*(O109-MAX(N109,($N$4*2/10)))),0))*1000,0)</f>
        <v>0</v>
      </c>
      <c r="AP109" s="120">
        <f>IF(AND(V109="OK",ISNUMBER($N$5),$N$5&gt;0,ISNUMBER($N$3),$N$3&gt;0),R109/(6*$N$3*1000000*$N$5)*(IF(N109&lt;($N$4*3/10),($N$4*3/10)*(MIN(O109,($N$4*3/10))^3-N109^3)-(MIN(O109,($N$4*3/10))^4-N109^4)/4,0)+IF(O109&gt;($N$4*3/10),($N$4*3/10)^2*(1.5*(O109^2-MAX(N109,($N$4*3/10))^2)-($N$4*3/10)*(O109-MAX(N109,($N$4*3/10)))),0))*1000,0)</f>
        <v>0</v>
      </c>
      <c r="AQ109" s="120">
        <f>IF(AND(V109="OK",ISNUMBER($N$5),$N$5&gt;0,ISNUMBER($N$3),$N$3&gt;0),R109/(6*$N$3*1000000*$N$5)*(IF(N109&lt;($N$4*4/10),($N$4*4/10)*(MIN(O109,($N$4*4/10))^3-N109^3)-(MIN(O109,($N$4*4/10))^4-N109^4)/4,0)+IF(O109&gt;($N$4*4/10),($N$4*4/10)^2*(1.5*(O109^2-MAX(N109,($N$4*4/10))^2)-($N$4*4/10)*(O109-MAX(N109,($N$4*4/10)))),0))*1000,0)</f>
        <v>0</v>
      </c>
      <c r="AR109" s="120">
        <f>IF(AND(V109="OK",ISNUMBER($N$5),$N$5&gt;0,ISNUMBER($N$3),$N$3&gt;0),R109/(6*$N$3*1000000*$N$5)*(IF(N109&lt;($N$4*5/10),($N$4*5/10)*(MIN(O109,($N$4*5/10))^3-N109^3)-(MIN(O109,($N$4*5/10))^4-N109^4)/4,0)+IF(O109&gt;($N$4*5/10),($N$4*5/10)^2*(1.5*(O109^2-MAX(N109,($N$4*5/10))^2)-($N$4*5/10)*(O109-MAX(N109,($N$4*5/10)))),0))*1000,0)</f>
        <v>0</v>
      </c>
      <c r="AS109" s="120">
        <f>IF(AND(V109="OK",ISNUMBER($N$5),$N$5&gt;0,ISNUMBER($N$3),$N$3&gt;0),R109/(6*$N$3*1000000*$N$5)*(IF(N109&lt;($N$4*6/10),($N$4*6/10)*(MIN(O109,($N$4*6/10))^3-N109^3)-(MIN(O109,($N$4*6/10))^4-N109^4)/4,0)+IF(O109&gt;($N$4*6/10),($N$4*6/10)^2*(1.5*(O109^2-MAX(N109,($N$4*6/10))^2)-($N$4*6/10)*(O109-MAX(N109,($N$4*6/10)))),0))*1000,0)</f>
        <v>0</v>
      </c>
      <c r="AT109" s="120">
        <f>IF(AND(V109="OK",ISNUMBER($N$5),$N$5&gt;0,ISNUMBER($N$3),$N$3&gt;0),R109/(6*$N$3*1000000*$N$5)*(IF(N109&lt;($N$4*7/10),($N$4*7/10)*(MIN(O109,($N$4*7/10))^3-N109^3)-(MIN(O109,($N$4*7/10))^4-N109^4)/4,0)+IF(O109&gt;($N$4*7/10),($N$4*7/10)^2*(1.5*(O109^2-MAX(N109,($N$4*7/10))^2)-($N$4*7/10)*(O109-MAX(N109,($N$4*7/10)))),0))*1000,0)</f>
        <v>0</v>
      </c>
      <c r="AU109" s="120">
        <f>IF(AND(V109="OK",ISNUMBER($N$5),$N$5&gt;0,ISNUMBER($N$3),$N$3&gt;0),R109/(6*$N$3*1000000*$N$5)*(IF(N109&lt;($N$4*8/10),($N$4*8/10)*(MIN(O109,($N$4*8/10))^3-N109^3)-(MIN(O109,($N$4*8/10))^4-N109^4)/4,0)+IF(O109&gt;($N$4*8/10),($N$4*8/10)^2*(1.5*(O109^2-MAX(N109,($N$4*8/10))^2)-($N$4*8/10)*(O109-MAX(N109,($N$4*8/10)))),0))*1000,0)</f>
        <v>0</v>
      </c>
      <c r="AV109" s="120">
        <f>IF(AND(V109="OK",ISNUMBER($N$5),$N$5&gt;0,ISNUMBER($N$3),$N$3&gt;0),R109/(6*$N$3*1000000*$N$5)*(IF(N109&lt;($N$4*9/10),($N$4*9/10)*(MIN(O109,($N$4*9/10))^3-N109^3)-(MIN(O109,($N$4*9/10))^4-N109^4)/4,0)+IF(O109&gt;($N$4*9/10),($N$4*9/10)^2*(1.5*(O109^2-MAX(N109,($N$4*9/10))^2)-($N$4*9/10)*(O109-MAX(N109,($N$4*9/10)))),0))*1000,0)</f>
        <v>0</v>
      </c>
      <c r="AW109" s="120">
        <f>IF(AND(V109="OK",ISNUMBER($N$5),$N$5&gt;0,ISNUMBER($N$3),$N$3&gt;0),R109/(6*$N$3*1000000*$N$5)*(IF(N109&lt;($N$4*10/10),($N$4*10/10)*(MIN(O109,($N$4*10/10))^3-N109^3)-(MIN(O109,($N$4*10/10))^4-N109^4)/4,0)+IF(O109&gt;($N$4*10/10),($N$4*10/10)^2*(1.5*(O109^2-MAX(N109,($N$4*10/10))^2)-($N$4*10/10)*(O109-MAX(N109,($N$4*10/10)))),0))*1000,0)</f>
        <v>0</v>
      </c>
    </row>
    <row r="110" spans="1:49">
      <c r="A110" s="124"/>
      <c r="B110" s="125"/>
      <c r="C110" s="125"/>
      <c r="D110" s="125"/>
      <c r="E110" s="125"/>
      <c r="F110" s="126" t="str">
        <f>IF(J110="OK",D110*E110,"")</f>
        <v/>
      </c>
      <c r="G110" s="126" t="str">
        <f>IF(J110="OK",F110*(C110-B110),"")</f>
        <v/>
      </c>
      <c r="H110" s="126" t="str">
        <f>IF(J110="OK",G110*(C110+B110)/2,"")</f>
        <v/>
      </c>
      <c r="I110" s="126" t="str">
        <f>IF(AND(J110="OK",ISNUMBER($B$5),$B$5&gt;0,ISNUMBER($B$3),$B$3&gt;0),F110*(4*$B$4*(C110^3-B110^3)-(C110^4-B110^4))/(24*$B$3*1000000*$B$5)*1000,"")</f>
        <v/>
      </c>
      <c r="J110" s="120" t="str">
        <f>IF(COUNTA(A110:E110)=0,"",IF(AND(COUNT(B110:E110)=4,B110&gt;=0,C110&gt;B110,C110&lt;=$B$4,D110&gt;=0,E110&gt;0),IF(COUNTIFS($B$13:$B$109,"&lt;"&amp;C110,$C$13:$C$109,"&gt;"&amp;B110)&gt;0,"OVERLAP","OK"),"CHECK INPUTS"))</f>
        <v/>
      </c>
      <c r="M110" s="124"/>
      <c r="N110" s="125"/>
      <c r="O110" s="125"/>
      <c r="P110" s="125"/>
      <c r="Q110" s="125"/>
      <c r="R110" s="126" t="str">
        <f>IF(V110="OK",P110*Q110,"")</f>
        <v/>
      </c>
      <c r="S110" s="126" t="str">
        <f>IF(V110="OK",R110*(O110-N110),"")</f>
        <v/>
      </c>
      <c r="T110" s="126" t="str">
        <f>IF(V110="OK",S110*(O110+N110)/2,"")</f>
        <v/>
      </c>
      <c r="U110" s="126" t="str">
        <f>IF(AND(V110="OK",ISNUMBER($N$5),$N$5&gt;0,ISNUMBER($N$3),$N$3&gt;0),R110*(4*$N$4*(O110^3-N110^3)-(O110^4-N110^4))/(24*$N$3*1000000*$N$5)*1000,"")</f>
        <v/>
      </c>
      <c r="V110" s="120" t="str">
        <f>IF(COUNTA(M110:Q110)=0,"",IF(AND(COUNT(N110:Q110)=4,N110&gt;=0,O110&gt;N110,O110&lt;=$N$4,P110&gt;=0,Q110&gt;0),IF(COUNTIFS($N$13:$N$109,"&lt;"&amp;O110,$O$13:$O$109,"&gt;"&amp;N110)&gt;0,"OVERLAP","OK"),"CHECK INPUTS"))</f>
        <v/>
      </c>
      <c r="AA110" s="120">
        <f>IF(AND(J110="OK",ISNUMBER($B$5),$B$5&gt;0,ISNUMBER($B$3),$B$3&gt;0),F110/(6*$B$3*1000000*$B$5)*(IF(B110&lt;($B$4*0/10),($B$4*0/10)*(MIN(C110,($B$4*0/10))^3-B110^3)-(MIN(C110,($B$4*0/10))^4-B110^4)/4,0)+IF(C110&gt;($B$4*0/10),($B$4*0/10)^2*(1.5*(C110^2-MAX(B110,($B$4*0/10))^2)-($B$4*0/10)*(C110-MAX(B110,($B$4*0/10)))),0))*1000,0)</f>
        <v>0</v>
      </c>
      <c r="AB110" s="120">
        <f>IF(AND(J110="OK",ISNUMBER($B$5),$B$5&gt;0,ISNUMBER($B$3),$B$3&gt;0),F110/(6*$B$3*1000000*$B$5)*(IF(B110&lt;($B$4*1/10),($B$4*1/10)*(MIN(C110,($B$4*1/10))^3-B110^3)-(MIN(C110,($B$4*1/10))^4-B110^4)/4,0)+IF(C110&gt;($B$4*1/10),($B$4*1/10)^2*(1.5*(C110^2-MAX(B110,($B$4*1/10))^2)-($B$4*1/10)*(C110-MAX(B110,($B$4*1/10)))),0))*1000,0)</f>
        <v>0</v>
      </c>
      <c r="AC110" s="120">
        <f>IF(AND(J110="OK",ISNUMBER($B$5),$B$5&gt;0,ISNUMBER($B$3),$B$3&gt;0),F110/(6*$B$3*1000000*$B$5)*(IF(B110&lt;($B$4*2/10),($B$4*2/10)*(MIN(C110,($B$4*2/10))^3-B110^3)-(MIN(C110,($B$4*2/10))^4-B110^4)/4,0)+IF(C110&gt;($B$4*2/10),($B$4*2/10)^2*(1.5*(C110^2-MAX(B110,($B$4*2/10))^2)-($B$4*2/10)*(C110-MAX(B110,($B$4*2/10)))),0))*1000,0)</f>
        <v>0</v>
      </c>
      <c r="AD110" s="120">
        <f>IF(AND(J110="OK",ISNUMBER($B$5),$B$5&gt;0,ISNUMBER($B$3),$B$3&gt;0),F110/(6*$B$3*1000000*$B$5)*(IF(B110&lt;($B$4*3/10),($B$4*3/10)*(MIN(C110,($B$4*3/10))^3-B110^3)-(MIN(C110,($B$4*3/10))^4-B110^4)/4,0)+IF(C110&gt;($B$4*3/10),($B$4*3/10)^2*(1.5*(C110^2-MAX(B110,($B$4*3/10))^2)-($B$4*3/10)*(C110-MAX(B110,($B$4*3/10)))),0))*1000,0)</f>
        <v>0</v>
      </c>
      <c r="AE110" s="120">
        <f>IF(AND(J110="OK",ISNUMBER($B$5),$B$5&gt;0,ISNUMBER($B$3),$B$3&gt;0),F110/(6*$B$3*1000000*$B$5)*(IF(B110&lt;($B$4*4/10),($B$4*4/10)*(MIN(C110,($B$4*4/10))^3-B110^3)-(MIN(C110,($B$4*4/10))^4-B110^4)/4,0)+IF(C110&gt;($B$4*4/10),($B$4*4/10)^2*(1.5*(C110^2-MAX(B110,($B$4*4/10))^2)-($B$4*4/10)*(C110-MAX(B110,($B$4*4/10)))),0))*1000,0)</f>
        <v>0</v>
      </c>
      <c r="AF110" s="120">
        <f>IF(AND(J110="OK",ISNUMBER($B$5),$B$5&gt;0,ISNUMBER($B$3),$B$3&gt;0),F110/(6*$B$3*1000000*$B$5)*(IF(B110&lt;($B$4*5/10),($B$4*5/10)*(MIN(C110,($B$4*5/10))^3-B110^3)-(MIN(C110,($B$4*5/10))^4-B110^4)/4,0)+IF(C110&gt;($B$4*5/10),($B$4*5/10)^2*(1.5*(C110^2-MAX(B110,($B$4*5/10))^2)-($B$4*5/10)*(C110-MAX(B110,($B$4*5/10)))),0))*1000,0)</f>
        <v>0</v>
      </c>
      <c r="AG110" s="120">
        <f>IF(AND(J110="OK",ISNUMBER($B$5),$B$5&gt;0,ISNUMBER($B$3),$B$3&gt;0),F110/(6*$B$3*1000000*$B$5)*(IF(B110&lt;($B$4*6/10),($B$4*6/10)*(MIN(C110,($B$4*6/10))^3-B110^3)-(MIN(C110,($B$4*6/10))^4-B110^4)/4,0)+IF(C110&gt;($B$4*6/10),($B$4*6/10)^2*(1.5*(C110^2-MAX(B110,($B$4*6/10))^2)-($B$4*6/10)*(C110-MAX(B110,($B$4*6/10)))),0))*1000,0)</f>
        <v>0</v>
      </c>
      <c r="AH110" s="120">
        <f>IF(AND(J110="OK",ISNUMBER($B$5),$B$5&gt;0,ISNUMBER($B$3),$B$3&gt;0),F110/(6*$B$3*1000000*$B$5)*(IF(B110&lt;($B$4*7/10),($B$4*7/10)*(MIN(C110,($B$4*7/10))^3-B110^3)-(MIN(C110,($B$4*7/10))^4-B110^4)/4,0)+IF(C110&gt;($B$4*7/10),($B$4*7/10)^2*(1.5*(C110^2-MAX(B110,($B$4*7/10))^2)-($B$4*7/10)*(C110-MAX(B110,($B$4*7/10)))),0))*1000,0)</f>
        <v>0</v>
      </c>
      <c r="AI110" s="120">
        <f>IF(AND(J110="OK",ISNUMBER($B$5),$B$5&gt;0,ISNUMBER($B$3),$B$3&gt;0),F110/(6*$B$3*1000000*$B$5)*(IF(B110&lt;($B$4*8/10),($B$4*8/10)*(MIN(C110,($B$4*8/10))^3-B110^3)-(MIN(C110,($B$4*8/10))^4-B110^4)/4,0)+IF(C110&gt;($B$4*8/10),($B$4*8/10)^2*(1.5*(C110^2-MAX(B110,($B$4*8/10))^2)-($B$4*8/10)*(C110-MAX(B110,($B$4*8/10)))),0))*1000,0)</f>
        <v>0</v>
      </c>
      <c r="AJ110" s="120">
        <f>IF(AND(J110="OK",ISNUMBER($B$5),$B$5&gt;0,ISNUMBER($B$3),$B$3&gt;0),F110/(6*$B$3*1000000*$B$5)*(IF(B110&lt;($B$4*9/10),($B$4*9/10)*(MIN(C110,($B$4*9/10))^3-B110^3)-(MIN(C110,($B$4*9/10))^4-B110^4)/4,0)+IF(C110&gt;($B$4*9/10),($B$4*9/10)^2*(1.5*(C110^2-MAX(B110,($B$4*9/10))^2)-($B$4*9/10)*(C110-MAX(B110,($B$4*9/10)))),0))*1000,0)</f>
        <v>0</v>
      </c>
      <c r="AK110" s="120">
        <f>IF(AND(J110="OK",ISNUMBER($B$5),$B$5&gt;0,ISNUMBER($B$3),$B$3&gt;0),F110/(6*$B$3*1000000*$B$5)*(IF(B110&lt;($B$4*10/10),($B$4*10/10)*(MIN(C110,($B$4*10/10))^3-B110^3)-(MIN(C110,($B$4*10/10))^4-B110^4)/4,0)+IF(C110&gt;($B$4*10/10),($B$4*10/10)^2*(1.5*(C110^2-MAX(B110,($B$4*10/10))^2)-($B$4*10/10)*(C110-MAX(B110,($B$4*10/10)))),0))*1000,0)</f>
        <v>0</v>
      </c>
      <c r="AM110" s="120">
        <f>IF(AND(V110="OK",ISNUMBER($N$5),$N$5&gt;0,ISNUMBER($N$3),$N$3&gt;0),R110/(6*$N$3*1000000*$N$5)*(IF(N110&lt;($N$4*0/10),($N$4*0/10)*(MIN(O110,($N$4*0/10))^3-N110^3)-(MIN(O110,($N$4*0/10))^4-N110^4)/4,0)+IF(O110&gt;($N$4*0/10),($N$4*0/10)^2*(1.5*(O110^2-MAX(N110,($N$4*0/10))^2)-($N$4*0/10)*(O110-MAX(N110,($N$4*0/10)))),0))*1000,0)</f>
        <v>0</v>
      </c>
      <c r="AN110" s="120">
        <f>IF(AND(V110="OK",ISNUMBER($N$5),$N$5&gt;0,ISNUMBER($N$3),$N$3&gt;0),R110/(6*$N$3*1000000*$N$5)*(IF(N110&lt;($N$4*1/10),($N$4*1/10)*(MIN(O110,($N$4*1/10))^3-N110^3)-(MIN(O110,($N$4*1/10))^4-N110^4)/4,0)+IF(O110&gt;($N$4*1/10),($N$4*1/10)^2*(1.5*(O110^2-MAX(N110,($N$4*1/10))^2)-($N$4*1/10)*(O110-MAX(N110,($N$4*1/10)))),0))*1000,0)</f>
        <v>0</v>
      </c>
      <c r="AO110" s="120">
        <f>IF(AND(V110="OK",ISNUMBER($N$5),$N$5&gt;0,ISNUMBER($N$3),$N$3&gt;0),R110/(6*$N$3*1000000*$N$5)*(IF(N110&lt;($N$4*2/10),($N$4*2/10)*(MIN(O110,($N$4*2/10))^3-N110^3)-(MIN(O110,($N$4*2/10))^4-N110^4)/4,0)+IF(O110&gt;($N$4*2/10),($N$4*2/10)^2*(1.5*(O110^2-MAX(N110,($N$4*2/10))^2)-($N$4*2/10)*(O110-MAX(N110,($N$4*2/10)))),0))*1000,0)</f>
        <v>0</v>
      </c>
      <c r="AP110" s="120">
        <f>IF(AND(V110="OK",ISNUMBER($N$5),$N$5&gt;0,ISNUMBER($N$3),$N$3&gt;0),R110/(6*$N$3*1000000*$N$5)*(IF(N110&lt;($N$4*3/10),($N$4*3/10)*(MIN(O110,($N$4*3/10))^3-N110^3)-(MIN(O110,($N$4*3/10))^4-N110^4)/4,0)+IF(O110&gt;($N$4*3/10),($N$4*3/10)^2*(1.5*(O110^2-MAX(N110,($N$4*3/10))^2)-($N$4*3/10)*(O110-MAX(N110,($N$4*3/10)))),0))*1000,0)</f>
        <v>0</v>
      </c>
      <c r="AQ110" s="120">
        <f>IF(AND(V110="OK",ISNUMBER($N$5),$N$5&gt;0,ISNUMBER($N$3),$N$3&gt;0),R110/(6*$N$3*1000000*$N$5)*(IF(N110&lt;($N$4*4/10),($N$4*4/10)*(MIN(O110,($N$4*4/10))^3-N110^3)-(MIN(O110,($N$4*4/10))^4-N110^4)/4,0)+IF(O110&gt;($N$4*4/10),($N$4*4/10)^2*(1.5*(O110^2-MAX(N110,($N$4*4/10))^2)-($N$4*4/10)*(O110-MAX(N110,($N$4*4/10)))),0))*1000,0)</f>
        <v>0</v>
      </c>
      <c r="AR110" s="120">
        <f>IF(AND(V110="OK",ISNUMBER($N$5),$N$5&gt;0,ISNUMBER($N$3),$N$3&gt;0),R110/(6*$N$3*1000000*$N$5)*(IF(N110&lt;($N$4*5/10),($N$4*5/10)*(MIN(O110,($N$4*5/10))^3-N110^3)-(MIN(O110,($N$4*5/10))^4-N110^4)/4,0)+IF(O110&gt;($N$4*5/10),($N$4*5/10)^2*(1.5*(O110^2-MAX(N110,($N$4*5/10))^2)-($N$4*5/10)*(O110-MAX(N110,($N$4*5/10)))),0))*1000,0)</f>
        <v>0</v>
      </c>
      <c r="AS110" s="120">
        <f>IF(AND(V110="OK",ISNUMBER($N$5),$N$5&gt;0,ISNUMBER($N$3),$N$3&gt;0),R110/(6*$N$3*1000000*$N$5)*(IF(N110&lt;($N$4*6/10),($N$4*6/10)*(MIN(O110,($N$4*6/10))^3-N110^3)-(MIN(O110,($N$4*6/10))^4-N110^4)/4,0)+IF(O110&gt;($N$4*6/10),($N$4*6/10)^2*(1.5*(O110^2-MAX(N110,($N$4*6/10))^2)-($N$4*6/10)*(O110-MAX(N110,($N$4*6/10)))),0))*1000,0)</f>
        <v>0</v>
      </c>
      <c r="AT110" s="120">
        <f>IF(AND(V110="OK",ISNUMBER($N$5),$N$5&gt;0,ISNUMBER($N$3),$N$3&gt;0),R110/(6*$N$3*1000000*$N$5)*(IF(N110&lt;($N$4*7/10),($N$4*7/10)*(MIN(O110,($N$4*7/10))^3-N110^3)-(MIN(O110,($N$4*7/10))^4-N110^4)/4,0)+IF(O110&gt;($N$4*7/10),($N$4*7/10)^2*(1.5*(O110^2-MAX(N110,($N$4*7/10))^2)-($N$4*7/10)*(O110-MAX(N110,($N$4*7/10)))),0))*1000,0)</f>
        <v>0</v>
      </c>
      <c r="AU110" s="120">
        <f>IF(AND(V110="OK",ISNUMBER($N$5),$N$5&gt;0,ISNUMBER($N$3),$N$3&gt;0),R110/(6*$N$3*1000000*$N$5)*(IF(N110&lt;($N$4*8/10),($N$4*8/10)*(MIN(O110,($N$4*8/10))^3-N110^3)-(MIN(O110,($N$4*8/10))^4-N110^4)/4,0)+IF(O110&gt;($N$4*8/10),($N$4*8/10)^2*(1.5*(O110^2-MAX(N110,($N$4*8/10))^2)-($N$4*8/10)*(O110-MAX(N110,($N$4*8/10)))),0))*1000,0)</f>
        <v>0</v>
      </c>
      <c r="AV110" s="120">
        <f>IF(AND(V110="OK",ISNUMBER($N$5),$N$5&gt;0,ISNUMBER($N$3),$N$3&gt;0),R110/(6*$N$3*1000000*$N$5)*(IF(N110&lt;($N$4*9/10),($N$4*9/10)*(MIN(O110,($N$4*9/10))^3-N110^3)-(MIN(O110,($N$4*9/10))^4-N110^4)/4,0)+IF(O110&gt;($N$4*9/10),($N$4*9/10)^2*(1.5*(O110^2-MAX(N110,($N$4*9/10))^2)-($N$4*9/10)*(O110-MAX(N110,($N$4*9/10)))),0))*1000,0)</f>
        <v>0</v>
      </c>
      <c r="AW110" s="120">
        <f>IF(AND(V110="OK",ISNUMBER($N$5),$N$5&gt;0,ISNUMBER($N$3),$N$3&gt;0),R110/(6*$N$3*1000000*$N$5)*(IF(N110&lt;($N$4*10/10),($N$4*10/10)*(MIN(O110,($N$4*10/10))^3-N110^3)-(MIN(O110,($N$4*10/10))^4-N110^4)/4,0)+IF(O110&gt;($N$4*10/10),($N$4*10/10)^2*(1.5*(O110^2-MAX(N110,($N$4*10/10))^2)-($N$4*10/10)*(O110-MAX(N110,($N$4*10/10)))),0))*1000,0)</f>
        <v>0</v>
      </c>
    </row>
    <row r="111" spans="1:49">
      <c r="A111" s="124"/>
      <c r="B111" s="125"/>
      <c r="C111" s="125"/>
      <c r="D111" s="125"/>
      <c r="E111" s="125"/>
      <c r="F111" s="126" t="str">
        <f>IF(J111="OK",D111*E111,"")</f>
        <v/>
      </c>
      <c r="G111" s="126" t="str">
        <f>IF(J111="OK",F111*(C111-B111),"")</f>
        <v/>
      </c>
      <c r="H111" s="126" t="str">
        <f>IF(J111="OK",G111*(C111+B111)/2,"")</f>
        <v/>
      </c>
      <c r="I111" s="126" t="str">
        <f>IF(AND(J111="OK",ISNUMBER($B$5),$B$5&gt;0,ISNUMBER($B$3),$B$3&gt;0),F111*(4*$B$4*(C111^3-B111^3)-(C111^4-B111^4))/(24*$B$3*1000000*$B$5)*1000,"")</f>
        <v/>
      </c>
      <c r="J111" s="120" t="str">
        <f>IF(COUNTA(A111:E111)=0,"",IF(AND(COUNT(B111:E111)=4,B111&gt;=0,C111&gt;B111,C111&lt;=$B$4,D111&gt;=0,E111&gt;0),IF(COUNTIFS($B$13:$B$110,"&lt;"&amp;C111,$C$13:$C$110,"&gt;"&amp;B111)&gt;0,"OVERLAP","OK"),"CHECK INPUTS"))</f>
        <v/>
      </c>
      <c r="M111" s="124"/>
      <c r="N111" s="125"/>
      <c r="O111" s="125"/>
      <c r="P111" s="125"/>
      <c r="Q111" s="125"/>
      <c r="R111" s="126" t="str">
        <f>IF(V111="OK",P111*Q111,"")</f>
        <v/>
      </c>
      <c r="S111" s="126" t="str">
        <f>IF(V111="OK",R111*(O111-N111),"")</f>
        <v/>
      </c>
      <c r="T111" s="126" t="str">
        <f>IF(V111="OK",S111*(O111+N111)/2,"")</f>
        <v/>
      </c>
      <c r="U111" s="126" t="str">
        <f>IF(AND(V111="OK",ISNUMBER($N$5),$N$5&gt;0,ISNUMBER($N$3),$N$3&gt;0),R111*(4*$N$4*(O111^3-N111^3)-(O111^4-N111^4))/(24*$N$3*1000000*$N$5)*1000,"")</f>
        <v/>
      </c>
      <c r="V111" s="120" t="str">
        <f>IF(COUNTA(M111:Q111)=0,"",IF(AND(COUNT(N111:Q111)=4,N111&gt;=0,O111&gt;N111,O111&lt;=$N$4,P111&gt;=0,Q111&gt;0),IF(COUNTIFS($N$13:$N$110,"&lt;"&amp;O111,$O$13:$O$110,"&gt;"&amp;N111)&gt;0,"OVERLAP","OK"),"CHECK INPUTS"))</f>
        <v/>
      </c>
      <c r="AA111" s="120">
        <f>IF(AND(J111="OK",ISNUMBER($B$5),$B$5&gt;0,ISNUMBER($B$3),$B$3&gt;0),F111/(6*$B$3*1000000*$B$5)*(IF(B111&lt;($B$4*0/10),($B$4*0/10)*(MIN(C111,($B$4*0/10))^3-B111^3)-(MIN(C111,($B$4*0/10))^4-B111^4)/4,0)+IF(C111&gt;($B$4*0/10),($B$4*0/10)^2*(1.5*(C111^2-MAX(B111,($B$4*0/10))^2)-($B$4*0/10)*(C111-MAX(B111,($B$4*0/10)))),0))*1000,0)</f>
        <v>0</v>
      </c>
      <c r="AB111" s="120">
        <f>IF(AND(J111="OK",ISNUMBER($B$5),$B$5&gt;0,ISNUMBER($B$3),$B$3&gt;0),F111/(6*$B$3*1000000*$B$5)*(IF(B111&lt;($B$4*1/10),($B$4*1/10)*(MIN(C111,($B$4*1/10))^3-B111^3)-(MIN(C111,($B$4*1/10))^4-B111^4)/4,0)+IF(C111&gt;($B$4*1/10),($B$4*1/10)^2*(1.5*(C111^2-MAX(B111,($B$4*1/10))^2)-($B$4*1/10)*(C111-MAX(B111,($B$4*1/10)))),0))*1000,0)</f>
        <v>0</v>
      </c>
      <c r="AC111" s="120">
        <f>IF(AND(J111="OK",ISNUMBER($B$5),$B$5&gt;0,ISNUMBER($B$3),$B$3&gt;0),F111/(6*$B$3*1000000*$B$5)*(IF(B111&lt;($B$4*2/10),($B$4*2/10)*(MIN(C111,($B$4*2/10))^3-B111^3)-(MIN(C111,($B$4*2/10))^4-B111^4)/4,0)+IF(C111&gt;($B$4*2/10),($B$4*2/10)^2*(1.5*(C111^2-MAX(B111,($B$4*2/10))^2)-($B$4*2/10)*(C111-MAX(B111,($B$4*2/10)))),0))*1000,0)</f>
        <v>0</v>
      </c>
      <c r="AD111" s="120">
        <f>IF(AND(J111="OK",ISNUMBER($B$5),$B$5&gt;0,ISNUMBER($B$3),$B$3&gt;0),F111/(6*$B$3*1000000*$B$5)*(IF(B111&lt;($B$4*3/10),($B$4*3/10)*(MIN(C111,($B$4*3/10))^3-B111^3)-(MIN(C111,($B$4*3/10))^4-B111^4)/4,0)+IF(C111&gt;($B$4*3/10),($B$4*3/10)^2*(1.5*(C111^2-MAX(B111,($B$4*3/10))^2)-($B$4*3/10)*(C111-MAX(B111,($B$4*3/10)))),0))*1000,0)</f>
        <v>0</v>
      </c>
      <c r="AE111" s="120">
        <f>IF(AND(J111="OK",ISNUMBER($B$5),$B$5&gt;0,ISNUMBER($B$3),$B$3&gt;0),F111/(6*$B$3*1000000*$B$5)*(IF(B111&lt;($B$4*4/10),($B$4*4/10)*(MIN(C111,($B$4*4/10))^3-B111^3)-(MIN(C111,($B$4*4/10))^4-B111^4)/4,0)+IF(C111&gt;($B$4*4/10),($B$4*4/10)^2*(1.5*(C111^2-MAX(B111,($B$4*4/10))^2)-($B$4*4/10)*(C111-MAX(B111,($B$4*4/10)))),0))*1000,0)</f>
        <v>0</v>
      </c>
      <c r="AF111" s="120">
        <f>IF(AND(J111="OK",ISNUMBER($B$5),$B$5&gt;0,ISNUMBER($B$3),$B$3&gt;0),F111/(6*$B$3*1000000*$B$5)*(IF(B111&lt;($B$4*5/10),($B$4*5/10)*(MIN(C111,($B$4*5/10))^3-B111^3)-(MIN(C111,($B$4*5/10))^4-B111^4)/4,0)+IF(C111&gt;($B$4*5/10),($B$4*5/10)^2*(1.5*(C111^2-MAX(B111,($B$4*5/10))^2)-($B$4*5/10)*(C111-MAX(B111,($B$4*5/10)))),0))*1000,0)</f>
        <v>0</v>
      </c>
      <c r="AG111" s="120">
        <f>IF(AND(J111="OK",ISNUMBER($B$5),$B$5&gt;0,ISNUMBER($B$3),$B$3&gt;0),F111/(6*$B$3*1000000*$B$5)*(IF(B111&lt;($B$4*6/10),($B$4*6/10)*(MIN(C111,($B$4*6/10))^3-B111^3)-(MIN(C111,($B$4*6/10))^4-B111^4)/4,0)+IF(C111&gt;($B$4*6/10),($B$4*6/10)^2*(1.5*(C111^2-MAX(B111,($B$4*6/10))^2)-($B$4*6/10)*(C111-MAX(B111,($B$4*6/10)))),0))*1000,0)</f>
        <v>0</v>
      </c>
      <c r="AH111" s="120">
        <f>IF(AND(J111="OK",ISNUMBER($B$5),$B$5&gt;0,ISNUMBER($B$3),$B$3&gt;0),F111/(6*$B$3*1000000*$B$5)*(IF(B111&lt;($B$4*7/10),($B$4*7/10)*(MIN(C111,($B$4*7/10))^3-B111^3)-(MIN(C111,($B$4*7/10))^4-B111^4)/4,0)+IF(C111&gt;($B$4*7/10),($B$4*7/10)^2*(1.5*(C111^2-MAX(B111,($B$4*7/10))^2)-($B$4*7/10)*(C111-MAX(B111,($B$4*7/10)))),0))*1000,0)</f>
        <v>0</v>
      </c>
      <c r="AI111" s="120">
        <f>IF(AND(J111="OK",ISNUMBER($B$5),$B$5&gt;0,ISNUMBER($B$3),$B$3&gt;0),F111/(6*$B$3*1000000*$B$5)*(IF(B111&lt;($B$4*8/10),($B$4*8/10)*(MIN(C111,($B$4*8/10))^3-B111^3)-(MIN(C111,($B$4*8/10))^4-B111^4)/4,0)+IF(C111&gt;($B$4*8/10),($B$4*8/10)^2*(1.5*(C111^2-MAX(B111,($B$4*8/10))^2)-($B$4*8/10)*(C111-MAX(B111,($B$4*8/10)))),0))*1000,0)</f>
        <v>0</v>
      </c>
      <c r="AJ111" s="120">
        <f>IF(AND(J111="OK",ISNUMBER($B$5),$B$5&gt;0,ISNUMBER($B$3),$B$3&gt;0),F111/(6*$B$3*1000000*$B$5)*(IF(B111&lt;($B$4*9/10),($B$4*9/10)*(MIN(C111,($B$4*9/10))^3-B111^3)-(MIN(C111,($B$4*9/10))^4-B111^4)/4,0)+IF(C111&gt;($B$4*9/10),($B$4*9/10)^2*(1.5*(C111^2-MAX(B111,($B$4*9/10))^2)-($B$4*9/10)*(C111-MAX(B111,($B$4*9/10)))),0))*1000,0)</f>
        <v>0</v>
      </c>
      <c r="AK111" s="120">
        <f>IF(AND(J111="OK",ISNUMBER($B$5),$B$5&gt;0,ISNUMBER($B$3),$B$3&gt;0),F111/(6*$B$3*1000000*$B$5)*(IF(B111&lt;($B$4*10/10),($B$4*10/10)*(MIN(C111,($B$4*10/10))^3-B111^3)-(MIN(C111,($B$4*10/10))^4-B111^4)/4,0)+IF(C111&gt;($B$4*10/10),($B$4*10/10)^2*(1.5*(C111^2-MAX(B111,($B$4*10/10))^2)-($B$4*10/10)*(C111-MAX(B111,($B$4*10/10)))),0))*1000,0)</f>
        <v>0</v>
      </c>
      <c r="AM111" s="120">
        <f>IF(AND(V111="OK",ISNUMBER($N$5),$N$5&gt;0,ISNUMBER($N$3),$N$3&gt;0),R111/(6*$N$3*1000000*$N$5)*(IF(N111&lt;($N$4*0/10),($N$4*0/10)*(MIN(O111,($N$4*0/10))^3-N111^3)-(MIN(O111,($N$4*0/10))^4-N111^4)/4,0)+IF(O111&gt;($N$4*0/10),($N$4*0/10)^2*(1.5*(O111^2-MAX(N111,($N$4*0/10))^2)-($N$4*0/10)*(O111-MAX(N111,($N$4*0/10)))),0))*1000,0)</f>
        <v>0</v>
      </c>
      <c r="AN111" s="120">
        <f>IF(AND(V111="OK",ISNUMBER($N$5),$N$5&gt;0,ISNUMBER($N$3),$N$3&gt;0),R111/(6*$N$3*1000000*$N$5)*(IF(N111&lt;($N$4*1/10),($N$4*1/10)*(MIN(O111,($N$4*1/10))^3-N111^3)-(MIN(O111,($N$4*1/10))^4-N111^4)/4,0)+IF(O111&gt;($N$4*1/10),($N$4*1/10)^2*(1.5*(O111^2-MAX(N111,($N$4*1/10))^2)-($N$4*1/10)*(O111-MAX(N111,($N$4*1/10)))),0))*1000,0)</f>
        <v>0</v>
      </c>
      <c r="AO111" s="120">
        <f>IF(AND(V111="OK",ISNUMBER($N$5),$N$5&gt;0,ISNUMBER($N$3),$N$3&gt;0),R111/(6*$N$3*1000000*$N$5)*(IF(N111&lt;($N$4*2/10),($N$4*2/10)*(MIN(O111,($N$4*2/10))^3-N111^3)-(MIN(O111,($N$4*2/10))^4-N111^4)/4,0)+IF(O111&gt;($N$4*2/10),($N$4*2/10)^2*(1.5*(O111^2-MAX(N111,($N$4*2/10))^2)-($N$4*2/10)*(O111-MAX(N111,($N$4*2/10)))),0))*1000,0)</f>
        <v>0</v>
      </c>
      <c r="AP111" s="120">
        <f>IF(AND(V111="OK",ISNUMBER($N$5),$N$5&gt;0,ISNUMBER($N$3),$N$3&gt;0),R111/(6*$N$3*1000000*$N$5)*(IF(N111&lt;($N$4*3/10),($N$4*3/10)*(MIN(O111,($N$4*3/10))^3-N111^3)-(MIN(O111,($N$4*3/10))^4-N111^4)/4,0)+IF(O111&gt;($N$4*3/10),($N$4*3/10)^2*(1.5*(O111^2-MAX(N111,($N$4*3/10))^2)-($N$4*3/10)*(O111-MAX(N111,($N$4*3/10)))),0))*1000,0)</f>
        <v>0</v>
      </c>
      <c r="AQ111" s="120">
        <f>IF(AND(V111="OK",ISNUMBER($N$5),$N$5&gt;0,ISNUMBER($N$3),$N$3&gt;0),R111/(6*$N$3*1000000*$N$5)*(IF(N111&lt;($N$4*4/10),($N$4*4/10)*(MIN(O111,($N$4*4/10))^3-N111^3)-(MIN(O111,($N$4*4/10))^4-N111^4)/4,0)+IF(O111&gt;($N$4*4/10),($N$4*4/10)^2*(1.5*(O111^2-MAX(N111,($N$4*4/10))^2)-($N$4*4/10)*(O111-MAX(N111,($N$4*4/10)))),0))*1000,0)</f>
        <v>0</v>
      </c>
      <c r="AR111" s="120">
        <f>IF(AND(V111="OK",ISNUMBER($N$5),$N$5&gt;0,ISNUMBER($N$3),$N$3&gt;0),R111/(6*$N$3*1000000*$N$5)*(IF(N111&lt;($N$4*5/10),($N$4*5/10)*(MIN(O111,($N$4*5/10))^3-N111^3)-(MIN(O111,($N$4*5/10))^4-N111^4)/4,0)+IF(O111&gt;($N$4*5/10),($N$4*5/10)^2*(1.5*(O111^2-MAX(N111,($N$4*5/10))^2)-($N$4*5/10)*(O111-MAX(N111,($N$4*5/10)))),0))*1000,0)</f>
        <v>0</v>
      </c>
      <c r="AS111" s="120">
        <f>IF(AND(V111="OK",ISNUMBER($N$5),$N$5&gt;0,ISNUMBER($N$3),$N$3&gt;0),R111/(6*$N$3*1000000*$N$5)*(IF(N111&lt;($N$4*6/10),($N$4*6/10)*(MIN(O111,($N$4*6/10))^3-N111^3)-(MIN(O111,($N$4*6/10))^4-N111^4)/4,0)+IF(O111&gt;($N$4*6/10),($N$4*6/10)^2*(1.5*(O111^2-MAX(N111,($N$4*6/10))^2)-($N$4*6/10)*(O111-MAX(N111,($N$4*6/10)))),0))*1000,0)</f>
        <v>0</v>
      </c>
      <c r="AT111" s="120">
        <f>IF(AND(V111="OK",ISNUMBER($N$5),$N$5&gt;0,ISNUMBER($N$3),$N$3&gt;0),R111/(6*$N$3*1000000*$N$5)*(IF(N111&lt;($N$4*7/10),($N$4*7/10)*(MIN(O111,($N$4*7/10))^3-N111^3)-(MIN(O111,($N$4*7/10))^4-N111^4)/4,0)+IF(O111&gt;($N$4*7/10),($N$4*7/10)^2*(1.5*(O111^2-MAX(N111,($N$4*7/10))^2)-($N$4*7/10)*(O111-MAX(N111,($N$4*7/10)))),0))*1000,0)</f>
        <v>0</v>
      </c>
      <c r="AU111" s="120">
        <f>IF(AND(V111="OK",ISNUMBER($N$5),$N$5&gt;0,ISNUMBER($N$3),$N$3&gt;0),R111/(6*$N$3*1000000*$N$5)*(IF(N111&lt;($N$4*8/10),($N$4*8/10)*(MIN(O111,($N$4*8/10))^3-N111^3)-(MIN(O111,($N$4*8/10))^4-N111^4)/4,0)+IF(O111&gt;($N$4*8/10),($N$4*8/10)^2*(1.5*(O111^2-MAX(N111,($N$4*8/10))^2)-($N$4*8/10)*(O111-MAX(N111,($N$4*8/10)))),0))*1000,0)</f>
        <v>0</v>
      </c>
      <c r="AV111" s="120">
        <f>IF(AND(V111="OK",ISNUMBER($N$5),$N$5&gt;0,ISNUMBER($N$3),$N$3&gt;0),R111/(6*$N$3*1000000*$N$5)*(IF(N111&lt;($N$4*9/10),($N$4*9/10)*(MIN(O111,($N$4*9/10))^3-N111^3)-(MIN(O111,($N$4*9/10))^4-N111^4)/4,0)+IF(O111&gt;($N$4*9/10),($N$4*9/10)^2*(1.5*(O111^2-MAX(N111,($N$4*9/10))^2)-($N$4*9/10)*(O111-MAX(N111,($N$4*9/10)))),0))*1000,0)</f>
        <v>0</v>
      </c>
      <c r="AW111" s="120">
        <f>IF(AND(V111="OK",ISNUMBER($N$5),$N$5&gt;0,ISNUMBER($N$3),$N$3&gt;0),R111/(6*$N$3*1000000*$N$5)*(IF(N111&lt;($N$4*10/10),($N$4*10/10)*(MIN(O111,($N$4*10/10))^3-N111^3)-(MIN(O111,($N$4*10/10))^4-N111^4)/4,0)+IF(O111&gt;($N$4*10/10),($N$4*10/10)^2*(1.5*(O111^2-MAX(N111,($N$4*10/10))^2)-($N$4*10/10)*(O111-MAX(N111,($N$4*10/10)))),0))*1000,0)</f>
        <v>0</v>
      </c>
    </row>
    <row r="112" spans="1:49">
      <c r="A112" s="124"/>
      <c r="B112" s="125"/>
      <c r="C112" s="125"/>
      <c r="D112" s="125"/>
      <c r="E112" s="125"/>
      <c r="F112" s="126" t="str">
        <f>IF(J112="OK",D112*E112,"")</f>
        <v/>
      </c>
      <c r="G112" s="126" t="str">
        <f>IF(J112="OK",F112*(C112-B112),"")</f>
        <v/>
      </c>
      <c r="H112" s="126" t="str">
        <f>IF(J112="OK",G112*(C112+B112)/2,"")</f>
        <v/>
      </c>
      <c r="I112" s="126" t="str">
        <f>IF(AND(J112="OK",ISNUMBER($B$5),$B$5&gt;0,ISNUMBER($B$3),$B$3&gt;0),F112*(4*$B$4*(C112^3-B112^3)-(C112^4-B112^4))/(24*$B$3*1000000*$B$5)*1000,"")</f>
        <v/>
      </c>
      <c r="J112" s="120" t="str">
        <f>IF(COUNTA(A112:E112)=0,"",IF(AND(COUNT(B112:E112)=4,B112&gt;=0,C112&gt;B112,C112&lt;=$B$4,D112&gt;=0,E112&gt;0),IF(COUNTIFS($B$13:$B$111,"&lt;"&amp;C112,$C$13:$C$111,"&gt;"&amp;B112)&gt;0,"OVERLAP","OK"),"CHECK INPUTS"))</f>
        <v/>
      </c>
      <c r="M112" s="124"/>
      <c r="N112" s="125"/>
      <c r="O112" s="125"/>
      <c r="P112" s="125"/>
      <c r="Q112" s="125"/>
      <c r="R112" s="126" t="str">
        <f>IF(V112="OK",P112*Q112,"")</f>
        <v/>
      </c>
      <c r="S112" s="126" t="str">
        <f>IF(V112="OK",R112*(O112-N112),"")</f>
        <v/>
      </c>
      <c r="T112" s="126" t="str">
        <f>IF(V112="OK",S112*(O112+N112)/2,"")</f>
        <v/>
      </c>
      <c r="U112" s="126" t="str">
        <f>IF(AND(V112="OK",ISNUMBER($N$5),$N$5&gt;0,ISNUMBER($N$3),$N$3&gt;0),R112*(4*$N$4*(O112^3-N112^3)-(O112^4-N112^4))/(24*$N$3*1000000*$N$5)*1000,"")</f>
        <v/>
      </c>
      <c r="V112" s="120" t="str">
        <f>IF(COUNTA(M112:Q112)=0,"",IF(AND(COUNT(N112:Q112)=4,N112&gt;=0,O112&gt;N112,O112&lt;=$N$4,P112&gt;=0,Q112&gt;0),IF(COUNTIFS($N$13:$N$111,"&lt;"&amp;O112,$O$13:$O$111,"&gt;"&amp;N112)&gt;0,"OVERLAP","OK"),"CHECK INPUTS"))</f>
        <v/>
      </c>
      <c r="AA112" s="120">
        <f>IF(AND(J112="OK",ISNUMBER($B$5),$B$5&gt;0,ISNUMBER($B$3),$B$3&gt;0),F112/(6*$B$3*1000000*$B$5)*(IF(B112&lt;($B$4*0/10),($B$4*0/10)*(MIN(C112,($B$4*0/10))^3-B112^3)-(MIN(C112,($B$4*0/10))^4-B112^4)/4,0)+IF(C112&gt;($B$4*0/10),($B$4*0/10)^2*(1.5*(C112^2-MAX(B112,($B$4*0/10))^2)-($B$4*0/10)*(C112-MAX(B112,($B$4*0/10)))),0))*1000,0)</f>
        <v>0</v>
      </c>
      <c r="AB112" s="120">
        <f>IF(AND(J112="OK",ISNUMBER($B$5),$B$5&gt;0,ISNUMBER($B$3),$B$3&gt;0),F112/(6*$B$3*1000000*$B$5)*(IF(B112&lt;($B$4*1/10),($B$4*1/10)*(MIN(C112,($B$4*1/10))^3-B112^3)-(MIN(C112,($B$4*1/10))^4-B112^4)/4,0)+IF(C112&gt;($B$4*1/10),($B$4*1/10)^2*(1.5*(C112^2-MAX(B112,($B$4*1/10))^2)-($B$4*1/10)*(C112-MAX(B112,($B$4*1/10)))),0))*1000,0)</f>
        <v>0</v>
      </c>
      <c r="AC112" s="120">
        <f>IF(AND(J112="OK",ISNUMBER($B$5),$B$5&gt;0,ISNUMBER($B$3),$B$3&gt;0),F112/(6*$B$3*1000000*$B$5)*(IF(B112&lt;($B$4*2/10),($B$4*2/10)*(MIN(C112,($B$4*2/10))^3-B112^3)-(MIN(C112,($B$4*2/10))^4-B112^4)/4,0)+IF(C112&gt;($B$4*2/10),($B$4*2/10)^2*(1.5*(C112^2-MAX(B112,($B$4*2/10))^2)-($B$4*2/10)*(C112-MAX(B112,($B$4*2/10)))),0))*1000,0)</f>
        <v>0</v>
      </c>
      <c r="AD112" s="120">
        <f>IF(AND(J112="OK",ISNUMBER($B$5),$B$5&gt;0,ISNUMBER($B$3),$B$3&gt;0),F112/(6*$B$3*1000000*$B$5)*(IF(B112&lt;($B$4*3/10),($B$4*3/10)*(MIN(C112,($B$4*3/10))^3-B112^3)-(MIN(C112,($B$4*3/10))^4-B112^4)/4,0)+IF(C112&gt;($B$4*3/10),($B$4*3/10)^2*(1.5*(C112^2-MAX(B112,($B$4*3/10))^2)-($B$4*3/10)*(C112-MAX(B112,($B$4*3/10)))),0))*1000,0)</f>
        <v>0</v>
      </c>
      <c r="AE112" s="120">
        <f>IF(AND(J112="OK",ISNUMBER($B$5),$B$5&gt;0,ISNUMBER($B$3),$B$3&gt;0),F112/(6*$B$3*1000000*$B$5)*(IF(B112&lt;($B$4*4/10),($B$4*4/10)*(MIN(C112,($B$4*4/10))^3-B112^3)-(MIN(C112,($B$4*4/10))^4-B112^4)/4,0)+IF(C112&gt;($B$4*4/10),($B$4*4/10)^2*(1.5*(C112^2-MAX(B112,($B$4*4/10))^2)-($B$4*4/10)*(C112-MAX(B112,($B$4*4/10)))),0))*1000,0)</f>
        <v>0</v>
      </c>
      <c r="AF112" s="120">
        <f>IF(AND(J112="OK",ISNUMBER($B$5),$B$5&gt;0,ISNUMBER($B$3),$B$3&gt;0),F112/(6*$B$3*1000000*$B$5)*(IF(B112&lt;($B$4*5/10),($B$4*5/10)*(MIN(C112,($B$4*5/10))^3-B112^3)-(MIN(C112,($B$4*5/10))^4-B112^4)/4,0)+IF(C112&gt;($B$4*5/10),($B$4*5/10)^2*(1.5*(C112^2-MAX(B112,($B$4*5/10))^2)-($B$4*5/10)*(C112-MAX(B112,($B$4*5/10)))),0))*1000,0)</f>
        <v>0</v>
      </c>
      <c r="AG112" s="120">
        <f>IF(AND(J112="OK",ISNUMBER($B$5),$B$5&gt;0,ISNUMBER($B$3),$B$3&gt;0),F112/(6*$B$3*1000000*$B$5)*(IF(B112&lt;($B$4*6/10),($B$4*6/10)*(MIN(C112,($B$4*6/10))^3-B112^3)-(MIN(C112,($B$4*6/10))^4-B112^4)/4,0)+IF(C112&gt;($B$4*6/10),($B$4*6/10)^2*(1.5*(C112^2-MAX(B112,($B$4*6/10))^2)-($B$4*6/10)*(C112-MAX(B112,($B$4*6/10)))),0))*1000,0)</f>
        <v>0</v>
      </c>
      <c r="AH112" s="120">
        <f>IF(AND(J112="OK",ISNUMBER($B$5),$B$5&gt;0,ISNUMBER($B$3),$B$3&gt;0),F112/(6*$B$3*1000000*$B$5)*(IF(B112&lt;($B$4*7/10),($B$4*7/10)*(MIN(C112,($B$4*7/10))^3-B112^3)-(MIN(C112,($B$4*7/10))^4-B112^4)/4,0)+IF(C112&gt;($B$4*7/10),($B$4*7/10)^2*(1.5*(C112^2-MAX(B112,($B$4*7/10))^2)-($B$4*7/10)*(C112-MAX(B112,($B$4*7/10)))),0))*1000,0)</f>
        <v>0</v>
      </c>
      <c r="AI112" s="120">
        <f>IF(AND(J112="OK",ISNUMBER($B$5),$B$5&gt;0,ISNUMBER($B$3),$B$3&gt;0),F112/(6*$B$3*1000000*$B$5)*(IF(B112&lt;($B$4*8/10),($B$4*8/10)*(MIN(C112,($B$4*8/10))^3-B112^3)-(MIN(C112,($B$4*8/10))^4-B112^4)/4,0)+IF(C112&gt;($B$4*8/10),($B$4*8/10)^2*(1.5*(C112^2-MAX(B112,($B$4*8/10))^2)-($B$4*8/10)*(C112-MAX(B112,($B$4*8/10)))),0))*1000,0)</f>
        <v>0</v>
      </c>
      <c r="AJ112" s="120">
        <f>IF(AND(J112="OK",ISNUMBER($B$5),$B$5&gt;0,ISNUMBER($B$3),$B$3&gt;0),F112/(6*$B$3*1000000*$B$5)*(IF(B112&lt;($B$4*9/10),($B$4*9/10)*(MIN(C112,($B$4*9/10))^3-B112^3)-(MIN(C112,($B$4*9/10))^4-B112^4)/4,0)+IF(C112&gt;($B$4*9/10),($B$4*9/10)^2*(1.5*(C112^2-MAX(B112,($B$4*9/10))^2)-($B$4*9/10)*(C112-MAX(B112,($B$4*9/10)))),0))*1000,0)</f>
        <v>0</v>
      </c>
      <c r="AK112" s="120">
        <f>IF(AND(J112="OK",ISNUMBER($B$5),$B$5&gt;0,ISNUMBER($B$3),$B$3&gt;0),F112/(6*$B$3*1000000*$B$5)*(IF(B112&lt;($B$4*10/10),($B$4*10/10)*(MIN(C112,($B$4*10/10))^3-B112^3)-(MIN(C112,($B$4*10/10))^4-B112^4)/4,0)+IF(C112&gt;($B$4*10/10),($B$4*10/10)^2*(1.5*(C112^2-MAX(B112,($B$4*10/10))^2)-($B$4*10/10)*(C112-MAX(B112,($B$4*10/10)))),0))*1000,0)</f>
        <v>0</v>
      </c>
      <c r="AM112" s="120">
        <f>IF(AND(V112="OK",ISNUMBER($N$5),$N$5&gt;0,ISNUMBER($N$3),$N$3&gt;0),R112/(6*$N$3*1000000*$N$5)*(IF(N112&lt;($N$4*0/10),($N$4*0/10)*(MIN(O112,($N$4*0/10))^3-N112^3)-(MIN(O112,($N$4*0/10))^4-N112^4)/4,0)+IF(O112&gt;($N$4*0/10),($N$4*0/10)^2*(1.5*(O112^2-MAX(N112,($N$4*0/10))^2)-($N$4*0/10)*(O112-MAX(N112,($N$4*0/10)))),0))*1000,0)</f>
        <v>0</v>
      </c>
      <c r="AN112" s="120">
        <f>IF(AND(V112="OK",ISNUMBER($N$5),$N$5&gt;0,ISNUMBER($N$3),$N$3&gt;0),R112/(6*$N$3*1000000*$N$5)*(IF(N112&lt;($N$4*1/10),($N$4*1/10)*(MIN(O112,($N$4*1/10))^3-N112^3)-(MIN(O112,($N$4*1/10))^4-N112^4)/4,0)+IF(O112&gt;($N$4*1/10),($N$4*1/10)^2*(1.5*(O112^2-MAX(N112,($N$4*1/10))^2)-($N$4*1/10)*(O112-MAX(N112,($N$4*1/10)))),0))*1000,0)</f>
        <v>0</v>
      </c>
      <c r="AO112" s="120">
        <f>IF(AND(V112="OK",ISNUMBER($N$5),$N$5&gt;0,ISNUMBER($N$3),$N$3&gt;0),R112/(6*$N$3*1000000*$N$5)*(IF(N112&lt;($N$4*2/10),($N$4*2/10)*(MIN(O112,($N$4*2/10))^3-N112^3)-(MIN(O112,($N$4*2/10))^4-N112^4)/4,0)+IF(O112&gt;($N$4*2/10),($N$4*2/10)^2*(1.5*(O112^2-MAX(N112,($N$4*2/10))^2)-($N$4*2/10)*(O112-MAX(N112,($N$4*2/10)))),0))*1000,0)</f>
        <v>0</v>
      </c>
      <c r="AP112" s="120">
        <f>IF(AND(V112="OK",ISNUMBER($N$5),$N$5&gt;0,ISNUMBER($N$3),$N$3&gt;0),R112/(6*$N$3*1000000*$N$5)*(IF(N112&lt;($N$4*3/10),($N$4*3/10)*(MIN(O112,($N$4*3/10))^3-N112^3)-(MIN(O112,($N$4*3/10))^4-N112^4)/4,0)+IF(O112&gt;($N$4*3/10),($N$4*3/10)^2*(1.5*(O112^2-MAX(N112,($N$4*3/10))^2)-($N$4*3/10)*(O112-MAX(N112,($N$4*3/10)))),0))*1000,0)</f>
        <v>0</v>
      </c>
      <c r="AQ112" s="120">
        <f>IF(AND(V112="OK",ISNUMBER($N$5),$N$5&gt;0,ISNUMBER($N$3),$N$3&gt;0),R112/(6*$N$3*1000000*$N$5)*(IF(N112&lt;($N$4*4/10),($N$4*4/10)*(MIN(O112,($N$4*4/10))^3-N112^3)-(MIN(O112,($N$4*4/10))^4-N112^4)/4,0)+IF(O112&gt;($N$4*4/10),($N$4*4/10)^2*(1.5*(O112^2-MAX(N112,($N$4*4/10))^2)-($N$4*4/10)*(O112-MAX(N112,($N$4*4/10)))),0))*1000,0)</f>
        <v>0</v>
      </c>
      <c r="AR112" s="120">
        <f>IF(AND(V112="OK",ISNUMBER($N$5),$N$5&gt;0,ISNUMBER($N$3),$N$3&gt;0),R112/(6*$N$3*1000000*$N$5)*(IF(N112&lt;($N$4*5/10),($N$4*5/10)*(MIN(O112,($N$4*5/10))^3-N112^3)-(MIN(O112,($N$4*5/10))^4-N112^4)/4,0)+IF(O112&gt;($N$4*5/10),($N$4*5/10)^2*(1.5*(O112^2-MAX(N112,($N$4*5/10))^2)-($N$4*5/10)*(O112-MAX(N112,($N$4*5/10)))),0))*1000,0)</f>
        <v>0</v>
      </c>
      <c r="AS112" s="120">
        <f>IF(AND(V112="OK",ISNUMBER($N$5),$N$5&gt;0,ISNUMBER($N$3),$N$3&gt;0),R112/(6*$N$3*1000000*$N$5)*(IF(N112&lt;($N$4*6/10),($N$4*6/10)*(MIN(O112,($N$4*6/10))^3-N112^3)-(MIN(O112,($N$4*6/10))^4-N112^4)/4,0)+IF(O112&gt;($N$4*6/10),($N$4*6/10)^2*(1.5*(O112^2-MAX(N112,($N$4*6/10))^2)-($N$4*6/10)*(O112-MAX(N112,($N$4*6/10)))),0))*1000,0)</f>
        <v>0</v>
      </c>
      <c r="AT112" s="120">
        <f>IF(AND(V112="OK",ISNUMBER($N$5),$N$5&gt;0,ISNUMBER($N$3),$N$3&gt;0),R112/(6*$N$3*1000000*$N$5)*(IF(N112&lt;($N$4*7/10),($N$4*7/10)*(MIN(O112,($N$4*7/10))^3-N112^3)-(MIN(O112,($N$4*7/10))^4-N112^4)/4,0)+IF(O112&gt;($N$4*7/10),($N$4*7/10)^2*(1.5*(O112^2-MAX(N112,($N$4*7/10))^2)-($N$4*7/10)*(O112-MAX(N112,($N$4*7/10)))),0))*1000,0)</f>
        <v>0</v>
      </c>
      <c r="AU112" s="120">
        <f>IF(AND(V112="OK",ISNUMBER($N$5),$N$5&gt;0,ISNUMBER($N$3),$N$3&gt;0),R112/(6*$N$3*1000000*$N$5)*(IF(N112&lt;($N$4*8/10),($N$4*8/10)*(MIN(O112,($N$4*8/10))^3-N112^3)-(MIN(O112,($N$4*8/10))^4-N112^4)/4,0)+IF(O112&gt;($N$4*8/10),($N$4*8/10)^2*(1.5*(O112^2-MAX(N112,($N$4*8/10))^2)-($N$4*8/10)*(O112-MAX(N112,($N$4*8/10)))),0))*1000,0)</f>
        <v>0</v>
      </c>
      <c r="AV112" s="120">
        <f>IF(AND(V112="OK",ISNUMBER($N$5),$N$5&gt;0,ISNUMBER($N$3),$N$3&gt;0),R112/(6*$N$3*1000000*$N$5)*(IF(N112&lt;($N$4*9/10),($N$4*9/10)*(MIN(O112,($N$4*9/10))^3-N112^3)-(MIN(O112,($N$4*9/10))^4-N112^4)/4,0)+IF(O112&gt;($N$4*9/10),($N$4*9/10)^2*(1.5*(O112^2-MAX(N112,($N$4*9/10))^2)-($N$4*9/10)*(O112-MAX(N112,($N$4*9/10)))),0))*1000,0)</f>
        <v>0</v>
      </c>
      <c r="AW112" s="120">
        <f>IF(AND(V112="OK",ISNUMBER($N$5),$N$5&gt;0,ISNUMBER($N$3),$N$3&gt;0),R112/(6*$N$3*1000000*$N$5)*(IF(N112&lt;($N$4*10/10),($N$4*10/10)*(MIN(O112,($N$4*10/10))^3-N112^3)-(MIN(O112,($N$4*10/10))^4-N112^4)/4,0)+IF(O112&gt;($N$4*10/10),($N$4*10/10)^2*(1.5*(O112^2-MAX(N112,($N$4*10/10))^2)-($N$4*10/10)*(O112-MAX(N112,($N$4*10/10)))),0))*1000,0)</f>
        <v>0</v>
      </c>
    </row>
    <row r="113" spans="1:49">
      <c r="A113" s="124"/>
      <c r="B113" s="125"/>
      <c r="C113" s="125"/>
      <c r="D113" s="125"/>
      <c r="E113" s="125"/>
      <c r="F113" s="126" t="str">
        <f>IF(J113="OK",D113*E113,"")</f>
        <v/>
      </c>
      <c r="G113" s="126" t="str">
        <f>IF(J113="OK",F113*(C113-B113),"")</f>
        <v/>
      </c>
      <c r="H113" s="126" t="str">
        <f>IF(J113="OK",G113*(C113+B113)/2,"")</f>
        <v/>
      </c>
      <c r="I113" s="126" t="str">
        <f>IF(AND(J113="OK",ISNUMBER($B$5),$B$5&gt;0,ISNUMBER($B$3),$B$3&gt;0),F113*(4*$B$4*(C113^3-B113^3)-(C113^4-B113^4))/(24*$B$3*1000000*$B$5)*1000,"")</f>
        <v/>
      </c>
      <c r="J113" s="120" t="str">
        <f>IF(COUNTA(A113:E113)=0,"",IF(AND(COUNT(B113:E113)=4,B113&gt;=0,C113&gt;B113,C113&lt;=$B$4,D113&gt;=0,E113&gt;0),IF(COUNTIFS($B$13:$B$112,"&lt;"&amp;C113,$C$13:$C$112,"&gt;"&amp;B113)&gt;0,"OVERLAP","OK"),"CHECK INPUTS"))</f>
        <v/>
      </c>
      <c r="M113" s="124"/>
      <c r="N113" s="125"/>
      <c r="O113" s="125"/>
      <c r="P113" s="125"/>
      <c r="Q113" s="125"/>
      <c r="R113" s="126" t="str">
        <f>IF(V113="OK",P113*Q113,"")</f>
        <v/>
      </c>
      <c r="S113" s="126" t="str">
        <f>IF(V113="OK",R113*(O113-N113),"")</f>
        <v/>
      </c>
      <c r="T113" s="126" t="str">
        <f>IF(V113="OK",S113*(O113+N113)/2,"")</f>
        <v/>
      </c>
      <c r="U113" s="126" t="str">
        <f>IF(AND(V113="OK",ISNUMBER($N$5),$N$5&gt;0,ISNUMBER($N$3),$N$3&gt;0),R113*(4*$N$4*(O113^3-N113^3)-(O113^4-N113^4))/(24*$N$3*1000000*$N$5)*1000,"")</f>
        <v/>
      </c>
      <c r="V113" s="120" t="str">
        <f>IF(COUNTA(M113:Q113)=0,"",IF(AND(COUNT(N113:Q113)=4,N113&gt;=0,O113&gt;N113,O113&lt;=$N$4,P113&gt;=0,Q113&gt;0),IF(COUNTIFS($N$13:$N$112,"&lt;"&amp;O113,$O$13:$O$112,"&gt;"&amp;N113)&gt;0,"OVERLAP","OK"),"CHECK INPUTS"))</f>
        <v/>
      </c>
      <c r="AA113" s="120">
        <f>IF(AND(J113="OK",ISNUMBER($B$5),$B$5&gt;0,ISNUMBER($B$3),$B$3&gt;0),F113/(6*$B$3*1000000*$B$5)*(IF(B113&lt;($B$4*0/10),($B$4*0/10)*(MIN(C113,($B$4*0/10))^3-B113^3)-(MIN(C113,($B$4*0/10))^4-B113^4)/4,0)+IF(C113&gt;($B$4*0/10),($B$4*0/10)^2*(1.5*(C113^2-MAX(B113,($B$4*0/10))^2)-($B$4*0/10)*(C113-MAX(B113,($B$4*0/10)))),0))*1000,0)</f>
        <v>0</v>
      </c>
      <c r="AB113" s="120">
        <f>IF(AND(J113="OK",ISNUMBER($B$5),$B$5&gt;0,ISNUMBER($B$3),$B$3&gt;0),F113/(6*$B$3*1000000*$B$5)*(IF(B113&lt;($B$4*1/10),($B$4*1/10)*(MIN(C113,($B$4*1/10))^3-B113^3)-(MIN(C113,($B$4*1/10))^4-B113^4)/4,0)+IF(C113&gt;($B$4*1/10),($B$4*1/10)^2*(1.5*(C113^2-MAX(B113,($B$4*1/10))^2)-($B$4*1/10)*(C113-MAX(B113,($B$4*1/10)))),0))*1000,0)</f>
        <v>0</v>
      </c>
      <c r="AC113" s="120">
        <f>IF(AND(J113="OK",ISNUMBER($B$5),$B$5&gt;0,ISNUMBER($B$3),$B$3&gt;0),F113/(6*$B$3*1000000*$B$5)*(IF(B113&lt;($B$4*2/10),($B$4*2/10)*(MIN(C113,($B$4*2/10))^3-B113^3)-(MIN(C113,($B$4*2/10))^4-B113^4)/4,0)+IF(C113&gt;($B$4*2/10),($B$4*2/10)^2*(1.5*(C113^2-MAX(B113,($B$4*2/10))^2)-($B$4*2/10)*(C113-MAX(B113,($B$4*2/10)))),0))*1000,0)</f>
        <v>0</v>
      </c>
      <c r="AD113" s="120">
        <f>IF(AND(J113="OK",ISNUMBER($B$5),$B$5&gt;0,ISNUMBER($B$3),$B$3&gt;0),F113/(6*$B$3*1000000*$B$5)*(IF(B113&lt;($B$4*3/10),($B$4*3/10)*(MIN(C113,($B$4*3/10))^3-B113^3)-(MIN(C113,($B$4*3/10))^4-B113^4)/4,0)+IF(C113&gt;($B$4*3/10),($B$4*3/10)^2*(1.5*(C113^2-MAX(B113,($B$4*3/10))^2)-($B$4*3/10)*(C113-MAX(B113,($B$4*3/10)))),0))*1000,0)</f>
        <v>0</v>
      </c>
      <c r="AE113" s="120">
        <f>IF(AND(J113="OK",ISNUMBER($B$5),$B$5&gt;0,ISNUMBER($B$3),$B$3&gt;0),F113/(6*$B$3*1000000*$B$5)*(IF(B113&lt;($B$4*4/10),($B$4*4/10)*(MIN(C113,($B$4*4/10))^3-B113^3)-(MIN(C113,($B$4*4/10))^4-B113^4)/4,0)+IF(C113&gt;($B$4*4/10),($B$4*4/10)^2*(1.5*(C113^2-MAX(B113,($B$4*4/10))^2)-($B$4*4/10)*(C113-MAX(B113,($B$4*4/10)))),0))*1000,0)</f>
        <v>0</v>
      </c>
      <c r="AF113" s="120">
        <f>IF(AND(J113="OK",ISNUMBER($B$5),$B$5&gt;0,ISNUMBER($B$3),$B$3&gt;0),F113/(6*$B$3*1000000*$B$5)*(IF(B113&lt;($B$4*5/10),($B$4*5/10)*(MIN(C113,($B$4*5/10))^3-B113^3)-(MIN(C113,($B$4*5/10))^4-B113^4)/4,0)+IF(C113&gt;($B$4*5/10),($B$4*5/10)^2*(1.5*(C113^2-MAX(B113,($B$4*5/10))^2)-($B$4*5/10)*(C113-MAX(B113,($B$4*5/10)))),0))*1000,0)</f>
        <v>0</v>
      </c>
      <c r="AG113" s="120">
        <f>IF(AND(J113="OK",ISNUMBER($B$5),$B$5&gt;0,ISNUMBER($B$3),$B$3&gt;0),F113/(6*$B$3*1000000*$B$5)*(IF(B113&lt;($B$4*6/10),($B$4*6/10)*(MIN(C113,($B$4*6/10))^3-B113^3)-(MIN(C113,($B$4*6/10))^4-B113^4)/4,0)+IF(C113&gt;($B$4*6/10),($B$4*6/10)^2*(1.5*(C113^2-MAX(B113,($B$4*6/10))^2)-($B$4*6/10)*(C113-MAX(B113,($B$4*6/10)))),0))*1000,0)</f>
        <v>0</v>
      </c>
      <c r="AH113" s="120">
        <f>IF(AND(J113="OK",ISNUMBER($B$5),$B$5&gt;0,ISNUMBER($B$3),$B$3&gt;0),F113/(6*$B$3*1000000*$B$5)*(IF(B113&lt;($B$4*7/10),($B$4*7/10)*(MIN(C113,($B$4*7/10))^3-B113^3)-(MIN(C113,($B$4*7/10))^4-B113^4)/4,0)+IF(C113&gt;($B$4*7/10),($B$4*7/10)^2*(1.5*(C113^2-MAX(B113,($B$4*7/10))^2)-($B$4*7/10)*(C113-MAX(B113,($B$4*7/10)))),0))*1000,0)</f>
        <v>0</v>
      </c>
      <c r="AI113" s="120">
        <f>IF(AND(J113="OK",ISNUMBER($B$5),$B$5&gt;0,ISNUMBER($B$3),$B$3&gt;0),F113/(6*$B$3*1000000*$B$5)*(IF(B113&lt;($B$4*8/10),($B$4*8/10)*(MIN(C113,($B$4*8/10))^3-B113^3)-(MIN(C113,($B$4*8/10))^4-B113^4)/4,0)+IF(C113&gt;($B$4*8/10),($B$4*8/10)^2*(1.5*(C113^2-MAX(B113,($B$4*8/10))^2)-($B$4*8/10)*(C113-MAX(B113,($B$4*8/10)))),0))*1000,0)</f>
        <v>0</v>
      </c>
      <c r="AJ113" s="120">
        <f>IF(AND(J113="OK",ISNUMBER($B$5),$B$5&gt;0,ISNUMBER($B$3),$B$3&gt;0),F113/(6*$B$3*1000000*$B$5)*(IF(B113&lt;($B$4*9/10),($B$4*9/10)*(MIN(C113,($B$4*9/10))^3-B113^3)-(MIN(C113,($B$4*9/10))^4-B113^4)/4,0)+IF(C113&gt;($B$4*9/10),($B$4*9/10)^2*(1.5*(C113^2-MAX(B113,($B$4*9/10))^2)-($B$4*9/10)*(C113-MAX(B113,($B$4*9/10)))),0))*1000,0)</f>
        <v>0</v>
      </c>
      <c r="AK113" s="120">
        <f>IF(AND(J113="OK",ISNUMBER($B$5),$B$5&gt;0,ISNUMBER($B$3),$B$3&gt;0),F113/(6*$B$3*1000000*$B$5)*(IF(B113&lt;($B$4*10/10),($B$4*10/10)*(MIN(C113,($B$4*10/10))^3-B113^3)-(MIN(C113,($B$4*10/10))^4-B113^4)/4,0)+IF(C113&gt;($B$4*10/10),($B$4*10/10)^2*(1.5*(C113^2-MAX(B113,($B$4*10/10))^2)-($B$4*10/10)*(C113-MAX(B113,($B$4*10/10)))),0))*1000,0)</f>
        <v>0</v>
      </c>
      <c r="AM113" s="120">
        <f>IF(AND(V113="OK",ISNUMBER($N$5),$N$5&gt;0,ISNUMBER($N$3),$N$3&gt;0),R113/(6*$N$3*1000000*$N$5)*(IF(N113&lt;($N$4*0/10),($N$4*0/10)*(MIN(O113,($N$4*0/10))^3-N113^3)-(MIN(O113,($N$4*0/10))^4-N113^4)/4,0)+IF(O113&gt;($N$4*0/10),($N$4*0/10)^2*(1.5*(O113^2-MAX(N113,($N$4*0/10))^2)-($N$4*0/10)*(O113-MAX(N113,($N$4*0/10)))),0))*1000,0)</f>
        <v>0</v>
      </c>
      <c r="AN113" s="120">
        <f>IF(AND(V113="OK",ISNUMBER($N$5),$N$5&gt;0,ISNUMBER($N$3),$N$3&gt;0),R113/(6*$N$3*1000000*$N$5)*(IF(N113&lt;($N$4*1/10),($N$4*1/10)*(MIN(O113,($N$4*1/10))^3-N113^3)-(MIN(O113,($N$4*1/10))^4-N113^4)/4,0)+IF(O113&gt;($N$4*1/10),($N$4*1/10)^2*(1.5*(O113^2-MAX(N113,($N$4*1/10))^2)-($N$4*1/10)*(O113-MAX(N113,($N$4*1/10)))),0))*1000,0)</f>
        <v>0</v>
      </c>
      <c r="AO113" s="120">
        <f>IF(AND(V113="OK",ISNUMBER($N$5),$N$5&gt;0,ISNUMBER($N$3),$N$3&gt;0),R113/(6*$N$3*1000000*$N$5)*(IF(N113&lt;($N$4*2/10),($N$4*2/10)*(MIN(O113,($N$4*2/10))^3-N113^3)-(MIN(O113,($N$4*2/10))^4-N113^4)/4,0)+IF(O113&gt;($N$4*2/10),($N$4*2/10)^2*(1.5*(O113^2-MAX(N113,($N$4*2/10))^2)-($N$4*2/10)*(O113-MAX(N113,($N$4*2/10)))),0))*1000,0)</f>
        <v>0</v>
      </c>
      <c r="AP113" s="120">
        <f>IF(AND(V113="OK",ISNUMBER($N$5),$N$5&gt;0,ISNUMBER($N$3),$N$3&gt;0),R113/(6*$N$3*1000000*$N$5)*(IF(N113&lt;($N$4*3/10),($N$4*3/10)*(MIN(O113,($N$4*3/10))^3-N113^3)-(MIN(O113,($N$4*3/10))^4-N113^4)/4,0)+IF(O113&gt;($N$4*3/10),($N$4*3/10)^2*(1.5*(O113^2-MAX(N113,($N$4*3/10))^2)-($N$4*3/10)*(O113-MAX(N113,($N$4*3/10)))),0))*1000,0)</f>
        <v>0</v>
      </c>
      <c r="AQ113" s="120">
        <f>IF(AND(V113="OK",ISNUMBER($N$5),$N$5&gt;0,ISNUMBER($N$3),$N$3&gt;0),R113/(6*$N$3*1000000*$N$5)*(IF(N113&lt;($N$4*4/10),($N$4*4/10)*(MIN(O113,($N$4*4/10))^3-N113^3)-(MIN(O113,($N$4*4/10))^4-N113^4)/4,0)+IF(O113&gt;($N$4*4/10),($N$4*4/10)^2*(1.5*(O113^2-MAX(N113,($N$4*4/10))^2)-($N$4*4/10)*(O113-MAX(N113,($N$4*4/10)))),0))*1000,0)</f>
        <v>0</v>
      </c>
      <c r="AR113" s="120">
        <f>IF(AND(V113="OK",ISNUMBER($N$5),$N$5&gt;0,ISNUMBER($N$3),$N$3&gt;0),R113/(6*$N$3*1000000*$N$5)*(IF(N113&lt;($N$4*5/10),($N$4*5/10)*(MIN(O113,($N$4*5/10))^3-N113^3)-(MIN(O113,($N$4*5/10))^4-N113^4)/4,0)+IF(O113&gt;($N$4*5/10),($N$4*5/10)^2*(1.5*(O113^2-MAX(N113,($N$4*5/10))^2)-($N$4*5/10)*(O113-MAX(N113,($N$4*5/10)))),0))*1000,0)</f>
        <v>0</v>
      </c>
      <c r="AS113" s="120">
        <f>IF(AND(V113="OK",ISNUMBER($N$5),$N$5&gt;0,ISNUMBER($N$3),$N$3&gt;0),R113/(6*$N$3*1000000*$N$5)*(IF(N113&lt;($N$4*6/10),($N$4*6/10)*(MIN(O113,($N$4*6/10))^3-N113^3)-(MIN(O113,($N$4*6/10))^4-N113^4)/4,0)+IF(O113&gt;($N$4*6/10),($N$4*6/10)^2*(1.5*(O113^2-MAX(N113,($N$4*6/10))^2)-($N$4*6/10)*(O113-MAX(N113,($N$4*6/10)))),0))*1000,0)</f>
        <v>0</v>
      </c>
      <c r="AT113" s="120">
        <f>IF(AND(V113="OK",ISNUMBER($N$5),$N$5&gt;0,ISNUMBER($N$3),$N$3&gt;0),R113/(6*$N$3*1000000*$N$5)*(IF(N113&lt;($N$4*7/10),($N$4*7/10)*(MIN(O113,($N$4*7/10))^3-N113^3)-(MIN(O113,($N$4*7/10))^4-N113^4)/4,0)+IF(O113&gt;($N$4*7/10),($N$4*7/10)^2*(1.5*(O113^2-MAX(N113,($N$4*7/10))^2)-($N$4*7/10)*(O113-MAX(N113,($N$4*7/10)))),0))*1000,0)</f>
        <v>0</v>
      </c>
      <c r="AU113" s="120">
        <f>IF(AND(V113="OK",ISNUMBER($N$5),$N$5&gt;0,ISNUMBER($N$3),$N$3&gt;0),R113/(6*$N$3*1000000*$N$5)*(IF(N113&lt;($N$4*8/10),($N$4*8/10)*(MIN(O113,($N$4*8/10))^3-N113^3)-(MIN(O113,($N$4*8/10))^4-N113^4)/4,0)+IF(O113&gt;($N$4*8/10),($N$4*8/10)^2*(1.5*(O113^2-MAX(N113,($N$4*8/10))^2)-($N$4*8/10)*(O113-MAX(N113,($N$4*8/10)))),0))*1000,0)</f>
        <v>0</v>
      </c>
      <c r="AV113" s="120">
        <f>IF(AND(V113="OK",ISNUMBER($N$5),$N$5&gt;0,ISNUMBER($N$3),$N$3&gt;0),R113/(6*$N$3*1000000*$N$5)*(IF(N113&lt;($N$4*9/10),($N$4*9/10)*(MIN(O113,($N$4*9/10))^3-N113^3)-(MIN(O113,($N$4*9/10))^4-N113^4)/4,0)+IF(O113&gt;($N$4*9/10),($N$4*9/10)^2*(1.5*(O113^2-MAX(N113,($N$4*9/10))^2)-($N$4*9/10)*(O113-MAX(N113,($N$4*9/10)))),0))*1000,0)</f>
        <v>0</v>
      </c>
      <c r="AW113" s="120">
        <f>IF(AND(V113="OK",ISNUMBER($N$5),$N$5&gt;0,ISNUMBER($N$3),$N$3&gt;0),R113/(6*$N$3*1000000*$N$5)*(IF(N113&lt;($N$4*10/10),($N$4*10/10)*(MIN(O113,($N$4*10/10))^3-N113^3)-(MIN(O113,($N$4*10/10))^4-N113^4)/4,0)+IF(O113&gt;($N$4*10/10),($N$4*10/10)^2*(1.5*(O113^2-MAX(N113,($N$4*10/10))^2)-($N$4*10/10)*(O113-MAX(N113,($N$4*10/10)))),0))*1000,0)</f>
        <v>0</v>
      </c>
    </row>
    <row r="114" spans="1:49">
      <c r="A114" s="124"/>
      <c r="B114" s="125"/>
      <c r="C114" s="125"/>
      <c r="D114" s="125"/>
      <c r="E114" s="125"/>
      <c r="F114" s="126" t="str">
        <f>IF(J114="OK",D114*E114,"")</f>
        <v/>
      </c>
      <c r="G114" s="126" t="str">
        <f>IF(J114="OK",F114*(C114-B114),"")</f>
        <v/>
      </c>
      <c r="H114" s="126" t="str">
        <f>IF(J114="OK",G114*(C114+B114)/2,"")</f>
        <v/>
      </c>
      <c r="I114" s="126" t="str">
        <f>IF(AND(J114="OK",ISNUMBER($B$5),$B$5&gt;0,ISNUMBER($B$3),$B$3&gt;0),F114*(4*$B$4*(C114^3-B114^3)-(C114^4-B114^4))/(24*$B$3*1000000*$B$5)*1000,"")</f>
        <v/>
      </c>
      <c r="J114" s="120" t="str">
        <f>IF(COUNTA(A114:E114)=0,"",IF(AND(COUNT(B114:E114)=4,B114&gt;=0,C114&gt;B114,C114&lt;=$B$4,D114&gt;=0,E114&gt;0),IF(COUNTIFS($B$13:$B$113,"&lt;"&amp;C114,$C$13:$C$113,"&gt;"&amp;B114)&gt;0,"OVERLAP","OK"),"CHECK INPUTS"))</f>
        <v/>
      </c>
      <c r="M114" s="124"/>
      <c r="N114" s="125"/>
      <c r="O114" s="125"/>
      <c r="P114" s="125"/>
      <c r="Q114" s="125"/>
      <c r="R114" s="126" t="str">
        <f>IF(V114="OK",P114*Q114,"")</f>
        <v/>
      </c>
      <c r="S114" s="126" t="str">
        <f>IF(V114="OK",R114*(O114-N114),"")</f>
        <v/>
      </c>
      <c r="T114" s="126" t="str">
        <f>IF(V114="OK",S114*(O114+N114)/2,"")</f>
        <v/>
      </c>
      <c r="U114" s="126" t="str">
        <f>IF(AND(V114="OK",ISNUMBER($N$5),$N$5&gt;0,ISNUMBER($N$3),$N$3&gt;0),R114*(4*$N$4*(O114^3-N114^3)-(O114^4-N114^4))/(24*$N$3*1000000*$N$5)*1000,"")</f>
        <v/>
      </c>
      <c r="V114" s="120" t="str">
        <f>IF(COUNTA(M114:Q114)=0,"",IF(AND(COUNT(N114:Q114)=4,N114&gt;=0,O114&gt;N114,O114&lt;=$N$4,P114&gt;=0,Q114&gt;0),IF(COUNTIFS($N$13:$N$113,"&lt;"&amp;O114,$O$13:$O$113,"&gt;"&amp;N114)&gt;0,"OVERLAP","OK"),"CHECK INPUTS"))</f>
        <v/>
      </c>
      <c r="AA114" s="120">
        <f>IF(AND(J114="OK",ISNUMBER($B$5),$B$5&gt;0,ISNUMBER($B$3),$B$3&gt;0),F114/(6*$B$3*1000000*$B$5)*(IF(B114&lt;($B$4*0/10),($B$4*0/10)*(MIN(C114,($B$4*0/10))^3-B114^3)-(MIN(C114,($B$4*0/10))^4-B114^4)/4,0)+IF(C114&gt;($B$4*0/10),($B$4*0/10)^2*(1.5*(C114^2-MAX(B114,($B$4*0/10))^2)-($B$4*0/10)*(C114-MAX(B114,($B$4*0/10)))),0))*1000,0)</f>
        <v>0</v>
      </c>
      <c r="AB114" s="120">
        <f>IF(AND(J114="OK",ISNUMBER($B$5),$B$5&gt;0,ISNUMBER($B$3),$B$3&gt;0),F114/(6*$B$3*1000000*$B$5)*(IF(B114&lt;($B$4*1/10),($B$4*1/10)*(MIN(C114,($B$4*1/10))^3-B114^3)-(MIN(C114,($B$4*1/10))^4-B114^4)/4,0)+IF(C114&gt;($B$4*1/10),($B$4*1/10)^2*(1.5*(C114^2-MAX(B114,($B$4*1/10))^2)-($B$4*1/10)*(C114-MAX(B114,($B$4*1/10)))),0))*1000,0)</f>
        <v>0</v>
      </c>
      <c r="AC114" s="120">
        <f>IF(AND(J114="OK",ISNUMBER($B$5),$B$5&gt;0,ISNUMBER($B$3),$B$3&gt;0),F114/(6*$B$3*1000000*$B$5)*(IF(B114&lt;($B$4*2/10),($B$4*2/10)*(MIN(C114,($B$4*2/10))^3-B114^3)-(MIN(C114,($B$4*2/10))^4-B114^4)/4,0)+IF(C114&gt;($B$4*2/10),($B$4*2/10)^2*(1.5*(C114^2-MAX(B114,($B$4*2/10))^2)-($B$4*2/10)*(C114-MAX(B114,($B$4*2/10)))),0))*1000,0)</f>
        <v>0</v>
      </c>
      <c r="AD114" s="120">
        <f>IF(AND(J114="OK",ISNUMBER($B$5),$B$5&gt;0,ISNUMBER($B$3),$B$3&gt;0),F114/(6*$B$3*1000000*$B$5)*(IF(B114&lt;($B$4*3/10),($B$4*3/10)*(MIN(C114,($B$4*3/10))^3-B114^3)-(MIN(C114,($B$4*3/10))^4-B114^4)/4,0)+IF(C114&gt;($B$4*3/10),($B$4*3/10)^2*(1.5*(C114^2-MAX(B114,($B$4*3/10))^2)-($B$4*3/10)*(C114-MAX(B114,($B$4*3/10)))),0))*1000,0)</f>
        <v>0</v>
      </c>
      <c r="AE114" s="120">
        <f>IF(AND(J114="OK",ISNUMBER($B$5),$B$5&gt;0,ISNUMBER($B$3),$B$3&gt;0),F114/(6*$B$3*1000000*$B$5)*(IF(B114&lt;($B$4*4/10),($B$4*4/10)*(MIN(C114,($B$4*4/10))^3-B114^3)-(MIN(C114,($B$4*4/10))^4-B114^4)/4,0)+IF(C114&gt;($B$4*4/10),($B$4*4/10)^2*(1.5*(C114^2-MAX(B114,($B$4*4/10))^2)-($B$4*4/10)*(C114-MAX(B114,($B$4*4/10)))),0))*1000,0)</f>
        <v>0</v>
      </c>
      <c r="AF114" s="120">
        <f>IF(AND(J114="OK",ISNUMBER($B$5),$B$5&gt;0,ISNUMBER($B$3),$B$3&gt;0),F114/(6*$B$3*1000000*$B$5)*(IF(B114&lt;($B$4*5/10),($B$4*5/10)*(MIN(C114,($B$4*5/10))^3-B114^3)-(MIN(C114,($B$4*5/10))^4-B114^4)/4,0)+IF(C114&gt;($B$4*5/10),($B$4*5/10)^2*(1.5*(C114^2-MAX(B114,($B$4*5/10))^2)-($B$4*5/10)*(C114-MAX(B114,($B$4*5/10)))),0))*1000,0)</f>
        <v>0</v>
      </c>
      <c r="AG114" s="120">
        <f>IF(AND(J114="OK",ISNUMBER($B$5),$B$5&gt;0,ISNUMBER($B$3),$B$3&gt;0),F114/(6*$B$3*1000000*$B$5)*(IF(B114&lt;($B$4*6/10),($B$4*6/10)*(MIN(C114,($B$4*6/10))^3-B114^3)-(MIN(C114,($B$4*6/10))^4-B114^4)/4,0)+IF(C114&gt;($B$4*6/10),($B$4*6/10)^2*(1.5*(C114^2-MAX(B114,($B$4*6/10))^2)-($B$4*6/10)*(C114-MAX(B114,($B$4*6/10)))),0))*1000,0)</f>
        <v>0</v>
      </c>
      <c r="AH114" s="120">
        <f>IF(AND(J114="OK",ISNUMBER($B$5),$B$5&gt;0,ISNUMBER($B$3),$B$3&gt;0),F114/(6*$B$3*1000000*$B$5)*(IF(B114&lt;($B$4*7/10),($B$4*7/10)*(MIN(C114,($B$4*7/10))^3-B114^3)-(MIN(C114,($B$4*7/10))^4-B114^4)/4,0)+IF(C114&gt;($B$4*7/10),($B$4*7/10)^2*(1.5*(C114^2-MAX(B114,($B$4*7/10))^2)-($B$4*7/10)*(C114-MAX(B114,($B$4*7/10)))),0))*1000,0)</f>
        <v>0</v>
      </c>
      <c r="AI114" s="120">
        <f>IF(AND(J114="OK",ISNUMBER($B$5),$B$5&gt;0,ISNUMBER($B$3),$B$3&gt;0),F114/(6*$B$3*1000000*$B$5)*(IF(B114&lt;($B$4*8/10),($B$4*8/10)*(MIN(C114,($B$4*8/10))^3-B114^3)-(MIN(C114,($B$4*8/10))^4-B114^4)/4,0)+IF(C114&gt;($B$4*8/10),($B$4*8/10)^2*(1.5*(C114^2-MAX(B114,($B$4*8/10))^2)-($B$4*8/10)*(C114-MAX(B114,($B$4*8/10)))),0))*1000,0)</f>
        <v>0</v>
      </c>
      <c r="AJ114" s="120">
        <f>IF(AND(J114="OK",ISNUMBER($B$5),$B$5&gt;0,ISNUMBER($B$3),$B$3&gt;0),F114/(6*$B$3*1000000*$B$5)*(IF(B114&lt;($B$4*9/10),($B$4*9/10)*(MIN(C114,($B$4*9/10))^3-B114^3)-(MIN(C114,($B$4*9/10))^4-B114^4)/4,0)+IF(C114&gt;($B$4*9/10),($B$4*9/10)^2*(1.5*(C114^2-MAX(B114,($B$4*9/10))^2)-($B$4*9/10)*(C114-MAX(B114,($B$4*9/10)))),0))*1000,0)</f>
        <v>0</v>
      </c>
      <c r="AK114" s="120">
        <f>IF(AND(J114="OK",ISNUMBER($B$5),$B$5&gt;0,ISNUMBER($B$3),$B$3&gt;0),F114/(6*$B$3*1000000*$B$5)*(IF(B114&lt;($B$4*10/10),($B$4*10/10)*(MIN(C114,($B$4*10/10))^3-B114^3)-(MIN(C114,($B$4*10/10))^4-B114^4)/4,0)+IF(C114&gt;($B$4*10/10),($B$4*10/10)^2*(1.5*(C114^2-MAX(B114,($B$4*10/10))^2)-($B$4*10/10)*(C114-MAX(B114,($B$4*10/10)))),0))*1000,0)</f>
        <v>0</v>
      </c>
      <c r="AM114" s="120">
        <f>IF(AND(V114="OK",ISNUMBER($N$5),$N$5&gt;0,ISNUMBER($N$3),$N$3&gt;0),R114/(6*$N$3*1000000*$N$5)*(IF(N114&lt;($N$4*0/10),($N$4*0/10)*(MIN(O114,($N$4*0/10))^3-N114^3)-(MIN(O114,($N$4*0/10))^4-N114^4)/4,0)+IF(O114&gt;($N$4*0/10),($N$4*0/10)^2*(1.5*(O114^2-MAX(N114,($N$4*0/10))^2)-($N$4*0/10)*(O114-MAX(N114,($N$4*0/10)))),0))*1000,0)</f>
        <v>0</v>
      </c>
      <c r="AN114" s="120">
        <f>IF(AND(V114="OK",ISNUMBER($N$5),$N$5&gt;0,ISNUMBER($N$3),$N$3&gt;0),R114/(6*$N$3*1000000*$N$5)*(IF(N114&lt;($N$4*1/10),($N$4*1/10)*(MIN(O114,($N$4*1/10))^3-N114^3)-(MIN(O114,($N$4*1/10))^4-N114^4)/4,0)+IF(O114&gt;($N$4*1/10),($N$4*1/10)^2*(1.5*(O114^2-MAX(N114,($N$4*1/10))^2)-($N$4*1/10)*(O114-MAX(N114,($N$4*1/10)))),0))*1000,0)</f>
        <v>0</v>
      </c>
      <c r="AO114" s="120">
        <f>IF(AND(V114="OK",ISNUMBER($N$5),$N$5&gt;0,ISNUMBER($N$3),$N$3&gt;0),R114/(6*$N$3*1000000*$N$5)*(IF(N114&lt;($N$4*2/10),($N$4*2/10)*(MIN(O114,($N$4*2/10))^3-N114^3)-(MIN(O114,($N$4*2/10))^4-N114^4)/4,0)+IF(O114&gt;($N$4*2/10),($N$4*2/10)^2*(1.5*(O114^2-MAX(N114,($N$4*2/10))^2)-($N$4*2/10)*(O114-MAX(N114,($N$4*2/10)))),0))*1000,0)</f>
        <v>0</v>
      </c>
      <c r="AP114" s="120">
        <f>IF(AND(V114="OK",ISNUMBER($N$5),$N$5&gt;0,ISNUMBER($N$3),$N$3&gt;0),R114/(6*$N$3*1000000*$N$5)*(IF(N114&lt;($N$4*3/10),($N$4*3/10)*(MIN(O114,($N$4*3/10))^3-N114^3)-(MIN(O114,($N$4*3/10))^4-N114^4)/4,0)+IF(O114&gt;($N$4*3/10),($N$4*3/10)^2*(1.5*(O114^2-MAX(N114,($N$4*3/10))^2)-($N$4*3/10)*(O114-MAX(N114,($N$4*3/10)))),0))*1000,0)</f>
        <v>0</v>
      </c>
      <c r="AQ114" s="120">
        <f>IF(AND(V114="OK",ISNUMBER($N$5),$N$5&gt;0,ISNUMBER($N$3),$N$3&gt;0),R114/(6*$N$3*1000000*$N$5)*(IF(N114&lt;($N$4*4/10),($N$4*4/10)*(MIN(O114,($N$4*4/10))^3-N114^3)-(MIN(O114,($N$4*4/10))^4-N114^4)/4,0)+IF(O114&gt;($N$4*4/10),($N$4*4/10)^2*(1.5*(O114^2-MAX(N114,($N$4*4/10))^2)-($N$4*4/10)*(O114-MAX(N114,($N$4*4/10)))),0))*1000,0)</f>
        <v>0</v>
      </c>
      <c r="AR114" s="120">
        <f>IF(AND(V114="OK",ISNUMBER($N$5),$N$5&gt;0,ISNUMBER($N$3),$N$3&gt;0),R114/(6*$N$3*1000000*$N$5)*(IF(N114&lt;($N$4*5/10),($N$4*5/10)*(MIN(O114,($N$4*5/10))^3-N114^3)-(MIN(O114,($N$4*5/10))^4-N114^4)/4,0)+IF(O114&gt;($N$4*5/10),($N$4*5/10)^2*(1.5*(O114^2-MAX(N114,($N$4*5/10))^2)-($N$4*5/10)*(O114-MAX(N114,($N$4*5/10)))),0))*1000,0)</f>
        <v>0</v>
      </c>
      <c r="AS114" s="120">
        <f>IF(AND(V114="OK",ISNUMBER($N$5),$N$5&gt;0,ISNUMBER($N$3),$N$3&gt;0),R114/(6*$N$3*1000000*$N$5)*(IF(N114&lt;($N$4*6/10),($N$4*6/10)*(MIN(O114,($N$4*6/10))^3-N114^3)-(MIN(O114,($N$4*6/10))^4-N114^4)/4,0)+IF(O114&gt;($N$4*6/10),($N$4*6/10)^2*(1.5*(O114^2-MAX(N114,($N$4*6/10))^2)-($N$4*6/10)*(O114-MAX(N114,($N$4*6/10)))),0))*1000,0)</f>
        <v>0</v>
      </c>
      <c r="AT114" s="120">
        <f>IF(AND(V114="OK",ISNUMBER($N$5),$N$5&gt;0,ISNUMBER($N$3),$N$3&gt;0),R114/(6*$N$3*1000000*$N$5)*(IF(N114&lt;($N$4*7/10),($N$4*7/10)*(MIN(O114,($N$4*7/10))^3-N114^3)-(MIN(O114,($N$4*7/10))^4-N114^4)/4,0)+IF(O114&gt;($N$4*7/10),($N$4*7/10)^2*(1.5*(O114^2-MAX(N114,($N$4*7/10))^2)-($N$4*7/10)*(O114-MAX(N114,($N$4*7/10)))),0))*1000,0)</f>
        <v>0</v>
      </c>
      <c r="AU114" s="120">
        <f>IF(AND(V114="OK",ISNUMBER($N$5),$N$5&gt;0,ISNUMBER($N$3),$N$3&gt;0),R114/(6*$N$3*1000000*$N$5)*(IF(N114&lt;($N$4*8/10),($N$4*8/10)*(MIN(O114,($N$4*8/10))^3-N114^3)-(MIN(O114,($N$4*8/10))^4-N114^4)/4,0)+IF(O114&gt;($N$4*8/10),($N$4*8/10)^2*(1.5*(O114^2-MAX(N114,($N$4*8/10))^2)-($N$4*8/10)*(O114-MAX(N114,($N$4*8/10)))),0))*1000,0)</f>
        <v>0</v>
      </c>
      <c r="AV114" s="120">
        <f>IF(AND(V114="OK",ISNUMBER($N$5),$N$5&gt;0,ISNUMBER($N$3),$N$3&gt;0),R114/(6*$N$3*1000000*$N$5)*(IF(N114&lt;($N$4*9/10),($N$4*9/10)*(MIN(O114,($N$4*9/10))^3-N114^3)-(MIN(O114,($N$4*9/10))^4-N114^4)/4,0)+IF(O114&gt;($N$4*9/10),($N$4*9/10)^2*(1.5*(O114^2-MAX(N114,($N$4*9/10))^2)-($N$4*9/10)*(O114-MAX(N114,($N$4*9/10)))),0))*1000,0)</f>
        <v>0</v>
      </c>
      <c r="AW114" s="120">
        <f>IF(AND(V114="OK",ISNUMBER($N$5),$N$5&gt;0,ISNUMBER($N$3),$N$3&gt;0),R114/(6*$N$3*1000000*$N$5)*(IF(N114&lt;($N$4*10/10),($N$4*10/10)*(MIN(O114,($N$4*10/10))^3-N114^3)-(MIN(O114,($N$4*10/10))^4-N114^4)/4,0)+IF(O114&gt;($N$4*10/10),($N$4*10/10)^2*(1.5*(O114^2-MAX(N114,($N$4*10/10))^2)-($N$4*10/10)*(O114-MAX(N114,($N$4*10/10)))),0))*1000,0)</f>
        <v>0</v>
      </c>
    </row>
    <row r="115" spans="1:49">
      <c r="A115" s="124"/>
      <c r="B115" s="125"/>
      <c r="C115" s="125"/>
      <c r="D115" s="125"/>
      <c r="E115" s="125"/>
      <c r="F115" s="126" t="str">
        <f>IF(J115="OK",D115*E115,"")</f>
        <v/>
      </c>
      <c r="G115" s="126" t="str">
        <f>IF(J115="OK",F115*(C115-B115),"")</f>
        <v/>
      </c>
      <c r="H115" s="126" t="str">
        <f>IF(J115="OK",G115*(C115+B115)/2,"")</f>
        <v/>
      </c>
      <c r="I115" s="126" t="str">
        <f>IF(AND(J115="OK",ISNUMBER($B$5),$B$5&gt;0,ISNUMBER($B$3),$B$3&gt;0),F115*(4*$B$4*(C115^3-B115^3)-(C115^4-B115^4))/(24*$B$3*1000000*$B$5)*1000,"")</f>
        <v/>
      </c>
      <c r="J115" s="120" t="str">
        <f>IF(COUNTA(A115:E115)=0,"",IF(AND(COUNT(B115:E115)=4,B115&gt;=0,C115&gt;B115,C115&lt;=$B$4,D115&gt;=0,E115&gt;0),IF(COUNTIFS($B$13:$B$114,"&lt;"&amp;C115,$C$13:$C$114,"&gt;"&amp;B115)&gt;0,"OVERLAP","OK"),"CHECK INPUTS"))</f>
        <v/>
      </c>
      <c r="M115" s="124"/>
      <c r="N115" s="125"/>
      <c r="O115" s="125"/>
      <c r="P115" s="125"/>
      <c r="Q115" s="125"/>
      <c r="R115" s="126" t="str">
        <f>IF(V115="OK",P115*Q115,"")</f>
        <v/>
      </c>
      <c r="S115" s="126" t="str">
        <f>IF(V115="OK",R115*(O115-N115),"")</f>
        <v/>
      </c>
      <c r="T115" s="126" t="str">
        <f>IF(V115="OK",S115*(O115+N115)/2,"")</f>
        <v/>
      </c>
      <c r="U115" s="126" t="str">
        <f>IF(AND(V115="OK",ISNUMBER($N$5),$N$5&gt;0,ISNUMBER($N$3),$N$3&gt;0),R115*(4*$N$4*(O115^3-N115^3)-(O115^4-N115^4))/(24*$N$3*1000000*$N$5)*1000,"")</f>
        <v/>
      </c>
      <c r="V115" s="120" t="str">
        <f>IF(COUNTA(M115:Q115)=0,"",IF(AND(COUNT(N115:Q115)=4,N115&gt;=0,O115&gt;N115,O115&lt;=$N$4,P115&gt;=0,Q115&gt;0),IF(COUNTIFS($N$13:$N$114,"&lt;"&amp;O115,$O$13:$O$114,"&gt;"&amp;N115)&gt;0,"OVERLAP","OK"),"CHECK INPUTS"))</f>
        <v/>
      </c>
      <c r="AA115" s="120">
        <f>IF(AND(J115="OK",ISNUMBER($B$5),$B$5&gt;0,ISNUMBER($B$3),$B$3&gt;0),F115/(6*$B$3*1000000*$B$5)*(IF(B115&lt;($B$4*0/10),($B$4*0/10)*(MIN(C115,($B$4*0/10))^3-B115^3)-(MIN(C115,($B$4*0/10))^4-B115^4)/4,0)+IF(C115&gt;($B$4*0/10),($B$4*0/10)^2*(1.5*(C115^2-MAX(B115,($B$4*0/10))^2)-($B$4*0/10)*(C115-MAX(B115,($B$4*0/10)))),0))*1000,0)</f>
        <v>0</v>
      </c>
      <c r="AB115" s="120">
        <f>IF(AND(J115="OK",ISNUMBER($B$5),$B$5&gt;0,ISNUMBER($B$3),$B$3&gt;0),F115/(6*$B$3*1000000*$B$5)*(IF(B115&lt;($B$4*1/10),($B$4*1/10)*(MIN(C115,($B$4*1/10))^3-B115^3)-(MIN(C115,($B$4*1/10))^4-B115^4)/4,0)+IF(C115&gt;($B$4*1/10),($B$4*1/10)^2*(1.5*(C115^2-MAX(B115,($B$4*1/10))^2)-($B$4*1/10)*(C115-MAX(B115,($B$4*1/10)))),0))*1000,0)</f>
        <v>0</v>
      </c>
      <c r="AC115" s="120">
        <f>IF(AND(J115="OK",ISNUMBER($B$5),$B$5&gt;0,ISNUMBER($B$3),$B$3&gt;0),F115/(6*$B$3*1000000*$B$5)*(IF(B115&lt;($B$4*2/10),($B$4*2/10)*(MIN(C115,($B$4*2/10))^3-B115^3)-(MIN(C115,($B$4*2/10))^4-B115^4)/4,0)+IF(C115&gt;($B$4*2/10),($B$4*2/10)^2*(1.5*(C115^2-MAX(B115,($B$4*2/10))^2)-($B$4*2/10)*(C115-MAX(B115,($B$4*2/10)))),0))*1000,0)</f>
        <v>0</v>
      </c>
      <c r="AD115" s="120">
        <f>IF(AND(J115="OK",ISNUMBER($B$5),$B$5&gt;0,ISNUMBER($B$3),$B$3&gt;0),F115/(6*$B$3*1000000*$B$5)*(IF(B115&lt;($B$4*3/10),($B$4*3/10)*(MIN(C115,($B$4*3/10))^3-B115^3)-(MIN(C115,($B$4*3/10))^4-B115^4)/4,0)+IF(C115&gt;($B$4*3/10),($B$4*3/10)^2*(1.5*(C115^2-MAX(B115,($B$4*3/10))^2)-($B$4*3/10)*(C115-MAX(B115,($B$4*3/10)))),0))*1000,0)</f>
        <v>0</v>
      </c>
      <c r="AE115" s="120">
        <f>IF(AND(J115="OK",ISNUMBER($B$5),$B$5&gt;0,ISNUMBER($B$3),$B$3&gt;0),F115/(6*$B$3*1000000*$B$5)*(IF(B115&lt;($B$4*4/10),($B$4*4/10)*(MIN(C115,($B$4*4/10))^3-B115^3)-(MIN(C115,($B$4*4/10))^4-B115^4)/4,0)+IF(C115&gt;($B$4*4/10),($B$4*4/10)^2*(1.5*(C115^2-MAX(B115,($B$4*4/10))^2)-($B$4*4/10)*(C115-MAX(B115,($B$4*4/10)))),0))*1000,0)</f>
        <v>0</v>
      </c>
      <c r="AF115" s="120">
        <f>IF(AND(J115="OK",ISNUMBER($B$5),$B$5&gt;0,ISNUMBER($B$3),$B$3&gt;0),F115/(6*$B$3*1000000*$B$5)*(IF(B115&lt;($B$4*5/10),($B$4*5/10)*(MIN(C115,($B$4*5/10))^3-B115^3)-(MIN(C115,($B$4*5/10))^4-B115^4)/4,0)+IF(C115&gt;($B$4*5/10),($B$4*5/10)^2*(1.5*(C115^2-MAX(B115,($B$4*5/10))^2)-($B$4*5/10)*(C115-MAX(B115,($B$4*5/10)))),0))*1000,0)</f>
        <v>0</v>
      </c>
      <c r="AG115" s="120">
        <f>IF(AND(J115="OK",ISNUMBER($B$5),$B$5&gt;0,ISNUMBER($B$3),$B$3&gt;0),F115/(6*$B$3*1000000*$B$5)*(IF(B115&lt;($B$4*6/10),($B$4*6/10)*(MIN(C115,($B$4*6/10))^3-B115^3)-(MIN(C115,($B$4*6/10))^4-B115^4)/4,0)+IF(C115&gt;($B$4*6/10),($B$4*6/10)^2*(1.5*(C115^2-MAX(B115,($B$4*6/10))^2)-($B$4*6/10)*(C115-MAX(B115,($B$4*6/10)))),0))*1000,0)</f>
        <v>0</v>
      </c>
      <c r="AH115" s="120">
        <f>IF(AND(J115="OK",ISNUMBER($B$5),$B$5&gt;0,ISNUMBER($B$3),$B$3&gt;0),F115/(6*$B$3*1000000*$B$5)*(IF(B115&lt;($B$4*7/10),($B$4*7/10)*(MIN(C115,($B$4*7/10))^3-B115^3)-(MIN(C115,($B$4*7/10))^4-B115^4)/4,0)+IF(C115&gt;($B$4*7/10),($B$4*7/10)^2*(1.5*(C115^2-MAX(B115,($B$4*7/10))^2)-($B$4*7/10)*(C115-MAX(B115,($B$4*7/10)))),0))*1000,0)</f>
        <v>0</v>
      </c>
      <c r="AI115" s="120">
        <f>IF(AND(J115="OK",ISNUMBER($B$5),$B$5&gt;0,ISNUMBER($B$3),$B$3&gt;0),F115/(6*$B$3*1000000*$B$5)*(IF(B115&lt;($B$4*8/10),($B$4*8/10)*(MIN(C115,($B$4*8/10))^3-B115^3)-(MIN(C115,($B$4*8/10))^4-B115^4)/4,0)+IF(C115&gt;($B$4*8/10),($B$4*8/10)^2*(1.5*(C115^2-MAX(B115,($B$4*8/10))^2)-($B$4*8/10)*(C115-MAX(B115,($B$4*8/10)))),0))*1000,0)</f>
        <v>0</v>
      </c>
      <c r="AJ115" s="120">
        <f>IF(AND(J115="OK",ISNUMBER($B$5),$B$5&gt;0,ISNUMBER($B$3),$B$3&gt;0),F115/(6*$B$3*1000000*$B$5)*(IF(B115&lt;($B$4*9/10),($B$4*9/10)*(MIN(C115,($B$4*9/10))^3-B115^3)-(MIN(C115,($B$4*9/10))^4-B115^4)/4,0)+IF(C115&gt;($B$4*9/10),($B$4*9/10)^2*(1.5*(C115^2-MAX(B115,($B$4*9/10))^2)-($B$4*9/10)*(C115-MAX(B115,($B$4*9/10)))),0))*1000,0)</f>
        <v>0</v>
      </c>
      <c r="AK115" s="120">
        <f>IF(AND(J115="OK",ISNUMBER($B$5),$B$5&gt;0,ISNUMBER($B$3),$B$3&gt;0),F115/(6*$B$3*1000000*$B$5)*(IF(B115&lt;($B$4*10/10),($B$4*10/10)*(MIN(C115,($B$4*10/10))^3-B115^3)-(MIN(C115,($B$4*10/10))^4-B115^4)/4,0)+IF(C115&gt;($B$4*10/10),($B$4*10/10)^2*(1.5*(C115^2-MAX(B115,($B$4*10/10))^2)-($B$4*10/10)*(C115-MAX(B115,($B$4*10/10)))),0))*1000,0)</f>
        <v>0</v>
      </c>
      <c r="AM115" s="120">
        <f>IF(AND(V115="OK",ISNUMBER($N$5),$N$5&gt;0,ISNUMBER($N$3),$N$3&gt;0),R115/(6*$N$3*1000000*$N$5)*(IF(N115&lt;($N$4*0/10),($N$4*0/10)*(MIN(O115,($N$4*0/10))^3-N115^3)-(MIN(O115,($N$4*0/10))^4-N115^4)/4,0)+IF(O115&gt;($N$4*0/10),($N$4*0/10)^2*(1.5*(O115^2-MAX(N115,($N$4*0/10))^2)-($N$4*0/10)*(O115-MAX(N115,($N$4*0/10)))),0))*1000,0)</f>
        <v>0</v>
      </c>
      <c r="AN115" s="120">
        <f>IF(AND(V115="OK",ISNUMBER($N$5),$N$5&gt;0,ISNUMBER($N$3),$N$3&gt;0),R115/(6*$N$3*1000000*$N$5)*(IF(N115&lt;($N$4*1/10),($N$4*1/10)*(MIN(O115,($N$4*1/10))^3-N115^3)-(MIN(O115,($N$4*1/10))^4-N115^4)/4,0)+IF(O115&gt;($N$4*1/10),($N$4*1/10)^2*(1.5*(O115^2-MAX(N115,($N$4*1/10))^2)-($N$4*1/10)*(O115-MAX(N115,($N$4*1/10)))),0))*1000,0)</f>
        <v>0</v>
      </c>
      <c r="AO115" s="120">
        <f>IF(AND(V115="OK",ISNUMBER($N$5),$N$5&gt;0,ISNUMBER($N$3),$N$3&gt;0),R115/(6*$N$3*1000000*$N$5)*(IF(N115&lt;($N$4*2/10),($N$4*2/10)*(MIN(O115,($N$4*2/10))^3-N115^3)-(MIN(O115,($N$4*2/10))^4-N115^4)/4,0)+IF(O115&gt;($N$4*2/10),($N$4*2/10)^2*(1.5*(O115^2-MAX(N115,($N$4*2/10))^2)-($N$4*2/10)*(O115-MAX(N115,($N$4*2/10)))),0))*1000,0)</f>
        <v>0</v>
      </c>
      <c r="AP115" s="120">
        <f>IF(AND(V115="OK",ISNUMBER($N$5),$N$5&gt;0,ISNUMBER($N$3),$N$3&gt;0),R115/(6*$N$3*1000000*$N$5)*(IF(N115&lt;($N$4*3/10),($N$4*3/10)*(MIN(O115,($N$4*3/10))^3-N115^3)-(MIN(O115,($N$4*3/10))^4-N115^4)/4,0)+IF(O115&gt;($N$4*3/10),($N$4*3/10)^2*(1.5*(O115^2-MAX(N115,($N$4*3/10))^2)-($N$4*3/10)*(O115-MAX(N115,($N$4*3/10)))),0))*1000,0)</f>
        <v>0</v>
      </c>
      <c r="AQ115" s="120">
        <f>IF(AND(V115="OK",ISNUMBER($N$5),$N$5&gt;0,ISNUMBER($N$3),$N$3&gt;0),R115/(6*$N$3*1000000*$N$5)*(IF(N115&lt;($N$4*4/10),($N$4*4/10)*(MIN(O115,($N$4*4/10))^3-N115^3)-(MIN(O115,($N$4*4/10))^4-N115^4)/4,0)+IF(O115&gt;($N$4*4/10),($N$4*4/10)^2*(1.5*(O115^2-MAX(N115,($N$4*4/10))^2)-($N$4*4/10)*(O115-MAX(N115,($N$4*4/10)))),0))*1000,0)</f>
        <v>0</v>
      </c>
      <c r="AR115" s="120">
        <f>IF(AND(V115="OK",ISNUMBER($N$5),$N$5&gt;0,ISNUMBER($N$3),$N$3&gt;0),R115/(6*$N$3*1000000*$N$5)*(IF(N115&lt;($N$4*5/10),($N$4*5/10)*(MIN(O115,($N$4*5/10))^3-N115^3)-(MIN(O115,($N$4*5/10))^4-N115^4)/4,0)+IF(O115&gt;($N$4*5/10),($N$4*5/10)^2*(1.5*(O115^2-MAX(N115,($N$4*5/10))^2)-($N$4*5/10)*(O115-MAX(N115,($N$4*5/10)))),0))*1000,0)</f>
        <v>0</v>
      </c>
      <c r="AS115" s="120">
        <f>IF(AND(V115="OK",ISNUMBER($N$5),$N$5&gt;0,ISNUMBER($N$3),$N$3&gt;0),R115/(6*$N$3*1000000*$N$5)*(IF(N115&lt;($N$4*6/10),($N$4*6/10)*(MIN(O115,($N$4*6/10))^3-N115^3)-(MIN(O115,($N$4*6/10))^4-N115^4)/4,0)+IF(O115&gt;($N$4*6/10),($N$4*6/10)^2*(1.5*(O115^2-MAX(N115,($N$4*6/10))^2)-($N$4*6/10)*(O115-MAX(N115,($N$4*6/10)))),0))*1000,0)</f>
        <v>0</v>
      </c>
      <c r="AT115" s="120">
        <f>IF(AND(V115="OK",ISNUMBER($N$5),$N$5&gt;0,ISNUMBER($N$3),$N$3&gt;0),R115/(6*$N$3*1000000*$N$5)*(IF(N115&lt;($N$4*7/10),($N$4*7/10)*(MIN(O115,($N$4*7/10))^3-N115^3)-(MIN(O115,($N$4*7/10))^4-N115^4)/4,0)+IF(O115&gt;($N$4*7/10),($N$4*7/10)^2*(1.5*(O115^2-MAX(N115,($N$4*7/10))^2)-($N$4*7/10)*(O115-MAX(N115,($N$4*7/10)))),0))*1000,0)</f>
        <v>0</v>
      </c>
      <c r="AU115" s="120">
        <f>IF(AND(V115="OK",ISNUMBER($N$5),$N$5&gt;0,ISNUMBER($N$3),$N$3&gt;0),R115/(6*$N$3*1000000*$N$5)*(IF(N115&lt;($N$4*8/10),($N$4*8/10)*(MIN(O115,($N$4*8/10))^3-N115^3)-(MIN(O115,($N$4*8/10))^4-N115^4)/4,0)+IF(O115&gt;($N$4*8/10),($N$4*8/10)^2*(1.5*(O115^2-MAX(N115,($N$4*8/10))^2)-($N$4*8/10)*(O115-MAX(N115,($N$4*8/10)))),0))*1000,0)</f>
        <v>0</v>
      </c>
      <c r="AV115" s="120">
        <f>IF(AND(V115="OK",ISNUMBER($N$5),$N$5&gt;0,ISNUMBER($N$3),$N$3&gt;0),R115/(6*$N$3*1000000*$N$5)*(IF(N115&lt;($N$4*9/10),($N$4*9/10)*(MIN(O115,($N$4*9/10))^3-N115^3)-(MIN(O115,($N$4*9/10))^4-N115^4)/4,0)+IF(O115&gt;($N$4*9/10),($N$4*9/10)^2*(1.5*(O115^2-MAX(N115,($N$4*9/10))^2)-($N$4*9/10)*(O115-MAX(N115,($N$4*9/10)))),0))*1000,0)</f>
        <v>0</v>
      </c>
      <c r="AW115" s="120">
        <f>IF(AND(V115="OK",ISNUMBER($N$5),$N$5&gt;0,ISNUMBER($N$3),$N$3&gt;0),R115/(6*$N$3*1000000*$N$5)*(IF(N115&lt;($N$4*10/10),($N$4*10/10)*(MIN(O115,($N$4*10/10))^3-N115^3)-(MIN(O115,($N$4*10/10))^4-N115^4)/4,0)+IF(O115&gt;($N$4*10/10),($N$4*10/10)^2*(1.5*(O115^2-MAX(N115,($N$4*10/10))^2)-($N$4*10/10)*(O115-MAX(N115,($N$4*10/10)))),0))*1000,0)</f>
        <v>0</v>
      </c>
    </row>
    <row r="116" spans="1:49">
      <c r="A116" s="124"/>
      <c r="B116" s="125"/>
      <c r="C116" s="125"/>
      <c r="D116" s="125"/>
      <c r="E116" s="125"/>
      <c r="F116" s="126" t="str">
        <f>IF(J116="OK",D116*E116,"")</f>
        <v/>
      </c>
      <c r="G116" s="126" t="str">
        <f>IF(J116="OK",F116*(C116-B116),"")</f>
        <v/>
      </c>
      <c r="H116" s="126" t="str">
        <f>IF(J116="OK",G116*(C116+B116)/2,"")</f>
        <v/>
      </c>
      <c r="I116" s="126" t="str">
        <f>IF(AND(J116="OK",ISNUMBER($B$5),$B$5&gt;0,ISNUMBER($B$3),$B$3&gt;0),F116*(4*$B$4*(C116^3-B116^3)-(C116^4-B116^4))/(24*$B$3*1000000*$B$5)*1000,"")</f>
        <v/>
      </c>
      <c r="J116" s="120" t="str">
        <f>IF(COUNTA(A116:E116)=0,"",IF(AND(COUNT(B116:E116)=4,B116&gt;=0,C116&gt;B116,C116&lt;=$B$4,D116&gt;=0,E116&gt;0),IF(COUNTIFS($B$13:$B$115,"&lt;"&amp;C116,$C$13:$C$115,"&gt;"&amp;B116)&gt;0,"OVERLAP","OK"),"CHECK INPUTS"))</f>
        <v/>
      </c>
      <c r="M116" s="124"/>
      <c r="N116" s="125"/>
      <c r="O116" s="125"/>
      <c r="P116" s="125"/>
      <c r="Q116" s="125"/>
      <c r="R116" s="126" t="str">
        <f>IF(V116="OK",P116*Q116,"")</f>
        <v/>
      </c>
      <c r="S116" s="126" t="str">
        <f>IF(V116="OK",R116*(O116-N116),"")</f>
        <v/>
      </c>
      <c r="T116" s="126" t="str">
        <f>IF(V116="OK",S116*(O116+N116)/2,"")</f>
        <v/>
      </c>
      <c r="U116" s="126" t="str">
        <f>IF(AND(V116="OK",ISNUMBER($N$5),$N$5&gt;0,ISNUMBER($N$3),$N$3&gt;0),R116*(4*$N$4*(O116^3-N116^3)-(O116^4-N116^4))/(24*$N$3*1000000*$N$5)*1000,"")</f>
        <v/>
      </c>
      <c r="V116" s="120" t="str">
        <f>IF(COUNTA(M116:Q116)=0,"",IF(AND(COUNT(N116:Q116)=4,N116&gt;=0,O116&gt;N116,O116&lt;=$N$4,P116&gt;=0,Q116&gt;0),IF(COUNTIFS($N$13:$N$115,"&lt;"&amp;O116,$O$13:$O$115,"&gt;"&amp;N116)&gt;0,"OVERLAP","OK"),"CHECK INPUTS"))</f>
        <v/>
      </c>
      <c r="AA116" s="120">
        <f>IF(AND(J116="OK",ISNUMBER($B$5),$B$5&gt;0,ISNUMBER($B$3),$B$3&gt;0),F116/(6*$B$3*1000000*$B$5)*(IF(B116&lt;($B$4*0/10),($B$4*0/10)*(MIN(C116,($B$4*0/10))^3-B116^3)-(MIN(C116,($B$4*0/10))^4-B116^4)/4,0)+IF(C116&gt;($B$4*0/10),($B$4*0/10)^2*(1.5*(C116^2-MAX(B116,($B$4*0/10))^2)-($B$4*0/10)*(C116-MAX(B116,($B$4*0/10)))),0))*1000,0)</f>
        <v>0</v>
      </c>
      <c r="AB116" s="120">
        <f>IF(AND(J116="OK",ISNUMBER($B$5),$B$5&gt;0,ISNUMBER($B$3),$B$3&gt;0),F116/(6*$B$3*1000000*$B$5)*(IF(B116&lt;($B$4*1/10),($B$4*1/10)*(MIN(C116,($B$4*1/10))^3-B116^3)-(MIN(C116,($B$4*1/10))^4-B116^4)/4,0)+IF(C116&gt;($B$4*1/10),($B$4*1/10)^2*(1.5*(C116^2-MAX(B116,($B$4*1/10))^2)-($B$4*1/10)*(C116-MAX(B116,($B$4*1/10)))),0))*1000,0)</f>
        <v>0</v>
      </c>
      <c r="AC116" s="120">
        <f>IF(AND(J116="OK",ISNUMBER($B$5),$B$5&gt;0,ISNUMBER($B$3),$B$3&gt;0),F116/(6*$B$3*1000000*$B$5)*(IF(B116&lt;($B$4*2/10),($B$4*2/10)*(MIN(C116,($B$4*2/10))^3-B116^3)-(MIN(C116,($B$4*2/10))^4-B116^4)/4,0)+IF(C116&gt;($B$4*2/10),($B$4*2/10)^2*(1.5*(C116^2-MAX(B116,($B$4*2/10))^2)-($B$4*2/10)*(C116-MAX(B116,($B$4*2/10)))),0))*1000,0)</f>
        <v>0</v>
      </c>
      <c r="AD116" s="120">
        <f>IF(AND(J116="OK",ISNUMBER($B$5),$B$5&gt;0,ISNUMBER($B$3),$B$3&gt;0),F116/(6*$B$3*1000000*$B$5)*(IF(B116&lt;($B$4*3/10),($B$4*3/10)*(MIN(C116,($B$4*3/10))^3-B116^3)-(MIN(C116,($B$4*3/10))^4-B116^4)/4,0)+IF(C116&gt;($B$4*3/10),($B$4*3/10)^2*(1.5*(C116^2-MAX(B116,($B$4*3/10))^2)-($B$4*3/10)*(C116-MAX(B116,($B$4*3/10)))),0))*1000,0)</f>
        <v>0</v>
      </c>
      <c r="AE116" s="120">
        <f>IF(AND(J116="OK",ISNUMBER($B$5),$B$5&gt;0,ISNUMBER($B$3),$B$3&gt;0),F116/(6*$B$3*1000000*$B$5)*(IF(B116&lt;($B$4*4/10),($B$4*4/10)*(MIN(C116,($B$4*4/10))^3-B116^3)-(MIN(C116,($B$4*4/10))^4-B116^4)/4,0)+IF(C116&gt;($B$4*4/10),($B$4*4/10)^2*(1.5*(C116^2-MAX(B116,($B$4*4/10))^2)-($B$4*4/10)*(C116-MAX(B116,($B$4*4/10)))),0))*1000,0)</f>
        <v>0</v>
      </c>
      <c r="AF116" s="120">
        <f>IF(AND(J116="OK",ISNUMBER($B$5),$B$5&gt;0,ISNUMBER($B$3),$B$3&gt;0),F116/(6*$B$3*1000000*$B$5)*(IF(B116&lt;($B$4*5/10),($B$4*5/10)*(MIN(C116,($B$4*5/10))^3-B116^3)-(MIN(C116,($B$4*5/10))^4-B116^4)/4,0)+IF(C116&gt;($B$4*5/10),($B$4*5/10)^2*(1.5*(C116^2-MAX(B116,($B$4*5/10))^2)-($B$4*5/10)*(C116-MAX(B116,($B$4*5/10)))),0))*1000,0)</f>
        <v>0</v>
      </c>
      <c r="AG116" s="120">
        <f>IF(AND(J116="OK",ISNUMBER($B$5),$B$5&gt;0,ISNUMBER($B$3),$B$3&gt;0),F116/(6*$B$3*1000000*$B$5)*(IF(B116&lt;($B$4*6/10),($B$4*6/10)*(MIN(C116,($B$4*6/10))^3-B116^3)-(MIN(C116,($B$4*6/10))^4-B116^4)/4,0)+IF(C116&gt;($B$4*6/10),($B$4*6/10)^2*(1.5*(C116^2-MAX(B116,($B$4*6/10))^2)-($B$4*6/10)*(C116-MAX(B116,($B$4*6/10)))),0))*1000,0)</f>
        <v>0</v>
      </c>
      <c r="AH116" s="120">
        <f>IF(AND(J116="OK",ISNUMBER($B$5),$B$5&gt;0,ISNUMBER($B$3),$B$3&gt;0),F116/(6*$B$3*1000000*$B$5)*(IF(B116&lt;($B$4*7/10),($B$4*7/10)*(MIN(C116,($B$4*7/10))^3-B116^3)-(MIN(C116,($B$4*7/10))^4-B116^4)/4,0)+IF(C116&gt;($B$4*7/10),($B$4*7/10)^2*(1.5*(C116^2-MAX(B116,($B$4*7/10))^2)-($B$4*7/10)*(C116-MAX(B116,($B$4*7/10)))),0))*1000,0)</f>
        <v>0</v>
      </c>
      <c r="AI116" s="120">
        <f>IF(AND(J116="OK",ISNUMBER($B$5),$B$5&gt;0,ISNUMBER($B$3),$B$3&gt;0),F116/(6*$B$3*1000000*$B$5)*(IF(B116&lt;($B$4*8/10),($B$4*8/10)*(MIN(C116,($B$4*8/10))^3-B116^3)-(MIN(C116,($B$4*8/10))^4-B116^4)/4,0)+IF(C116&gt;($B$4*8/10),($B$4*8/10)^2*(1.5*(C116^2-MAX(B116,($B$4*8/10))^2)-($B$4*8/10)*(C116-MAX(B116,($B$4*8/10)))),0))*1000,0)</f>
        <v>0</v>
      </c>
      <c r="AJ116" s="120">
        <f>IF(AND(J116="OK",ISNUMBER($B$5),$B$5&gt;0,ISNUMBER($B$3),$B$3&gt;0),F116/(6*$B$3*1000000*$B$5)*(IF(B116&lt;($B$4*9/10),($B$4*9/10)*(MIN(C116,($B$4*9/10))^3-B116^3)-(MIN(C116,($B$4*9/10))^4-B116^4)/4,0)+IF(C116&gt;($B$4*9/10),($B$4*9/10)^2*(1.5*(C116^2-MAX(B116,($B$4*9/10))^2)-($B$4*9/10)*(C116-MAX(B116,($B$4*9/10)))),0))*1000,0)</f>
        <v>0</v>
      </c>
      <c r="AK116" s="120">
        <f>IF(AND(J116="OK",ISNUMBER($B$5),$B$5&gt;0,ISNUMBER($B$3),$B$3&gt;0),F116/(6*$B$3*1000000*$B$5)*(IF(B116&lt;($B$4*10/10),($B$4*10/10)*(MIN(C116,($B$4*10/10))^3-B116^3)-(MIN(C116,($B$4*10/10))^4-B116^4)/4,0)+IF(C116&gt;($B$4*10/10),($B$4*10/10)^2*(1.5*(C116^2-MAX(B116,($B$4*10/10))^2)-($B$4*10/10)*(C116-MAX(B116,($B$4*10/10)))),0))*1000,0)</f>
        <v>0</v>
      </c>
      <c r="AM116" s="120">
        <f>IF(AND(V116="OK",ISNUMBER($N$5),$N$5&gt;0,ISNUMBER($N$3),$N$3&gt;0),R116/(6*$N$3*1000000*$N$5)*(IF(N116&lt;($N$4*0/10),($N$4*0/10)*(MIN(O116,($N$4*0/10))^3-N116^3)-(MIN(O116,($N$4*0/10))^4-N116^4)/4,0)+IF(O116&gt;($N$4*0/10),($N$4*0/10)^2*(1.5*(O116^2-MAX(N116,($N$4*0/10))^2)-($N$4*0/10)*(O116-MAX(N116,($N$4*0/10)))),0))*1000,0)</f>
        <v>0</v>
      </c>
      <c r="AN116" s="120">
        <f>IF(AND(V116="OK",ISNUMBER($N$5),$N$5&gt;0,ISNUMBER($N$3),$N$3&gt;0),R116/(6*$N$3*1000000*$N$5)*(IF(N116&lt;($N$4*1/10),($N$4*1/10)*(MIN(O116,($N$4*1/10))^3-N116^3)-(MIN(O116,($N$4*1/10))^4-N116^4)/4,0)+IF(O116&gt;($N$4*1/10),($N$4*1/10)^2*(1.5*(O116^2-MAX(N116,($N$4*1/10))^2)-($N$4*1/10)*(O116-MAX(N116,($N$4*1/10)))),0))*1000,0)</f>
        <v>0</v>
      </c>
      <c r="AO116" s="120">
        <f>IF(AND(V116="OK",ISNUMBER($N$5),$N$5&gt;0,ISNUMBER($N$3),$N$3&gt;0),R116/(6*$N$3*1000000*$N$5)*(IF(N116&lt;($N$4*2/10),($N$4*2/10)*(MIN(O116,($N$4*2/10))^3-N116^3)-(MIN(O116,($N$4*2/10))^4-N116^4)/4,0)+IF(O116&gt;($N$4*2/10),($N$4*2/10)^2*(1.5*(O116^2-MAX(N116,($N$4*2/10))^2)-($N$4*2/10)*(O116-MAX(N116,($N$4*2/10)))),0))*1000,0)</f>
        <v>0</v>
      </c>
      <c r="AP116" s="120">
        <f>IF(AND(V116="OK",ISNUMBER($N$5),$N$5&gt;0,ISNUMBER($N$3),$N$3&gt;0),R116/(6*$N$3*1000000*$N$5)*(IF(N116&lt;($N$4*3/10),($N$4*3/10)*(MIN(O116,($N$4*3/10))^3-N116^3)-(MIN(O116,($N$4*3/10))^4-N116^4)/4,0)+IF(O116&gt;($N$4*3/10),($N$4*3/10)^2*(1.5*(O116^2-MAX(N116,($N$4*3/10))^2)-($N$4*3/10)*(O116-MAX(N116,($N$4*3/10)))),0))*1000,0)</f>
        <v>0</v>
      </c>
      <c r="AQ116" s="120">
        <f>IF(AND(V116="OK",ISNUMBER($N$5),$N$5&gt;0,ISNUMBER($N$3),$N$3&gt;0),R116/(6*$N$3*1000000*$N$5)*(IF(N116&lt;($N$4*4/10),($N$4*4/10)*(MIN(O116,($N$4*4/10))^3-N116^3)-(MIN(O116,($N$4*4/10))^4-N116^4)/4,0)+IF(O116&gt;($N$4*4/10),($N$4*4/10)^2*(1.5*(O116^2-MAX(N116,($N$4*4/10))^2)-($N$4*4/10)*(O116-MAX(N116,($N$4*4/10)))),0))*1000,0)</f>
        <v>0</v>
      </c>
      <c r="AR116" s="120">
        <f>IF(AND(V116="OK",ISNUMBER($N$5),$N$5&gt;0,ISNUMBER($N$3),$N$3&gt;0),R116/(6*$N$3*1000000*$N$5)*(IF(N116&lt;($N$4*5/10),($N$4*5/10)*(MIN(O116,($N$4*5/10))^3-N116^3)-(MIN(O116,($N$4*5/10))^4-N116^4)/4,0)+IF(O116&gt;($N$4*5/10),($N$4*5/10)^2*(1.5*(O116^2-MAX(N116,($N$4*5/10))^2)-($N$4*5/10)*(O116-MAX(N116,($N$4*5/10)))),0))*1000,0)</f>
        <v>0</v>
      </c>
      <c r="AS116" s="120">
        <f>IF(AND(V116="OK",ISNUMBER($N$5),$N$5&gt;0,ISNUMBER($N$3),$N$3&gt;0),R116/(6*$N$3*1000000*$N$5)*(IF(N116&lt;($N$4*6/10),($N$4*6/10)*(MIN(O116,($N$4*6/10))^3-N116^3)-(MIN(O116,($N$4*6/10))^4-N116^4)/4,0)+IF(O116&gt;($N$4*6/10),($N$4*6/10)^2*(1.5*(O116^2-MAX(N116,($N$4*6/10))^2)-($N$4*6/10)*(O116-MAX(N116,($N$4*6/10)))),0))*1000,0)</f>
        <v>0</v>
      </c>
      <c r="AT116" s="120">
        <f>IF(AND(V116="OK",ISNUMBER($N$5),$N$5&gt;0,ISNUMBER($N$3),$N$3&gt;0),R116/(6*$N$3*1000000*$N$5)*(IF(N116&lt;($N$4*7/10),($N$4*7/10)*(MIN(O116,($N$4*7/10))^3-N116^3)-(MIN(O116,($N$4*7/10))^4-N116^4)/4,0)+IF(O116&gt;($N$4*7/10),($N$4*7/10)^2*(1.5*(O116^2-MAX(N116,($N$4*7/10))^2)-($N$4*7/10)*(O116-MAX(N116,($N$4*7/10)))),0))*1000,0)</f>
        <v>0</v>
      </c>
      <c r="AU116" s="120">
        <f>IF(AND(V116="OK",ISNUMBER($N$5),$N$5&gt;0,ISNUMBER($N$3),$N$3&gt;0),R116/(6*$N$3*1000000*$N$5)*(IF(N116&lt;($N$4*8/10),($N$4*8/10)*(MIN(O116,($N$4*8/10))^3-N116^3)-(MIN(O116,($N$4*8/10))^4-N116^4)/4,0)+IF(O116&gt;($N$4*8/10),($N$4*8/10)^2*(1.5*(O116^2-MAX(N116,($N$4*8/10))^2)-($N$4*8/10)*(O116-MAX(N116,($N$4*8/10)))),0))*1000,0)</f>
        <v>0</v>
      </c>
      <c r="AV116" s="120">
        <f>IF(AND(V116="OK",ISNUMBER($N$5),$N$5&gt;0,ISNUMBER($N$3),$N$3&gt;0),R116/(6*$N$3*1000000*$N$5)*(IF(N116&lt;($N$4*9/10),($N$4*9/10)*(MIN(O116,($N$4*9/10))^3-N116^3)-(MIN(O116,($N$4*9/10))^4-N116^4)/4,0)+IF(O116&gt;($N$4*9/10),($N$4*9/10)^2*(1.5*(O116^2-MAX(N116,($N$4*9/10))^2)-($N$4*9/10)*(O116-MAX(N116,($N$4*9/10)))),0))*1000,0)</f>
        <v>0</v>
      </c>
      <c r="AW116" s="120">
        <f>IF(AND(V116="OK",ISNUMBER($N$5),$N$5&gt;0,ISNUMBER($N$3),$N$3&gt;0),R116/(6*$N$3*1000000*$N$5)*(IF(N116&lt;($N$4*10/10),($N$4*10/10)*(MIN(O116,($N$4*10/10))^3-N116^3)-(MIN(O116,($N$4*10/10))^4-N116^4)/4,0)+IF(O116&gt;($N$4*10/10),($N$4*10/10)^2*(1.5*(O116^2-MAX(N116,($N$4*10/10))^2)-($N$4*10/10)*(O116-MAX(N116,($N$4*10/10)))),0))*1000,0)</f>
        <v>0</v>
      </c>
    </row>
    <row r="117" spans="1:49">
      <c r="A117" s="124"/>
      <c r="B117" s="125"/>
      <c r="C117" s="125"/>
      <c r="D117" s="125"/>
      <c r="E117" s="125"/>
      <c r="F117" s="126" t="str">
        <f>IF(J117="OK",D117*E117,"")</f>
        <v/>
      </c>
      <c r="G117" s="126" t="str">
        <f>IF(J117="OK",F117*(C117-B117),"")</f>
        <v/>
      </c>
      <c r="H117" s="126" t="str">
        <f>IF(J117="OK",G117*(C117+B117)/2,"")</f>
        <v/>
      </c>
      <c r="I117" s="126" t="str">
        <f>IF(AND(J117="OK",ISNUMBER($B$5),$B$5&gt;0,ISNUMBER($B$3),$B$3&gt;0),F117*(4*$B$4*(C117^3-B117^3)-(C117^4-B117^4))/(24*$B$3*1000000*$B$5)*1000,"")</f>
        <v/>
      </c>
      <c r="J117" s="120" t="str">
        <f>IF(COUNTA(A117:E117)=0,"",IF(AND(COUNT(B117:E117)=4,B117&gt;=0,C117&gt;B117,C117&lt;=$B$4,D117&gt;=0,E117&gt;0),IF(COUNTIFS($B$13:$B$116,"&lt;"&amp;C117,$C$13:$C$116,"&gt;"&amp;B117)&gt;0,"OVERLAP","OK"),"CHECK INPUTS"))</f>
        <v/>
      </c>
      <c r="M117" s="124"/>
      <c r="N117" s="125"/>
      <c r="O117" s="125"/>
      <c r="P117" s="125"/>
      <c r="Q117" s="125"/>
      <c r="R117" s="126" t="str">
        <f>IF(V117="OK",P117*Q117,"")</f>
        <v/>
      </c>
      <c r="S117" s="126" t="str">
        <f>IF(V117="OK",R117*(O117-N117),"")</f>
        <v/>
      </c>
      <c r="T117" s="126" t="str">
        <f>IF(V117="OK",S117*(O117+N117)/2,"")</f>
        <v/>
      </c>
      <c r="U117" s="126" t="str">
        <f>IF(AND(V117="OK",ISNUMBER($N$5),$N$5&gt;0,ISNUMBER($N$3),$N$3&gt;0),R117*(4*$N$4*(O117^3-N117^3)-(O117^4-N117^4))/(24*$N$3*1000000*$N$5)*1000,"")</f>
        <v/>
      </c>
      <c r="V117" s="120" t="str">
        <f>IF(COUNTA(M117:Q117)=0,"",IF(AND(COUNT(N117:Q117)=4,N117&gt;=0,O117&gt;N117,O117&lt;=$N$4,P117&gt;=0,Q117&gt;0),IF(COUNTIFS($N$13:$N$116,"&lt;"&amp;O117,$O$13:$O$116,"&gt;"&amp;N117)&gt;0,"OVERLAP","OK"),"CHECK INPUTS"))</f>
        <v/>
      </c>
      <c r="AA117" s="120">
        <f>IF(AND(J117="OK",ISNUMBER($B$5),$B$5&gt;0,ISNUMBER($B$3),$B$3&gt;0),F117/(6*$B$3*1000000*$B$5)*(IF(B117&lt;($B$4*0/10),($B$4*0/10)*(MIN(C117,($B$4*0/10))^3-B117^3)-(MIN(C117,($B$4*0/10))^4-B117^4)/4,0)+IF(C117&gt;($B$4*0/10),($B$4*0/10)^2*(1.5*(C117^2-MAX(B117,($B$4*0/10))^2)-($B$4*0/10)*(C117-MAX(B117,($B$4*0/10)))),0))*1000,0)</f>
        <v>0</v>
      </c>
      <c r="AB117" s="120">
        <f>IF(AND(J117="OK",ISNUMBER($B$5),$B$5&gt;0,ISNUMBER($B$3),$B$3&gt;0),F117/(6*$B$3*1000000*$B$5)*(IF(B117&lt;($B$4*1/10),($B$4*1/10)*(MIN(C117,($B$4*1/10))^3-B117^3)-(MIN(C117,($B$4*1/10))^4-B117^4)/4,0)+IF(C117&gt;($B$4*1/10),($B$4*1/10)^2*(1.5*(C117^2-MAX(B117,($B$4*1/10))^2)-($B$4*1/10)*(C117-MAX(B117,($B$4*1/10)))),0))*1000,0)</f>
        <v>0</v>
      </c>
      <c r="AC117" s="120">
        <f>IF(AND(J117="OK",ISNUMBER($B$5),$B$5&gt;0,ISNUMBER($B$3),$B$3&gt;0),F117/(6*$B$3*1000000*$B$5)*(IF(B117&lt;($B$4*2/10),($B$4*2/10)*(MIN(C117,($B$4*2/10))^3-B117^3)-(MIN(C117,($B$4*2/10))^4-B117^4)/4,0)+IF(C117&gt;($B$4*2/10),($B$4*2/10)^2*(1.5*(C117^2-MAX(B117,($B$4*2/10))^2)-($B$4*2/10)*(C117-MAX(B117,($B$4*2/10)))),0))*1000,0)</f>
        <v>0</v>
      </c>
      <c r="AD117" s="120">
        <f>IF(AND(J117="OK",ISNUMBER($B$5),$B$5&gt;0,ISNUMBER($B$3),$B$3&gt;0),F117/(6*$B$3*1000000*$B$5)*(IF(B117&lt;($B$4*3/10),($B$4*3/10)*(MIN(C117,($B$4*3/10))^3-B117^3)-(MIN(C117,($B$4*3/10))^4-B117^4)/4,0)+IF(C117&gt;($B$4*3/10),($B$4*3/10)^2*(1.5*(C117^2-MAX(B117,($B$4*3/10))^2)-($B$4*3/10)*(C117-MAX(B117,($B$4*3/10)))),0))*1000,0)</f>
        <v>0</v>
      </c>
      <c r="AE117" s="120">
        <f>IF(AND(J117="OK",ISNUMBER($B$5),$B$5&gt;0,ISNUMBER($B$3),$B$3&gt;0),F117/(6*$B$3*1000000*$B$5)*(IF(B117&lt;($B$4*4/10),($B$4*4/10)*(MIN(C117,($B$4*4/10))^3-B117^3)-(MIN(C117,($B$4*4/10))^4-B117^4)/4,0)+IF(C117&gt;($B$4*4/10),($B$4*4/10)^2*(1.5*(C117^2-MAX(B117,($B$4*4/10))^2)-($B$4*4/10)*(C117-MAX(B117,($B$4*4/10)))),0))*1000,0)</f>
        <v>0</v>
      </c>
      <c r="AF117" s="120">
        <f>IF(AND(J117="OK",ISNUMBER($B$5),$B$5&gt;0,ISNUMBER($B$3),$B$3&gt;0),F117/(6*$B$3*1000000*$B$5)*(IF(B117&lt;($B$4*5/10),($B$4*5/10)*(MIN(C117,($B$4*5/10))^3-B117^3)-(MIN(C117,($B$4*5/10))^4-B117^4)/4,0)+IF(C117&gt;($B$4*5/10),($B$4*5/10)^2*(1.5*(C117^2-MAX(B117,($B$4*5/10))^2)-($B$4*5/10)*(C117-MAX(B117,($B$4*5/10)))),0))*1000,0)</f>
        <v>0</v>
      </c>
      <c r="AG117" s="120">
        <f>IF(AND(J117="OK",ISNUMBER($B$5),$B$5&gt;0,ISNUMBER($B$3),$B$3&gt;0),F117/(6*$B$3*1000000*$B$5)*(IF(B117&lt;($B$4*6/10),($B$4*6/10)*(MIN(C117,($B$4*6/10))^3-B117^3)-(MIN(C117,($B$4*6/10))^4-B117^4)/4,0)+IF(C117&gt;($B$4*6/10),($B$4*6/10)^2*(1.5*(C117^2-MAX(B117,($B$4*6/10))^2)-($B$4*6/10)*(C117-MAX(B117,($B$4*6/10)))),0))*1000,0)</f>
        <v>0</v>
      </c>
      <c r="AH117" s="120">
        <f>IF(AND(J117="OK",ISNUMBER($B$5),$B$5&gt;0,ISNUMBER($B$3),$B$3&gt;0),F117/(6*$B$3*1000000*$B$5)*(IF(B117&lt;($B$4*7/10),($B$4*7/10)*(MIN(C117,($B$4*7/10))^3-B117^3)-(MIN(C117,($B$4*7/10))^4-B117^4)/4,0)+IF(C117&gt;($B$4*7/10),($B$4*7/10)^2*(1.5*(C117^2-MAX(B117,($B$4*7/10))^2)-($B$4*7/10)*(C117-MAX(B117,($B$4*7/10)))),0))*1000,0)</f>
        <v>0</v>
      </c>
      <c r="AI117" s="120">
        <f>IF(AND(J117="OK",ISNUMBER($B$5),$B$5&gt;0,ISNUMBER($B$3),$B$3&gt;0),F117/(6*$B$3*1000000*$B$5)*(IF(B117&lt;($B$4*8/10),($B$4*8/10)*(MIN(C117,($B$4*8/10))^3-B117^3)-(MIN(C117,($B$4*8/10))^4-B117^4)/4,0)+IF(C117&gt;($B$4*8/10),($B$4*8/10)^2*(1.5*(C117^2-MAX(B117,($B$4*8/10))^2)-($B$4*8/10)*(C117-MAX(B117,($B$4*8/10)))),0))*1000,0)</f>
        <v>0</v>
      </c>
      <c r="AJ117" s="120">
        <f>IF(AND(J117="OK",ISNUMBER($B$5),$B$5&gt;0,ISNUMBER($B$3),$B$3&gt;0),F117/(6*$B$3*1000000*$B$5)*(IF(B117&lt;($B$4*9/10),($B$4*9/10)*(MIN(C117,($B$4*9/10))^3-B117^3)-(MIN(C117,($B$4*9/10))^4-B117^4)/4,0)+IF(C117&gt;($B$4*9/10),($B$4*9/10)^2*(1.5*(C117^2-MAX(B117,($B$4*9/10))^2)-($B$4*9/10)*(C117-MAX(B117,($B$4*9/10)))),0))*1000,0)</f>
        <v>0</v>
      </c>
      <c r="AK117" s="120">
        <f>IF(AND(J117="OK",ISNUMBER($B$5),$B$5&gt;0,ISNUMBER($B$3),$B$3&gt;0),F117/(6*$B$3*1000000*$B$5)*(IF(B117&lt;($B$4*10/10),($B$4*10/10)*(MIN(C117,($B$4*10/10))^3-B117^3)-(MIN(C117,($B$4*10/10))^4-B117^4)/4,0)+IF(C117&gt;($B$4*10/10),($B$4*10/10)^2*(1.5*(C117^2-MAX(B117,($B$4*10/10))^2)-($B$4*10/10)*(C117-MAX(B117,($B$4*10/10)))),0))*1000,0)</f>
        <v>0</v>
      </c>
      <c r="AM117" s="120">
        <f>IF(AND(V117="OK",ISNUMBER($N$5),$N$5&gt;0,ISNUMBER($N$3),$N$3&gt;0),R117/(6*$N$3*1000000*$N$5)*(IF(N117&lt;($N$4*0/10),($N$4*0/10)*(MIN(O117,($N$4*0/10))^3-N117^3)-(MIN(O117,($N$4*0/10))^4-N117^4)/4,0)+IF(O117&gt;($N$4*0/10),($N$4*0/10)^2*(1.5*(O117^2-MAX(N117,($N$4*0/10))^2)-($N$4*0/10)*(O117-MAX(N117,($N$4*0/10)))),0))*1000,0)</f>
        <v>0</v>
      </c>
      <c r="AN117" s="120">
        <f>IF(AND(V117="OK",ISNUMBER($N$5),$N$5&gt;0,ISNUMBER($N$3),$N$3&gt;0),R117/(6*$N$3*1000000*$N$5)*(IF(N117&lt;($N$4*1/10),($N$4*1/10)*(MIN(O117,($N$4*1/10))^3-N117^3)-(MIN(O117,($N$4*1/10))^4-N117^4)/4,0)+IF(O117&gt;($N$4*1/10),($N$4*1/10)^2*(1.5*(O117^2-MAX(N117,($N$4*1/10))^2)-($N$4*1/10)*(O117-MAX(N117,($N$4*1/10)))),0))*1000,0)</f>
        <v>0</v>
      </c>
      <c r="AO117" s="120">
        <f>IF(AND(V117="OK",ISNUMBER($N$5),$N$5&gt;0,ISNUMBER($N$3),$N$3&gt;0),R117/(6*$N$3*1000000*$N$5)*(IF(N117&lt;($N$4*2/10),($N$4*2/10)*(MIN(O117,($N$4*2/10))^3-N117^3)-(MIN(O117,($N$4*2/10))^4-N117^4)/4,0)+IF(O117&gt;($N$4*2/10),($N$4*2/10)^2*(1.5*(O117^2-MAX(N117,($N$4*2/10))^2)-($N$4*2/10)*(O117-MAX(N117,($N$4*2/10)))),0))*1000,0)</f>
        <v>0</v>
      </c>
      <c r="AP117" s="120">
        <f>IF(AND(V117="OK",ISNUMBER($N$5),$N$5&gt;0,ISNUMBER($N$3),$N$3&gt;0),R117/(6*$N$3*1000000*$N$5)*(IF(N117&lt;($N$4*3/10),($N$4*3/10)*(MIN(O117,($N$4*3/10))^3-N117^3)-(MIN(O117,($N$4*3/10))^4-N117^4)/4,0)+IF(O117&gt;($N$4*3/10),($N$4*3/10)^2*(1.5*(O117^2-MAX(N117,($N$4*3/10))^2)-($N$4*3/10)*(O117-MAX(N117,($N$4*3/10)))),0))*1000,0)</f>
        <v>0</v>
      </c>
      <c r="AQ117" s="120">
        <f>IF(AND(V117="OK",ISNUMBER($N$5),$N$5&gt;0,ISNUMBER($N$3),$N$3&gt;0),R117/(6*$N$3*1000000*$N$5)*(IF(N117&lt;($N$4*4/10),($N$4*4/10)*(MIN(O117,($N$4*4/10))^3-N117^3)-(MIN(O117,($N$4*4/10))^4-N117^4)/4,0)+IF(O117&gt;($N$4*4/10),($N$4*4/10)^2*(1.5*(O117^2-MAX(N117,($N$4*4/10))^2)-($N$4*4/10)*(O117-MAX(N117,($N$4*4/10)))),0))*1000,0)</f>
        <v>0</v>
      </c>
      <c r="AR117" s="120">
        <f>IF(AND(V117="OK",ISNUMBER($N$5),$N$5&gt;0,ISNUMBER($N$3),$N$3&gt;0),R117/(6*$N$3*1000000*$N$5)*(IF(N117&lt;($N$4*5/10),($N$4*5/10)*(MIN(O117,($N$4*5/10))^3-N117^3)-(MIN(O117,($N$4*5/10))^4-N117^4)/4,0)+IF(O117&gt;($N$4*5/10),($N$4*5/10)^2*(1.5*(O117^2-MAX(N117,($N$4*5/10))^2)-($N$4*5/10)*(O117-MAX(N117,($N$4*5/10)))),0))*1000,0)</f>
        <v>0</v>
      </c>
      <c r="AS117" s="120">
        <f>IF(AND(V117="OK",ISNUMBER($N$5),$N$5&gt;0,ISNUMBER($N$3),$N$3&gt;0),R117/(6*$N$3*1000000*$N$5)*(IF(N117&lt;($N$4*6/10),($N$4*6/10)*(MIN(O117,($N$4*6/10))^3-N117^3)-(MIN(O117,($N$4*6/10))^4-N117^4)/4,0)+IF(O117&gt;($N$4*6/10),($N$4*6/10)^2*(1.5*(O117^2-MAX(N117,($N$4*6/10))^2)-($N$4*6/10)*(O117-MAX(N117,($N$4*6/10)))),0))*1000,0)</f>
        <v>0</v>
      </c>
      <c r="AT117" s="120">
        <f>IF(AND(V117="OK",ISNUMBER($N$5),$N$5&gt;0,ISNUMBER($N$3),$N$3&gt;0),R117/(6*$N$3*1000000*$N$5)*(IF(N117&lt;($N$4*7/10),($N$4*7/10)*(MIN(O117,($N$4*7/10))^3-N117^3)-(MIN(O117,($N$4*7/10))^4-N117^4)/4,0)+IF(O117&gt;($N$4*7/10),($N$4*7/10)^2*(1.5*(O117^2-MAX(N117,($N$4*7/10))^2)-($N$4*7/10)*(O117-MAX(N117,($N$4*7/10)))),0))*1000,0)</f>
        <v>0</v>
      </c>
      <c r="AU117" s="120">
        <f>IF(AND(V117="OK",ISNUMBER($N$5),$N$5&gt;0,ISNUMBER($N$3),$N$3&gt;0),R117/(6*$N$3*1000000*$N$5)*(IF(N117&lt;($N$4*8/10),($N$4*8/10)*(MIN(O117,($N$4*8/10))^3-N117^3)-(MIN(O117,($N$4*8/10))^4-N117^4)/4,0)+IF(O117&gt;($N$4*8/10),($N$4*8/10)^2*(1.5*(O117^2-MAX(N117,($N$4*8/10))^2)-($N$4*8/10)*(O117-MAX(N117,($N$4*8/10)))),0))*1000,0)</f>
        <v>0</v>
      </c>
      <c r="AV117" s="120">
        <f>IF(AND(V117="OK",ISNUMBER($N$5),$N$5&gt;0,ISNUMBER($N$3),$N$3&gt;0),R117/(6*$N$3*1000000*$N$5)*(IF(N117&lt;($N$4*9/10),($N$4*9/10)*(MIN(O117,($N$4*9/10))^3-N117^3)-(MIN(O117,($N$4*9/10))^4-N117^4)/4,0)+IF(O117&gt;($N$4*9/10),($N$4*9/10)^2*(1.5*(O117^2-MAX(N117,($N$4*9/10))^2)-($N$4*9/10)*(O117-MAX(N117,($N$4*9/10)))),0))*1000,0)</f>
        <v>0</v>
      </c>
      <c r="AW117" s="120">
        <f>IF(AND(V117="OK",ISNUMBER($N$5),$N$5&gt;0,ISNUMBER($N$3),$N$3&gt;0),R117/(6*$N$3*1000000*$N$5)*(IF(N117&lt;($N$4*10/10),($N$4*10/10)*(MIN(O117,($N$4*10/10))^3-N117^3)-(MIN(O117,($N$4*10/10))^4-N117^4)/4,0)+IF(O117&gt;($N$4*10/10),($N$4*10/10)^2*(1.5*(O117^2-MAX(N117,($N$4*10/10))^2)-($N$4*10/10)*(O117-MAX(N117,($N$4*10/10)))),0))*1000,0)</f>
        <v>0</v>
      </c>
    </row>
    <row r="118" spans="1:49">
      <c r="A118" s="124"/>
      <c r="B118" s="125"/>
      <c r="C118" s="125"/>
      <c r="D118" s="125"/>
      <c r="E118" s="125"/>
      <c r="F118" s="126" t="str">
        <f>IF(J118="OK",D118*E118,"")</f>
        <v/>
      </c>
      <c r="G118" s="126" t="str">
        <f>IF(J118="OK",F118*(C118-B118),"")</f>
        <v/>
      </c>
      <c r="H118" s="126" t="str">
        <f>IF(J118="OK",G118*(C118+B118)/2,"")</f>
        <v/>
      </c>
      <c r="I118" s="126" t="str">
        <f>IF(AND(J118="OK",ISNUMBER($B$5),$B$5&gt;0,ISNUMBER($B$3),$B$3&gt;0),F118*(4*$B$4*(C118^3-B118^3)-(C118^4-B118^4))/(24*$B$3*1000000*$B$5)*1000,"")</f>
        <v/>
      </c>
      <c r="J118" s="120" t="str">
        <f>IF(COUNTA(A118:E118)=0,"",IF(AND(COUNT(B118:E118)=4,B118&gt;=0,C118&gt;B118,C118&lt;=$B$4,D118&gt;=0,E118&gt;0),IF(COUNTIFS($B$13:$B$117,"&lt;"&amp;C118,$C$13:$C$117,"&gt;"&amp;B118)&gt;0,"OVERLAP","OK"),"CHECK INPUTS"))</f>
        <v/>
      </c>
      <c r="M118" s="124"/>
      <c r="N118" s="125"/>
      <c r="O118" s="125"/>
      <c r="P118" s="125"/>
      <c r="Q118" s="125"/>
      <c r="R118" s="126" t="str">
        <f>IF(V118="OK",P118*Q118,"")</f>
        <v/>
      </c>
      <c r="S118" s="126" t="str">
        <f>IF(V118="OK",R118*(O118-N118),"")</f>
        <v/>
      </c>
      <c r="T118" s="126" t="str">
        <f>IF(V118="OK",S118*(O118+N118)/2,"")</f>
        <v/>
      </c>
      <c r="U118" s="126" t="str">
        <f>IF(AND(V118="OK",ISNUMBER($N$5),$N$5&gt;0,ISNUMBER($N$3),$N$3&gt;0),R118*(4*$N$4*(O118^3-N118^3)-(O118^4-N118^4))/(24*$N$3*1000000*$N$5)*1000,"")</f>
        <v/>
      </c>
      <c r="V118" s="120" t="str">
        <f>IF(COUNTA(M118:Q118)=0,"",IF(AND(COUNT(N118:Q118)=4,N118&gt;=0,O118&gt;N118,O118&lt;=$N$4,P118&gt;=0,Q118&gt;0),IF(COUNTIFS($N$13:$N$117,"&lt;"&amp;O118,$O$13:$O$117,"&gt;"&amp;N118)&gt;0,"OVERLAP","OK"),"CHECK INPUTS"))</f>
        <v/>
      </c>
      <c r="AA118" s="120">
        <f>IF(AND(J118="OK",ISNUMBER($B$5),$B$5&gt;0,ISNUMBER($B$3),$B$3&gt;0),F118/(6*$B$3*1000000*$B$5)*(IF(B118&lt;($B$4*0/10),($B$4*0/10)*(MIN(C118,($B$4*0/10))^3-B118^3)-(MIN(C118,($B$4*0/10))^4-B118^4)/4,0)+IF(C118&gt;($B$4*0/10),($B$4*0/10)^2*(1.5*(C118^2-MAX(B118,($B$4*0/10))^2)-($B$4*0/10)*(C118-MAX(B118,($B$4*0/10)))),0))*1000,0)</f>
        <v>0</v>
      </c>
      <c r="AB118" s="120">
        <f>IF(AND(J118="OK",ISNUMBER($B$5),$B$5&gt;0,ISNUMBER($B$3),$B$3&gt;0),F118/(6*$B$3*1000000*$B$5)*(IF(B118&lt;($B$4*1/10),($B$4*1/10)*(MIN(C118,($B$4*1/10))^3-B118^3)-(MIN(C118,($B$4*1/10))^4-B118^4)/4,0)+IF(C118&gt;($B$4*1/10),($B$4*1/10)^2*(1.5*(C118^2-MAX(B118,($B$4*1/10))^2)-($B$4*1/10)*(C118-MAX(B118,($B$4*1/10)))),0))*1000,0)</f>
        <v>0</v>
      </c>
      <c r="AC118" s="120">
        <f>IF(AND(J118="OK",ISNUMBER($B$5),$B$5&gt;0,ISNUMBER($B$3),$B$3&gt;0),F118/(6*$B$3*1000000*$B$5)*(IF(B118&lt;($B$4*2/10),($B$4*2/10)*(MIN(C118,($B$4*2/10))^3-B118^3)-(MIN(C118,($B$4*2/10))^4-B118^4)/4,0)+IF(C118&gt;($B$4*2/10),($B$4*2/10)^2*(1.5*(C118^2-MAX(B118,($B$4*2/10))^2)-($B$4*2/10)*(C118-MAX(B118,($B$4*2/10)))),0))*1000,0)</f>
        <v>0</v>
      </c>
      <c r="AD118" s="120">
        <f>IF(AND(J118="OK",ISNUMBER($B$5),$B$5&gt;0,ISNUMBER($B$3),$B$3&gt;0),F118/(6*$B$3*1000000*$B$5)*(IF(B118&lt;($B$4*3/10),($B$4*3/10)*(MIN(C118,($B$4*3/10))^3-B118^3)-(MIN(C118,($B$4*3/10))^4-B118^4)/4,0)+IF(C118&gt;($B$4*3/10),($B$4*3/10)^2*(1.5*(C118^2-MAX(B118,($B$4*3/10))^2)-($B$4*3/10)*(C118-MAX(B118,($B$4*3/10)))),0))*1000,0)</f>
        <v>0</v>
      </c>
      <c r="AE118" s="120">
        <f>IF(AND(J118="OK",ISNUMBER($B$5),$B$5&gt;0,ISNUMBER($B$3),$B$3&gt;0),F118/(6*$B$3*1000000*$B$5)*(IF(B118&lt;($B$4*4/10),($B$4*4/10)*(MIN(C118,($B$4*4/10))^3-B118^3)-(MIN(C118,($B$4*4/10))^4-B118^4)/4,0)+IF(C118&gt;($B$4*4/10),($B$4*4/10)^2*(1.5*(C118^2-MAX(B118,($B$4*4/10))^2)-($B$4*4/10)*(C118-MAX(B118,($B$4*4/10)))),0))*1000,0)</f>
        <v>0</v>
      </c>
      <c r="AF118" s="120">
        <f>IF(AND(J118="OK",ISNUMBER($B$5),$B$5&gt;0,ISNUMBER($B$3),$B$3&gt;0),F118/(6*$B$3*1000000*$B$5)*(IF(B118&lt;($B$4*5/10),($B$4*5/10)*(MIN(C118,($B$4*5/10))^3-B118^3)-(MIN(C118,($B$4*5/10))^4-B118^4)/4,0)+IF(C118&gt;($B$4*5/10),($B$4*5/10)^2*(1.5*(C118^2-MAX(B118,($B$4*5/10))^2)-($B$4*5/10)*(C118-MAX(B118,($B$4*5/10)))),0))*1000,0)</f>
        <v>0</v>
      </c>
      <c r="AG118" s="120">
        <f>IF(AND(J118="OK",ISNUMBER($B$5),$B$5&gt;0,ISNUMBER($B$3),$B$3&gt;0),F118/(6*$B$3*1000000*$B$5)*(IF(B118&lt;($B$4*6/10),($B$4*6/10)*(MIN(C118,($B$4*6/10))^3-B118^3)-(MIN(C118,($B$4*6/10))^4-B118^4)/4,0)+IF(C118&gt;($B$4*6/10),($B$4*6/10)^2*(1.5*(C118^2-MAX(B118,($B$4*6/10))^2)-($B$4*6/10)*(C118-MAX(B118,($B$4*6/10)))),0))*1000,0)</f>
        <v>0</v>
      </c>
      <c r="AH118" s="120">
        <f>IF(AND(J118="OK",ISNUMBER($B$5),$B$5&gt;0,ISNUMBER($B$3),$B$3&gt;0),F118/(6*$B$3*1000000*$B$5)*(IF(B118&lt;($B$4*7/10),($B$4*7/10)*(MIN(C118,($B$4*7/10))^3-B118^3)-(MIN(C118,($B$4*7/10))^4-B118^4)/4,0)+IF(C118&gt;($B$4*7/10),($B$4*7/10)^2*(1.5*(C118^2-MAX(B118,($B$4*7/10))^2)-($B$4*7/10)*(C118-MAX(B118,($B$4*7/10)))),0))*1000,0)</f>
        <v>0</v>
      </c>
      <c r="AI118" s="120">
        <f>IF(AND(J118="OK",ISNUMBER($B$5),$B$5&gt;0,ISNUMBER($B$3),$B$3&gt;0),F118/(6*$B$3*1000000*$B$5)*(IF(B118&lt;($B$4*8/10),($B$4*8/10)*(MIN(C118,($B$4*8/10))^3-B118^3)-(MIN(C118,($B$4*8/10))^4-B118^4)/4,0)+IF(C118&gt;($B$4*8/10),($B$4*8/10)^2*(1.5*(C118^2-MAX(B118,($B$4*8/10))^2)-($B$4*8/10)*(C118-MAX(B118,($B$4*8/10)))),0))*1000,0)</f>
        <v>0</v>
      </c>
      <c r="AJ118" s="120">
        <f>IF(AND(J118="OK",ISNUMBER($B$5),$B$5&gt;0,ISNUMBER($B$3),$B$3&gt;0),F118/(6*$B$3*1000000*$B$5)*(IF(B118&lt;($B$4*9/10),($B$4*9/10)*(MIN(C118,($B$4*9/10))^3-B118^3)-(MIN(C118,($B$4*9/10))^4-B118^4)/4,0)+IF(C118&gt;($B$4*9/10),($B$4*9/10)^2*(1.5*(C118^2-MAX(B118,($B$4*9/10))^2)-($B$4*9/10)*(C118-MAX(B118,($B$4*9/10)))),0))*1000,0)</f>
        <v>0</v>
      </c>
      <c r="AK118" s="120">
        <f>IF(AND(J118="OK",ISNUMBER($B$5),$B$5&gt;0,ISNUMBER($B$3),$B$3&gt;0),F118/(6*$B$3*1000000*$B$5)*(IF(B118&lt;($B$4*10/10),($B$4*10/10)*(MIN(C118,($B$4*10/10))^3-B118^3)-(MIN(C118,($B$4*10/10))^4-B118^4)/4,0)+IF(C118&gt;($B$4*10/10),($B$4*10/10)^2*(1.5*(C118^2-MAX(B118,($B$4*10/10))^2)-($B$4*10/10)*(C118-MAX(B118,($B$4*10/10)))),0))*1000,0)</f>
        <v>0</v>
      </c>
      <c r="AM118" s="120">
        <f>IF(AND(V118="OK",ISNUMBER($N$5),$N$5&gt;0,ISNUMBER($N$3),$N$3&gt;0),R118/(6*$N$3*1000000*$N$5)*(IF(N118&lt;($N$4*0/10),($N$4*0/10)*(MIN(O118,($N$4*0/10))^3-N118^3)-(MIN(O118,($N$4*0/10))^4-N118^4)/4,0)+IF(O118&gt;($N$4*0/10),($N$4*0/10)^2*(1.5*(O118^2-MAX(N118,($N$4*0/10))^2)-($N$4*0/10)*(O118-MAX(N118,($N$4*0/10)))),0))*1000,0)</f>
        <v>0</v>
      </c>
      <c r="AN118" s="120">
        <f>IF(AND(V118="OK",ISNUMBER($N$5),$N$5&gt;0,ISNUMBER($N$3),$N$3&gt;0),R118/(6*$N$3*1000000*$N$5)*(IF(N118&lt;($N$4*1/10),($N$4*1/10)*(MIN(O118,($N$4*1/10))^3-N118^3)-(MIN(O118,($N$4*1/10))^4-N118^4)/4,0)+IF(O118&gt;($N$4*1/10),($N$4*1/10)^2*(1.5*(O118^2-MAX(N118,($N$4*1/10))^2)-($N$4*1/10)*(O118-MAX(N118,($N$4*1/10)))),0))*1000,0)</f>
        <v>0</v>
      </c>
      <c r="AO118" s="120">
        <f>IF(AND(V118="OK",ISNUMBER($N$5),$N$5&gt;0,ISNUMBER($N$3),$N$3&gt;0),R118/(6*$N$3*1000000*$N$5)*(IF(N118&lt;($N$4*2/10),($N$4*2/10)*(MIN(O118,($N$4*2/10))^3-N118^3)-(MIN(O118,($N$4*2/10))^4-N118^4)/4,0)+IF(O118&gt;($N$4*2/10),($N$4*2/10)^2*(1.5*(O118^2-MAX(N118,($N$4*2/10))^2)-($N$4*2/10)*(O118-MAX(N118,($N$4*2/10)))),0))*1000,0)</f>
        <v>0</v>
      </c>
      <c r="AP118" s="120">
        <f>IF(AND(V118="OK",ISNUMBER($N$5),$N$5&gt;0,ISNUMBER($N$3),$N$3&gt;0),R118/(6*$N$3*1000000*$N$5)*(IF(N118&lt;($N$4*3/10),($N$4*3/10)*(MIN(O118,($N$4*3/10))^3-N118^3)-(MIN(O118,($N$4*3/10))^4-N118^4)/4,0)+IF(O118&gt;($N$4*3/10),($N$4*3/10)^2*(1.5*(O118^2-MAX(N118,($N$4*3/10))^2)-($N$4*3/10)*(O118-MAX(N118,($N$4*3/10)))),0))*1000,0)</f>
        <v>0</v>
      </c>
      <c r="AQ118" s="120">
        <f>IF(AND(V118="OK",ISNUMBER($N$5),$N$5&gt;0,ISNUMBER($N$3),$N$3&gt;0),R118/(6*$N$3*1000000*$N$5)*(IF(N118&lt;($N$4*4/10),($N$4*4/10)*(MIN(O118,($N$4*4/10))^3-N118^3)-(MIN(O118,($N$4*4/10))^4-N118^4)/4,0)+IF(O118&gt;($N$4*4/10),($N$4*4/10)^2*(1.5*(O118^2-MAX(N118,($N$4*4/10))^2)-($N$4*4/10)*(O118-MAX(N118,($N$4*4/10)))),0))*1000,0)</f>
        <v>0</v>
      </c>
      <c r="AR118" s="120">
        <f>IF(AND(V118="OK",ISNUMBER($N$5),$N$5&gt;0,ISNUMBER($N$3),$N$3&gt;0),R118/(6*$N$3*1000000*$N$5)*(IF(N118&lt;($N$4*5/10),($N$4*5/10)*(MIN(O118,($N$4*5/10))^3-N118^3)-(MIN(O118,($N$4*5/10))^4-N118^4)/4,0)+IF(O118&gt;($N$4*5/10),($N$4*5/10)^2*(1.5*(O118^2-MAX(N118,($N$4*5/10))^2)-($N$4*5/10)*(O118-MAX(N118,($N$4*5/10)))),0))*1000,0)</f>
        <v>0</v>
      </c>
      <c r="AS118" s="120">
        <f>IF(AND(V118="OK",ISNUMBER($N$5),$N$5&gt;0,ISNUMBER($N$3),$N$3&gt;0),R118/(6*$N$3*1000000*$N$5)*(IF(N118&lt;($N$4*6/10),($N$4*6/10)*(MIN(O118,($N$4*6/10))^3-N118^3)-(MIN(O118,($N$4*6/10))^4-N118^4)/4,0)+IF(O118&gt;($N$4*6/10),($N$4*6/10)^2*(1.5*(O118^2-MAX(N118,($N$4*6/10))^2)-($N$4*6/10)*(O118-MAX(N118,($N$4*6/10)))),0))*1000,0)</f>
        <v>0</v>
      </c>
      <c r="AT118" s="120">
        <f>IF(AND(V118="OK",ISNUMBER($N$5),$N$5&gt;0,ISNUMBER($N$3),$N$3&gt;0),R118/(6*$N$3*1000000*$N$5)*(IF(N118&lt;($N$4*7/10),($N$4*7/10)*(MIN(O118,($N$4*7/10))^3-N118^3)-(MIN(O118,($N$4*7/10))^4-N118^4)/4,0)+IF(O118&gt;($N$4*7/10),($N$4*7/10)^2*(1.5*(O118^2-MAX(N118,($N$4*7/10))^2)-($N$4*7/10)*(O118-MAX(N118,($N$4*7/10)))),0))*1000,0)</f>
        <v>0</v>
      </c>
      <c r="AU118" s="120">
        <f>IF(AND(V118="OK",ISNUMBER($N$5),$N$5&gt;0,ISNUMBER($N$3),$N$3&gt;0),R118/(6*$N$3*1000000*$N$5)*(IF(N118&lt;($N$4*8/10),($N$4*8/10)*(MIN(O118,($N$4*8/10))^3-N118^3)-(MIN(O118,($N$4*8/10))^4-N118^4)/4,0)+IF(O118&gt;($N$4*8/10),($N$4*8/10)^2*(1.5*(O118^2-MAX(N118,($N$4*8/10))^2)-($N$4*8/10)*(O118-MAX(N118,($N$4*8/10)))),0))*1000,0)</f>
        <v>0</v>
      </c>
      <c r="AV118" s="120">
        <f>IF(AND(V118="OK",ISNUMBER($N$5),$N$5&gt;0,ISNUMBER($N$3),$N$3&gt;0),R118/(6*$N$3*1000000*$N$5)*(IF(N118&lt;($N$4*9/10),($N$4*9/10)*(MIN(O118,($N$4*9/10))^3-N118^3)-(MIN(O118,($N$4*9/10))^4-N118^4)/4,0)+IF(O118&gt;($N$4*9/10),($N$4*9/10)^2*(1.5*(O118^2-MAX(N118,($N$4*9/10))^2)-($N$4*9/10)*(O118-MAX(N118,($N$4*9/10)))),0))*1000,0)</f>
        <v>0</v>
      </c>
      <c r="AW118" s="120">
        <f>IF(AND(V118="OK",ISNUMBER($N$5),$N$5&gt;0,ISNUMBER($N$3),$N$3&gt;0),R118/(6*$N$3*1000000*$N$5)*(IF(N118&lt;($N$4*10/10),($N$4*10/10)*(MIN(O118,($N$4*10/10))^3-N118^3)-(MIN(O118,($N$4*10/10))^4-N118^4)/4,0)+IF(O118&gt;($N$4*10/10),($N$4*10/10)^2*(1.5*(O118^2-MAX(N118,($N$4*10/10))^2)-($N$4*10/10)*(O118-MAX(N118,($N$4*10/10)))),0))*1000,0)</f>
        <v>0</v>
      </c>
    </row>
    <row r="119" spans="1:49">
      <c r="A119" s="124"/>
      <c r="B119" s="125"/>
      <c r="C119" s="125"/>
      <c r="D119" s="125"/>
      <c r="E119" s="125"/>
      <c r="F119" s="126" t="str">
        <f>IF(J119="OK",D119*E119,"")</f>
        <v/>
      </c>
      <c r="G119" s="126" t="str">
        <f>IF(J119="OK",F119*(C119-B119),"")</f>
        <v/>
      </c>
      <c r="H119" s="126" t="str">
        <f>IF(J119="OK",G119*(C119+B119)/2,"")</f>
        <v/>
      </c>
      <c r="I119" s="126" t="str">
        <f>IF(AND(J119="OK",ISNUMBER($B$5),$B$5&gt;0,ISNUMBER($B$3),$B$3&gt;0),F119*(4*$B$4*(C119^3-B119^3)-(C119^4-B119^4))/(24*$B$3*1000000*$B$5)*1000,"")</f>
        <v/>
      </c>
      <c r="J119" s="120" t="str">
        <f>IF(COUNTA(A119:E119)=0,"",IF(AND(COUNT(B119:E119)=4,B119&gt;=0,C119&gt;B119,C119&lt;=$B$4,D119&gt;=0,E119&gt;0),IF(COUNTIFS($B$13:$B$118,"&lt;"&amp;C119,$C$13:$C$118,"&gt;"&amp;B119)&gt;0,"OVERLAP","OK"),"CHECK INPUTS"))</f>
        <v/>
      </c>
      <c r="M119" s="124"/>
      <c r="N119" s="125"/>
      <c r="O119" s="125"/>
      <c r="P119" s="125"/>
      <c r="Q119" s="125"/>
      <c r="R119" s="126" t="str">
        <f>IF(V119="OK",P119*Q119,"")</f>
        <v/>
      </c>
      <c r="S119" s="126" t="str">
        <f>IF(V119="OK",R119*(O119-N119),"")</f>
        <v/>
      </c>
      <c r="T119" s="126" t="str">
        <f>IF(V119="OK",S119*(O119+N119)/2,"")</f>
        <v/>
      </c>
      <c r="U119" s="126" t="str">
        <f>IF(AND(V119="OK",ISNUMBER($N$5),$N$5&gt;0,ISNUMBER($N$3),$N$3&gt;0),R119*(4*$N$4*(O119^3-N119^3)-(O119^4-N119^4))/(24*$N$3*1000000*$N$5)*1000,"")</f>
        <v/>
      </c>
      <c r="V119" s="120" t="str">
        <f>IF(COUNTA(M119:Q119)=0,"",IF(AND(COUNT(N119:Q119)=4,N119&gt;=0,O119&gt;N119,O119&lt;=$N$4,P119&gt;=0,Q119&gt;0),IF(COUNTIFS($N$13:$N$118,"&lt;"&amp;O119,$O$13:$O$118,"&gt;"&amp;N119)&gt;0,"OVERLAP","OK"),"CHECK INPUTS"))</f>
        <v/>
      </c>
      <c r="AA119" s="120">
        <f>IF(AND(J119="OK",ISNUMBER($B$5),$B$5&gt;0,ISNUMBER($B$3),$B$3&gt;0),F119/(6*$B$3*1000000*$B$5)*(IF(B119&lt;($B$4*0/10),($B$4*0/10)*(MIN(C119,($B$4*0/10))^3-B119^3)-(MIN(C119,($B$4*0/10))^4-B119^4)/4,0)+IF(C119&gt;($B$4*0/10),($B$4*0/10)^2*(1.5*(C119^2-MAX(B119,($B$4*0/10))^2)-($B$4*0/10)*(C119-MAX(B119,($B$4*0/10)))),0))*1000,0)</f>
        <v>0</v>
      </c>
      <c r="AB119" s="120">
        <f>IF(AND(J119="OK",ISNUMBER($B$5),$B$5&gt;0,ISNUMBER($B$3),$B$3&gt;0),F119/(6*$B$3*1000000*$B$5)*(IF(B119&lt;($B$4*1/10),($B$4*1/10)*(MIN(C119,($B$4*1/10))^3-B119^3)-(MIN(C119,($B$4*1/10))^4-B119^4)/4,0)+IF(C119&gt;($B$4*1/10),($B$4*1/10)^2*(1.5*(C119^2-MAX(B119,($B$4*1/10))^2)-($B$4*1/10)*(C119-MAX(B119,($B$4*1/10)))),0))*1000,0)</f>
        <v>0</v>
      </c>
      <c r="AC119" s="120">
        <f>IF(AND(J119="OK",ISNUMBER($B$5),$B$5&gt;0,ISNUMBER($B$3),$B$3&gt;0),F119/(6*$B$3*1000000*$B$5)*(IF(B119&lt;($B$4*2/10),($B$4*2/10)*(MIN(C119,($B$4*2/10))^3-B119^3)-(MIN(C119,($B$4*2/10))^4-B119^4)/4,0)+IF(C119&gt;($B$4*2/10),($B$4*2/10)^2*(1.5*(C119^2-MAX(B119,($B$4*2/10))^2)-($B$4*2/10)*(C119-MAX(B119,($B$4*2/10)))),0))*1000,0)</f>
        <v>0</v>
      </c>
      <c r="AD119" s="120">
        <f>IF(AND(J119="OK",ISNUMBER($B$5),$B$5&gt;0,ISNUMBER($B$3),$B$3&gt;0),F119/(6*$B$3*1000000*$B$5)*(IF(B119&lt;($B$4*3/10),($B$4*3/10)*(MIN(C119,($B$4*3/10))^3-B119^3)-(MIN(C119,($B$4*3/10))^4-B119^4)/4,0)+IF(C119&gt;($B$4*3/10),($B$4*3/10)^2*(1.5*(C119^2-MAX(B119,($B$4*3/10))^2)-($B$4*3/10)*(C119-MAX(B119,($B$4*3/10)))),0))*1000,0)</f>
        <v>0</v>
      </c>
      <c r="AE119" s="120">
        <f>IF(AND(J119="OK",ISNUMBER($B$5),$B$5&gt;0,ISNUMBER($B$3),$B$3&gt;0),F119/(6*$B$3*1000000*$B$5)*(IF(B119&lt;($B$4*4/10),($B$4*4/10)*(MIN(C119,($B$4*4/10))^3-B119^3)-(MIN(C119,($B$4*4/10))^4-B119^4)/4,0)+IF(C119&gt;($B$4*4/10),($B$4*4/10)^2*(1.5*(C119^2-MAX(B119,($B$4*4/10))^2)-($B$4*4/10)*(C119-MAX(B119,($B$4*4/10)))),0))*1000,0)</f>
        <v>0</v>
      </c>
      <c r="AF119" s="120">
        <f>IF(AND(J119="OK",ISNUMBER($B$5),$B$5&gt;0,ISNUMBER($B$3),$B$3&gt;0),F119/(6*$B$3*1000000*$B$5)*(IF(B119&lt;($B$4*5/10),($B$4*5/10)*(MIN(C119,($B$4*5/10))^3-B119^3)-(MIN(C119,($B$4*5/10))^4-B119^4)/4,0)+IF(C119&gt;($B$4*5/10),($B$4*5/10)^2*(1.5*(C119^2-MAX(B119,($B$4*5/10))^2)-($B$4*5/10)*(C119-MAX(B119,($B$4*5/10)))),0))*1000,0)</f>
        <v>0</v>
      </c>
      <c r="AG119" s="120">
        <f>IF(AND(J119="OK",ISNUMBER($B$5),$B$5&gt;0,ISNUMBER($B$3),$B$3&gt;0),F119/(6*$B$3*1000000*$B$5)*(IF(B119&lt;($B$4*6/10),($B$4*6/10)*(MIN(C119,($B$4*6/10))^3-B119^3)-(MIN(C119,($B$4*6/10))^4-B119^4)/4,0)+IF(C119&gt;($B$4*6/10),($B$4*6/10)^2*(1.5*(C119^2-MAX(B119,($B$4*6/10))^2)-($B$4*6/10)*(C119-MAX(B119,($B$4*6/10)))),0))*1000,0)</f>
        <v>0</v>
      </c>
      <c r="AH119" s="120">
        <f>IF(AND(J119="OK",ISNUMBER($B$5),$B$5&gt;0,ISNUMBER($B$3),$B$3&gt;0),F119/(6*$B$3*1000000*$B$5)*(IF(B119&lt;($B$4*7/10),($B$4*7/10)*(MIN(C119,($B$4*7/10))^3-B119^3)-(MIN(C119,($B$4*7/10))^4-B119^4)/4,0)+IF(C119&gt;($B$4*7/10),($B$4*7/10)^2*(1.5*(C119^2-MAX(B119,($B$4*7/10))^2)-($B$4*7/10)*(C119-MAX(B119,($B$4*7/10)))),0))*1000,0)</f>
        <v>0</v>
      </c>
      <c r="AI119" s="120">
        <f>IF(AND(J119="OK",ISNUMBER($B$5),$B$5&gt;0,ISNUMBER($B$3),$B$3&gt;0),F119/(6*$B$3*1000000*$B$5)*(IF(B119&lt;($B$4*8/10),($B$4*8/10)*(MIN(C119,($B$4*8/10))^3-B119^3)-(MIN(C119,($B$4*8/10))^4-B119^4)/4,0)+IF(C119&gt;($B$4*8/10),($B$4*8/10)^2*(1.5*(C119^2-MAX(B119,($B$4*8/10))^2)-($B$4*8/10)*(C119-MAX(B119,($B$4*8/10)))),0))*1000,0)</f>
        <v>0</v>
      </c>
      <c r="AJ119" s="120">
        <f>IF(AND(J119="OK",ISNUMBER($B$5),$B$5&gt;0,ISNUMBER($B$3),$B$3&gt;0),F119/(6*$B$3*1000000*$B$5)*(IF(B119&lt;($B$4*9/10),($B$4*9/10)*(MIN(C119,($B$4*9/10))^3-B119^3)-(MIN(C119,($B$4*9/10))^4-B119^4)/4,0)+IF(C119&gt;($B$4*9/10),($B$4*9/10)^2*(1.5*(C119^2-MAX(B119,($B$4*9/10))^2)-($B$4*9/10)*(C119-MAX(B119,($B$4*9/10)))),0))*1000,0)</f>
        <v>0</v>
      </c>
      <c r="AK119" s="120">
        <f>IF(AND(J119="OK",ISNUMBER($B$5),$B$5&gt;0,ISNUMBER($B$3),$B$3&gt;0),F119/(6*$B$3*1000000*$B$5)*(IF(B119&lt;($B$4*10/10),($B$4*10/10)*(MIN(C119,($B$4*10/10))^3-B119^3)-(MIN(C119,($B$4*10/10))^4-B119^4)/4,0)+IF(C119&gt;($B$4*10/10),($B$4*10/10)^2*(1.5*(C119^2-MAX(B119,($B$4*10/10))^2)-($B$4*10/10)*(C119-MAX(B119,($B$4*10/10)))),0))*1000,0)</f>
        <v>0</v>
      </c>
      <c r="AM119" s="120">
        <f>IF(AND(V119="OK",ISNUMBER($N$5),$N$5&gt;0,ISNUMBER($N$3),$N$3&gt;0),R119/(6*$N$3*1000000*$N$5)*(IF(N119&lt;($N$4*0/10),($N$4*0/10)*(MIN(O119,($N$4*0/10))^3-N119^3)-(MIN(O119,($N$4*0/10))^4-N119^4)/4,0)+IF(O119&gt;($N$4*0/10),($N$4*0/10)^2*(1.5*(O119^2-MAX(N119,($N$4*0/10))^2)-($N$4*0/10)*(O119-MAX(N119,($N$4*0/10)))),0))*1000,0)</f>
        <v>0</v>
      </c>
      <c r="AN119" s="120">
        <f>IF(AND(V119="OK",ISNUMBER($N$5),$N$5&gt;0,ISNUMBER($N$3),$N$3&gt;0),R119/(6*$N$3*1000000*$N$5)*(IF(N119&lt;($N$4*1/10),($N$4*1/10)*(MIN(O119,($N$4*1/10))^3-N119^3)-(MIN(O119,($N$4*1/10))^4-N119^4)/4,0)+IF(O119&gt;($N$4*1/10),($N$4*1/10)^2*(1.5*(O119^2-MAX(N119,($N$4*1/10))^2)-($N$4*1/10)*(O119-MAX(N119,($N$4*1/10)))),0))*1000,0)</f>
        <v>0</v>
      </c>
      <c r="AO119" s="120">
        <f>IF(AND(V119="OK",ISNUMBER($N$5),$N$5&gt;0,ISNUMBER($N$3),$N$3&gt;0),R119/(6*$N$3*1000000*$N$5)*(IF(N119&lt;($N$4*2/10),($N$4*2/10)*(MIN(O119,($N$4*2/10))^3-N119^3)-(MIN(O119,($N$4*2/10))^4-N119^4)/4,0)+IF(O119&gt;($N$4*2/10),($N$4*2/10)^2*(1.5*(O119^2-MAX(N119,($N$4*2/10))^2)-($N$4*2/10)*(O119-MAX(N119,($N$4*2/10)))),0))*1000,0)</f>
        <v>0</v>
      </c>
      <c r="AP119" s="120">
        <f>IF(AND(V119="OK",ISNUMBER($N$5),$N$5&gt;0,ISNUMBER($N$3),$N$3&gt;0),R119/(6*$N$3*1000000*$N$5)*(IF(N119&lt;($N$4*3/10),($N$4*3/10)*(MIN(O119,($N$4*3/10))^3-N119^3)-(MIN(O119,($N$4*3/10))^4-N119^4)/4,0)+IF(O119&gt;($N$4*3/10),($N$4*3/10)^2*(1.5*(O119^2-MAX(N119,($N$4*3/10))^2)-($N$4*3/10)*(O119-MAX(N119,($N$4*3/10)))),0))*1000,0)</f>
        <v>0</v>
      </c>
      <c r="AQ119" s="120">
        <f>IF(AND(V119="OK",ISNUMBER($N$5),$N$5&gt;0,ISNUMBER($N$3),$N$3&gt;0),R119/(6*$N$3*1000000*$N$5)*(IF(N119&lt;($N$4*4/10),($N$4*4/10)*(MIN(O119,($N$4*4/10))^3-N119^3)-(MIN(O119,($N$4*4/10))^4-N119^4)/4,0)+IF(O119&gt;($N$4*4/10),($N$4*4/10)^2*(1.5*(O119^2-MAX(N119,($N$4*4/10))^2)-($N$4*4/10)*(O119-MAX(N119,($N$4*4/10)))),0))*1000,0)</f>
        <v>0</v>
      </c>
      <c r="AR119" s="120">
        <f>IF(AND(V119="OK",ISNUMBER($N$5),$N$5&gt;0,ISNUMBER($N$3),$N$3&gt;0),R119/(6*$N$3*1000000*$N$5)*(IF(N119&lt;($N$4*5/10),($N$4*5/10)*(MIN(O119,($N$4*5/10))^3-N119^3)-(MIN(O119,($N$4*5/10))^4-N119^4)/4,0)+IF(O119&gt;($N$4*5/10),($N$4*5/10)^2*(1.5*(O119^2-MAX(N119,($N$4*5/10))^2)-($N$4*5/10)*(O119-MAX(N119,($N$4*5/10)))),0))*1000,0)</f>
        <v>0</v>
      </c>
      <c r="AS119" s="120">
        <f>IF(AND(V119="OK",ISNUMBER($N$5),$N$5&gt;0,ISNUMBER($N$3),$N$3&gt;0),R119/(6*$N$3*1000000*$N$5)*(IF(N119&lt;($N$4*6/10),($N$4*6/10)*(MIN(O119,($N$4*6/10))^3-N119^3)-(MIN(O119,($N$4*6/10))^4-N119^4)/4,0)+IF(O119&gt;($N$4*6/10),($N$4*6/10)^2*(1.5*(O119^2-MAX(N119,($N$4*6/10))^2)-($N$4*6/10)*(O119-MAX(N119,($N$4*6/10)))),0))*1000,0)</f>
        <v>0</v>
      </c>
      <c r="AT119" s="120">
        <f>IF(AND(V119="OK",ISNUMBER($N$5),$N$5&gt;0,ISNUMBER($N$3),$N$3&gt;0),R119/(6*$N$3*1000000*$N$5)*(IF(N119&lt;($N$4*7/10),($N$4*7/10)*(MIN(O119,($N$4*7/10))^3-N119^3)-(MIN(O119,($N$4*7/10))^4-N119^4)/4,0)+IF(O119&gt;($N$4*7/10),($N$4*7/10)^2*(1.5*(O119^2-MAX(N119,($N$4*7/10))^2)-($N$4*7/10)*(O119-MAX(N119,($N$4*7/10)))),0))*1000,0)</f>
        <v>0</v>
      </c>
      <c r="AU119" s="120">
        <f>IF(AND(V119="OK",ISNUMBER($N$5),$N$5&gt;0,ISNUMBER($N$3),$N$3&gt;0),R119/(6*$N$3*1000000*$N$5)*(IF(N119&lt;($N$4*8/10),($N$4*8/10)*(MIN(O119,($N$4*8/10))^3-N119^3)-(MIN(O119,($N$4*8/10))^4-N119^4)/4,0)+IF(O119&gt;($N$4*8/10),($N$4*8/10)^2*(1.5*(O119^2-MAX(N119,($N$4*8/10))^2)-($N$4*8/10)*(O119-MAX(N119,($N$4*8/10)))),0))*1000,0)</f>
        <v>0</v>
      </c>
      <c r="AV119" s="120">
        <f>IF(AND(V119="OK",ISNUMBER($N$5),$N$5&gt;0,ISNUMBER($N$3),$N$3&gt;0),R119/(6*$N$3*1000000*$N$5)*(IF(N119&lt;($N$4*9/10),($N$4*9/10)*(MIN(O119,($N$4*9/10))^3-N119^3)-(MIN(O119,($N$4*9/10))^4-N119^4)/4,0)+IF(O119&gt;($N$4*9/10),($N$4*9/10)^2*(1.5*(O119^2-MAX(N119,($N$4*9/10))^2)-($N$4*9/10)*(O119-MAX(N119,($N$4*9/10)))),0))*1000,0)</f>
        <v>0</v>
      </c>
      <c r="AW119" s="120">
        <f>IF(AND(V119="OK",ISNUMBER($N$5),$N$5&gt;0,ISNUMBER($N$3),$N$3&gt;0),R119/(6*$N$3*1000000*$N$5)*(IF(N119&lt;($N$4*10/10),($N$4*10/10)*(MIN(O119,($N$4*10/10))^3-N119^3)-(MIN(O119,($N$4*10/10))^4-N119^4)/4,0)+IF(O119&gt;($N$4*10/10),($N$4*10/10)^2*(1.5*(O119^2-MAX(N119,($N$4*10/10))^2)-($N$4*10/10)*(O119-MAX(N119,($N$4*10/10)))),0))*1000,0)</f>
        <v>0</v>
      </c>
    </row>
    <row r="120" spans="1:49">
      <c r="A120" s="124"/>
      <c r="B120" s="125"/>
      <c r="C120" s="125"/>
      <c r="D120" s="125"/>
      <c r="E120" s="125"/>
      <c r="F120" s="126" t="str">
        <f>IF(J120="OK",D120*E120,"")</f>
        <v/>
      </c>
      <c r="G120" s="126" t="str">
        <f>IF(J120="OK",F120*(C120-B120),"")</f>
        <v/>
      </c>
      <c r="H120" s="126" t="str">
        <f>IF(J120="OK",G120*(C120+B120)/2,"")</f>
        <v/>
      </c>
      <c r="I120" s="126" t="str">
        <f>IF(AND(J120="OK",ISNUMBER($B$5),$B$5&gt;0,ISNUMBER($B$3),$B$3&gt;0),F120*(4*$B$4*(C120^3-B120^3)-(C120^4-B120^4))/(24*$B$3*1000000*$B$5)*1000,"")</f>
        <v/>
      </c>
      <c r="J120" s="120" t="str">
        <f>IF(COUNTA(A120:E120)=0,"",IF(AND(COUNT(B120:E120)=4,B120&gt;=0,C120&gt;B120,C120&lt;=$B$4,D120&gt;=0,E120&gt;0),IF(COUNTIFS($B$13:$B$119,"&lt;"&amp;C120,$C$13:$C$119,"&gt;"&amp;B120)&gt;0,"OVERLAP","OK"),"CHECK INPUTS"))</f>
        <v/>
      </c>
      <c r="M120" s="124"/>
      <c r="N120" s="125"/>
      <c r="O120" s="125"/>
      <c r="P120" s="125"/>
      <c r="Q120" s="125"/>
      <c r="R120" s="126" t="str">
        <f>IF(V120="OK",P120*Q120,"")</f>
        <v/>
      </c>
      <c r="S120" s="126" t="str">
        <f>IF(V120="OK",R120*(O120-N120),"")</f>
        <v/>
      </c>
      <c r="T120" s="126" t="str">
        <f>IF(V120="OK",S120*(O120+N120)/2,"")</f>
        <v/>
      </c>
      <c r="U120" s="126" t="str">
        <f>IF(AND(V120="OK",ISNUMBER($N$5),$N$5&gt;0,ISNUMBER($N$3),$N$3&gt;0),R120*(4*$N$4*(O120^3-N120^3)-(O120^4-N120^4))/(24*$N$3*1000000*$N$5)*1000,"")</f>
        <v/>
      </c>
      <c r="V120" s="120" t="str">
        <f>IF(COUNTA(M120:Q120)=0,"",IF(AND(COUNT(N120:Q120)=4,N120&gt;=0,O120&gt;N120,O120&lt;=$N$4,P120&gt;=0,Q120&gt;0),IF(COUNTIFS($N$13:$N$119,"&lt;"&amp;O120,$O$13:$O$119,"&gt;"&amp;N120)&gt;0,"OVERLAP","OK"),"CHECK INPUTS"))</f>
        <v/>
      </c>
      <c r="AA120" s="120">
        <f>IF(AND(J120="OK",ISNUMBER($B$5),$B$5&gt;0,ISNUMBER($B$3),$B$3&gt;0),F120/(6*$B$3*1000000*$B$5)*(IF(B120&lt;($B$4*0/10),($B$4*0/10)*(MIN(C120,($B$4*0/10))^3-B120^3)-(MIN(C120,($B$4*0/10))^4-B120^4)/4,0)+IF(C120&gt;($B$4*0/10),($B$4*0/10)^2*(1.5*(C120^2-MAX(B120,($B$4*0/10))^2)-($B$4*0/10)*(C120-MAX(B120,($B$4*0/10)))),0))*1000,0)</f>
        <v>0</v>
      </c>
      <c r="AB120" s="120">
        <f>IF(AND(J120="OK",ISNUMBER($B$5),$B$5&gt;0,ISNUMBER($B$3),$B$3&gt;0),F120/(6*$B$3*1000000*$B$5)*(IF(B120&lt;($B$4*1/10),($B$4*1/10)*(MIN(C120,($B$4*1/10))^3-B120^3)-(MIN(C120,($B$4*1/10))^4-B120^4)/4,0)+IF(C120&gt;($B$4*1/10),($B$4*1/10)^2*(1.5*(C120^2-MAX(B120,($B$4*1/10))^2)-($B$4*1/10)*(C120-MAX(B120,($B$4*1/10)))),0))*1000,0)</f>
        <v>0</v>
      </c>
      <c r="AC120" s="120">
        <f>IF(AND(J120="OK",ISNUMBER($B$5),$B$5&gt;0,ISNUMBER($B$3),$B$3&gt;0),F120/(6*$B$3*1000000*$B$5)*(IF(B120&lt;($B$4*2/10),($B$4*2/10)*(MIN(C120,($B$4*2/10))^3-B120^3)-(MIN(C120,($B$4*2/10))^4-B120^4)/4,0)+IF(C120&gt;($B$4*2/10),($B$4*2/10)^2*(1.5*(C120^2-MAX(B120,($B$4*2/10))^2)-($B$4*2/10)*(C120-MAX(B120,($B$4*2/10)))),0))*1000,0)</f>
        <v>0</v>
      </c>
      <c r="AD120" s="120">
        <f>IF(AND(J120="OK",ISNUMBER($B$5),$B$5&gt;0,ISNUMBER($B$3),$B$3&gt;0),F120/(6*$B$3*1000000*$B$5)*(IF(B120&lt;($B$4*3/10),($B$4*3/10)*(MIN(C120,($B$4*3/10))^3-B120^3)-(MIN(C120,($B$4*3/10))^4-B120^4)/4,0)+IF(C120&gt;($B$4*3/10),($B$4*3/10)^2*(1.5*(C120^2-MAX(B120,($B$4*3/10))^2)-($B$4*3/10)*(C120-MAX(B120,($B$4*3/10)))),0))*1000,0)</f>
        <v>0</v>
      </c>
      <c r="AE120" s="120">
        <f>IF(AND(J120="OK",ISNUMBER($B$5),$B$5&gt;0,ISNUMBER($B$3),$B$3&gt;0),F120/(6*$B$3*1000000*$B$5)*(IF(B120&lt;($B$4*4/10),($B$4*4/10)*(MIN(C120,($B$4*4/10))^3-B120^3)-(MIN(C120,($B$4*4/10))^4-B120^4)/4,0)+IF(C120&gt;($B$4*4/10),($B$4*4/10)^2*(1.5*(C120^2-MAX(B120,($B$4*4/10))^2)-($B$4*4/10)*(C120-MAX(B120,($B$4*4/10)))),0))*1000,0)</f>
        <v>0</v>
      </c>
      <c r="AF120" s="120">
        <f>IF(AND(J120="OK",ISNUMBER($B$5),$B$5&gt;0,ISNUMBER($B$3),$B$3&gt;0),F120/(6*$B$3*1000000*$B$5)*(IF(B120&lt;($B$4*5/10),($B$4*5/10)*(MIN(C120,($B$4*5/10))^3-B120^3)-(MIN(C120,($B$4*5/10))^4-B120^4)/4,0)+IF(C120&gt;($B$4*5/10),($B$4*5/10)^2*(1.5*(C120^2-MAX(B120,($B$4*5/10))^2)-($B$4*5/10)*(C120-MAX(B120,($B$4*5/10)))),0))*1000,0)</f>
        <v>0</v>
      </c>
      <c r="AG120" s="120">
        <f>IF(AND(J120="OK",ISNUMBER($B$5),$B$5&gt;0,ISNUMBER($B$3),$B$3&gt;0),F120/(6*$B$3*1000000*$B$5)*(IF(B120&lt;($B$4*6/10),($B$4*6/10)*(MIN(C120,($B$4*6/10))^3-B120^3)-(MIN(C120,($B$4*6/10))^4-B120^4)/4,0)+IF(C120&gt;($B$4*6/10),($B$4*6/10)^2*(1.5*(C120^2-MAX(B120,($B$4*6/10))^2)-($B$4*6/10)*(C120-MAX(B120,($B$4*6/10)))),0))*1000,0)</f>
        <v>0</v>
      </c>
      <c r="AH120" s="120">
        <f>IF(AND(J120="OK",ISNUMBER($B$5),$B$5&gt;0,ISNUMBER($B$3),$B$3&gt;0),F120/(6*$B$3*1000000*$B$5)*(IF(B120&lt;($B$4*7/10),($B$4*7/10)*(MIN(C120,($B$4*7/10))^3-B120^3)-(MIN(C120,($B$4*7/10))^4-B120^4)/4,0)+IF(C120&gt;($B$4*7/10),($B$4*7/10)^2*(1.5*(C120^2-MAX(B120,($B$4*7/10))^2)-($B$4*7/10)*(C120-MAX(B120,($B$4*7/10)))),0))*1000,0)</f>
        <v>0</v>
      </c>
      <c r="AI120" s="120">
        <f>IF(AND(J120="OK",ISNUMBER($B$5),$B$5&gt;0,ISNUMBER($B$3),$B$3&gt;0),F120/(6*$B$3*1000000*$B$5)*(IF(B120&lt;($B$4*8/10),($B$4*8/10)*(MIN(C120,($B$4*8/10))^3-B120^3)-(MIN(C120,($B$4*8/10))^4-B120^4)/4,0)+IF(C120&gt;($B$4*8/10),($B$4*8/10)^2*(1.5*(C120^2-MAX(B120,($B$4*8/10))^2)-($B$4*8/10)*(C120-MAX(B120,($B$4*8/10)))),0))*1000,0)</f>
        <v>0</v>
      </c>
      <c r="AJ120" s="120">
        <f>IF(AND(J120="OK",ISNUMBER($B$5),$B$5&gt;0,ISNUMBER($B$3),$B$3&gt;0),F120/(6*$B$3*1000000*$B$5)*(IF(B120&lt;($B$4*9/10),($B$4*9/10)*(MIN(C120,($B$4*9/10))^3-B120^3)-(MIN(C120,($B$4*9/10))^4-B120^4)/4,0)+IF(C120&gt;($B$4*9/10),($B$4*9/10)^2*(1.5*(C120^2-MAX(B120,($B$4*9/10))^2)-($B$4*9/10)*(C120-MAX(B120,($B$4*9/10)))),0))*1000,0)</f>
        <v>0</v>
      </c>
      <c r="AK120" s="120">
        <f>IF(AND(J120="OK",ISNUMBER($B$5),$B$5&gt;0,ISNUMBER($B$3),$B$3&gt;0),F120/(6*$B$3*1000000*$B$5)*(IF(B120&lt;($B$4*10/10),($B$4*10/10)*(MIN(C120,($B$4*10/10))^3-B120^3)-(MIN(C120,($B$4*10/10))^4-B120^4)/4,0)+IF(C120&gt;($B$4*10/10),($B$4*10/10)^2*(1.5*(C120^2-MAX(B120,($B$4*10/10))^2)-($B$4*10/10)*(C120-MAX(B120,($B$4*10/10)))),0))*1000,0)</f>
        <v>0</v>
      </c>
      <c r="AM120" s="120">
        <f>IF(AND(V120="OK",ISNUMBER($N$5),$N$5&gt;0,ISNUMBER($N$3),$N$3&gt;0),R120/(6*$N$3*1000000*$N$5)*(IF(N120&lt;($N$4*0/10),($N$4*0/10)*(MIN(O120,($N$4*0/10))^3-N120^3)-(MIN(O120,($N$4*0/10))^4-N120^4)/4,0)+IF(O120&gt;($N$4*0/10),($N$4*0/10)^2*(1.5*(O120^2-MAX(N120,($N$4*0/10))^2)-($N$4*0/10)*(O120-MAX(N120,($N$4*0/10)))),0))*1000,0)</f>
        <v>0</v>
      </c>
      <c r="AN120" s="120">
        <f>IF(AND(V120="OK",ISNUMBER($N$5),$N$5&gt;0,ISNUMBER($N$3),$N$3&gt;0),R120/(6*$N$3*1000000*$N$5)*(IF(N120&lt;($N$4*1/10),($N$4*1/10)*(MIN(O120,($N$4*1/10))^3-N120^3)-(MIN(O120,($N$4*1/10))^4-N120^4)/4,0)+IF(O120&gt;($N$4*1/10),($N$4*1/10)^2*(1.5*(O120^2-MAX(N120,($N$4*1/10))^2)-($N$4*1/10)*(O120-MAX(N120,($N$4*1/10)))),0))*1000,0)</f>
        <v>0</v>
      </c>
      <c r="AO120" s="120">
        <f>IF(AND(V120="OK",ISNUMBER($N$5),$N$5&gt;0,ISNUMBER($N$3),$N$3&gt;0),R120/(6*$N$3*1000000*$N$5)*(IF(N120&lt;($N$4*2/10),($N$4*2/10)*(MIN(O120,($N$4*2/10))^3-N120^3)-(MIN(O120,($N$4*2/10))^4-N120^4)/4,0)+IF(O120&gt;($N$4*2/10),($N$4*2/10)^2*(1.5*(O120^2-MAX(N120,($N$4*2/10))^2)-($N$4*2/10)*(O120-MAX(N120,($N$4*2/10)))),0))*1000,0)</f>
        <v>0</v>
      </c>
      <c r="AP120" s="120">
        <f>IF(AND(V120="OK",ISNUMBER($N$5),$N$5&gt;0,ISNUMBER($N$3),$N$3&gt;0),R120/(6*$N$3*1000000*$N$5)*(IF(N120&lt;($N$4*3/10),($N$4*3/10)*(MIN(O120,($N$4*3/10))^3-N120^3)-(MIN(O120,($N$4*3/10))^4-N120^4)/4,0)+IF(O120&gt;($N$4*3/10),($N$4*3/10)^2*(1.5*(O120^2-MAX(N120,($N$4*3/10))^2)-($N$4*3/10)*(O120-MAX(N120,($N$4*3/10)))),0))*1000,0)</f>
        <v>0</v>
      </c>
      <c r="AQ120" s="120">
        <f>IF(AND(V120="OK",ISNUMBER($N$5),$N$5&gt;0,ISNUMBER($N$3),$N$3&gt;0),R120/(6*$N$3*1000000*$N$5)*(IF(N120&lt;($N$4*4/10),($N$4*4/10)*(MIN(O120,($N$4*4/10))^3-N120^3)-(MIN(O120,($N$4*4/10))^4-N120^4)/4,0)+IF(O120&gt;($N$4*4/10),($N$4*4/10)^2*(1.5*(O120^2-MAX(N120,($N$4*4/10))^2)-($N$4*4/10)*(O120-MAX(N120,($N$4*4/10)))),0))*1000,0)</f>
        <v>0</v>
      </c>
      <c r="AR120" s="120">
        <f>IF(AND(V120="OK",ISNUMBER($N$5),$N$5&gt;0,ISNUMBER($N$3),$N$3&gt;0),R120/(6*$N$3*1000000*$N$5)*(IF(N120&lt;($N$4*5/10),($N$4*5/10)*(MIN(O120,($N$4*5/10))^3-N120^3)-(MIN(O120,($N$4*5/10))^4-N120^4)/4,0)+IF(O120&gt;($N$4*5/10),($N$4*5/10)^2*(1.5*(O120^2-MAX(N120,($N$4*5/10))^2)-($N$4*5/10)*(O120-MAX(N120,($N$4*5/10)))),0))*1000,0)</f>
        <v>0</v>
      </c>
      <c r="AS120" s="120">
        <f>IF(AND(V120="OK",ISNUMBER($N$5),$N$5&gt;0,ISNUMBER($N$3),$N$3&gt;0),R120/(6*$N$3*1000000*$N$5)*(IF(N120&lt;($N$4*6/10),($N$4*6/10)*(MIN(O120,($N$4*6/10))^3-N120^3)-(MIN(O120,($N$4*6/10))^4-N120^4)/4,0)+IF(O120&gt;($N$4*6/10),($N$4*6/10)^2*(1.5*(O120^2-MAX(N120,($N$4*6/10))^2)-($N$4*6/10)*(O120-MAX(N120,($N$4*6/10)))),0))*1000,0)</f>
        <v>0</v>
      </c>
      <c r="AT120" s="120">
        <f>IF(AND(V120="OK",ISNUMBER($N$5),$N$5&gt;0,ISNUMBER($N$3),$N$3&gt;0),R120/(6*$N$3*1000000*$N$5)*(IF(N120&lt;($N$4*7/10),($N$4*7/10)*(MIN(O120,($N$4*7/10))^3-N120^3)-(MIN(O120,($N$4*7/10))^4-N120^4)/4,0)+IF(O120&gt;($N$4*7/10),($N$4*7/10)^2*(1.5*(O120^2-MAX(N120,($N$4*7/10))^2)-($N$4*7/10)*(O120-MAX(N120,($N$4*7/10)))),0))*1000,0)</f>
        <v>0</v>
      </c>
      <c r="AU120" s="120">
        <f>IF(AND(V120="OK",ISNUMBER($N$5),$N$5&gt;0,ISNUMBER($N$3),$N$3&gt;0),R120/(6*$N$3*1000000*$N$5)*(IF(N120&lt;($N$4*8/10),($N$4*8/10)*(MIN(O120,($N$4*8/10))^3-N120^3)-(MIN(O120,($N$4*8/10))^4-N120^4)/4,0)+IF(O120&gt;($N$4*8/10),($N$4*8/10)^2*(1.5*(O120^2-MAX(N120,($N$4*8/10))^2)-($N$4*8/10)*(O120-MAX(N120,($N$4*8/10)))),0))*1000,0)</f>
        <v>0</v>
      </c>
      <c r="AV120" s="120">
        <f>IF(AND(V120="OK",ISNUMBER($N$5),$N$5&gt;0,ISNUMBER($N$3),$N$3&gt;0),R120/(6*$N$3*1000000*$N$5)*(IF(N120&lt;($N$4*9/10),($N$4*9/10)*(MIN(O120,($N$4*9/10))^3-N120^3)-(MIN(O120,($N$4*9/10))^4-N120^4)/4,0)+IF(O120&gt;($N$4*9/10),($N$4*9/10)^2*(1.5*(O120^2-MAX(N120,($N$4*9/10))^2)-($N$4*9/10)*(O120-MAX(N120,($N$4*9/10)))),0))*1000,0)</f>
        <v>0</v>
      </c>
      <c r="AW120" s="120">
        <f>IF(AND(V120="OK",ISNUMBER($N$5),$N$5&gt;0,ISNUMBER($N$3),$N$3&gt;0),R120/(6*$N$3*1000000*$N$5)*(IF(N120&lt;($N$4*10/10),($N$4*10/10)*(MIN(O120,($N$4*10/10))^3-N120^3)-(MIN(O120,($N$4*10/10))^4-N120^4)/4,0)+IF(O120&gt;($N$4*10/10),($N$4*10/10)^2*(1.5*(O120^2-MAX(N120,($N$4*10/10))^2)-($N$4*10/10)*(O120-MAX(N120,($N$4*10/10)))),0))*1000,0)</f>
        <v>0</v>
      </c>
    </row>
    <row r="121" spans="1:49">
      <c r="A121" s="124"/>
      <c r="B121" s="125"/>
      <c r="C121" s="125"/>
      <c r="D121" s="125"/>
      <c r="E121" s="125"/>
      <c r="F121" s="126" t="str">
        <f>IF(J121="OK",D121*E121,"")</f>
        <v/>
      </c>
      <c r="G121" s="126" t="str">
        <f>IF(J121="OK",F121*(C121-B121),"")</f>
        <v/>
      </c>
      <c r="H121" s="126" t="str">
        <f>IF(J121="OK",G121*(C121+B121)/2,"")</f>
        <v/>
      </c>
      <c r="I121" s="126" t="str">
        <f>IF(AND(J121="OK",ISNUMBER($B$5),$B$5&gt;0,ISNUMBER($B$3),$B$3&gt;0),F121*(4*$B$4*(C121^3-B121^3)-(C121^4-B121^4))/(24*$B$3*1000000*$B$5)*1000,"")</f>
        <v/>
      </c>
      <c r="J121" s="120" t="str">
        <f>IF(COUNTA(A121:E121)=0,"",IF(AND(COUNT(B121:E121)=4,B121&gt;=0,C121&gt;B121,C121&lt;=$B$4,D121&gt;=0,E121&gt;0),IF(COUNTIFS($B$13:$B$120,"&lt;"&amp;C121,$C$13:$C$120,"&gt;"&amp;B121)&gt;0,"OVERLAP","OK"),"CHECK INPUTS"))</f>
        <v/>
      </c>
      <c r="M121" s="124"/>
      <c r="N121" s="125"/>
      <c r="O121" s="125"/>
      <c r="P121" s="125"/>
      <c r="Q121" s="125"/>
      <c r="R121" s="126" t="str">
        <f>IF(V121="OK",P121*Q121,"")</f>
        <v/>
      </c>
      <c r="S121" s="126" t="str">
        <f>IF(V121="OK",R121*(O121-N121),"")</f>
        <v/>
      </c>
      <c r="T121" s="126" t="str">
        <f>IF(V121="OK",S121*(O121+N121)/2,"")</f>
        <v/>
      </c>
      <c r="U121" s="126" t="str">
        <f>IF(AND(V121="OK",ISNUMBER($N$5),$N$5&gt;0,ISNUMBER($N$3),$N$3&gt;0),R121*(4*$N$4*(O121^3-N121^3)-(O121^4-N121^4))/(24*$N$3*1000000*$N$5)*1000,"")</f>
        <v/>
      </c>
      <c r="V121" s="120" t="str">
        <f>IF(COUNTA(M121:Q121)=0,"",IF(AND(COUNT(N121:Q121)=4,N121&gt;=0,O121&gt;N121,O121&lt;=$N$4,P121&gt;=0,Q121&gt;0),IF(COUNTIFS($N$13:$N$120,"&lt;"&amp;O121,$O$13:$O$120,"&gt;"&amp;N121)&gt;0,"OVERLAP","OK"),"CHECK INPUTS"))</f>
        <v/>
      </c>
      <c r="AA121" s="120">
        <f>IF(AND(J121="OK",ISNUMBER($B$5),$B$5&gt;0,ISNUMBER($B$3),$B$3&gt;0),F121/(6*$B$3*1000000*$B$5)*(IF(B121&lt;($B$4*0/10),($B$4*0/10)*(MIN(C121,($B$4*0/10))^3-B121^3)-(MIN(C121,($B$4*0/10))^4-B121^4)/4,0)+IF(C121&gt;($B$4*0/10),($B$4*0/10)^2*(1.5*(C121^2-MAX(B121,($B$4*0/10))^2)-($B$4*0/10)*(C121-MAX(B121,($B$4*0/10)))),0))*1000,0)</f>
        <v>0</v>
      </c>
      <c r="AB121" s="120">
        <f>IF(AND(J121="OK",ISNUMBER($B$5),$B$5&gt;0,ISNUMBER($B$3),$B$3&gt;0),F121/(6*$B$3*1000000*$B$5)*(IF(B121&lt;($B$4*1/10),($B$4*1/10)*(MIN(C121,($B$4*1/10))^3-B121^3)-(MIN(C121,($B$4*1/10))^4-B121^4)/4,0)+IF(C121&gt;($B$4*1/10),($B$4*1/10)^2*(1.5*(C121^2-MAX(B121,($B$4*1/10))^2)-($B$4*1/10)*(C121-MAX(B121,($B$4*1/10)))),0))*1000,0)</f>
        <v>0</v>
      </c>
      <c r="AC121" s="120">
        <f>IF(AND(J121="OK",ISNUMBER($B$5),$B$5&gt;0,ISNUMBER($B$3),$B$3&gt;0),F121/(6*$B$3*1000000*$B$5)*(IF(B121&lt;($B$4*2/10),($B$4*2/10)*(MIN(C121,($B$4*2/10))^3-B121^3)-(MIN(C121,($B$4*2/10))^4-B121^4)/4,0)+IF(C121&gt;($B$4*2/10),($B$4*2/10)^2*(1.5*(C121^2-MAX(B121,($B$4*2/10))^2)-($B$4*2/10)*(C121-MAX(B121,($B$4*2/10)))),0))*1000,0)</f>
        <v>0</v>
      </c>
      <c r="AD121" s="120">
        <f>IF(AND(J121="OK",ISNUMBER($B$5),$B$5&gt;0,ISNUMBER($B$3),$B$3&gt;0),F121/(6*$B$3*1000000*$B$5)*(IF(B121&lt;($B$4*3/10),($B$4*3/10)*(MIN(C121,($B$4*3/10))^3-B121^3)-(MIN(C121,($B$4*3/10))^4-B121^4)/4,0)+IF(C121&gt;($B$4*3/10),($B$4*3/10)^2*(1.5*(C121^2-MAX(B121,($B$4*3/10))^2)-($B$4*3/10)*(C121-MAX(B121,($B$4*3/10)))),0))*1000,0)</f>
        <v>0</v>
      </c>
      <c r="AE121" s="120">
        <f>IF(AND(J121="OK",ISNUMBER($B$5),$B$5&gt;0,ISNUMBER($B$3),$B$3&gt;0),F121/(6*$B$3*1000000*$B$5)*(IF(B121&lt;($B$4*4/10),($B$4*4/10)*(MIN(C121,($B$4*4/10))^3-B121^3)-(MIN(C121,($B$4*4/10))^4-B121^4)/4,0)+IF(C121&gt;($B$4*4/10),($B$4*4/10)^2*(1.5*(C121^2-MAX(B121,($B$4*4/10))^2)-($B$4*4/10)*(C121-MAX(B121,($B$4*4/10)))),0))*1000,0)</f>
        <v>0</v>
      </c>
      <c r="AF121" s="120">
        <f>IF(AND(J121="OK",ISNUMBER($B$5),$B$5&gt;0,ISNUMBER($B$3),$B$3&gt;0),F121/(6*$B$3*1000000*$B$5)*(IF(B121&lt;($B$4*5/10),($B$4*5/10)*(MIN(C121,($B$4*5/10))^3-B121^3)-(MIN(C121,($B$4*5/10))^4-B121^4)/4,0)+IF(C121&gt;($B$4*5/10),($B$4*5/10)^2*(1.5*(C121^2-MAX(B121,($B$4*5/10))^2)-($B$4*5/10)*(C121-MAX(B121,($B$4*5/10)))),0))*1000,0)</f>
        <v>0</v>
      </c>
      <c r="AG121" s="120">
        <f>IF(AND(J121="OK",ISNUMBER($B$5),$B$5&gt;0,ISNUMBER($B$3),$B$3&gt;0),F121/(6*$B$3*1000000*$B$5)*(IF(B121&lt;($B$4*6/10),($B$4*6/10)*(MIN(C121,($B$4*6/10))^3-B121^3)-(MIN(C121,($B$4*6/10))^4-B121^4)/4,0)+IF(C121&gt;($B$4*6/10),($B$4*6/10)^2*(1.5*(C121^2-MAX(B121,($B$4*6/10))^2)-($B$4*6/10)*(C121-MAX(B121,($B$4*6/10)))),0))*1000,0)</f>
        <v>0</v>
      </c>
      <c r="AH121" s="120">
        <f>IF(AND(J121="OK",ISNUMBER($B$5),$B$5&gt;0,ISNUMBER($B$3),$B$3&gt;0),F121/(6*$B$3*1000000*$B$5)*(IF(B121&lt;($B$4*7/10),($B$4*7/10)*(MIN(C121,($B$4*7/10))^3-B121^3)-(MIN(C121,($B$4*7/10))^4-B121^4)/4,0)+IF(C121&gt;($B$4*7/10),($B$4*7/10)^2*(1.5*(C121^2-MAX(B121,($B$4*7/10))^2)-($B$4*7/10)*(C121-MAX(B121,($B$4*7/10)))),0))*1000,0)</f>
        <v>0</v>
      </c>
      <c r="AI121" s="120">
        <f>IF(AND(J121="OK",ISNUMBER($B$5),$B$5&gt;0,ISNUMBER($B$3),$B$3&gt;0),F121/(6*$B$3*1000000*$B$5)*(IF(B121&lt;($B$4*8/10),($B$4*8/10)*(MIN(C121,($B$4*8/10))^3-B121^3)-(MIN(C121,($B$4*8/10))^4-B121^4)/4,0)+IF(C121&gt;($B$4*8/10),($B$4*8/10)^2*(1.5*(C121^2-MAX(B121,($B$4*8/10))^2)-($B$4*8/10)*(C121-MAX(B121,($B$4*8/10)))),0))*1000,0)</f>
        <v>0</v>
      </c>
      <c r="AJ121" s="120">
        <f>IF(AND(J121="OK",ISNUMBER($B$5),$B$5&gt;0,ISNUMBER($B$3),$B$3&gt;0),F121/(6*$B$3*1000000*$B$5)*(IF(B121&lt;($B$4*9/10),($B$4*9/10)*(MIN(C121,($B$4*9/10))^3-B121^3)-(MIN(C121,($B$4*9/10))^4-B121^4)/4,0)+IF(C121&gt;($B$4*9/10),($B$4*9/10)^2*(1.5*(C121^2-MAX(B121,($B$4*9/10))^2)-($B$4*9/10)*(C121-MAX(B121,($B$4*9/10)))),0))*1000,0)</f>
        <v>0</v>
      </c>
      <c r="AK121" s="120">
        <f>IF(AND(J121="OK",ISNUMBER($B$5),$B$5&gt;0,ISNUMBER($B$3),$B$3&gt;0),F121/(6*$B$3*1000000*$B$5)*(IF(B121&lt;($B$4*10/10),($B$4*10/10)*(MIN(C121,($B$4*10/10))^3-B121^3)-(MIN(C121,($B$4*10/10))^4-B121^4)/4,0)+IF(C121&gt;($B$4*10/10),($B$4*10/10)^2*(1.5*(C121^2-MAX(B121,($B$4*10/10))^2)-($B$4*10/10)*(C121-MAX(B121,($B$4*10/10)))),0))*1000,0)</f>
        <v>0</v>
      </c>
      <c r="AM121" s="120">
        <f>IF(AND(V121="OK",ISNUMBER($N$5),$N$5&gt;0,ISNUMBER($N$3),$N$3&gt;0),R121/(6*$N$3*1000000*$N$5)*(IF(N121&lt;($N$4*0/10),($N$4*0/10)*(MIN(O121,($N$4*0/10))^3-N121^3)-(MIN(O121,($N$4*0/10))^4-N121^4)/4,0)+IF(O121&gt;($N$4*0/10),($N$4*0/10)^2*(1.5*(O121^2-MAX(N121,($N$4*0/10))^2)-($N$4*0/10)*(O121-MAX(N121,($N$4*0/10)))),0))*1000,0)</f>
        <v>0</v>
      </c>
      <c r="AN121" s="120">
        <f>IF(AND(V121="OK",ISNUMBER($N$5),$N$5&gt;0,ISNUMBER($N$3),$N$3&gt;0),R121/(6*$N$3*1000000*$N$5)*(IF(N121&lt;($N$4*1/10),($N$4*1/10)*(MIN(O121,($N$4*1/10))^3-N121^3)-(MIN(O121,($N$4*1/10))^4-N121^4)/4,0)+IF(O121&gt;($N$4*1/10),($N$4*1/10)^2*(1.5*(O121^2-MAX(N121,($N$4*1/10))^2)-($N$4*1/10)*(O121-MAX(N121,($N$4*1/10)))),0))*1000,0)</f>
        <v>0</v>
      </c>
      <c r="AO121" s="120">
        <f>IF(AND(V121="OK",ISNUMBER($N$5),$N$5&gt;0,ISNUMBER($N$3),$N$3&gt;0),R121/(6*$N$3*1000000*$N$5)*(IF(N121&lt;($N$4*2/10),($N$4*2/10)*(MIN(O121,($N$4*2/10))^3-N121^3)-(MIN(O121,($N$4*2/10))^4-N121^4)/4,0)+IF(O121&gt;($N$4*2/10),($N$4*2/10)^2*(1.5*(O121^2-MAX(N121,($N$4*2/10))^2)-($N$4*2/10)*(O121-MAX(N121,($N$4*2/10)))),0))*1000,0)</f>
        <v>0</v>
      </c>
      <c r="AP121" s="120">
        <f>IF(AND(V121="OK",ISNUMBER($N$5),$N$5&gt;0,ISNUMBER($N$3),$N$3&gt;0),R121/(6*$N$3*1000000*$N$5)*(IF(N121&lt;($N$4*3/10),($N$4*3/10)*(MIN(O121,($N$4*3/10))^3-N121^3)-(MIN(O121,($N$4*3/10))^4-N121^4)/4,0)+IF(O121&gt;($N$4*3/10),($N$4*3/10)^2*(1.5*(O121^2-MAX(N121,($N$4*3/10))^2)-($N$4*3/10)*(O121-MAX(N121,($N$4*3/10)))),0))*1000,0)</f>
        <v>0</v>
      </c>
      <c r="AQ121" s="120">
        <f>IF(AND(V121="OK",ISNUMBER($N$5),$N$5&gt;0,ISNUMBER($N$3),$N$3&gt;0),R121/(6*$N$3*1000000*$N$5)*(IF(N121&lt;($N$4*4/10),($N$4*4/10)*(MIN(O121,($N$4*4/10))^3-N121^3)-(MIN(O121,($N$4*4/10))^4-N121^4)/4,0)+IF(O121&gt;($N$4*4/10),($N$4*4/10)^2*(1.5*(O121^2-MAX(N121,($N$4*4/10))^2)-($N$4*4/10)*(O121-MAX(N121,($N$4*4/10)))),0))*1000,0)</f>
        <v>0</v>
      </c>
      <c r="AR121" s="120">
        <f>IF(AND(V121="OK",ISNUMBER($N$5),$N$5&gt;0,ISNUMBER($N$3),$N$3&gt;0),R121/(6*$N$3*1000000*$N$5)*(IF(N121&lt;($N$4*5/10),($N$4*5/10)*(MIN(O121,($N$4*5/10))^3-N121^3)-(MIN(O121,($N$4*5/10))^4-N121^4)/4,0)+IF(O121&gt;($N$4*5/10),($N$4*5/10)^2*(1.5*(O121^2-MAX(N121,($N$4*5/10))^2)-($N$4*5/10)*(O121-MAX(N121,($N$4*5/10)))),0))*1000,0)</f>
        <v>0</v>
      </c>
      <c r="AS121" s="120">
        <f>IF(AND(V121="OK",ISNUMBER($N$5),$N$5&gt;0,ISNUMBER($N$3),$N$3&gt;0),R121/(6*$N$3*1000000*$N$5)*(IF(N121&lt;($N$4*6/10),($N$4*6/10)*(MIN(O121,($N$4*6/10))^3-N121^3)-(MIN(O121,($N$4*6/10))^4-N121^4)/4,0)+IF(O121&gt;($N$4*6/10),($N$4*6/10)^2*(1.5*(O121^2-MAX(N121,($N$4*6/10))^2)-($N$4*6/10)*(O121-MAX(N121,($N$4*6/10)))),0))*1000,0)</f>
        <v>0</v>
      </c>
      <c r="AT121" s="120">
        <f>IF(AND(V121="OK",ISNUMBER($N$5),$N$5&gt;0,ISNUMBER($N$3),$N$3&gt;0),R121/(6*$N$3*1000000*$N$5)*(IF(N121&lt;($N$4*7/10),($N$4*7/10)*(MIN(O121,($N$4*7/10))^3-N121^3)-(MIN(O121,($N$4*7/10))^4-N121^4)/4,0)+IF(O121&gt;($N$4*7/10),($N$4*7/10)^2*(1.5*(O121^2-MAX(N121,($N$4*7/10))^2)-($N$4*7/10)*(O121-MAX(N121,($N$4*7/10)))),0))*1000,0)</f>
        <v>0</v>
      </c>
      <c r="AU121" s="120">
        <f>IF(AND(V121="OK",ISNUMBER($N$5),$N$5&gt;0,ISNUMBER($N$3),$N$3&gt;0),R121/(6*$N$3*1000000*$N$5)*(IF(N121&lt;($N$4*8/10),($N$4*8/10)*(MIN(O121,($N$4*8/10))^3-N121^3)-(MIN(O121,($N$4*8/10))^4-N121^4)/4,0)+IF(O121&gt;($N$4*8/10),($N$4*8/10)^2*(1.5*(O121^2-MAX(N121,($N$4*8/10))^2)-($N$4*8/10)*(O121-MAX(N121,($N$4*8/10)))),0))*1000,0)</f>
        <v>0</v>
      </c>
      <c r="AV121" s="120">
        <f>IF(AND(V121="OK",ISNUMBER($N$5),$N$5&gt;0,ISNUMBER($N$3),$N$3&gt;0),R121/(6*$N$3*1000000*$N$5)*(IF(N121&lt;($N$4*9/10),($N$4*9/10)*(MIN(O121,($N$4*9/10))^3-N121^3)-(MIN(O121,($N$4*9/10))^4-N121^4)/4,0)+IF(O121&gt;($N$4*9/10),($N$4*9/10)^2*(1.5*(O121^2-MAX(N121,($N$4*9/10))^2)-($N$4*9/10)*(O121-MAX(N121,($N$4*9/10)))),0))*1000,0)</f>
        <v>0</v>
      </c>
      <c r="AW121" s="120">
        <f>IF(AND(V121="OK",ISNUMBER($N$5),$N$5&gt;0,ISNUMBER($N$3),$N$3&gt;0),R121/(6*$N$3*1000000*$N$5)*(IF(N121&lt;($N$4*10/10),($N$4*10/10)*(MIN(O121,($N$4*10/10))^3-N121^3)-(MIN(O121,($N$4*10/10))^4-N121^4)/4,0)+IF(O121&gt;($N$4*10/10),($N$4*10/10)^2*(1.5*(O121^2-MAX(N121,($N$4*10/10))^2)-($N$4*10/10)*(O121-MAX(N121,($N$4*10/10)))),0))*1000,0)</f>
        <v>0</v>
      </c>
    </row>
    <row r="122" spans="1:49">
      <c r="A122" s="124"/>
      <c r="B122" s="125"/>
      <c r="C122" s="125"/>
      <c r="D122" s="125"/>
      <c r="E122" s="125"/>
      <c r="F122" s="126" t="str">
        <f>IF(J122="OK",D122*E122,"")</f>
        <v/>
      </c>
      <c r="G122" s="126" t="str">
        <f>IF(J122="OK",F122*(C122-B122),"")</f>
        <v/>
      </c>
      <c r="H122" s="126" t="str">
        <f>IF(J122="OK",G122*(C122+B122)/2,"")</f>
        <v/>
      </c>
      <c r="I122" s="126" t="str">
        <f>IF(AND(J122="OK",ISNUMBER($B$5),$B$5&gt;0,ISNUMBER($B$3),$B$3&gt;0),F122*(4*$B$4*(C122^3-B122^3)-(C122^4-B122^4))/(24*$B$3*1000000*$B$5)*1000,"")</f>
        <v/>
      </c>
      <c r="J122" s="120" t="str">
        <f>IF(COUNTA(A122:E122)=0,"",IF(AND(COUNT(B122:E122)=4,B122&gt;=0,C122&gt;B122,C122&lt;=$B$4,D122&gt;=0,E122&gt;0),IF(COUNTIFS($B$13:$B$121,"&lt;"&amp;C122,$C$13:$C$121,"&gt;"&amp;B122)&gt;0,"OVERLAP","OK"),"CHECK INPUTS"))</f>
        <v/>
      </c>
      <c r="M122" s="124"/>
      <c r="N122" s="125"/>
      <c r="O122" s="125"/>
      <c r="P122" s="125"/>
      <c r="Q122" s="125"/>
      <c r="R122" s="126" t="str">
        <f>IF(V122="OK",P122*Q122,"")</f>
        <v/>
      </c>
      <c r="S122" s="126" t="str">
        <f>IF(V122="OK",R122*(O122-N122),"")</f>
        <v/>
      </c>
      <c r="T122" s="126" t="str">
        <f>IF(V122="OK",S122*(O122+N122)/2,"")</f>
        <v/>
      </c>
      <c r="U122" s="126" t="str">
        <f>IF(AND(V122="OK",ISNUMBER($N$5),$N$5&gt;0,ISNUMBER($N$3),$N$3&gt;0),R122*(4*$N$4*(O122^3-N122^3)-(O122^4-N122^4))/(24*$N$3*1000000*$N$5)*1000,"")</f>
        <v/>
      </c>
      <c r="V122" s="120" t="str">
        <f>IF(COUNTA(M122:Q122)=0,"",IF(AND(COUNT(N122:Q122)=4,N122&gt;=0,O122&gt;N122,O122&lt;=$N$4,P122&gt;=0,Q122&gt;0),IF(COUNTIFS($N$13:$N$121,"&lt;"&amp;O122,$O$13:$O$121,"&gt;"&amp;N122)&gt;0,"OVERLAP","OK"),"CHECK INPUTS"))</f>
        <v/>
      </c>
      <c r="AA122" s="120">
        <f>IF(AND(J122="OK",ISNUMBER($B$5),$B$5&gt;0,ISNUMBER($B$3),$B$3&gt;0),F122/(6*$B$3*1000000*$B$5)*(IF(B122&lt;($B$4*0/10),($B$4*0/10)*(MIN(C122,($B$4*0/10))^3-B122^3)-(MIN(C122,($B$4*0/10))^4-B122^4)/4,0)+IF(C122&gt;($B$4*0/10),($B$4*0/10)^2*(1.5*(C122^2-MAX(B122,($B$4*0/10))^2)-($B$4*0/10)*(C122-MAX(B122,($B$4*0/10)))),0))*1000,0)</f>
        <v>0</v>
      </c>
      <c r="AB122" s="120">
        <f>IF(AND(J122="OK",ISNUMBER($B$5),$B$5&gt;0,ISNUMBER($B$3),$B$3&gt;0),F122/(6*$B$3*1000000*$B$5)*(IF(B122&lt;($B$4*1/10),($B$4*1/10)*(MIN(C122,($B$4*1/10))^3-B122^3)-(MIN(C122,($B$4*1/10))^4-B122^4)/4,0)+IF(C122&gt;($B$4*1/10),($B$4*1/10)^2*(1.5*(C122^2-MAX(B122,($B$4*1/10))^2)-($B$4*1/10)*(C122-MAX(B122,($B$4*1/10)))),0))*1000,0)</f>
        <v>0</v>
      </c>
      <c r="AC122" s="120">
        <f>IF(AND(J122="OK",ISNUMBER($B$5),$B$5&gt;0,ISNUMBER($B$3),$B$3&gt;0),F122/(6*$B$3*1000000*$B$5)*(IF(B122&lt;($B$4*2/10),($B$4*2/10)*(MIN(C122,($B$4*2/10))^3-B122^3)-(MIN(C122,($B$4*2/10))^4-B122^4)/4,0)+IF(C122&gt;($B$4*2/10),($B$4*2/10)^2*(1.5*(C122^2-MAX(B122,($B$4*2/10))^2)-($B$4*2/10)*(C122-MAX(B122,($B$4*2/10)))),0))*1000,0)</f>
        <v>0</v>
      </c>
      <c r="AD122" s="120">
        <f>IF(AND(J122="OK",ISNUMBER($B$5),$B$5&gt;0,ISNUMBER($B$3),$B$3&gt;0),F122/(6*$B$3*1000000*$B$5)*(IF(B122&lt;($B$4*3/10),($B$4*3/10)*(MIN(C122,($B$4*3/10))^3-B122^3)-(MIN(C122,($B$4*3/10))^4-B122^4)/4,0)+IF(C122&gt;($B$4*3/10),($B$4*3/10)^2*(1.5*(C122^2-MAX(B122,($B$4*3/10))^2)-($B$4*3/10)*(C122-MAX(B122,($B$4*3/10)))),0))*1000,0)</f>
        <v>0</v>
      </c>
      <c r="AE122" s="120">
        <f>IF(AND(J122="OK",ISNUMBER($B$5),$B$5&gt;0,ISNUMBER($B$3),$B$3&gt;0),F122/(6*$B$3*1000000*$B$5)*(IF(B122&lt;($B$4*4/10),($B$4*4/10)*(MIN(C122,($B$4*4/10))^3-B122^3)-(MIN(C122,($B$4*4/10))^4-B122^4)/4,0)+IF(C122&gt;($B$4*4/10),($B$4*4/10)^2*(1.5*(C122^2-MAX(B122,($B$4*4/10))^2)-($B$4*4/10)*(C122-MAX(B122,($B$4*4/10)))),0))*1000,0)</f>
        <v>0</v>
      </c>
      <c r="AF122" s="120">
        <f>IF(AND(J122="OK",ISNUMBER($B$5),$B$5&gt;0,ISNUMBER($B$3),$B$3&gt;0),F122/(6*$B$3*1000000*$B$5)*(IF(B122&lt;($B$4*5/10),($B$4*5/10)*(MIN(C122,($B$4*5/10))^3-B122^3)-(MIN(C122,($B$4*5/10))^4-B122^4)/4,0)+IF(C122&gt;($B$4*5/10),($B$4*5/10)^2*(1.5*(C122^2-MAX(B122,($B$4*5/10))^2)-($B$4*5/10)*(C122-MAX(B122,($B$4*5/10)))),0))*1000,0)</f>
        <v>0</v>
      </c>
      <c r="AG122" s="120">
        <f>IF(AND(J122="OK",ISNUMBER($B$5),$B$5&gt;0,ISNUMBER($B$3),$B$3&gt;0),F122/(6*$B$3*1000000*$B$5)*(IF(B122&lt;($B$4*6/10),($B$4*6/10)*(MIN(C122,($B$4*6/10))^3-B122^3)-(MIN(C122,($B$4*6/10))^4-B122^4)/4,0)+IF(C122&gt;($B$4*6/10),($B$4*6/10)^2*(1.5*(C122^2-MAX(B122,($B$4*6/10))^2)-($B$4*6/10)*(C122-MAX(B122,($B$4*6/10)))),0))*1000,0)</f>
        <v>0</v>
      </c>
      <c r="AH122" s="120">
        <f>IF(AND(J122="OK",ISNUMBER($B$5),$B$5&gt;0,ISNUMBER($B$3),$B$3&gt;0),F122/(6*$B$3*1000000*$B$5)*(IF(B122&lt;($B$4*7/10),($B$4*7/10)*(MIN(C122,($B$4*7/10))^3-B122^3)-(MIN(C122,($B$4*7/10))^4-B122^4)/4,0)+IF(C122&gt;($B$4*7/10),($B$4*7/10)^2*(1.5*(C122^2-MAX(B122,($B$4*7/10))^2)-($B$4*7/10)*(C122-MAX(B122,($B$4*7/10)))),0))*1000,0)</f>
        <v>0</v>
      </c>
      <c r="AI122" s="120">
        <f>IF(AND(J122="OK",ISNUMBER($B$5),$B$5&gt;0,ISNUMBER($B$3),$B$3&gt;0),F122/(6*$B$3*1000000*$B$5)*(IF(B122&lt;($B$4*8/10),($B$4*8/10)*(MIN(C122,($B$4*8/10))^3-B122^3)-(MIN(C122,($B$4*8/10))^4-B122^4)/4,0)+IF(C122&gt;($B$4*8/10),($B$4*8/10)^2*(1.5*(C122^2-MAX(B122,($B$4*8/10))^2)-($B$4*8/10)*(C122-MAX(B122,($B$4*8/10)))),0))*1000,0)</f>
        <v>0</v>
      </c>
      <c r="AJ122" s="120">
        <f>IF(AND(J122="OK",ISNUMBER($B$5),$B$5&gt;0,ISNUMBER($B$3),$B$3&gt;0),F122/(6*$B$3*1000000*$B$5)*(IF(B122&lt;($B$4*9/10),($B$4*9/10)*(MIN(C122,($B$4*9/10))^3-B122^3)-(MIN(C122,($B$4*9/10))^4-B122^4)/4,0)+IF(C122&gt;($B$4*9/10),($B$4*9/10)^2*(1.5*(C122^2-MAX(B122,($B$4*9/10))^2)-($B$4*9/10)*(C122-MAX(B122,($B$4*9/10)))),0))*1000,0)</f>
        <v>0</v>
      </c>
      <c r="AK122" s="120">
        <f>IF(AND(J122="OK",ISNUMBER($B$5),$B$5&gt;0,ISNUMBER($B$3),$B$3&gt;0),F122/(6*$B$3*1000000*$B$5)*(IF(B122&lt;($B$4*10/10),($B$4*10/10)*(MIN(C122,($B$4*10/10))^3-B122^3)-(MIN(C122,($B$4*10/10))^4-B122^4)/4,0)+IF(C122&gt;($B$4*10/10),($B$4*10/10)^2*(1.5*(C122^2-MAX(B122,($B$4*10/10))^2)-($B$4*10/10)*(C122-MAX(B122,($B$4*10/10)))),0))*1000,0)</f>
        <v>0</v>
      </c>
      <c r="AM122" s="120">
        <f>IF(AND(V122="OK",ISNUMBER($N$5),$N$5&gt;0,ISNUMBER($N$3),$N$3&gt;0),R122/(6*$N$3*1000000*$N$5)*(IF(N122&lt;($N$4*0/10),($N$4*0/10)*(MIN(O122,($N$4*0/10))^3-N122^3)-(MIN(O122,($N$4*0/10))^4-N122^4)/4,0)+IF(O122&gt;($N$4*0/10),($N$4*0/10)^2*(1.5*(O122^2-MAX(N122,($N$4*0/10))^2)-($N$4*0/10)*(O122-MAX(N122,($N$4*0/10)))),0))*1000,0)</f>
        <v>0</v>
      </c>
      <c r="AN122" s="120">
        <f>IF(AND(V122="OK",ISNUMBER($N$5),$N$5&gt;0,ISNUMBER($N$3),$N$3&gt;0),R122/(6*$N$3*1000000*$N$5)*(IF(N122&lt;($N$4*1/10),($N$4*1/10)*(MIN(O122,($N$4*1/10))^3-N122^3)-(MIN(O122,($N$4*1/10))^4-N122^4)/4,0)+IF(O122&gt;($N$4*1/10),($N$4*1/10)^2*(1.5*(O122^2-MAX(N122,($N$4*1/10))^2)-($N$4*1/10)*(O122-MAX(N122,($N$4*1/10)))),0))*1000,0)</f>
        <v>0</v>
      </c>
      <c r="AO122" s="120">
        <f>IF(AND(V122="OK",ISNUMBER($N$5),$N$5&gt;0,ISNUMBER($N$3),$N$3&gt;0),R122/(6*$N$3*1000000*$N$5)*(IF(N122&lt;($N$4*2/10),($N$4*2/10)*(MIN(O122,($N$4*2/10))^3-N122^3)-(MIN(O122,($N$4*2/10))^4-N122^4)/4,0)+IF(O122&gt;($N$4*2/10),($N$4*2/10)^2*(1.5*(O122^2-MAX(N122,($N$4*2/10))^2)-($N$4*2/10)*(O122-MAX(N122,($N$4*2/10)))),0))*1000,0)</f>
        <v>0</v>
      </c>
      <c r="AP122" s="120">
        <f>IF(AND(V122="OK",ISNUMBER($N$5),$N$5&gt;0,ISNUMBER($N$3),$N$3&gt;0),R122/(6*$N$3*1000000*$N$5)*(IF(N122&lt;($N$4*3/10),($N$4*3/10)*(MIN(O122,($N$4*3/10))^3-N122^3)-(MIN(O122,($N$4*3/10))^4-N122^4)/4,0)+IF(O122&gt;($N$4*3/10),($N$4*3/10)^2*(1.5*(O122^2-MAX(N122,($N$4*3/10))^2)-($N$4*3/10)*(O122-MAX(N122,($N$4*3/10)))),0))*1000,0)</f>
        <v>0</v>
      </c>
      <c r="AQ122" s="120">
        <f>IF(AND(V122="OK",ISNUMBER($N$5),$N$5&gt;0,ISNUMBER($N$3),$N$3&gt;0),R122/(6*$N$3*1000000*$N$5)*(IF(N122&lt;($N$4*4/10),($N$4*4/10)*(MIN(O122,($N$4*4/10))^3-N122^3)-(MIN(O122,($N$4*4/10))^4-N122^4)/4,0)+IF(O122&gt;($N$4*4/10),($N$4*4/10)^2*(1.5*(O122^2-MAX(N122,($N$4*4/10))^2)-($N$4*4/10)*(O122-MAX(N122,($N$4*4/10)))),0))*1000,0)</f>
        <v>0</v>
      </c>
      <c r="AR122" s="120">
        <f>IF(AND(V122="OK",ISNUMBER($N$5),$N$5&gt;0,ISNUMBER($N$3),$N$3&gt;0),R122/(6*$N$3*1000000*$N$5)*(IF(N122&lt;($N$4*5/10),($N$4*5/10)*(MIN(O122,($N$4*5/10))^3-N122^3)-(MIN(O122,($N$4*5/10))^4-N122^4)/4,0)+IF(O122&gt;($N$4*5/10),($N$4*5/10)^2*(1.5*(O122^2-MAX(N122,($N$4*5/10))^2)-($N$4*5/10)*(O122-MAX(N122,($N$4*5/10)))),0))*1000,0)</f>
        <v>0</v>
      </c>
      <c r="AS122" s="120">
        <f>IF(AND(V122="OK",ISNUMBER($N$5),$N$5&gt;0,ISNUMBER($N$3),$N$3&gt;0),R122/(6*$N$3*1000000*$N$5)*(IF(N122&lt;($N$4*6/10),($N$4*6/10)*(MIN(O122,($N$4*6/10))^3-N122^3)-(MIN(O122,($N$4*6/10))^4-N122^4)/4,0)+IF(O122&gt;($N$4*6/10),($N$4*6/10)^2*(1.5*(O122^2-MAX(N122,($N$4*6/10))^2)-($N$4*6/10)*(O122-MAX(N122,($N$4*6/10)))),0))*1000,0)</f>
        <v>0</v>
      </c>
      <c r="AT122" s="120">
        <f>IF(AND(V122="OK",ISNUMBER($N$5),$N$5&gt;0,ISNUMBER($N$3),$N$3&gt;0),R122/(6*$N$3*1000000*$N$5)*(IF(N122&lt;($N$4*7/10),($N$4*7/10)*(MIN(O122,($N$4*7/10))^3-N122^3)-(MIN(O122,($N$4*7/10))^4-N122^4)/4,0)+IF(O122&gt;($N$4*7/10),($N$4*7/10)^2*(1.5*(O122^2-MAX(N122,($N$4*7/10))^2)-($N$4*7/10)*(O122-MAX(N122,($N$4*7/10)))),0))*1000,0)</f>
        <v>0</v>
      </c>
      <c r="AU122" s="120">
        <f>IF(AND(V122="OK",ISNUMBER($N$5),$N$5&gt;0,ISNUMBER($N$3),$N$3&gt;0),R122/(6*$N$3*1000000*$N$5)*(IF(N122&lt;($N$4*8/10),($N$4*8/10)*(MIN(O122,($N$4*8/10))^3-N122^3)-(MIN(O122,($N$4*8/10))^4-N122^4)/4,0)+IF(O122&gt;($N$4*8/10),($N$4*8/10)^2*(1.5*(O122^2-MAX(N122,($N$4*8/10))^2)-($N$4*8/10)*(O122-MAX(N122,($N$4*8/10)))),0))*1000,0)</f>
        <v>0</v>
      </c>
      <c r="AV122" s="120">
        <f>IF(AND(V122="OK",ISNUMBER($N$5),$N$5&gt;0,ISNUMBER($N$3),$N$3&gt;0),R122/(6*$N$3*1000000*$N$5)*(IF(N122&lt;($N$4*9/10),($N$4*9/10)*(MIN(O122,($N$4*9/10))^3-N122^3)-(MIN(O122,($N$4*9/10))^4-N122^4)/4,0)+IF(O122&gt;($N$4*9/10),($N$4*9/10)^2*(1.5*(O122^2-MAX(N122,($N$4*9/10))^2)-($N$4*9/10)*(O122-MAX(N122,($N$4*9/10)))),0))*1000,0)</f>
        <v>0</v>
      </c>
      <c r="AW122" s="120">
        <f>IF(AND(V122="OK",ISNUMBER($N$5),$N$5&gt;0,ISNUMBER($N$3),$N$3&gt;0),R122/(6*$N$3*1000000*$N$5)*(IF(N122&lt;($N$4*10/10),($N$4*10/10)*(MIN(O122,($N$4*10/10))^3-N122^3)-(MIN(O122,($N$4*10/10))^4-N122^4)/4,0)+IF(O122&gt;($N$4*10/10),($N$4*10/10)^2*(1.5*(O122^2-MAX(N122,($N$4*10/10))^2)-($N$4*10/10)*(O122-MAX(N122,($N$4*10/10)))),0))*1000,0)</f>
        <v>0</v>
      </c>
    </row>
    <row r="123" spans="1:49">
      <c r="A123" s="124"/>
      <c r="B123" s="125"/>
      <c r="C123" s="125"/>
      <c r="D123" s="125"/>
      <c r="E123" s="125"/>
      <c r="F123" s="126" t="str">
        <f>IF(J123="OK",D123*E123,"")</f>
        <v/>
      </c>
      <c r="G123" s="126" t="str">
        <f>IF(J123="OK",F123*(C123-B123),"")</f>
        <v/>
      </c>
      <c r="H123" s="126" t="str">
        <f>IF(J123="OK",G123*(C123+B123)/2,"")</f>
        <v/>
      </c>
      <c r="I123" s="126" t="str">
        <f>IF(AND(J123="OK",ISNUMBER($B$5),$B$5&gt;0,ISNUMBER($B$3),$B$3&gt;0),F123*(4*$B$4*(C123^3-B123^3)-(C123^4-B123^4))/(24*$B$3*1000000*$B$5)*1000,"")</f>
        <v/>
      </c>
      <c r="J123" s="120" t="str">
        <f>IF(COUNTA(A123:E123)=0,"",IF(AND(COUNT(B123:E123)=4,B123&gt;=0,C123&gt;B123,C123&lt;=$B$4,D123&gt;=0,E123&gt;0),IF(COUNTIFS($B$13:$B$122,"&lt;"&amp;C123,$C$13:$C$122,"&gt;"&amp;B123)&gt;0,"OVERLAP","OK"),"CHECK INPUTS"))</f>
        <v/>
      </c>
      <c r="M123" s="124"/>
      <c r="N123" s="125"/>
      <c r="O123" s="125"/>
      <c r="P123" s="125"/>
      <c r="Q123" s="125"/>
      <c r="R123" s="126" t="str">
        <f>IF(V123="OK",P123*Q123,"")</f>
        <v/>
      </c>
      <c r="S123" s="126" t="str">
        <f>IF(V123="OK",R123*(O123-N123),"")</f>
        <v/>
      </c>
      <c r="T123" s="126" t="str">
        <f>IF(V123="OK",S123*(O123+N123)/2,"")</f>
        <v/>
      </c>
      <c r="U123" s="126" t="str">
        <f>IF(AND(V123="OK",ISNUMBER($N$5),$N$5&gt;0,ISNUMBER($N$3),$N$3&gt;0),R123*(4*$N$4*(O123^3-N123^3)-(O123^4-N123^4))/(24*$N$3*1000000*$N$5)*1000,"")</f>
        <v/>
      </c>
      <c r="V123" s="120" t="str">
        <f>IF(COUNTA(M123:Q123)=0,"",IF(AND(COUNT(N123:Q123)=4,N123&gt;=0,O123&gt;N123,O123&lt;=$N$4,P123&gt;=0,Q123&gt;0),IF(COUNTIFS($N$13:$N$122,"&lt;"&amp;O123,$O$13:$O$122,"&gt;"&amp;N123)&gt;0,"OVERLAP","OK"),"CHECK INPUTS"))</f>
        <v/>
      </c>
      <c r="AA123" s="120">
        <f>IF(AND(J123="OK",ISNUMBER($B$5),$B$5&gt;0,ISNUMBER($B$3),$B$3&gt;0),F123/(6*$B$3*1000000*$B$5)*(IF(B123&lt;($B$4*0/10),($B$4*0/10)*(MIN(C123,($B$4*0/10))^3-B123^3)-(MIN(C123,($B$4*0/10))^4-B123^4)/4,0)+IF(C123&gt;($B$4*0/10),($B$4*0/10)^2*(1.5*(C123^2-MAX(B123,($B$4*0/10))^2)-($B$4*0/10)*(C123-MAX(B123,($B$4*0/10)))),0))*1000,0)</f>
        <v>0</v>
      </c>
      <c r="AB123" s="120">
        <f>IF(AND(J123="OK",ISNUMBER($B$5),$B$5&gt;0,ISNUMBER($B$3),$B$3&gt;0),F123/(6*$B$3*1000000*$B$5)*(IF(B123&lt;($B$4*1/10),($B$4*1/10)*(MIN(C123,($B$4*1/10))^3-B123^3)-(MIN(C123,($B$4*1/10))^4-B123^4)/4,0)+IF(C123&gt;($B$4*1/10),($B$4*1/10)^2*(1.5*(C123^2-MAX(B123,($B$4*1/10))^2)-($B$4*1/10)*(C123-MAX(B123,($B$4*1/10)))),0))*1000,0)</f>
        <v>0</v>
      </c>
      <c r="AC123" s="120">
        <f>IF(AND(J123="OK",ISNUMBER($B$5),$B$5&gt;0,ISNUMBER($B$3),$B$3&gt;0),F123/(6*$B$3*1000000*$B$5)*(IF(B123&lt;($B$4*2/10),($B$4*2/10)*(MIN(C123,($B$4*2/10))^3-B123^3)-(MIN(C123,($B$4*2/10))^4-B123^4)/4,0)+IF(C123&gt;($B$4*2/10),($B$4*2/10)^2*(1.5*(C123^2-MAX(B123,($B$4*2/10))^2)-($B$4*2/10)*(C123-MAX(B123,($B$4*2/10)))),0))*1000,0)</f>
        <v>0</v>
      </c>
      <c r="AD123" s="120">
        <f>IF(AND(J123="OK",ISNUMBER($B$5),$B$5&gt;0,ISNUMBER($B$3),$B$3&gt;0),F123/(6*$B$3*1000000*$B$5)*(IF(B123&lt;($B$4*3/10),($B$4*3/10)*(MIN(C123,($B$4*3/10))^3-B123^3)-(MIN(C123,($B$4*3/10))^4-B123^4)/4,0)+IF(C123&gt;($B$4*3/10),($B$4*3/10)^2*(1.5*(C123^2-MAX(B123,($B$4*3/10))^2)-($B$4*3/10)*(C123-MAX(B123,($B$4*3/10)))),0))*1000,0)</f>
        <v>0</v>
      </c>
      <c r="AE123" s="120">
        <f>IF(AND(J123="OK",ISNUMBER($B$5),$B$5&gt;0,ISNUMBER($B$3),$B$3&gt;0),F123/(6*$B$3*1000000*$B$5)*(IF(B123&lt;($B$4*4/10),($B$4*4/10)*(MIN(C123,($B$4*4/10))^3-B123^3)-(MIN(C123,($B$4*4/10))^4-B123^4)/4,0)+IF(C123&gt;($B$4*4/10),($B$4*4/10)^2*(1.5*(C123^2-MAX(B123,($B$4*4/10))^2)-($B$4*4/10)*(C123-MAX(B123,($B$4*4/10)))),0))*1000,0)</f>
        <v>0</v>
      </c>
      <c r="AF123" s="120">
        <f>IF(AND(J123="OK",ISNUMBER($B$5),$B$5&gt;0,ISNUMBER($B$3),$B$3&gt;0),F123/(6*$B$3*1000000*$B$5)*(IF(B123&lt;($B$4*5/10),($B$4*5/10)*(MIN(C123,($B$4*5/10))^3-B123^3)-(MIN(C123,($B$4*5/10))^4-B123^4)/4,0)+IF(C123&gt;($B$4*5/10),($B$4*5/10)^2*(1.5*(C123^2-MAX(B123,($B$4*5/10))^2)-($B$4*5/10)*(C123-MAX(B123,($B$4*5/10)))),0))*1000,0)</f>
        <v>0</v>
      </c>
      <c r="AG123" s="120">
        <f>IF(AND(J123="OK",ISNUMBER($B$5),$B$5&gt;0,ISNUMBER($B$3),$B$3&gt;0),F123/(6*$B$3*1000000*$B$5)*(IF(B123&lt;($B$4*6/10),($B$4*6/10)*(MIN(C123,($B$4*6/10))^3-B123^3)-(MIN(C123,($B$4*6/10))^4-B123^4)/4,0)+IF(C123&gt;($B$4*6/10),($B$4*6/10)^2*(1.5*(C123^2-MAX(B123,($B$4*6/10))^2)-($B$4*6/10)*(C123-MAX(B123,($B$4*6/10)))),0))*1000,0)</f>
        <v>0</v>
      </c>
      <c r="AH123" s="120">
        <f>IF(AND(J123="OK",ISNUMBER($B$5),$B$5&gt;0,ISNUMBER($B$3),$B$3&gt;0),F123/(6*$B$3*1000000*$B$5)*(IF(B123&lt;($B$4*7/10),($B$4*7/10)*(MIN(C123,($B$4*7/10))^3-B123^3)-(MIN(C123,($B$4*7/10))^4-B123^4)/4,0)+IF(C123&gt;($B$4*7/10),($B$4*7/10)^2*(1.5*(C123^2-MAX(B123,($B$4*7/10))^2)-($B$4*7/10)*(C123-MAX(B123,($B$4*7/10)))),0))*1000,0)</f>
        <v>0</v>
      </c>
      <c r="AI123" s="120">
        <f>IF(AND(J123="OK",ISNUMBER($B$5),$B$5&gt;0,ISNUMBER($B$3),$B$3&gt;0),F123/(6*$B$3*1000000*$B$5)*(IF(B123&lt;($B$4*8/10),($B$4*8/10)*(MIN(C123,($B$4*8/10))^3-B123^3)-(MIN(C123,($B$4*8/10))^4-B123^4)/4,0)+IF(C123&gt;($B$4*8/10),($B$4*8/10)^2*(1.5*(C123^2-MAX(B123,($B$4*8/10))^2)-($B$4*8/10)*(C123-MAX(B123,($B$4*8/10)))),0))*1000,0)</f>
        <v>0</v>
      </c>
      <c r="AJ123" s="120">
        <f>IF(AND(J123="OK",ISNUMBER($B$5),$B$5&gt;0,ISNUMBER($B$3),$B$3&gt;0),F123/(6*$B$3*1000000*$B$5)*(IF(B123&lt;($B$4*9/10),($B$4*9/10)*(MIN(C123,($B$4*9/10))^3-B123^3)-(MIN(C123,($B$4*9/10))^4-B123^4)/4,0)+IF(C123&gt;($B$4*9/10),($B$4*9/10)^2*(1.5*(C123^2-MAX(B123,($B$4*9/10))^2)-($B$4*9/10)*(C123-MAX(B123,($B$4*9/10)))),0))*1000,0)</f>
        <v>0</v>
      </c>
      <c r="AK123" s="120">
        <f>IF(AND(J123="OK",ISNUMBER($B$5),$B$5&gt;0,ISNUMBER($B$3),$B$3&gt;0),F123/(6*$B$3*1000000*$B$5)*(IF(B123&lt;($B$4*10/10),($B$4*10/10)*(MIN(C123,($B$4*10/10))^3-B123^3)-(MIN(C123,($B$4*10/10))^4-B123^4)/4,0)+IF(C123&gt;($B$4*10/10),($B$4*10/10)^2*(1.5*(C123^2-MAX(B123,($B$4*10/10))^2)-($B$4*10/10)*(C123-MAX(B123,($B$4*10/10)))),0))*1000,0)</f>
        <v>0</v>
      </c>
      <c r="AM123" s="120">
        <f>IF(AND(V123="OK",ISNUMBER($N$5),$N$5&gt;0,ISNUMBER($N$3),$N$3&gt;0),R123/(6*$N$3*1000000*$N$5)*(IF(N123&lt;($N$4*0/10),($N$4*0/10)*(MIN(O123,($N$4*0/10))^3-N123^3)-(MIN(O123,($N$4*0/10))^4-N123^4)/4,0)+IF(O123&gt;($N$4*0/10),($N$4*0/10)^2*(1.5*(O123^2-MAX(N123,($N$4*0/10))^2)-($N$4*0/10)*(O123-MAX(N123,($N$4*0/10)))),0))*1000,0)</f>
        <v>0</v>
      </c>
      <c r="AN123" s="120">
        <f>IF(AND(V123="OK",ISNUMBER($N$5),$N$5&gt;0,ISNUMBER($N$3),$N$3&gt;0),R123/(6*$N$3*1000000*$N$5)*(IF(N123&lt;($N$4*1/10),($N$4*1/10)*(MIN(O123,($N$4*1/10))^3-N123^3)-(MIN(O123,($N$4*1/10))^4-N123^4)/4,0)+IF(O123&gt;($N$4*1/10),($N$4*1/10)^2*(1.5*(O123^2-MAX(N123,($N$4*1/10))^2)-($N$4*1/10)*(O123-MAX(N123,($N$4*1/10)))),0))*1000,0)</f>
        <v>0</v>
      </c>
      <c r="AO123" s="120">
        <f>IF(AND(V123="OK",ISNUMBER($N$5),$N$5&gt;0,ISNUMBER($N$3),$N$3&gt;0),R123/(6*$N$3*1000000*$N$5)*(IF(N123&lt;($N$4*2/10),($N$4*2/10)*(MIN(O123,($N$4*2/10))^3-N123^3)-(MIN(O123,($N$4*2/10))^4-N123^4)/4,0)+IF(O123&gt;($N$4*2/10),($N$4*2/10)^2*(1.5*(O123^2-MAX(N123,($N$4*2/10))^2)-($N$4*2/10)*(O123-MAX(N123,($N$4*2/10)))),0))*1000,0)</f>
        <v>0</v>
      </c>
      <c r="AP123" s="120">
        <f>IF(AND(V123="OK",ISNUMBER($N$5),$N$5&gt;0,ISNUMBER($N$3),$N$3&gt;0),R123/(6*$N$3*1000000*$N$5)*(IF(N123&lt;($N$4*3/10),($N$4*3/10)*(MIN(O123,($N$4*3/10))^3-N123^3)-(MIN(O123,($N$4*3/10))^4-N123^4)/4,0)+IF(O123&gt;($N$4*3/10),($N$4*3/10)^2*(1.5*(O123^2-MAX(N123,($N$4*3/10))^2)-($N$4*3/10)*(O123-MAX(N123,($N$4*3/10)))),0))*1000,0)</f>
        <v>0</v>
      </c>
      <c r="AQ123" s="120">
        <f>IF(AND(V123="OK",ISNUMBER($N$5),$N$5&gt;0,ISNUMBER($N$3),$N$3&gt;0),R123/(6*$N$3*1000000*$N$5)*(IF(N123&lt;($N$4*4/10),($N$4*4/10)*(MIN(O123,($N$4*4/10))^3-N123^3)-(MIN(O123,($N$4*4/10))^4-N123^4)/4,0)+IF(O123&gt;($N$4*4/10),($N$4*4/10)^2*(1.5*(O123^2-MAX(N123,($N$4*4/10))^2)-($N$4*4/10)*(O123-MAX(N123,($N$4*4/10)))),0))*1000,0)</f>
        <v>0</v>
      </c>
      <c r="AR123" s="120">
        <f>IF(AND(V123="OK",ISNUMBER($N$5),$N$5&gt;0,ISNUMBER($N$3),$N$3&gt;0),R123/(6*$N$3*1000000*$N$5)*(IF(N123&lt;($N$4*5/10),($N$4*5/10)*(MIN(O123,($N$4*5/10))^3-N123^3)-(MIN(O123,($N$4*5/10))^4-N123^4)/4,0)+IF(O123&gt;($N$4*5/10),($N$4*5/10)^2*(1.5*(O123^2-MAX(N123,($N$4*5/10))^2)-($N$4*5/10)*(O123-MAX(N123,($N$4*5/10)))),0))*1000,0)</f>
        <v>0</v>
      </c>
      <c r="AS123" s="120">
        <f>IF(AND(V123="OK",ISNUMBER($N$5),$N$5&gt;0,ISNUMBER($N$3),$N$3&gt;0),R123/(6*$N$3*1000000*$N$5)*(IF(N123&lt;($N$4*6/10),($N$4*6/10)*(MIN(O123,($N$4*6/10))^3-N123^3)-(MIN(O123,($N$4*6/10))^4-N123^4)/4,0)+IF(O123&gt;($N$4*6/10),($N$4*6/10)^2*(1.5*(O123^2-MAX(N123,($N$4*6/10))^2)-($N$4*6/10)*(O123-MAX(N123,($N$4*6/10)))),0))*1000,0)</f>
        <v>0</v>
      </c>
      <c r="AT123" s="120">
        <f>IF(AND(V123="OK",ISNUMBER($N$5),$N$5&gt;0,ISNUMBER($N$3),$N$3&gt;0),R123/(6*$N$3*1000000*$N$5)*(IF(N123&lt;($N$4*7/10),($N$4*7/10)*(MIN(O123,($N$4*7/10))^3-N123^3)-(MIN(O123,($N$4*7/10))^4-N123^4)/4,0)+IF(O123&gt;($N$4*7/10),($N$4*7/10)^2*(1.5*(O123^2-MAX(N123,($N$4*7/10))^2)-($N$4*7/10)*(O123-MAX(N123,($N$4*7/10)))),0))*1000,0)</f>
        <v>0</v>
      </c>
      <c r="AU123" s="120">
        <f>IF(AND(V123="OK",ISNUMBER($N$5),$N$5&gt;0,ISNUMBER($N$3),$N$3&gt;0),R123/(6*$N$3*1000000*$N$5)*(IF(N123&lt;($N$4*8/10),($N$4*8/10)*(MIN(O123,($N$4*8/10))^3-N123^3)-(MIN(O123,($N$4*8/10))^4-N123^4)/4,0)+IF(O123&gt;($N$4*8/10),($N$4*8/10)^2*(1.5*(O123^2-MAX(N123,($N$4*8/10))^2)-($N$4*8/10)*(O123-MAX(N123,($N$4*8/10)))),0))*1000,0)</f>
        <v>0</v>
      </c>
      <c r="AV123" s="120">
        <f>IF(AND(V123="OK",ISNUMBER($N$5),$N$5&gt;0,ISNUMBER($N$3),$N$3&gt;0),R123/(6*$N$3*1000000*$N$5)*(IF(N123&lt;($N$4*9/10),($N$4*9/10)*(MIN(O123,($N$4*9/10))^3-N123^3)-(MIN(O123,($N$4*9/10))^4-N123^4)/4,0)+IF(O123&gt;($N$4*9/10),($N$4*9/10)^2*(1.5*(O123^2-MAX(N123,($N$4*9/10))^2)-($N$4*9/10)*(O123-MAX(N123,($N$4*9/10)))),0))*1000,0)</f>
        <v>0</v>
      </c>
      <c r="AW123" s="120">
        <f>IF(AND(V123="OK",ISNUMBER($N$5),$N$5&gt;0,ISNUMBER($N$3),$N$3&gt;0),R123/(6*$N$3*1000000*$N$5)*(IF(N123&lt;($N$4*10/10),($N$4*10/10)*(MIN(O123,($N$4*10/10))^3-N123^3)-(MIN(O123,($N$4*10/10))^4-N123^4)/4,0)+IF(O123&gt;($N$4*10/10),($N$4*10/10)^2*(1.5*(O123^2-MAX(N123,($N$4*10/10))^2)-($N$4*10/10)*(O123-MAX(N123,($N$4*10/10)))),0))*1000,0)</f>
        <v>0</v>
      </c>
    </row>
    <row r="124" spans="1:49">
      <c r="A124" s="124"/>
      <c r="B124" s="125"/>
      <c r="C124" s="125"/>
      <c r="D124" s="125"/>
      <c r="E124" s="125"/>
      <c r="F124" s="126" t="str">
        <f>IF(J124="OK",D124*E124,"")</f>
        <v/>
      </c>
      <c r="G124" s="126" t="str">
        <f>IF(J124="OK",F124*(C124-B124),"")</f>
        <v/>
      </c>
      <c r="H124" s="126" t="str">
        <f>IF(J124="OK",G124*(C124+B124)/2,"")</f>
        <v/>
      </c>
      <c r="I124" s="126" t="str">
        <f>IF(AND(J124="OK",ISNUMBER($B$5),$B$5&gt;0,ISNUMBER($B$3),$B$3&gt;0),F124*(4*$B$4*(C124^3-B124^3)-(C124^4-B124^4))/(24*$B$3*1000000*$B$5)*1000,"")</f>
        <v/>
      </c>
      <c r="J124" s="120" t="str">
        <f>IF(COUNTA(A124:E124)=0,"",IF(AND(COUNT(B124:E124)=4,B124&gt;=0,C124&gt;B124,C124&lt;=$B$4,D124&gt;=0,E124&gt;0),IF(COUNTIFS($B$13:$B$123,"&lt;"&amp;C124,$C$13:$C$123,"&gt;"&amp;B124)&gt;0,"OVERLAP","OK"),"CHECK INPUTS"))</f>
        <v/>
      </c>
      <c r="M124" s="124"/>
      <c r="N124" s="125"/>
      <c r="O124" s="125"/>
      <c r="P124" s="125"/>
      <c r="Q124" s="125"/>
      <c r="R124" s="126" t="str">
        <f>IF(V124="OK",P124*Q124,"")</f>
        <v/>
      </c>
      <c r="S124" s="126" t="str">
        <f>IF(V124="OK",R124*(O124-N124),"")</f>
        <v/>
      </c>
      <c r="T124" s="126" t="str">
        <f>IF(V124="OK",S124*(O124+N124)/2,"")</f>
        <v/>
      </c>
      <c r="U124" s="126" t="str">
        <f>IF(AND(V124="OK",ISNUMBER($N$5),$N$5&gt;0,ISNUMBER($N$3),$N$3&gt;0),R124*(4*$N$4*(O124^3-N124^3)-(O124^4-N124^4))/(24*$N$3*1000000*$N$5)*1000,"")</f>
        <v/>
      </c>
      <c r="V124" s="120" t="str">
        <f>IF(COUNTA(M124:Q124)=0,"",IF(AND(COUNT(N124:Q124)=4,N124&gt;=0,O124&gt;N124,O124&lt;=$N$4,P124&gt;=0,Q124&gt;0),IF(COUNTIFS($N$13:$N$123,"&lt;"&amp;O124,$O$13:$O$123,"&gt;"&amp;N124)&gt;0,"OVERLAP","OK"),"CHECK INPUTS"))</f>
        <v/>
      </c>
      <c r="AA124" s="120">
        <f>IF(AND(J124="OK",ISNUMBER($B$5),$B$5&gt;0,ISNUMBER($B$3),$B$3&gt;0),F124/(6*$B$3*1000000*$B$5)*(IF(B124&lt;($B$4*0/10),($B$4*0/10)*(MIN(C124,($B$4*0/10))^3-B124^3)-(MIN(C124,($B$4*0/10))^4-B124^4)/4,0)+IF(C124&gt;($B$4*0/10),($B$4*0/10)^2*(1.5*(C124^2-MAX(B124,($B$4*0/10))^2)-($B$4*0/10)*(C124-MAX(B124,($B$4*0/10)))),0))*1000,0)</f>
        <v>0</v>
      </c>
      <c r="AB124" s="120">
        <f>IF(AND(J124="OK",ISNUMBER($B$5),$B$5&gt;0,ISNUMBER($B$3),$B$3&gt;0),F124/(6*$B$3*1000000*$B$5)*(IF(B124&lt;($B$4*1/10),($B$4*1/10)*(MIN(C124,($B$4*1/10))^3-B124^3)-(MIN(C124,($B$4*1/10))^4-B124^4)/4,0)+IF(C124&gt;($B$4*1/10),($B$4*1/10)^2*(1.5*(C124^2-MAX(B124,($B$4*1/10))^2)-($B$4*1/10)*(C124-MAX(B124,($B$4*1/10)))),0))*1000,0)</f>
        <v>0</v>
      </c>
      <c r="AC124" s="120">
        <f>IF(AND(J124="OK",ISNUMBER($B$5),$B$5&gt;0,ISNUMBER($B$3),$B$3&gt;0),F124/(6*$B$3*1000000*$B$5)*(IF(B124&lt;($B$4*2/10),($B$4*2/10)*(MIN(C124,($B$4*2/10))^3-B124^3)-(MIN(C124,($B$4*2/10))^4-B124^4)/4,0)+IF(C124&gt;($B$4*2/10),($B$4*2/10)^2*(1.5*(C124^2-MAX(B124,($B$4*2/10))^2)-($B$4*2/10)*(C124-MAX(B124,($B$4*2/10)))),0))*1000,0)</f>
        <v>0</v>
      </c>
      <c r="AD124" s="120">
        <f>IF(AND(J124="OK",ISNUMBER($B$5),$B$5&gt;0,ISNUMBER($B$3),$B$3&gt;0),F124/(6*$B$3*1000000*$B$5)*(IF(B124&lt;($B$4*3/10),($B$4*3/10)*(MIN(C124,($B$4*3/10))^3-B124^3)-(MIN(C124,($B$4*3/10))^4-B124^4)/4,0)+IF(C124&gt;($B$4*3/10),($B$4*3/10)^2*(1.5*(C124^2-MAX(B124,($B$4*3/10))^2)-($B$4*3/10)*(C124-MAX(B124,($B$4*3/10)))),0))*1000,0)</f>
        <v>0</v>
      </c>
      <c r="AE124" s="120">
        <f>IF(AND(J124="OK",ISNUMBER($B$5),$B$5&gt;0,ISNUMBER($B$3),$B$3&gt;0),F124/(6*$B$3*1000000*$B$5)*(IF(B124&lt;($B$4*4/10),($B$4*4/10)*(MIN(C124,($B$4*4/10))^3-B124^3)-(MIN(C124,($B$4*4/10))^4-B124^4)/4,0)+IF(C124&gt;($B$4*4/10),($B$4*4/10)^2*(1.5*(C124^2-MAX(B124,($B$4*4/10))^2)-($B$4*4/10)*(C124-MAX(B124,($B$4*4/10)))),0))*1000,0)</f>
        <v>0</v>
      </c>
      <c r="AF124" s="120">
        <f>IF(AND(J124="OK",ISNUMBER($B$5),$B$5&gt;0,ISNUMBER($B$3),$B$3&gt;0),F124/(6*$B$3*1000000*$B$5)*(IF(B124&lt;($B$4*5/10),($B$4*5/10)*(MIN(C124,($B$4*5/10))^3-B124^3)-(MIN(C124,($B$4*5/10))^4-B124^4)/4,0)+IF(C124&gt;($B$4*5/10),($B$4*5/10)^2*(1.5*(C124^2-MAX(B124,($B$4*5/10))^2)-($B$4*5/10)*(C124-MAX(B124,($B$4*5/10)))),0))*1000,0)</f>
        <v>0</v>
      </c>
      <c r="AG124" s="120">
        <f>IF(AND(J124="OK",ISNUMBER($B$5),$B$5&gt;0,ISNUMBER($B$3),$B$3&gt;0),F124/(6*$B$3*1000000*$B$5)*(IF(B124&lt;($B$4*6/10),($B$4*6/10)*(MIN(C124,($B$4*6/10))^3-B124^3)-(MIN(C124,($B$4*6/10))^4-B124^4)/4,0)+IF(C124&gt;($B$4*6/10),($B$4*6/10)^2*(1.5*(C124^2-MAX(B124,($B$4*6/10))^2)-($B$4*6/10)*(C124-MAX(B124,($B$4*6/10)))),0))*1000,0)</f>
        <v>0</v>
      </c>
      <c r="AH124" s="120">
        <f>IF(AND(J124="OK",ISNUMBER($B$5),$B$5&gt;0,ISNUMBER($B$3),$B$3&gt;0),F124/(6*$B$3*1000000*$B$5)*(IF(B124&lt;($B$4*7/10),($B$4*7/10)*(MIN(C124,($B$4*7/10))^3-B124^3)-(MIN(C124,($B$4*7/10))^4-B124^4)/4,0)+IF(C124&gt;($B$4*7/10),($B$4*7/10)^2*(1.5*(C124^2-MAX(B124,($B$4*7/10))^2)-($B$4*7/10)*(C124-MAX(B124,($B$4*7/10)))),0))*1000,0)</f>
        <v>0</v>
      </c>
      <c r="AI124" s="120">
        <f>IF(AND(J124="OK",ISNUMBER($B$5),$B$5&gt;0,ISNUMBER($B$3),$B$3&gt;0),F124/(6*$B$3*1000000*$B$5)*(IF(B124&lt;($B$4*8/10),($B$4*8/10)*(MIN(C124,($B$4*8/10))^3-B124^3)-(MIN(C124,($B$4*8/10))^4-B124^4)/4,0)+IF(C124&gt;($B$4*8/10),($B$4*8/10)^2*(1.5*(C124^2-MAX(B124,($B$4*8/10))^2)-($B$4*8/10)*(C124-MAX(B124,($B$4*8/10)))),0))*1000,0)</f>
        <v>0</v>
      </c>
      <c r="AJ124" s="120">
        <f>IF(AND(J124="OK",ISNUMBER($B$5),$B$5&gt;0,ISNUMBER($B$3),$B$3&gt;0),F124/(6*$B$3*1000000*$B$5)*(IF(B124&lt;($B$4*9/10),($B$4*9/10)*(MIN(C124,($B$4*9/10))^3-B124^3)-(MIN(C124,($B$4*9/10))^4-B124^4)/4,0)+IF(C124&gt;($B$4*9/10),($B$4*9/10)^2*(1.5*(C124^2-MAX(B124,($B$4*9/10))^2)-($B$4*9/10)*(C124-MAX(B124,($B$4*9/10)))),0))*1000,0)</f>
        <v>0</v>
      </c>
      <c r="AK124" s="120">
        <f>IF(AND(J124="OK",ISNUMBER($B$5),$B$5&gt;0,ISNUMBER($B$3),$B$3&gt;0),F124/(6*$B$3*1000000*$B$5)*(IF(B124&lt;($B$4*10/10),($B$4*10/10)*(MIN(C124,($B$4*10/10))^3-B124^3)-(MIN(C124,($B$4*10/10))^4-B124^4)/4,0)+IF(C124&gt;($B$4*10/10),($B$4*10/10)^2*(1.5*(C124^2-MAX(B124,($B$4*10/10))^2)-($B$4*10/10)*(C124-MAX(B124,($B$4*10/10)))),0))*1000,0)</f>
        <v>0</v>
      </c>
      <c r="AM124" s="120">
        <f>IF(AND(V124="OK",ISNUMBER($N$5),$N$5&gt;0,ISNUMBER($N$3),$N$3&gt;0),R124/(6*$N$3*1000000*$N$5)*(IF(N124&lt;($N$4*0/10),($N$4*0/10)*(MIN(O124,($N$4*0/10))^3-N124^3)-(MIN(O124,($N$4*0/10))^4-N124^4)/4,0)+IF(O124&gt;($N$4*0/10),($N$4*0/10)^2*(1.5*(O124^2-MAX(N124,($N$4*0/10))^2)-($N$4*0/10)*(O124-MAX(N124,($N$4*0/10)))),0))*1000,0)</f>
        <v>0</v>
      </c>
      <c r="AN124" s="120">
        <f>IF(AND(V124="OK",ISNUMBER($N$5),$N$5&gt;0,ISNUMBER($N$3),$N$3&gt;0),R124/(6*$N$3*1000000*$N$5)*(IF(N124&lt;($N$4*1/10),($N$4*1/10)*(MIN(O124,($N$4*1/10))^3-N124^3)-(MIN(O124,($N$4*1/10))^4-N124^4)/4,0)+IF(O124&gt;($N$4*1/10),($N$4*1/10)^2*(1.5*(O124^2-MAX(N124,($N$4*1/10))^2)-($N$4*1/10)*(O124-MAX(N124,($N$4*1/10)))),0))*1000,0)</f>
        <v>0</v>
      </c>
      <c r="AO124" s="120">
        <f>IF(AND(V124="OK",ISNUMBER($N$5),$N$5&gt;0,ISNUMBER($N$3),$N$3&gt;0),R124/(6*$N$3*1000000*$N$5)*(IF(N124&lt;($N$4*2/10),($N$4*2/10)*(MIN(O124,($N$4*2/10))^3-N124^3)-(MIN(O124,($N$4*2/10))^4-N124^4)/4,0)+IF(O124&gt;($N$4*2/10),($N$4*2/10)^2*(1.5*(O124^2-MAX(N124,($N$4*2/10))^2)-($N$4*2/10)*(O124-MAX(N124,($N$4*2/10)))),0))*1000,0)</f>
        <v>0</v>
      </c>
      <c r="AP124" s="120">
        <f>IF(AND(V124="OK",ISNUMBER($N$5),$N$5&gt;0,ISNUMBER($N$3),$N$3&gt;0),R124/(6*$N$3*1000000*$N$5)*(IF(N124&lt;($N$4*3/10),($N$4*3/10)*(MIN(O124,($N$4*3/10))^3-N124^3)-(MIN(O124,($N$4*3/10))^4-N124^4)/4,0)+IF(O124&gt;($N$4*3/10),($N$4*3/10)^2*(1.5*(O124^2-MAX(N124,($N$4*3/10))^2)-($N$4*3/10)*(O124-MAX(N124,($N$4*3/10)))),0))*1000,0)</f>
        <v>0</v>
      </c>
      <c r="AQ124" s="120">
        <f>IF(AND(V124="OK",ISNUMBER($N$5),$N$5&gt;0,ISNUMBER($N$3),$N$3&gt;0),R124/(6*$N$3*1000000*$N$5)*(IF(N124&lt;($N$4*4/10),($N$4*4/10)*(MIN(O124,($N$4*4/10))^3-N124^3)-(MIN(O124,($N$4*4/10))^4-N124^4)/4,0)+IF(O124&gt;($N$4*4/10),($N$4*4/10)^2*(1.5*(O124^2-MAX(N124,($N$4*4/10))^2)-($N$4*4/10)*(O124-MAX(N124,($N$4*4/10)))),0))*1000,0)</f>
        <v>0</v>
      </c>
      <c r="AR124" s="120">
        <f>IF(AND(V124="OK",ISNUMBER($N$5),$N$5&gt;0,ISNUMBER($N$3),$N$3&gt;0),R124/(6*$N$3*1000000*$N$5)*(IF(N124&lt;($N$4*5/10),($N$4*5/10)*(MIN(O124,($N$4*5/10))^3-N124^3)-(MIN(O124,($N$4*5/10))^4-N124^4)/4,0)+IF(O124&gt;($N$4*5/10),($N$4*5/10)^2*(1.5*(O124^2-MAX(N124,($N$4*5/10))^2)-($N$4*5/10)*(O124-MAX(N124,($N$4*5/10)))),0))*1000,0)</f>
        <v>0</v>
      </c>
      <c r="AS124" s="120">
        <f>IF(AND(V124="OK",ISNUMBER($N$5),$N$5&gt;0,ISNUMBER($N$3),$N$3&gt;0),R124/(6*$N$3*1000000*$N$5)*(IF(N124&lt;($N$4*6/10),($N$4*6/10)*(MIN(O124,($N$4*6/10))^3-N124^3)-(MIN(O124,($N$4*6/10))^4-N124^4)/4,0)+IF(O124&gt;($N$4*6/10),($N$4*6/10)^2*(1.5*(O124^2-MAX(N124,($N$4*6/10))^2)-($N$4*6/10)*(O124-MAX(N124,($N$4*6/10)))),0))*1000,0)</f>
        <v>0</v>
      </c>
      <c r="AT124" s="120">
        <f>IF(AND(V124="OK",ISNUMBER($N$5),$N$5&gt;0,ISNUMBER($N$3),$N$3&gt;0),R124/(6*$N$3*1000000*$N$5)*(IF(N124&lt;($N$4*7/10),($N$4*7/10)*(MIN(O124,($N$4*7/10))^3-N124^3)-(MIN(O124,($N$4*7/10))^4-N124^4)/4,0)+IF(O124&gt;($N$4*7/10),($N$4*7/10)^2*(1.5*(O124^2-MAX(N124,($N$4*7/10))^2)-($N$4*7/10)*(O124-MAX(N124,($N$4*7/10)))),0))*1000,0)</f>
        <v>0</v>
      </c>
      <c r="AU124" s="120">
        <f>IF(AND(V124="OK",ISNUMBER($N$5),$N$5&gt;0,ISNUMBER($N$3),$N$3&gt;0),R124/(6*$N$3*1000000*$N$5)*(IF(N124&lt;($N$4*8/10),($N$4*8/10)*(MIN(O124,($N$4*8/10))^3-N124^3)-(MIN(O124,($N$4*8/10))^4-N124^4)/4,0)+IF(O124&gt;($N$4*8/10),($N$4*8/10)^2*(1.5*(O124^2-MAX(N124,($N$4*8/10))^2)-($N$4*8/10)*(O124-MAX(N124,($N$4*8/10)))),0))*1000,0)</f>
        <v>0</v>
      </c>
      <c r="AV124" s="120">
        <f>IF(AND(V124="OK",ISNUMBER($N$5),$N$5&gt;0,ISNUMBER($N$3),$N$3&gt;0),R124/(6*$N$3*1000000*$N$5)*(IF(N124&lt;($N$4*9/10),($N$4*9/10)*(MIN(O124,($N$4*9/10))^3-N124^3)-(MIN(O124,($N$4*9/10))^4-N124^4)/4,0)+IF(O124&gt;($N$4*9/10),($N$4*9/10)^2*(1.5*(O124^2-MAX(N124,($N$4*9/10))^2)-($N$4*9/10)*(O124-MAX(N124,($N$4*9/10)))),0))*1000,0)</f>
        <v>0</v>
      </c>
      <c r="AW124" s="120">
        <f>IF(AND(V124="OK",ISNUMBER($N$5),$N$5&gt;0,ISNUMBER($N$3),$N$3&gt;0),R124/(6*$N$3*1000000*$N$5)*(IF(N124&lt;($N$4*10/10),($N$4*10/10)*(MIN(O124,($N$4*10/10))^3-N124^3)-(MIN(O124,($N$4*10/10))^4-N124^4)/4,0)+IF(O124&gt;($N$4*10/10),($N$4*10/10)^2*(1.5*(O124^2-MAX(N124,($N$4*10/10))^2)-($N$4*10/10)*(O124-MAX(N124,($N$4*10/10)))),0))*1000,0)</f>
        <v>0</v>
      </c>
    </row>
    <row r="125" spans="1:49">
      <c r="A125" s="124"/>
      <c r="B125" s="125"/>
      <c r="C125" s="125"/>
      <c r="D125" s="125"/>
      <c r="E125" s="125"/>
      <c r="F125" s="126" t="str">
        <f>IF(J125="OK",D125*E125,"")</f>
        <v/>
      </c>
      <c r="G125" s="126" t="str">
        <f>IF(J125="OK",F125*(C125-B125),"")</f>
        <v/>
      </c>
      <c r="H125" s="126" t="str">
        <f>IF(J125="OK",G125*(C125+B125)/2,"")</f>
        <v/>
      </c>
      <c r="I125" s="126" t="str">
        <f>IF(AND(J125="OK",ISNUMBER($B$5),$B$5&gt;0,ISNUMBER($B$3),$B$3&gt;0),F125*(4*$B$4*(C125^3-B125^3)-(C125^4-B125^4))/(24*$B$3*1000000*$B$5)*1000,"")</f>
        <v/>
      </c>
      <c r="J125" s="120" t="str">
        <f>IF(COUNTA(A125:E125)=0,"",IF(AND(COUNT(B125:E125)=4,B125&gt;=0,C125&gt;B125,C125&lt;=$B$4,D125&gt;=0,E125&gt;0),IF(COUNTIFS($B$13:$B$124,"&lt;"&amp;C125,$C$13:$C$124,"&gt;"&amp;B125)&gt;0,"OVERLAP","OK"),"CHECK INPUTS"))</f>
        <v/>
      </c>
      <c r="M125" s="124"/>
      <c r="N125" s="125"/>
      <c r="O125" s="125"/>
      <c r="P125" s="125"/>
      <c r="Q125" s="125"/>
      <c r="R125" s="126" t="str">
        <f>IF(V125="OK",P125*Q125,"")</f>
        <v/>
      </c>
      <c r="S125" s="126" t="str">
        <f>IF(V125="OK",R125*(O125-N125),"")</f>
        <v/>
      </c>
      <c r="T125" s="126" t="str">
        <f>IF(V125="OK",S125*(O125+N125)/2,"")</f>
        <v/>
      </c>
      <c r="U125" s="126" t="str">
        <f>IF(AND(V125="OK",ISNUMBER($N$5),$N$5&gt;0,ISNUMBER($N$3),$N$3&gt;0),R125*(4*$N$4*(O125^3-N125^3)-(O125^4-N125^4))/(24*$N$3*1000000*$N$5)*1000,"")</f>
        <v/>
      </c>
      <c r="V125" s="120" t="str">
        <f>IF(COUNTA(M125:Q125)=0,"",IF(AND(COUNT(N125:Q125)=4,N125&gt;=0,O125&gt;N125,O125&lt;=$N$4,P125&gt;=0,Q125&gt;0),IF(COUNTIFS($N$13:$N$124,"&lt;"&amp;O125,$O$13:$O$124,"&gt;"&amp;N125)&gt;0,"OVERLAP","OK"),"CHECK INPUTS"))</f>
        <v/>
      </c>
      <c r="AA125" s="120">
        <f>IF(AND(J125="OK",ISNUMBER($B$5),$B$5&gt;0,ISNUMBER($B$3),$B$3&gt;0),F125/(6*$B$3*1000000*$B$5)*(IF(B125&lt;($B$4*0/10),($B$4*0/10)*(MIN(C125,($B$4*0/10))^3-B125^3)-(MIN(C125,($B$4*0/10))^4-B125^4)/4,0)+IF(C125&gt;($B$4*0/10),($B$4*0/10)^2*(1.5*(C125^2-MAX(B125,($B$4*0/10))^2)-($B$4*0/10)*(C125-MAX(B125,($B$4*0/10)))),0))*1000,0)</f>
        <v>0</v>
      </c>
      <c r="AB125" s="120">
        <f>IF(AND(J125="OK",ISNUMBER($B$5),$B$5&gt;0,ISNUMBER($B$3),$B$3&gt;0),F125/(6*$B$3*1000000*$B$5)*(IF(B125&lt;($B$4*1/10),($B$4*1/10)*(MIN(C125,($B$4*1/10))^3-B125^3)-(MIN(C125,($B$4*1/10))^4-B125^4)/4,0)+IF(C125&gt;($B$4*1/10),($B$4*1/10)^2*(1.5*(C125^2-MAX(B125,($B$4*1/10))^2)-($B$4*1/10)*(C125-MAX(B125,($B$4*1/10)))),0))*1000,0)</f>
        <v>0</v>
      </c>
      <c r="AC125" s="120">
        <f>IF(AND(J125="OK",ISNUMBER($B$5),$B$5&gt;0,ISNUMBER($B$3),$B$3&gt;0),F125/(6*$B$3*1000000*$B$5)*(IF(B125&lt;($B$4*2/10),($B$4*2/10)*(MIN(C125,($B$4*2/10))^3-B125^3)-(MIN(C125,($B$4*2/10))^4-B125^4)/4,0)+IF(C125&gt;($B$4*2/10),($B$4*2/10)^2*(1.5*(C125^2-MAX(B125,($B$4*2/10))^2)-($B$4*2/10)*(C125-MAX(B125,($B$4*2/10)))),0))*1000,0)</f>
        <v>0</v>
      </c>
      <c r="AD125" s="120">
        <f>IF(AND(J125="OK",ISNUMBER($B$5),$B$5&gt;0,ISNUMBER($B$3),$B$3&gt;0),F125/(6*$B$3*1000000*$B$5)*(IF(B125&lt;($B$4*3/10),($B$4*3/10)*(MIN(C125,($B$4*3/10))^3-B125^3)-(MIN(C125,($B$4*3/10))^4-B125^4)/4,0)+IF(C125&gt;($B$4*3/10),($B$4*3/10)^2*(1.5*(C125^2-MAX(B125,($B$4*3/10))^2)-($B$4*3/10)*(C125-MAX(B125,($B$4*3/10)))),0))*1000,0)</f>
        <v>0</v>
      </c>
      <c r="AE125" s="120">
        <f>IF(AND(J125="OK",ISNUMBER($B$5),$B$5&gt;0,ISNUMBER($B$3),$B$3&gt;0),F125/(6*$B$3*1000000*$B$5)*(IF(B125&lt;($B$4*4/10),($B$4*4/10)*(MIN(C125,($B$4*4/10))^3-B125^3)-(MIN(C125,($B$4*4/10))^4-B125^4)/4,0)+IF(C125&gt;($B$4*4/10),($B$4*4/10)^2*(1.5*(C125^2-MAX(B125,($B$4*4/10))^2)-($B$4*4/10)*(C125-MAX(B125,($B$4*4/10)))),0))*1000,0)</f>
        <v>0</v>
      </c>
      <c r="AF125" s="120">
        <f>IF(AND(J125="OK",ISNUMBER($B$5),$B$5&gt;0,ISNUMBER($B$3),$B$3&gt;0),F125/(6*$B$3*1000000*$B$5)*(IF(B125&lt;($B$4*5/10),($B$4*5/10)*(MIN(C125,($B$4*5/10))^3-B125^3)-(MIN(C125,($B$4*5/10))^4-B125^4)/4,0)+IF(C125&gt;($B$4*5/10),($B$4*5/10)^2*(1.5*(C125^2-MAX(B125,($B$4*5/10))^2)-($B$4*5/10)*(C125-MAX(B125,($B$4*5/10)))),0))*1000,0)</f>
        <v>0</v>
      </c>
      <c r="AG125" s="120">
        <f>IF(AND(J125="OK",ISNUMBER($B$5),$B$5&gt;0,ISNUMBER($B$3),$B$3&gt;0),F125/(6*$B$3*1000000*$B$5)*(IF(B125&lt;($B$4*6/10),($B$4*6/10)*(MIN(C125,($B$4*6/10))^3-B125^3)-(MIN(C125,($B$4*6/10))^4-B125^4)/4,0)+IF(C125&gt;($B$4*6/10),($B$4*6/10)^2*(1.5*(C125^2-MAX(B125,($B$4*6/10))^2)-($B$4*6/10)*(C125-MAX(B125,($B$4*6/10)))),0))*1000,0)</f>
        <v>0</v>
      </c>
      <c r="AH125" s="120">
        <f>IF(AND(J125="OK",ISNUMBER($B$5),$B$5&gt;0,ISNUMBER($B$3),$B$3&gt;0),F125/(6*$B$3*1000000*$B$5)*(IF(B125&lt;($B$4*7/10),($B$4*7/10)*(MIN(C125,($B$4*7/10))^3-B125^3)-(MIN(C125,($B$4*7/10))^4-B125^4)/4,0)+IF(C125&gt;($B$4*7/10),($B$4*7/10)^2*(1.5*(C125^2-MAX(B125,($B$4*7/10))^2)-($B$4*7/10)*(C125-MAX(B125,($B$4*7/10)))),0))*1000,0)</f>
        <v>0</v>
      </c>
      <c r="AI125" s="120">
        <f>IF(AND(J125="OK",ISNUMBER($B$5),$B$5&gt;0,ISNUMBER($B$3),$B$3&gt;0),F125/(6*$B$3*1000000*$B$5)*(IF(B125&lt;($B$4*8/10),($B$4*8/10)*(MIN(C125,($B$4*8/10))^3-B125^3)-(MIN(C125,($B$4*8/10))^4-B125^4)/4,0)+IF(C125&gt;($B$4*8/10),($B$4*8/10)^2*(1.5*(C125^2-MAX(B125,($B$4*8/10))^2)-($B$4*8/10)*(C125-MAX(B125,($B$4*8/10)))),0))*1000,0)</f>
        <v>0</v>
      </c>
      <c r="AJ125" s="120">
        <f>IF(AND(J125="OK",ISNUMBER($B$5),$B$5&gt;0,ISNUMBER($B$3),$B$3&gt;0),F125/(6*$B$3*1000000*$B$5)*(IF(B125&lt;($B$4*9/10),($B$4*9/10)*(MIN(C125,($B$4*9/10))^3-B125^3)-(MIN(C125,($B$4*9/10))^4-B125^4)/4,0)+IF(C125&gt;($B$4*9/10),($B$4*9/10)^2*(1.5*(C125^2-MAX(B125,($B$4*9/10))^2)-($B$4*9/10)*(C125-MAX(B125,($B$4*9/10)))),0))*1000,0)</f>
        <v>0</v>
      </c>
      <c r="AK125" s="120">
        <f>IF(AND(J125="OK",ISNUMBER($B$5),$B$5&gt;0,ISNUMBER($B$3),$B$3&gt;0),F125/(6*$B$3*1000000*$B$5)*(IF(B125&lt;($B$4*10/10),($B$4*10/10)*(MIN(C125,($B$4*10/10))^3-B125^3)-(MIN(C125,($B$4*10/10))^4-B125^4)/4,0)+IF(C125&gt;($B$4*10/10),($B$4*10/10)^2*(1.5*(C125^2-MAX(B125,($B$4*10/10))^2)-($B$4*10/10)*(C125-MAX(B125,($B$4*10/10)))),0))*1000,0)</f>
        <v>0</v>
      </c>
      <c r="AM125" s="120">
        <f>IF(AND(V125="OK",ISNUMBER($N$5),$N$5&gt;0,ISNUMBER($N$3),$N$3&gt;0),R125/(6*$N$3*1000000*$N$5)*(IF(N125&lt;($N$4*0/10),($N$4*0/10)*(MIN(O125,($N$4*0/10))^3-N125^3)-(MIN(O125,($N$4*0/10))^4-N125^4)/4,0)+IF(O125&gt;($N$4*0/10),($N$4*0/10)^2*(1.5*(O125^2-MAX(N125,($N$4*0/10))^2)-($N$4*0/10)*(O125-MAX(N125,($N$4*0/10)))),0))*1000,0)</f>
        <v>0</v>
      </c>
      <c r="AN125" s="120">
        <f>IF(AND(V125="OK",ISNUMBER($N$5),$N$5&gt;0,ISNUMBER($N$3),$N$3&gt;0),R125/(6*$N$3*1000000*$N$5)*(IF(N125&lt;($N$4*1/10),($N$4*1/10)*(MIN(O125,($N$4*1/10))^3-N125^3)-(MIN(O125,($N$4*1/10))^4-N125^4)/4,0)+IF(O125&gt;($N$4*1/10),($N$4*1/10)^2*(1.5*(O125^2-MAX(N125,($N$4*1/10))^2)-($N$4*1/10)*(O125-MAX(N125,($N$4*1/10)))),0))*1000,0)</f>
        <v>0</v>
      </c>
      <c r="AO125" s="120">
        <f>IF(AND(V125="OK",ISNUMBER($N$5),$N$5&gt;0,ISNUMBER($N$3),$N$3&gt;0),R125/(6*$N$3*1000000*$N$5)*(IF(N125&lt;($N$4*2/10),($N$4*2/10)*(MIN(O125,($N$4*2/10))^3-N125^3)-(MIN(O125,($N$4*2/10))^4-N125^4)/4,0)+IF(O125&gt;($N$4*2/10),($N$4*2/10)^2*(1.5*(O125^2-MAX(N125,($N$4*2/10))^2)-($N$4*2/10)*(O125-MAX(N125,($N$4*2/10)))),0))*1000,0)</f>
        <v>0</v>
      </c>
      <c r="AP125" s="120">
        <f>IF(AND(V125="OK",ISNUMBER($N$5),$N$5&gt;0,ISNUMBER($N$3),$N$3&gt;0),R125/(6*$N$3*1000000*$N$5)*(IF(N125&lt;($N$4*3/10),($N$4*3/10)*(MIN(O125,($N$4*3/10))^3-N125^3)-(MIN(O125,($N$4*3/10))^4-N125^4)/4,0)+IF(O125&gt;($N$4*3/10),($N$4*3/10)^2*(1.5*(O125^2-MAX(N125,($N$4*3/10))^2)-($N$4*3/10)*(O125-MAX(N125,($N$4*3/10)))),0))*1000,0)</f>
        <v>0</v>
      </c>
      <c r="AQ125" s="120">
        <f>IF(AND(V125="OK",ISNUMBER($N$5),$N$5&gt;0,ISNUMBER($N$3),$N$3&gt;0),R125/(6*$N$3*1000000*$N$5)*(IF(N125&lt;($N$4*4/10),($N$4*4/10)*(MIN(O125,($N$4*4/10))^3-N125^3)-(MIN(O125,($N$4*4/10))^4-N125^4)/4,0)+IF(O125&gt;($N$4*4/10),($N$4*4/10)^2*(1.5*(O125^2-MAX(N125,($N$4*4/10))^2)-($N$4*4/10)*(O125-MAX(N125,($N$4*4/10)))),0))*1000,0)</f>
        <v>0</v>
      </c>
      <c r="AR125" s="120">
        <f>IF(AND(V125="OK",ISNUMBER($N$5),$N$5&gt;0,ISNUMBER($N$3),$N$3&gt;0),R125/(6*$N$3*1000000*$N$5)*(IF(N125&lt;($N$4*5/10),($N$4*5/10)*(MIN(O125,($N$4*5/10))^3-N125^3)-(MIN(O125,($N$4*5/10))^4-N125^4)/4,0)+IF(O125&gt;($N$4*5/10),($N$4*5/10)^2*(1.5*(O125^2-MAX(N125,($N$4*5/10))^2)-($N$4*5/10)*(O125-MAX(N125,($N$4*5/10)))),0))*1000,0)</f>
        <v>0</v>
      </c>
      <c r="AS125" s="120">
        <f>IF(AND(V125="OK",ISNUMBER($N$5),$N$5&gt;0,ISNUMBER($N$3),$N$3&gt;0),R125/(6*$N$3*1000000*$N$5)*(IF(N125&lt;($N$4*6/10),($N$4*6/10)*(MIN(O125,($N$4*6/10))^3-N125^3)-(MIN(O125,($N$4*6/10))^4-N125^4)/4,0)+IF(O125&gt;($N$4*6/10),($N$4*6/10)^2*(1.5*(O125^2-MAX(N125,($N$4*6/10))^2)-($N$4*6/10)*(O125-MAX(N125,($N$4*6/10)))),0))*1000,0)</f>
        <v>0</v>
      </c>
      <c r="AT125" s="120">
        <f>IF(AND(V125="OK",ISNUMBER($N$5),$N$5&gt;0,ISNUMBER($N$3),$N$3&gt;0),R125/(6*$N$3*1000000*$N$5)*(IF(N125&lt;($N$4*7/10),($N$4*7/10)*(MIN(O125,($N$4*7/10))^3-N125^3)-(MIN(O125,($N$4*7/10))^4-N125^4)/4,0)+IF(O125&gt;($N$4*7/10),($N$4*7/10)^2*(1.5*(O125^2-MAX(N125,($N$4*7/10))^2)-($N$4*7/10)*(O125-MAX(N125,($N$4*7/10)))),0))*1000,0)</f>
        <v>0</v>
      </c>
      <c r="AU125" s="120">
        <f>IF(AND(V125="OK",ISNUMBER($N$5),$N$5&gt;0,ISNUMBER($N$3),$N$3&gt;0),R125/(6*$N$3*1000000*$N$5)*(IF(N125&lt;($N$4*8/10),($N$4*8/10)*(MIN(O125,($N$4*8/10))^3-N125^3)-(MIN(O125,($N$4*8/10))^4-N125^4)/4,0)+IF(O125&gt;($N$4*8/10),($N$4*8/10)^2*(1.5*(O125^2-MAX(N125,($N$4*8/10))^2)-($N$4*8/10)*(O125-MAX(N125,($N$4*8/10)))),0))*1000,0)</f>
        <v>0</v>
      </c>
      <c r="AV125" s="120">
        <f>IF(AND(V125="OK",ISNUMBER($N$5),$N$5&gt;0,ISNUMBER($N$3),$N$3&gt;0),R125/(6*$N$3*1000000*$N$5)*(IF(N125&lt;($N$4*9/10),($N$4*9/10)*(MIN(O125,($N$4*9/10))^3-N125^3)-(MIN(O125,($N$4*9/10))^4-N125^4)/4,0)+IF(O125&gt;($N$4*9/10),($N$4*9/10)^2*(1.5*(O125^2-MAX(N125,($N$4*9/10))^2)-($N$4*9/10)*(O125-MAX(N125,($N$4*9/10)))),0))*1000,0)</f>
        <v>0</v>
      </c>
      <c r="AW125" s="120">
        <f>IF(AND(V125="OK",ISNUMBER($N$5),$N$5&gt;0,ISNUMBER($N$3),$N$3&gt;0),R125/(6*$N$3*1000000*$N$5)*(IF(N125&lt;($N$4*10/10),($N$4*10/10)*(MIN(O125,($N$4*10/10))^3-N125^3)-(MIN(O125,($N$4*10/10))^4-N125^4)/4,0)+IF(O125&gt;($N$4*10/10),($N$4*10/10)^2*(1.5*(O125^2-MAX(N125,($N$4*10/10))^2)-($N$4*10/10)*(O125-MAX(N125,($N$4*10/10)))),0))*1000,0)</f>
        <v>0</v>
      </c>
    </row>
    <row r="126" spans="1:49">
      <c r="A126" s="124"/>
      <c r="B126" s="125"/>
      <c r="C126" s="125"/>
      <c r="D126" s="125"/>
      <c r="E126" s="125"/>
      <c r="F126" s="126" t="str">
        <f>IF(J126="OK",D126*E126,"")</f>
        <v/>
      </c>
      <c r="G126" s="126" t="str">
        <f>IF(J126="OK",F126*(C126-B126),"")</f>
        <v/>
      </c>
      <c r="H126" s="126" t="str">
        <f>IF(J126="OK",G126*(C126+B126)/2,"")</f>
        <v/>
      </c>
      <c r="I126" s="126" t="str">
        <f>IF(AND(J126="OK",ISNUMBER($B$5),$B$5&gt;0,ISNUMBER($B$3),$B$3&gt;0),F126*(4*$B$4*(C126^3-B126^3)-(C126^4-B126^4))/(24*$B$3*1000000*$B$5)*1000,"")</f>
        <v/>
      </c>
      <c r="J126" s="120" t="str">
        <f>IF(COUNTA(A126:E126)=0,"",IF(AND(COUNT(B126:E126)=4,B126&gt;=0,C126&gt;B126,C126&lt;=$B$4,D126&gt;=0,E126&gt;0),IF(COUNTIFS($B$13:$B$125,"&lt;"&amp;C126,$C$13:$C$125,"&gt;"&amp;B126)&gt;0,"OVERLAP","OK"),"CHECK INPUTS"))</f>
        <v/>
      </c>
      <c r="M126" s="124"/>
      <c r="N126" s="125"/>
      <c r="O126" s="125"/>
      <c r="P126" s="125"/>
      <c r="Q126" s="125"/>
      <c r="R126" s="126" t="str">
        <f>IF(V126="OK",P126*Q126,"")</f>
        <v/>
      </c>
      <c r="S126" s="126" t="str">
        <f>IF(V126="OK",R126*(O126-N126),"")</f>
        <v/>
      </c>
      <c r="T126" s="126" t="str">
        <f>IF(V126="OK",S126*(O126+N126)/2,"")</f>
        <v/>
      </c>
      <c r="U126" s="126" t="str">
        <f>IF(AND(V126="OK",ISNUMBER($N$5),$N$5&gt;0,ISNUMBER($N$3),$N$3&gt;0),R126*(4*$N$4*(O126^3-N126^3)-(O126^4-N126^4))/(24*$N$3*1000000*$N$5)*1000,"")</f>
        <v/>
      </c>
      <c r="V126" s="120" t="str">
        <f>IF(COUNTA(M126:Q126)=0,"",IF(AND(COUNT(N126:Q126)=4,N126&gt;=0,O126&gt;N126,O126&lt;=$N$4,P126&gt;=0,Q126&gt;0),IF(COUNTIFS($N$13:$N$125,"&lt;"&amp;O126,$O$13:$O$125,"&gt;"&amp;N126)&gt;0,"OVERLAP","OK"),"CHECK INPUTS"))</f>
        <v/>
      </c>
      <c r="AA126" s="120">
        <f>IF(AND(J126="OK",ISNUMBER($B$5),$B$5&gt;0,ISNUMBER($B$3),$B$3&gt;0),F126/(6*$B$3*1000000*$B$5)*(IF(B126&lt;($B$4*0/10),($B$4*0/10)*(MIN(C126,($B$4*0/10))^3-B126^3)-(MIN(C126,($B$4*0/10))^4-B126^4)/4,0)+IF(C126&gt;($B$4*0/10),($B$4*0/10)^2*(1.5*(C126^2-MAX(B126,($B$4*0/10))^2)-($B$4*0/10)*(C126-MAX(B126,($B$4*0/10)))),0))*1000,0)</f>
        <v>0</v>
      </c>
      <c r="AB126" s="120">
        <f>IF(AND(J126="OK",ISNUMBER($B$5),$B$5&gt;0,ISNUMBER($B$3),$B$3&gt;0),F126/(6*$B$3*1000000*$B$5)*(IF(B126&lt;($B$4*1/10),($B$4*1/10)*(MIN(C126,($B$4*1/10))^3-B126^3)-(MIN(C126,($B$4*1/10))^4-B126^4)/4,0)+IF(C126&gt;($B$4*1/10),($B$4*1/10)^2*(1.5*(C126^2-MAX(B126,($B$4*1/10))^2)-($B$4*1/10)*(C126-MAX(B126,($B$4*1/10)))),0))*1000,0)</f>
        <v>0</v>
      </c>
      <c r="AC126" s="120">
        <f>IF(AND(J126="OK",ISNUMBER($B$5),$B$5&gt;0,ISNUMBER($B$3),$B$3&gt;0),F126/(6*$B$3*1000000*$B$5)*(IF(B126&lt;($B$4*2/10),($B$4*2/10)*(MIN(C126,($B$4*2/10))^3-B126^3)-(MIN(C126,($B$4*2/10))^4-B126^4)/4,0)+IF(C126&gt;($B$4*2/10),($B$4*2/10)^2*(1.5*(C126^2-MAX(B126,($B$4*2/10))^2)-($B$4*2/10)*(C126-MAX(B126,($B$4*2/10)))),0))*1000,0)</f>
        <v>0</v>
      </c>
      <c r="AD126" s="120">
        <f>IF(AND(J126="OK",ISNUMBER($B$5),$B$5&gt;0,ISNUMBER($B$3),$B$3&gt;0),F126/(6*$B$3*1000000*$B$5)*(IF(B126&lt;($B$4*3/10),($B$4*3/10)*(MIN(C126,($B$4*3/10))^3-B126^3)-(MIN(C126,($B$4*3/10))^4-B126^4)/4,0)+IF(C126&gt;($B$4*3/10),($B$4*3/10)^2*(1.5*(C126^2-MAX(B126,($B$4*3/10))^2)-($B$4*3/10)*(C126-MAX(B126,($B$4*3/10)))),0))*1000,0)</f>
        <v>0</v>
      </c>
      <c r="AE126" s="120">
        <f>IF(AND(J126="OK",ISNUMBER($B$5),$B$5&gt;0,ISNUMBER($B$3),$B$3&gt;0),F126/(6*$B$3*1000000*$B$5)*(IF(B126&lt;($B$4*4/10),($B$4*4/10)*(MIN(C126,($B$4*4/10))^3-B126^3)-(MIN(C126,($B$4*4/10))^4-B126^4)/4,0)+IF(C126&gt;($B$4*4/10),($B$4*4/10)^2*(1.5*(C126^2-MAX(B126,($B$4*4/10))^2)-($B$4*4/10)*(C126-MAX(B126,($B$4*4/10)))),0))*1000,0)</f>
        <v>0</v>
      </c>
      <c r="AF126" s="120">
        <f>IF(AND(J126="OK",ISNUMBER($B$5),$B$5&gt;0,ISNUMBER($B$3),$B$3&gt;0),F126/(6*$B$3*1000000*$B$5)*(IF(B126&lt;($B$4*5/10),($B$4*5/10)*(MIN(C126,($B$4*5/10))^3-B126^3)-(MIN(C126,($B$4*5/10))^4-B126^4)/4,0)+IF(C126&gt;($B$4*5/10),($B$4*5/10)^2*(1.5*(C126^2-MAX(B126,($B$4*5/10))^2)-($B$4*5/10)*(C126-MAX(B126,($B$4*5/10)))),0))*1000,0)</f>
        <v>0</v>
      </c>
      <c r="AG126" s="120">
        <f>IF(AND(J126="OK",ISNUMBER($B$5),$B$5&gt;0,ISNUMBER($B$3),$B$3&gt;0),F126/(6*$B$3*1000000*$B$5)*(IF(B126&lt;($B$4*6/10),($B$4*6/10)*(MIN(C126,($B$4*6/10))^3-B126^3)-(MIN(C126,($B$4*6/10))^4-B126^4)/4,0)+IF(C126&gt;($B$4*6/10),($B$4*6/10)^2*(1.5*(C126^2-MAX(B126,($B$4*6/10))^2)-($B$4*6/10)*(C126-MAX(B126,($B$4*6/10)))),0))*1000,0)</f>
        <v>0</v>
      </c>
      <c r="AH126" s="120">
        <f>IF(AND(J126="OK",ISNUMBER($B$5),$B$5&gt;0,ISNUMBER($B$3),$B$3&gt;0),F126/(6*$B$3*1000000*$B$5)*(IF(B126&lt;($B$4*7/10),($B$4*7/10)*(MIN(C126,($B$4*7/10))^3-B126^3)-(MIN(C126,($B$4*7/10))^4-B126^4)/4,0)+IF(C126&gt;($B$4*7/10),($B$4*7/10)^2*(1.5*(C126^2-MAX(B126,($B$4*7/10))^2)-($B$4*7/10)*(C126-MAX(B126,($B$4*7/10)))),0))*1000,0)</f>
        <v>0</v>
      </c>
      <c r="AI126" s="120">
        <f>IF(AND(J126="OK",ISNUMBER($B$5),$B$5&gt;0,ISNUMBER($B$3),$B$3&gt;0),F126/(6*$B$3*1000000*$B$5)*(IF(B126&lt;($B$4*8/10),($B$4*8/10)*(MIN(C126,($B$4*8/10))^3-B126^3)-(MIN(C126,($B$4*8/10))^4-B126^4)/4,0)+IF(C126&gt;($B$4*8/10),($B$4*8/10)^2*(1.5*(C126^2-MAX(B126,($B$4*8/10))^2)-($B$4*8/10)*(C126-MAX(B126,($B$4*8/10)))),0))*1000,0)</f>
        <v>0</v>
      </c>
      <c r="AJ126" s="120">
        <f>IF(AND(J126="OK",ISNUMBER($B$5),$B$5&gt;0,ISNUMBER($B$3),$B$3&gt;0),F126/(6*$B$3*1000000*$B$5)*(IF(B126&lt;($B$4*9/10),($B$4*9/10)*(MIN(C126,($B$4*9/10))^3-B126^3)-(MIN(C126,($B$4*9/10))^4-B126^4)/4,0)+IF(C126&gt;($B$4*9/10),($B$4*9/10)^2*(1.5*(C126^2-MAX(B126,($B$4*9/10))^2)-($B$4*9/10)*(C126-MAX(B126,($B$4*9/10)))),0))*1000,0)</f>
        <v>0</v>
      </c>
      <c r="AK126" s="120">
        <f>IF(AND(J126="OK",ISNUMBER($B$5),$B$5&gt;0,ISNUMBER($B$3),$B$3&gt;0),F126/(6*$B$3*1000000*$B$5)*(IF(B126&lt;($B$4*10/10),($B$4*10/10)*(MIN(C126,($B$4*10/10))^3-B126^3)-(MIN(C126,($B$4*10/10))^4-B126^4)/4,0)+IF(C126&gt;($B$4*10/10),($B$4*10/10)^2*(1.5*(C126^2-MAX(B126,($B$4*10/10))^2)-($B$4*10/10)*(C126-MAX(B126,($B$4*10/10)))),0))*1000,0)</f>
        <v>0</v>
      </c>
      <c r="AM126" s="120">
        <f>IF(AND(V126="OK",ISNUMBER($N$5),$N$5&gt;0,ISNUMBER($N$3),$N$3&gt;0),R126/(6*$N$3*1000000*$N$5)*(IF(N126&lt;($N$4*0/10),($N$4*0/10)*(MIN(O126,($N$4*0/10))^3-N126^3)-(MIN(O126,($N$4*0/10))^4-N126^4)/4,0)+IF(O126&gt;($N$4*0/10),($N$4*0/10)^2*(1.5*(O126^2-MAX(N126,($N$4*0/10))^2)-($N$4*0/10)*(O126-MAX(N126,($N$4*0/10)))),0))*1000,0)</f>
        <v>0</v>
      </c>
      <c r="AN126" s="120">
        <f>IF(AND(V126="OK",ISNUMBER($N$5),$N$5&gt;0,ISNUMBER($N$3),$N$3&gt;0),R126/(6*$N$3*1000000*$N$5)*(IF(N126&lt;($N$4*1/10),($N$4*1/10)*(MIN(O126,($N$4*1/10))^3-N126^3)-(MIN(O126,($N$4*1/10))^4-N126^4)/4,0)+IF(O126&gt;($N$4*1/10),($N$4*1/10)^2*(1.5*(O126^2-MAX(N126,($N$4*1/10))^2)-($N$4*1/10)*(O126-MAX(N126,($N$4*1/10)))),0))*1000,0)</f>
        <v>0</v>
      </c>
      <c r="AO126" s="120">
        <f>IF(AND(V126="OK",ISNUMBER($N$5),$N$5&gt;0,ISNUMBER($N$3),$N$3&gt;0),R126/(6*$N$3*1000000*$N$5)*(IF(N126&lt;($N$4*2/10),($N$4*2/10)*(MIN(O126,($N$4*2/10))^3-N126^3)-(MIN(O126,($N$4*2/10))^4-N126^4)/4,0)+IF(O126&gt;($N$4*2/10),($N$4*2/10)^2*(1.5*(O126^2-MAX(N126,($N$4*2/10))^2)-($N$4*2/10)*(O126-MAX(N126,($N$4*2/10)))),0))*1000,0)</f>
        <v>0</v>
      </c>
      <c r="AP126" s="120">
        <f>IF(AND(V126="OK",ISNUMBER($N$5),$N$5&gt;0,ISNUMBER($N$3),$N$3&gt;0),R126/(6*$N$3*1000000*$N$5)*(IF(N126&lt;($N$4*3/10),($N$4*3/10)*(MIN(O126,($N$4*3/10))^3-N126^3)-(MIN(O126,($N$4*3/10))^4-N126^4)/4,0)+IF(O126&gt;($N$4*3/10),($N$4*3/10)^2*(1.5*(O126^2-MAX(N126,($N$4*3/10))^2)-($N$4*3/10)*(O126-MAX(N126,($N$4*3/10)))),0))*1000,0)</f>
        <v>0</v>
      </c>
      <c r="AQ126" s="120">
        <f>IF(AND(V126="OK",ISNUMBER($N$5),$N$5&gt;0,ISNUMBER($N$3),$N$3&gt;0),R126/(6*$N$3*1000000*$N$5)*(IF(N126&lt;($N$4*4/10),($N$4*4/10)*(MIN(O126,($N$4*4/10))^3-N126^3)-(MIN(O126,($N$4*4/10))^4-N126^4)/4,0)+IF(O126&gt;($N$4*4/10),($N$4*4/10)^2*(1.5*(O126^2-MAX(N126,($N$4*4/10))^2)-($N$4*4/10)*(O126-MAX(N126,($N$4*4/10)))),0))*1000,0)</f>
        <v>0</v>
      </c>
      <c r="AR126" s="120">
        <f>IF(AND(V126="OK",ISNUMBER($N$5),$N$5&gt;0,ISNUMBER($N$3),$N$3&gt;0),R126/(6*$N$3*1000000*$N$5)*(IF(N126&lt;($N$4*5/10),($N$4*5/10)*(MIN(O126,($N$4*5/10))^3-N126^3)-(MIN(O126,($N$4*5/10))^4-N126^4)/4,0)+IF(O126&gt;($N$4*5/10),($N$4*5/10)^2*(1.5*(O126^2-MAX(N126,($N$4*5/10))^2)-($N$4*5/10)*(O126-MAX(N126,($N$4*5/10)))),0))*1000,0)</f>
        <v>0</v>
      </c>
      <c r="AS126" s="120">
        <f>IF(AND(V126="OK",ISNUMBER($N$5),$N$5&gt;0,ISNUMBER($N$3),$N$3&gt;0),R126/(6*$N$3*1000000*$N$5)*(IF(N126&lt;($N$4*6/10),($N$4*6/10)*(MIN(O126,($N$4*6/10))^3-N126^3)-(MIN(O126,($N$4*6/10))^4-N126^4)/4,0)+IF(O126&gt;($N$4*6/10),($N$4*6/10)^2*(1.5*(O126^2-MAX(N126,($N$4*6/10))^2)-($N$4*6/10)*(O126-MAX(N126,($N$4*6/10)))),0))*1000,0)</f>
        <v>0</v>
      </c>
      <c r="AT126" s="120">
        <f>IF(AND(V126="OK",ISNUMBER($N$5),$N$5&gt;0,ISNUMBER($N$3),$N$3&gt;0),R126/(6*$N$3*1000000*$N$5)*(IF(N126&lt;($N$4*7/10),($N$4*7/10)*(MIN(O126,($N$4*7/10))^3-N126^3)-(MIN(O126,($N$4*7/10))^4-N126^4)/4,0)+IF(O126&gt;($N$4*7/10),($N$4*7/10)^2*(1.5*(O126^2-MAX(N126,($N$4*7/10))^2)-($N$4*7/10)*(O126-MAX(N126,($N$4*7/10)))),0))*1000,0)</f>
        <v>0</v>
      </c>
      <c r="AU126" s="120">
        <f>IF(AND(V126="OK",ISNUMBER($N$5),$N$5&gt;0,ISNUMBER($N$3),$N$3&gt;0),R126/(6*$N$3*1000000*$N$5)*(IF(N126&lt;($N$4*8/10),($N$4*8/10)*(MIN(O126,($N$4*8/10))^3-N126^3)-(MIN(O126,($N$4*8/10))^4-N126^4)/4,0)+IF(O126&gt;($N$4*8/10),($N$4*8/10)^2*(1.5*(O126^2-MAX(N126,($N$4*8/10))^2)-($N$4*8/10)*(O126-MAX(N126,($N$4*8/10)))),0))*1000,0)</f>
        <v>0</v>
      </c>
      <c r="AV126" s="120">
        <f>IF(AND(V126="OK",ISNUMBER($N$5),$N$5&gt;0,ISNUMBER($N$3),$N$3&gt;0),R126/(6*$N$3*1000000*$N$5)*(IF(N126&lt;($N$4*9/10),($N$4*9/10)*(MIN(O126,($N$4*9/10))^3-N126^3)-(MIN(O126,($N$4*9/10))^4-N126^4)/4,0)+IF(O126&gt;($N$4*9/10),($N$4*9/10)^2*(1.5*(O126^2-MAX(N126,($N$4*9/10))^2)-($N$4*9/10)*(O126-MAX(N126,($N$4*9/10)))),0))*1000,0)</f>
        <v>0</v>
      </c>
      <c r="AW126" s="120">
        <f>IF(AND(V126="OK",ISNUMBER($N$5),$N$5&gt;0,ISNUMBER($N$3),$N$3&gt;0),R126/(6*$N$3*1000000*$N$5)*(IF(N126&lt;($N$4*10/10),($N$4*10/10)*(MIN(O126,($N$4*10/10))^3-N126^3)-(MIN(O126,($N$4*10/10))^4-N126^4)/4,0)+IF(O126&gt;($N$4*10/10),($N$4*10/10)^2*(1.5*(O126^2-MAX(N126,($N$4*10/10))^2)-($N$4*10/10)*(O126-MAX(N126,($N$4*10/10)))),0))*1000,0)</f>
        <v>0</v>
      </c>
    </row>
    <row r="127" spans="1:49">
      <c r="A127" s="124"/>
      <c r="B127" s="125"/>
      <c r="C127" s="125"/>
      <c r="D127" s="125"/>
      <c r="E127" s="125"/>
      <c r="F127" s="126" t="str">
        <f>IF(J127="OK",D127*E127,"")</f>
        <v/>
      </c>
      <c r="G127" s="126" t="str">
        <f>IF(J127="OK",F127*(C127-B127),"")</f>
        <v/>
      </c>
      <c r="H127" s="126" t="str">
        <f>IF(J127="OK",G127*(C127+B127)/2,"")</f>
        <v/>
      </c>
      <c r="I127" s="126" t="str">
        <f>IF(AND(J127="OK",ISNUMBER($B$5),$B$5&gt;0,ISNUMBER($B$3),$B$3&gt;0),F127*(4*$B$4*(C127^3-B127^3)-(C127^4-B127^4))/(24*$B$3*1000000*$B$5)*1000,"")</f>
        <v/>
      </c>
      <c r="J127" s="120" t="str">
        <f>IF(COUNTA(A127:E127)=0,"",IF(AND(COUNT(B127:E127)=4,B127&gt;=0,C127&gt;B127,C127&lt;=$B$4,D127&gt;=0,E127&gt;0),IF(COUNTIFS($B$13:$B$126,"&lt;"&amp;C127,$C$13:$C$126,"&gt;"&amp;B127)&gt;0,"OVERLAP","OK"),"CHECK INPUTS"))</f>
        <v/>
      </c>
      <c r="M127" s="124"/>
      <c r="N127" s="125"/>
      <c r="O127" s="125"/>
      <c r="P127" s="125"/>
      <c r="Q127" s="125"/>
      <c r="R127" s="126" t="str">
        <f>IF(V127="OK",P127*Q127,"")</f>
        <v/>
      </c>
      <c r="S127" s="126" t="str">
        <f>IF(V127="OK",R127*(O127-N127),"")</f>
        <v/>
      </c>
      <c r="T127" s="126" t="str">
        <f>IF(V127="OK",S127*(O127+N127)/2,"")</f>
        <v/>
      </c>
      <c r="U127" s="126" t="str">
        <f>IF(AND(V127="OK",ISNUMBER($N$5),$N$5&gt;0,ISNUMBER($N$3),$N$3&gt;0),R127*(4*$N$4*(O127^3-N127^3)-(O127^4-N127^4))/(24*$N$3*1000000*$N$5)*1000,"")</f>
        <v/>
      </c>
      <c r="V127" s="120" t="str">
        <f>IF(COUNTA(M127:Q127)=0,"",IF(AND(COUNT(N127:Q127)=4,N127&gt;=0,O127&gt;N127,O127&lt;=$N$4,P127&gt;=0,Q127&gt;0),IF(COUNTIFS($N$13:$N$126,"&lt;"&amp;O127,$O$13:$O$126,"&gt;"&amp;N127)&gt;0,"OVERLAP","OK"),"CHECK INPUTS"))</f>
        <v/>
      </c>
      <c r="AA127" s="120">
        <f>IF(AND(J127="OK",ISNUMBER($B$5),$B$5&gt;0,ISNUMBER($B$3),$B$3&gt;0),F127/(6*$B$3*1000000*$B$5)*(IF(B127&lt;($B$4*0/10),($B$4*0/10)*(MIN(C127,($B$4*0/10))^3-B127^3)-(MIN(C127,($B$4*0/10))^4-B127^4)/4,0)+IF(C127&gt;($B$4*0/10),($B$4*0/10)^2*(1.5*(C127^2-MAX(B127,($B$4*0/10))^2)-($B$4*0/10)*(C127-MAX(B127,($B$4*0/10)))),0))*1000,0)</f>
        <v>0</v>
      </c>
      <c r="AB127" s="120">
        <f>IF(AND(J127="OK",ISNUMBER($B$5),$B$5&gt;0,ISNUMBER($B$3),$B$3&gt;0),F127/(6*$B$3*1000000*$B$5)*(IF(B127&lt;($B$4*1/10),($B$4*1/10)*(MIN(C127,($B$4*1/10))^3-B127^3)-(MIN(C127,($B$4*1/10))^4-B127^4)/4,0)+IF(C127&gt;($B$4*1/10),($B$4*1/10)^2*(1.5*(C127^2-MAX(B127,($B$4*1/10))^2)-($B$4*1/10)*(C127-MAX(B127,($B$4*1/10)))),0))*1000,0)</f>
        <v>0</v>
      </c>
      <c r="AC127" s="120">
        <f>IF(AND(J127="OK",ISNUMBER($B$5),$B$5&gt;0,ISNUMBER($B$3),$B$3&gt;0),F127/(6*$B$3*1000000*$B$5)*(IF(B127&lt;($B$4*2/10),($B$4*2/10)*(MIN(C127,($B$4*2/10))^3-B127^3)-(MIN(C127,($B$4*2/10))^4-B127^4)/4,0)+IF(C127&gt;($B$4*2/10),($B$4*2/10)^2*(1.5*(C127^2-MAX(B127,($B$4*2/10))^2)-($B$4*2/10)*(C127-MAX(B127,($B$4*2/10)))),0))*1000,0)</f>
        <v>0</v>
      </c>
      <c r="AD127" s="120">
        <f>IF(AND(J127="OK",ISNUMBER($B$5),$B$5&gt;0,ISNUMBER($B$3),$B$3&gt;0),F127/(6*$B$3*1000000*$B$5)*(IF(B127&lt;($B$4*3/10),($B$4*3/10)*(MIN(C127,($B$4*3/10))^3-B127^3)-(MIN(C127,($B$4*3/10))^4-B127^4)/4,0)+IF(C127&gt;($B$4*3/10),($B$4*3/10)^2*(1.5*(C127^2-MAX(B127,($B$4*3/10))^2)-($B$4*3/10)*(C127-MAX(B127,($B$4*3/10)))),0))*1000,0)</f>
        <v>0</v>
      </c>
      <c r="AE127" s="120">
        <f>IF(AND(J127="OK",ISNUMBER($B$5),$B$5&gt;0,ISNUMBER($B$3),$B$3&gt;0),F127/(6*$B$3*1000000*$B$5)*(IF(B127&lt;($B$4*4/10),($B$4*4/10)*(MIN(C127,($B$4*4/10))^3-B127^3)-(MIN(C127,($B$4*4/10))^4-B127^4)/4,0)+IF(C127&gt;($B$4*4/10),($B$4*4/10)^2*(1.5*(C127^2-MAX(B127,($B$4*4/10))^2)-($B$4*4/10)*(C127-MAX(B127,($B$4*4/10)))),0))*1000,0)</f>
        <v>0</v>
      </c>
      <c r="AF127" s="120">
        <f>IF(AND(J127="OK",ISNUMBER($B$5),$B$5&gt;0,ISNUMBER($B$3),$B$3&gt;0),F127/(6*$B$3*1000000*$B$5)*(IF(B127&lt;($B$4*5/10),($B$4*5/10)*(MIN(C127,($B$4*5/10))^3-B127^3)-(MIN(C127,($B$4*5/10))^4-B127^4)/4,0)+IF(C127&gt;($B$4*5/10),($B$4*5/10)^2*(1.5*(C127^2-MAX(B127,($B$4*5/10))^2)-($B$4*5/10)*(C127-MAX(B127,($B$4*5/10)))),0))*1000,0)</f>
        <v>0</v>
      </c>
      <c r="AG127" s="120">
        <f>IF(AND(J127="OK",ISNUMBER($B$5),$B$5&gt;0,ISNUMBER($B$3),$B$3&gt;0),F127/(6*$B$3*1000000*$B$5)*(IF(B127&lt;($B$4*6/10),($B$4*6/10)*(MIN(C127,($B$4*6/10))^3-B127^3)-(MIN(C127,($B$4*6/10))^4-B127^4)/4,0)+IF(C127&gt;($B$4*6/10),($B$4*6/10)^2*(1.5*(C127^2-MAX(B127,($B$4*6/10))^2)-($B$4*6/10)*(C127-MAX(B127,($B$4*6/10)))),0))*1000,0)</f>
        <v>0</v>
      </c>
      <c r="AH127" s="120">
        <f>IF(AND(J127="OK",ISNUMBER($B$5),$B$5&gt;0,ISNUMBER($B$3),$B$3&gt;0),F127/(6*$B$3*1000000*$B$5)*(IF(B127&lt;($B$4*7/10),($B$4*7/10)*(MIN(C127,($B$4*7/10))^3-B127^3)-(MIN(C127,($B$4*7/10))^4-B127^4)/4,0)+IF(C127&gt;($B$4*7/10),($B$4*7/10)^2*(1.5*(C127^2-MAX(B127,($B$4*7/10))^2)-($B$4*7/10)*(C127-MAX(B127,($B$4*7/10)))),0))*1000,0)</f>
        <v>0</v>
      </c>
      <c r="AI127" s="120">
        <f>IF(AND(J127="OK",ISNUMBER($B$5),$B$5&gt;0,ISNUMBER($B$3),$B$3&gt;0),F127/(6*$B$3*1000000*$B$5)*(IF(B127&lt;($B$4*8/10),($B$4*8/10)*(MIN(C127,($B$4*8/10))^3-B127^3)-(MIN(C127,($B$4*8/10))^4-B127^4)/4,0)+IF(C127&gt;($B$4*8/10),($B$4*8/10)^2*(1.5*(C127^2-MAX(B127,($B$4*8/10))^2)-($B$4*8/10)*(C127-MAX(B127,($B$4*8/10)))),0))*1000,0)</f>
        <v>0</v>
      </c>
      <c r="AJ127" s="120">
        <f>IF(AND(J127="OK",ISNUMBER($B$5),$B$5&gt;0,ISNUMBER($B$3),$B$3&gt;0),F127/(6*$B$3*1000000*$B$5)*(IF(B127&lt;($B$4*9/10),($B$4*9/10)*(MIN(C127,($B$4*9/10))^3-B127^3)-(MIN(C127,($B$4*9/10))^4-B127^4)/4,0)+IF(C127&gt;($B$4*9/10),($B$4*9/10)^2*(1.5*(C127^2-MAX(B127,($B$4*9/10))^2)-($B$4*9/10)*(C127-MAX(B127,($B$4*9/10)))),0))*1000,0)</f>
        <v>0</v>
      </c>
      <c r="AK127" s="120">
        <f>IF(AND(J127="OK",ISNUMBER($B$5),$B$5&gt;0,ISNUMBER($B$3),$B$3&gt;0),F127/(6*$B$3*1000000*$B$5)*(IF(B127&lt;($B$4*10/10),($B$4*10/10)*(MIN(C127,($B$4*10/10))^3-B127^3)-(MIN(C127,($B$4*10/10))^4-B127^4)/4,0)+IF(C127&gt;($B$4*10/10),($B$4*10/10)^2*(1.5*(C127^2-MAX(B127,($B$4*10/10))^2)-($B$4*10/10)*(C127-MAX(B127,($B$4*10/10)))),0))*1000,0)</f>
        <v>0</v>
      </c>
      <c r="AM127" s="120">
        <f>IF(AND(V127="OK",ISNUMBER($N$5),$N$5&gt;0,ISNUMBER($N$3),$N$3&gt;0),R127/(6*$N$3*1000000*$N$5)*(IF(N127&lt;($N$4*0/10),($N$4*0/10)*(MIN(O127,($N$4*0/10))^3-N127^3)-(MIN(O127,($N$4*0/10))^4-N127^4)/4,0)+IF(O127&gt;($N$4*0/10),($N$4*0/10)^2*(1.5*(O127^2-MAX(N127,($N$4*0/10))^2)-($N$4*0/10)*(O127-MAX(N127,($N$4*0/10)))),0))*1000,0)</f>
        <v>0</v>
      </c>
      <c r="AN127" s="120">
        <f>IF(AND(V127="OK",ISNUMBER($N$5),$N$5&gt;0,ISNUMBER($N$3),$N$3&gt;0),R127/(6*$N$3*1000000*$N$5)*(IF(N127&lt;($N$4*1/10),($N$4*1/10)*(MIN(O127,($N$4*1/10))^3-N127^3)-(MIN(O127,($N$4*1/10))^4-N127^4)/4,0)+IF(O127&gt;($N$4*1/10),($N$4*1/10)^2*(1.5*(O127^2-MAX(N127,($N$4*1/10))^2)-($N$4*1/10)*(O127-MAX(N127,($N$4*1/10)))),0))*1000,0)</f>
        <v>0</v>
      </c>
      <c r="AO127" s="120">
        <f>IF(AND(V127="OK",ISNUMBER($N$5),$N$5&gt;0,ISNUMBER($N$3),$N$3&gt;0),R127/(6*$N$3*1000000*$N$5)*(IF(N127&lt;($N$4*2/10),($N$4*2/10)*(MIN(O127,($N$4*2/10))^3-N127^3)-(MIN(O127,($N$4*2/10))^4-N127^4)/4,0)+IF(O127&gt;($N$4*2/10),($N$4*2/10)^2*(1.5*(O127^2-MAX(N127,($N$4*2/10))^2)-($N$4*2/10)*(O127-MAX(N127,($N$4*2/10)))),0))*1000,0)</f>
        <v>0</v>
      </c>
      <c r="AP127" s="120">
        <f>IF(AND(V127="OK",ISNUMBER($N$5),$N$5&gt;0,ISNUMBER($N$3),$N$3&gt;0),R127/(6*$N$3*1000000*$N$5)*(IF(N127&lt;($N$4*3/10),($N$4*3/10)*(MIN(O127,($N$4*3/10))^3-N127^3)-(MIN(O127,($N$4*3/10))^4-N127^4)/4,0)+IF(O127&gt;($N$4*3/10),($N$4*3/10)^2*(1.5*(O127^2-MAX(N127,($N$4*3/10))^2)-($N$4*3/10)*(O127-MAX(N127,($N$4*3/10)))),0))*1000,0)</f>
        <v>0</v>
      </c>
      <c r="AQ127" s="120">
        <f>IF(AND(V127="OK",ISNUMBER($N$5),$N$5&gt;0,ISNUMBER($N$3),$N$3&gt;0),R127/(6*$N$3*1000000*$N$5)*(IF(N127&lt;($N$4*4/10),($N$4*4/10)*(MIN(O127,($N$4*4/10))^3-N127^3)-(MIN(O127,($N$4*4/10))^4-N127^4)/4,0)+IF(O127&gt;($N$4*4/10),($N$4*4/10)^2*(1.5*(O127^2-MAX(N127,($N$4*4/10))^2)-($N$4*4/10)*(O127-MAX(N127,($N$4*4/10)))),0))*1000,0)</f>
        <v>0</v>
      </c>
      <c r="AR127" s="120">
        <f>IF(AND(V127="OK",ISNUMBER($N$5),$N$5&gt;0,ISNUMBER($N$3),$N$3&gt;0),R127/(6*$N$3*1000000*$N$5)*(IF(N127&lt;($N$4*5/10),($N$4*5/10)*(MIN(O127,($N$4*5/10))^3-N127^3)-(MIN(O127,($N$4*5/10))^4-N127^4)/4,0)+IF(O127&gt;($N$4*5/10),($N$4*5/10)^2*(1.5*(O127^2-MAX(N127,($N$4*5/10))^2)-($N$4*5/10)*(O127-MAX(N127,($N$4*5/10)))),0))*1000,0)</f>
        <v>0</v>
      </c>
      <c r="AS127" s="120">
        <f>IF(AND(V127="OK",ISNUMBER($N$5),$N$5&gt;0,ISNUMBER($N$3),$N$3&gt;0),R127/(6*$N$3*1000000*$N$5)*(IF(N127&lt;($N$4*6/10),($N$4*6/10)*(MIN(O127,($N$4*6/10))^3-N127^3)-(MIN(O127,($N$4*6/10))^4-N127^4)/4,0)+IF(O127&gt;($N$4*6/10),($N$4*6/10)^2*(1.5*(O127^2-MAX(N127,($N$4*6/10))^2)-($N$4*6/10)*(O127-MAX(N127,($N$4*6/10)))),0))*1000,0)</f>
        <v>0</v>
      </c>
      <c r="AT127" s="120">
        <f>IF(AND(V127="OK",ISNUMBER($N$5),$N$5&gt;0,ISNUMBER($N$3),$N$3&gt;0),R127/(6*$N$3*1000000*$N$5)*(IF(N127&lt;($N$4*7/10),($N$4*7/10)*(MIN(O127,($N$4*7/10))^3-N127^3)-(MIN(O127,($N$4*7/10))^4-N127^4)/4,0)+IF(O127&gt;($N$4*7/10),($N$4*7/10)^2*(1.5*(O127^2-MAX(N127,($N$4*7/10))^2)-($N$4*7/10)*(O127-MAX(N127,($N$4*7/10)))),0))*1000,0)</f>
        <v>0</v>
      </c>
      <c r="AU127" s="120">
        <f>IF(AND(V127="OK",ISNUMBER($N$5),$N$5&gt;0,ISNUMBER($N$3),$N$3&gt;0),R127/(6*$N$3*1000000*$N$5)*(IF(N127&lt;($N$4*8/10),($N$4*8/10)*(MIN(O127,($N$4*8/10))^3-N127^3)-(MIN(O127,($N$4*8/10))^4-N127^4)/4,0)+IF(O127&gt;($N$4*8/10),($N$4*8/10)^2*(1.5*(O127^2-MAX(N127,($N$4*8/10))^2)-($N$4*8/10)*(O127-MAX(N127,($N$4*8/10)))),0))*1000,0)</f>
        <v>0</v>
      </c>
      <c r="AV127" s="120">
        <f>IF(AND(V127="OK",ISNUMBER($N$5),$N$5&gt;0,ISNUMBER($N$3),$N$3&gt;0),R127/(6*$N$3*1000000*$N$5)*(IF(N127&lt;($N$4*9/10),($N$4*9/10)*(MIN(O127,($N$4*9/10))^3-N127^3)-(MIN(O127,($N$4*9/10))^4-N127^4)/4,0)+IF(O127&gt;($N$4*9/10),($N$4*9/10)^2*(1.5*(O127^2-MAX(N127,($N$4*9/10))^2)-($N$4*9/10)*(O127-MAX(N127,($N$4*9/10)))),0))*1000,0)</f>
        <v>0</v>
      </c>
      <c r="AW127" s="120">
        <f>IF(AND(V127="OK",ISNUMBER($N$5),$N$5&gt;0,ISNUMBER($N$3),$N$3&gt;0),R127/(6*$N$3*1000000*$N$5)*(IF(N127&lt;($N$4*10/10),($N$4*10/10)*(MIN(O127,($N$4*10/10))^3-N127^3)-(MIN(O127,($N$4*10/10))^4-N127^4)/4,0)+IF(O127&gt;($N$4*10/10),($N$4*10/10)^2*(1.5*(O127^2-MAX(N127,($N$4*10/10))^2)-($N$4*10/10)*(O127-MAX(N127,($N$4*10/10)))),0))*1000,0)</f>
        <v>0</v>
      </c>
    </row>
    <row r="128" spans="1:49">
      <c r="A128" s="124"/>
      <c r="B128" s="125"/>
      <c r="C128" s="125"/>
      <c r="D128" s="125"/>
      <c r="E128" s="125"/>
      <c r="F128" s="126" t="str">
        <f>IF(J128="OK",D128*E128,"")</f>
        <v/>
      </c>
      <c r="G128" s="126" t="str">
        <f>IF(J128="OK",F128*(C128-B128),"")</f>
        <v/>
      </c>
      <c r="H128" s="126" t="str">
        <f>IF(J128="OK",G128*(C128+B128)/2,"")</f>
        <v/>
      </c>
      <c r="I128" s="126" t="str">
        <f>IF(AND(J128="OK",ISNUMBER($B$5),$B$5&gt;0,ISNUMBER($B$3),$B$3&gt;0),F128*(4*$B$4*(C128^3-B128^3)-(C128^4-B128^4))/(24*$B$3*1000000*$B$5)*1000,"")</f>
        <v/>
      </c>
      <c r="J128" s="120" t="str">
        <f>IF(COUNTA(A128:E128)=0,"",IF(AND(COUNT(B128:E128)=4,B128&gt;=0,C128&gt;B128,C128&lt;=$B$4,D128&gt;=0,E128&gt;0),IF(COUNTIFS($B$13:$B$127,"&lt;"&amp;C128,$C$13:$C$127,"&gt;"&amp;B128)&gt;0,"OVERLAP","OK"),"CHECK INPUTS"))</f>
        <v/>
      </c>
      <c r="M128" s="124"/>
      <c r="N128" s="125"/>
      <c r="O128" s="125"/>
      <c r="P128" s="125"/>
      <c r="Q128" s="125"/>
      <c r="R128" s="126" t="str">
        <f>IF(V128="OK",P128*Q128,"")</f>
        <v/>
      </c>
      <c r="S128" s="126" t="str">
        <f>IF(V128="OK",R128*(O128-N128),"")</f>
        <v/>
      </c>
      <c r="T128" s="126" t="str">
        <f>IF(V128="OK",S128*(O128+N128)/2,"")</f>
        <v/>
      </c>
      <c r="U128" s="126" t="str">
        <f>IF(AND(V128="OK",ISNUMBER($N$5),$N$5&gt;0,ISNUMBER($N$3),$N$3&gt;0),R128*(4*$N$4*(O128^3-N128^3)-(O128^4-N128^4))/(24*$N$3*1000000*$N$5)*1000,"")</f>
        <v/>
      </c>
      <c r="V128" s="120" t="str">
        <f>IF(COUNTA(M128:Q128)=0,"",IF(AND(COUNT(N128:Q128)=4,N128&gt;=0,O128&gt;N128,O128&lt;=$N$4,P128&gt;=0,Q128&gt;0),IF(COUNTIFS($N$13:$N$127,"&lt;"&amp;O128,$O$13:$O$127,"&gt;"&amp;N128)&gt;0,"OVERLAP","OK"),"CHECK INPUTS"))</f>
        <v/>
      </c>
      <c r="AA128" s="120">
        <f>IF(AND(J128="OK",ISNUMBER($B$5),$B$5&gt;0,ISNUMBER($B$3),$B$3&gt;0),F128/(6*$B$3*1000000*$B$5)*(IF(B128&lt;($B$4*0/10),($B$4*0/10)*(MIN(C128,($B$4*0/10))^3-B128^3)-(MIN(C128,($B$4*0/10))^4-B128^4)/4,0)+IF(C128&gt;($B$4*0/10),($B$4*0/10)^2*(1.5*(C128^2-MAX(B128,($B$4*0/10))^2)-($B$4*0/10)*(C128-MAX(B128,($B$4*0/10)))),0))*1000,0)</f>
        <v>0</v>
      </c>
      <c r="AB128" s="120">
        <f>IF(AND(J128="OK",ISNUMBER($B$5),$B$5&gt;0,ISNUMBER($B$3),$B$3&gt;0),F128/(6*$B$3*1000000*$B$5)*(IF(B128&lt;($B$4*1/10),($B$4*1/10)*(MIN(C128,($B$4*1/10))^3-B128^3)-(MIN(C128,($B$4*1/10))^4-B128^4)/4,0)+IF(C128&gt;($B$4*1/10),($B$4*1/10)^2*(1.5*(C128^2-MAX(B128,($B$4*1/10))^2)-($B$4*1/10)*(C128-MAX(B128,($B$4*1/10)))),0))*1000,0)</f>
        <v>0</v>
      </c>
      <c r="AC128" s="120">
        <f>IF(AND(J128="OK",ISNUMBER($B$5),$B$5&gt;0,ISNUMBER($B$3),$B$3&gt;0),F128/(6*$B$3*1000000*$B$5)*(IF(B128&lt;($B$4*2/10),($B$4*2/10)*(MIN(C128,($B$4*2/10))^3-B128^3)-(MIN(C128,($B$4*2/10))^4-B128^4)/4,0)+IF(C128&gt;($B$4*2/10),($B$4*2/10)^2*(1.5*(C128^2-MAX(B128,($B$4*2/10))^2)-($B$4*2/10)*(C128-MAX(B128,($B$4*2/10)))),0))*1000,0)</f>
        <v>0</v>
      </c>
      <c r="AD128" s="120">
        <f>IF(AND(J128="OK",ISNUMBER($B$5),$B$5&gt;0,ISNUMBER($B$3),$B$3&gt;0),F128/(6*$B$3*1000000*$B$5)*(IF(B128&lt;($B$4*3/10),($B$4*3/10)*(MIN(C128,($B$4*3/10))^3-B128^3)-(MIN(C128,($B$4*3/10))^4-B128^4)/4,0)+IF(C128&gt;($B$4*3/10),($B$4*3/10)^2*(1.5*(C128^2-MAX(B128,($B$4*3/10))^2)-($B$4*3/10)*(C128-MAX(B128,($B$4*3/10)))),0))*1000,0)</f>
        <v>0</v>
      </c>
      <c r="AE128" s="120">
        <f>IF(AND(J128="OK",ISNUMBER($B$5),$B$5&gt;0,ISNUMBER($B$3),$B$3&gt;0),F128/(6*$B$3*1000000*$B$5)*(IF(B128&lt;($B$4*4/10),($B$4*4/10)*(MIN(C128,($B$4*4/10))^3-B128^3)-(MIN(C128,($B$4*4/10))^4-B128^4)/4,0)+IF(C128&gt;($B$4*4/10),($B$4*4/10)^2*(1.5*(C128^2-MAX(B128,($B$4*4/10))^2)-($B$4*4/10)*(C128-MAX(B128,($B$4*4/10)))),0))*1000,0)</f>
        <v>0</v>
      </c>
      <c r="AF128" s="120">
        <f>IF(AND(J128="OK",ISNUMBER($B$5),$B$5&gt;0,ISNUMBER($B$3),$B$3&gt;0),F128/(6*$B$3*1000000*$B$5)*(IF(B128&lt;($B$4*5/10),($B$4*5/10)*(MIN(C128,($B$4*5/10))^3-B128^3)-(MIN(C128,($B$4*5/10))^4-B128^4)/4,0)+IF(C128&gt;($B$4*5/10),($B$4*5/10)^2*(1.5*(C128^2-MAX(B128,($B$4*5/10))^2)-($B$4*5/10)*(C128-MAX(B128,($B$4*5/10)))),0))*1000,0)</f>
        <v>0</v>
      </c>
      <c r="AG128" s="120">
        <f>IF(AND(J128="OK",ISNUMBER($B$5),$B$5&gt;0,ISNUMBER($B$3),$B$3&gt;0),F128/(6*$B$3*1000000*$B$5)*(IF(B128&lt;($B$4*6/10),($B$4*6/10)*(MIN(C128,($B$4*6/10))^3-B128^3)-(MIN(C128,($B$4*6/10))^4-B128^4)/4,0)+IF(C128&gt;($B$4*6/10),($B$4*6/10)^2*(1.5*(C128^2-MAX(B128,($B$4*6/10))^2)-($B$4*6/10)*(C128-MAX(B128,($B$4*6/10)))),0))*1000,0)</f>
        <v>0</v>
      </c>
      <c r="AH128" s="120">
        <f>IF(AND(J128="OK",ISNUMBER($B$5),$B$5&gt;0,ISNUMBER($B$3),$B$3&gt;0),F128/(6*$B$3*1000000*$B$5)*(IF(B128&lt;($B$4*7/10),($B$4*7/10)*(MIN(C128,($B$4*7/10))^3-B128^3)-(MIN(C128,($B$4*7/10))^4-B128^4)/4,0)+IF(C128&gt;($B$4*7/10),($B$4*7/10)^2*(1.5*(C128^2-MAX(B128,($B$4*7/10))^2)-($B$4*7/10)*(C128-MAX(B128,($B$4*7/10)))),0))*1000,0)</f>
        <v>0</v>
      </c>
      <c r="AI128" s="120">
        <f>IF(AND(J128="OK",ISNUMBER($B$5),$B$5&gt;0,ISNUMBER($B$3),$B$3&gt;0),F128/(6*$B$3*1000000*$B$5)*(IF(B128&lt;($B$4*8/10),($B$4*8/10)*(MIN(C128,($B$4*8/10))^3-B128^3)-(MIN(C128,($B$4*8/10))^4-B128^4)/4,0)+IF(C128&gt;($B$4*8/10),($B$4*8/10)^2*(1.5*(C128^2-MAX(B128,($B$4*8/10))^2)-($B$4*8/10)*(C128-MAX(B128,($B$4*8/10)))),0))*1000,0)</f>
        <v>0</v>
      </c>
      <c r="AJ128" s="120">
        <f>IF(AND(J128="OK",ISNUMBER($B$5),$B$5&gt;0,ISNUMBER($B$3),$B$3&gt;0),F128/(6*$B$3*1000000*$B$5)*(IF(B128&lt;($B$4*9/10),($B$4*9/10)*(MIN(C128,($B$4*9/10))^3-B128^3)-(MIN(C128,($B$4*9/10))^4-B128^4)/4,0)+IF(C128&gt;($B$4*9/10),($B$4*9/10)^2*(1.5*(C128^2-MAX(B128,($B$4*9/10))^2)-($B$4*9/10)*(C128-MAX(B128,($B$4*9/10)))),0))*1000,0)</f>
        <v>0</v>
      </c>
      <c r="AK128" s="120">
        <f>IF(AND(J128="OK",ISNUMBER($B$5),$B$5&gt;0,ISNUMBER($B$3),$B$3&gt;0),F128/(6*$B$3*1000000*$B$5)*(IF(B128&lt;($B$4*10/10),($B$4*10/10)*(MIN(C128,($B$4*10/10))^3-B128^3)-(MIN(C128,($B$4*10/10))^4-B128^4)/4,0)+IF(C128&gt;($B$4*10/10),($B$4*10/10)^2*(1.5*(C128^2-MAX(B128,($B$4*10/10))^2)-($B$4*10/10)*(C128-MAX(B128,($B$4*10/10)))),0))*1000,0)</f>
        <v>0</v>
      </c>
      <c r="AM128" s="120">
        <f>IF(AND(V128="OK",ISNUMBER($N$5),$N$5&gt;0,ISNUMBER($N$3),$N$3&gt;0),R128/(6*$N$3*1000000*$N$5)*(IF(N128&lt;($N$4*0/10),($N$4*0/10)*(MIN(O128,($N$4*0/10))^3-N128^3)-(MIN(O128,($N$4*0/10))^4-N128^4)/4,0)+IF(O128&gt;($N$4*0/10),($N$4*0/10)^2*(1.5*(O128^2-MAX(N128,($N$4*0/10))^2)-($N$4*0/10)*(O128-MAX(N128,($N$4*0/10)))),0))*1000,0)</f>
        <v>0</v>
      </c>
      <c r="AN128" s="120">
        <f>IF(AND(V128="OK",ISNUMBER($N$5),$N$5&gt;0,ISNUMBER($N$3),$N$3&gt;0),R128/(6*$N$3*1000000*$N$5)*(IF(N128&lt;($N$4*1/10),($N$4*1/10)*(MIN(O128,($N$4*1/10))^3-N128^3)-(MIN(O128,($N$4*1/10))^4-N128^4)/4,0)+IF(O128&gt;($N$4*1/10),($N$4*1/10)^2*(1.5*(O128^2-MAX(N128,($N$4*1/10))^2)-($N$4*1/10)*(O128-MAX(N128,($N$4*1/10)))),0))*1000,0)</f>
        <v>0</v>
      </c>
      <c r="AO128" s="120">
        <f>IF(AND(V128="OK",ISNUMBER($N$5),$N$5&gt;0,ISNUMBER($N$3),$N$3&gt;0),R128/(6*$N$3*1000000*$N$5)*(IF(N128&lt;($N$4*2/10),($N$4*2/10)*(MIN(O128,($N$4*2/10))^3-N128^3)-(MIN(O128,($N$4*2/10))^4-N128^4)/4,0)+IF(O128&gt;($N$4*2/10),($N$4*2/10)^2*(1.5*(O128^2-MAX(N128,($N$4*2/10))^2)-($N$4*2/10)*(O128-MAX(N128,($N$4*2/10)))),0))*1000,0)</f>
        <v>0</v>
      </c>
      <c r="AP128" s="120">
        <f>IF(AND(V128="OK",ISNUMBER($N$5),$N$5&gt;0,ISNUMBER($N$3),$N$3&gt;0),R128/(6*$N$3*1000000*$N$5)*(IF(N128&lt;($N$4*3/10),($N$4*3/10)*(MIN(O128,($N$4*3/10))^3-N128^3)-(MIN(O128,($N$4*3/10))^4-N128^4)/4,0)+IF(O128&gt;($N$4*3/10),($N$4*3/10)^2*(1.5*(O128^2-MAX(N128,($N$4*3/10))^2)-($N$4*3/10)*(O128-MAX(N128,($N$4*3/10)))),0))*1000,0)</f>
        <v>0</v>
      </c>
      <c r="AQ128" s="120">
        <f>IF(AND(V128="OK",ISNUMBER($N$5),$N$5&gt;0,ISNUMBER($N$3),$N$3&gt;0),R128/(6*$N$3*1000000*$N$5)*(IF(N128&lt;($N$4*4/10),($N$4*4/10)*(MIN(O128,($N$4*4/10))^3-N128^3)-(MIN(O128,($N$4*4/10))^4-N128^4)/4,0)+IF(O128&gt;($N$4*4/10),($N$4*4/10)^2*(1.5*(O128^2-MAX(N128,($N$4*4/10))^2)-($N$4*4/10)*(O128-MAX(N128,($N$4*4/10)))),0))*1000,0)</f>
        <v>0</v>
      </c>
      <c r="AR128" s="120">
        <f>IF(AND(V128="OK",ISNUMBER($N$5),$N$5&gt;0,ISNUMBER($N$3),$N$3&gt;0),R128/(6*$N$3*1000000*$N$5)*(IF(N128&lt;($N$4*5/10),($N$4*5/10)*(MIN(O128,($N$4*5/10))^3-N128^3)-(MIN(O128,($N$4*5/10))^4-N128^4)/4,0)+IF(O128&gt;($N$4*5/10),($N$4*5/10)^2*(1.5*(O128^2-MAX(N128,($N$4*5/10))^2)-($N$4*5/10)*(O128-MAX(N128,($N$4*5/10)))),0))*1000,0)</f>
        <v>0</v>
      </c>
      <c r="AS128" s="120">
        <f>IF(AND(V128="OK",ISNUMBER($N$5),$N$5&gt;0,ISNUMBER($N$3),$N$3&gt;0),R128/(6*$N$3*1000000*$N$5)*(IF(N128&lt;($N$4*6/10),($N$4*6/10)*(MIN(O128,($N$4*6/10))^3-N128^3)-(MIN(O128,($N$4*6/10))^4-N128^4)/4,0)+IF(O128&gt;($N$4*6/10),($N$4*6/10)^2*(1.5*(O128^2-MAX(N128,($N$4*6/10))^2)-($N$4*6/10)*(O128-MAX(N128,($N$4*6/10)))),0))*1000,0)</f>
        <v>0</v>
      </c>
      <c r="AT128" s="120">
        <f>IF(AND(V128="OK",ISNUMBER($N$5),$N$5&gt;0,ISNUMBER($N$3),$N$3&gt;0),R128/(6*$N$3*1000000*$N$5)*(IF(N128&lt;($N$4*7/10),($N$4*7/10)*(MIN(O128,($N$4*7/10))^3-N128^3)-(MIN(O128,($N$4*7/10))^4-N128^4)/4,0)+IF(O128&gt;($N$4*7/10),($N$4*7/10)^2*(1.5*(O128^2-MAX(N128,($N$4*7/10))^2)-($N$4*7/10)*(O128-MAX(N128,($N$4*7/10)))),0))*1000,0)</f>
        <v>0</v>
      </c>
      <c r="AU128" s="120">
        <f>IF(AND(V128="OK",ISNUMBER($N$5),$N$5&gt;0,ISNUMBER($N$3),$N$3&gt;0),R128/(6*$N$3*1000000*$N$5)*(IF(N128&lt;($N$4*8/10),($N$4*8/10)*(MIN(O128,($N$4*8/10))^3-N128^3)-(MIN(O128,($N$4*8/10))^4-N128^4)/4,0)+IF(O128&gt;($N$4*8/10),($N$4*8/10)^2*(1.5*(O128^2-MAX(N128,($N$4*8/10))^2)-($N$4*8/10)*(O128-MAX(N128,($N$4*8/10)))),0))*1000,0)</f>
        <v>0</v>
      </c>
      <c r="AV128" s="120">
        <f>IF(AND(V128="OK",ISNUMBER($N$5),$N$5&gt;0,ISNUMBER($N$3),$N$3&gt;0),R128/(6*$N$3*1000000*$N$5)*(IF(N128&lt;($N$4*9/10),($N$4*9/10)*(MIN(O128,($N$4*9/10))^3-N128^3)-(MIN(O128,($N$4*9/10))^4-N128^4)/4,0)+IF(O128&gt;($N$4*9/10),($N$4*9/10)^2*(1.5*(O128^2-MAX(N128,($N$4*9/10))^2)-($N$4*9/10)*(O128-MAX(N128,($N$4*9/10)))),0))*1000,0)</f>
        <v>0</v>
      </c>
      <c r="AW128" s="120">
        <f>IF(AND(V128="OK",ISNUMBER($N$5),$N$5&gt;0,ISNUMBER($N$3),$N$3&gt;0),R128/(6*$N$3*1000000*$N$5)*(IF(N128&lt;($N$4*10/10),($N$4*10/10)*(MIN(O128,($N$4*10/10))^3-N128^3)-(MIN(O128,($N$4*10/10))^4-N128^4)/4,0)+IF(O128&gt;($N$4*10/10),($N$4*10/10)^2*(1.5*(O128^2-MAX(N128,($N$4*10/10))^2)-($N$4*10/10)*(O128-MAX(N128,($N$4*10/10)))),0))*1000,0)</f>
        <v>0</v>
      </c>
    </row>
    <row r="129" spans="1:49">
      <c r="A129" s="124"/>
      <c r="B129" s="125"/>
      <c r="C129" s="125"/>
      <c r="D129" s="125"/>
      <c r="E129" s="125"/>
      <c r="F129" s="126" t="str">
        <f>IF(J129="OK",D129*E129,"")</f>
        <v/>
      </c>
      <c r="G129" s="126" t="str">
        <f>IF(J129="OK",F129*(C129-B129),"")</f>
        <v/>
      </c>
      <c r="H129" s="126" t="str">
        <f>IF(J129="OK",G129*(C129+B129)/2,"")</f>
        <v/>
      </c>
      <c r="I129" s="126" t="str">
        <f>IF(AND(J129="OK",ISNUMBER($B$5),$B$5&gt;0,ISNUMBER($B$3),$B$3&gt;0),F129*(4*$B$4*(C129^3-B129^3)-(C129^4-B129^4))/(24*$B$3*1000000*$B$5)*1000,"")</f>
        <v/>
      </c>
      <c r="J129" s="120" t="str">
        <f>IF(COUNTA(A129:E129)=0,"",IF(AND(COUNT(B129:E129)=4,B129&gt;=0,C129&gt;B129,C129&lt;=$B$4,D129&gt;=0,E129&gt;0),IF(COUNTIFS($B$13:$B$128,"&lt;"&amp;C129,$C$13:$C$128,"&gt;"&amp;B129)&gt;0,"OVERLAP","OK"),"CHECK INPUTS"))</f>
        <v/>
      </c>
      <c r="M129" s="124"/>
      <c r="N129" s="125"/>
      <c r="O129" s="125"/>
      <c r="P129" s="125"/>
      <c r="Q129" s="125"/>
      <c r="R129" s="126" t="str">
        <f>IF(V129="OK",P129*Q129,"")</f>
        <v/>
      </c>
      <c r="S129" s="126" t="str">
        <f>IF(V129="OK",R129*(O129-N129),"")</f>
        <v/>
      </c>
      <c r="T129" s="126" t="str">
        <f>IF(V129="OK",S129*(O129+N129)/2,"")</f>
        <v/>
      </c>
      <c r="U129" s="126" t="str">
        <f>IF(AND(V129="OK",ISNUMBER($N$5),$N$5&gt;0,ISNUMBER($N$3),$N$3&gt;0),R129*(4*$N$4*(O129^3-N129^3)-(O129^4-N129^4))/(24*$N$3*1000000*$N$5)*1000,"")</f>
        <v/>
      </c>
      <c r="V129" s="120" t="str">
        <f>IF(COUNTA(M129:Q129)=0,"",IF(AND(COUNT(N129:Q129)=4,N129&gt;=0,O129&gt;N129,O129&lt;=$N$4,P129&gt;=0,Q129&gt;0),IF(COUNTIFS($N$13:$N$128,"&lt;"&amp;O129,$O$13:$O$128,"&gt;"&amp;N129)&gt;0,"OVERLAP","OK"),"CHECK INPUTS"))</f>
        <v/>
      </c>
      <c r="AA129" s="120">
        <f>IF(AND(J129="OK",ISNUMBER($B$5),$B$5&gt;0,ISNUMBER($B$3),$B$3&gt;0),F129/(6*$B$3*1000000*$B$5)*(IF(B129&lt;($B$4*0/10),($B$4*0/10)*(MIN(C129,($B$4*0/10))^3-B129^3)-(MIN(C129,($B$4*0/10))^4-B129^4)/4,0)+IF(C129&gt;($B$4*0/10),($B$4*0/10)^2*(1.5*(C129^2-MAX(B129,($B$4*0/10))^2)-($B$4*0/10)*(C129-MAX(B129,($B$4*0/10)))),0))*1000,0)</f>
        <v>0</v>
      </c>
      <c r="AB129" s="120">
        <f>IF(AND(J129="OK",ISNUMBER($B$5),$B$5&gt;0,ISNUMBER($B$3),$B$3&gt;0),F129/(6*$B$3*1000000*$B$5)*(IF(B129&lt;($B$4*1/10),($B$4*1/10)*(MIN(C129,($B$4*1/10))^3-B129^3)-(MIN(C129,($B$4*1/10))^4-B129^4)/4,0)+IF(C129&gt;($B$4*1/10),($B$4*1/10)^2*(1.5*(C129^2-MAX(B129,($B$4*1/10))^2)-($B$4*1/10)*(C129-MAX(B129,($B$4*1/10)))),0))*1000,0)</f>
        <v>0</v>
      </c>
      <c r="AC129" s="120">
        <f>IF(AND(J129="OK",ISNUMBER($B$5),$B$5&gt;0,ISNUMBER($B$3),$B$3&gt;0),F129/(6*$B$3*1000000*$B$5)*(IF(B129&lt;($B$4*2/10),($B$4*2/10)*(MIN(C129,($B$4*2/10))^3-B129^3)-(MIN(C129,($B$4*2/10))^4-B129^4)/4,0)+IF(C129&gt;($B$4*2/10),($B$4*2/10)^2*(1.5*(C129^2-MAX(B129,($B$4*2/10))^2)-($B$4*2/10)*(C129-MAX(B129,($B$4*2/10)))),0))*1000,0)</f>
        <v>0</v>
      </c>
      <c r="AD129" s="120">
        <f>IF(AND(J129="OK",ISNUMBER($B$5),$B$5&gt;0,ISNUMBER($B$3),$B$3&gt;0),F129/(6*$B$3*1000000*$B$5)*(IF(B129&lt;($B$4*3/10),($B$4*3/10)*(MIN(C129,($B$4*3/10))^3-B129^3)-(MIN(C129,($B$4*3/10))^4-B129^4)/4,0)+IF(C129&gt;($B$4*3/10),($B$4*3/10)^2*(1.5*(C129^2-MAX(B129,($B$4*3/10))^2)-($B$4*3/10)*(C129-MAX(B129,($B$4*3/10)))),0))*1000,0)</f>
        <v>0</v>
      </c>
      <c r="AE129" s="120">
        <f>IF(AND(J129="OK",ISNUMBER($B$5),$B$5&gt;0,ISNUMBER($B$3),$B$3&gt;0),F129/(6*$B$3*1000000*$B$5)*(IF(B129&lt;($B$4*4/10),($B$4*4/10)*(MIN(C129,($B$4*4/10))^3-B129^3)-(MIN(C129,($B$4*4/10))^4-B129^4)/4,0)+IF(C129&gt;($B$4*4/10),($B$4*4/10)^2*(1.5*(C129^2-MAX(B129,($B$4*4/10))^2)-($B$4*4/10)*(C129-MAX(B129,($B$4*4/10)))),0))*1000,0)</f>
        <v>0</v>
      </c>
      <c r="AF129" s="120">
        <f>IF(AND(J129="OK",ISNUMBER($B$5),$B$5&gt;0,ISNUMBER($B$3),$B$3&gt;0),F129/(6*$B$3*1000000*$B$5)*(IF(B129&lt;($B$4*5/10),($B$4*5/10)*(MIN(C129,($B$4*5/10))^3-B129^3)-(MIN(C129,($B$4*5/10))^4-B129^4)/4,0)+IF(C129&gt;($B$4*5/10),($B$4*5/10)^2*(1.5*(C129^2-MAX(B129,($B$4*5/10))^2)-($B$4*5/10)*(C129-MAX(B129,($B$4*5/10)))),0))*1000,0)</f>
        <v>0</v>
      </c>
      <c r="AG129" s="120">
        <f>IF(AND(J129="OK",ISNUMBER($B$5),$B$5&gt;0,ISNUMBER($B$3),$B$3&gt;0),F129/(6*$B$3*1000000*$B$5)*(IF(B129&lt;($B$4*6/10),($B$4*6/10)*(MIN(C129,($B$4*6/10))^3-B129^3)-(MIN(C129,($B$4*6/10))^4-B129^4)/4,0)+IF(C129&gt;($B$4*6/10),($B$4*6/10)^2*(1.5*(C129^2-MAX(B129,($B$4*6/10))^2)-($B$4*6/10)*(C129-MAX(B129,($B$4*6/10)))),0))*1000,0)</f>
        <v>0</v>
      </c>
      <c r="AH129" s="120">
        <f>IF(AND(J129="OK",ISNUMBER($B$5),$B$5&gt;0,ISNUMBER($B$3),$B$3&gt;0),F129/(6*$B$3*1000000*$B$5)*(IF(B129&lt;($B$4*7/10),($B$4*7/10)*(MIN(C129,($B$4*7/10))^3-B129^3)-(MIN(C129,($B$4*7/10))^4-B129^4)/4,0)+IF(C129&gt;($B$4*7/10),($B$4*7/10)^2*(1.5*(C129^2-MAX(B129,($B$4*7/10))^2)-($B$4*7/10)*(C129-MAX(B129,($B$4*7/10)))),0))*1000,0)</f>
        <v>0</v>
      </c>
      <c r="AI129" s="120">
        <f>IF(AND(J129="OK",ISNUMBER($B$5),$B$5&gt;0,ISNUMBER($B$3),$B$3&gt;0),F129/(6*$B$3*1000000*$B$5)*(IF(B129&lt;($B$4*8/10),($B$4*8/10)*(MIN(C129,($B$4*8/10))^3-B129^3)-(MIN(C129,($B$4*8/10))^4-B129^4)/4,0)+IF(C129&gt;($B$4*8/10),($B$4*8/10)^2*(1.5*(C129^2-MAX(B129,($B$4*8/10))^2)-($B$4*8/10)*(C129-MAX(B129,($B$4*8/10)))),0))*1000,0)</f>
        <v>0</v>
      </c>
      <c r="AJ129" s="120">
        <f>IF(AND(J129="OK",ISNUMBER($B$5),$B$5&gt;0,ISNUMBER($B$3),$B$3&gt;0),F129/(6*$B$3*1000000*$B$5)*(IF(B129&lt;($B$4*9/10),($B$4*9/10)*(MIN(C129,($B$4*9/10))^3-B129^3)-(MIN(C129,($B$4*9/10))^4-B129^4)/4,0)+IF(C129&gt;($B$4*9/10),($B$4*9/10)^2*(1.5*(C129^2-MAX(B129,($B$4*9/10))^2)-($B$4*9/10)*(C129-MAX(B129,($B$4*9/10)))),0))*1000,0)</f>
        <v>0</v>
      </c>
      <c r="AK129" s="120">
        <f>IF(AND(J129="OK",ISNUMBER($B$5),$B$5&gt;0,ISNUMBER($B$3),$B$3&gt;0),F129/(6*$B$3*1000000*$B$5)*(IF(B129&lt;($B$4*10/10),($B$4*10/10)*(MIN(C129,($B$4*10/10))^3-B129^3)-(MIN(C129,($B$4*10/10))^4-B129^4)/4,0)+IF(C129&gt;($B$4*10/10),($B$4*10/10)^2*(1.5*(C129^2-MAX(B129,($B$4*10/10))^2)-($B$4*10/10)*(C129-MAX(B129,($B$4*10/10)))),0))*1000,0)</f>
        <v>0</v>
      </c>
      <c r="AM129" s="120">
        <f>IF(AND(V129="OK",ISNUMBER($N$5),$N$5&gt;0,ISNUMBER($N$3),$N$3&gt;0),R129/(6*$N$3*1000000*$N$5)*(IF(N129&lt;($N$4*0/10),($N$4*0/10)*(MIN(O129,($N$4*0/10))^3-N129^3)-(MIN(O129,($N$4*0/10))^4-N129^4)/4,0)+IF(O129&gt;($N$4*0/10),($N$4*0/10)^2*(1.5*(O129^2-MAX(N129,($N$4*0/10))^2)-($N$4*0/10)*(O129-MAX(N129,($N$4*0/10)))),0))*1000,0)</f>
        <v>0</v>
      </c>
      <c r="AN129" s="120">
        <f>IF(AND(V129="OK",ISNUMBER($N$5),$N$5&gt;0,ISNUMBER($N$3),$N$3&gt;0),R129/(6*$N$3*1000000*$N$5)*(IF(N129&lt;($N$4*1/10),($N$4*1/10)*(MIN(O129,($N$4*1/10))^3-N129^3)-(MIN(O129,($N$4*1/10))^4-N129^4)/4,0)+IF(O129&gt;($N$4*1/10),($N$4*1/10)^2*(1.5*(O129^2-MAX(N129,($N$4*1/10))^2)-($N$4*1/10)*(O129-MAX(N129,($N$4*1/10)))),0))*1000,0)</f>
        <v>0</v>
      </c>
      <c r="AO129" s="120">
        <f>IF(AND(V129="OK",ISNUMBER($N$5),$N$5&gt;0,ISNUMBER($N$3),$N$3&gt;0),R129/(6*$N$3*1000000*$N$5)*(IF(N129&lt;($N$4*2/10),($N$4*2/10)*(MIN(O129,($N$4*2/10))^3-N129^3)-(MIN(O129,($N$4*2/10))^4-N129^4)/4,0)+IF(O129&gt;($N$4*2/10),($N$4*2/10)^2*(1.5*(O129^2-MAX(N129,($N$4*2/10))^2)-($N$4*2/10)*(O129-MAX(N129,($N$4*2/10)))),0))*1000,0)</f>
        <v>0</v>
      </c>
      <c r="AP129" s="120">
        <f>IF(AND(V129="OK",ISNUMBER($N$5),$N$5&gt;0,ISNUMBER($N$3),$N$3&gt;0),R129/(6*$N$3*1000000*$N$5)*(IF(N129&lt;($N$4*3/10),($N$4*3/10)*(MIN(O129,($N$4*3/10))^3-N129^3)-(MIN(O129,($N$4*3/10))^4-N129^4)/4,0)+IF(O129&gt;($N$4*3/10),($N$4*3/10)^2*(1.5*(O129^2-MAX(N129,($N$4*3/10))^2)-($N$4*3/10)*(O129-MAX(N129,($N$4*3/10)))),0))*1000,0)</f>
        <v>0</v>
      </c>
      <c r="AQ129" s="120">
        <f>IF(AND(V129="OK",ISNUMBER($N$5),$N$5&gt;0,ISNUMBER($N$3),$N$3&gt;0),R129/(6*$N$3*1000000*$N$5)*(IF(N129&lt;($N$4*4/10),($N$4*4/10)*(MIN(O129,($N$4*4/10))^3-N129^3)-(MIN(O129,($N$4*4/10))^4-N129^4)/4,0)+IF(O129&gt;($N$4*4/10),($N$4*4/10)^2*(1.5*(O129^2-MAX(N129,($N$4*4/10))^2)-($N$4*4/10)*(O129-MAX(N129,($N$4*4/10)))),0))*1000,0)</f>
        <v>0</v>
      </c>
      <c r="AR129" s="120">
        <f>IF(AND(V129="OK",ISNUMBER($N$5),$N$5&gt;0,ISNUMBER($N$3),$N$3&gt;0),R129/(6*$N$3*1000000*$N$5)*(IF(N129&lt;($N$4*5/10),($N$4*5/10)*(MIN(O129,($N$4*5/10))^3-N129^3)-(MIN(O129,($N$4*5/10))^4-N129^4)/4,0)+IF(O129&gt;($N$4*5/10),($N$4*5/10)^2*(1.5*(O129^2-MAX(N129,($N$4*5/10))^2)-($N$4*5/10)*(O129-MAX(N129,($N$4*5/10)))),0))*1000,0)</f>
        <v>0</v>
      </c>
      <c r="AS129" s="120">
        <f>IF(AND(V129="OK",ISNUMBER($N$5),$N$5&gt;0,ISNUMBER($N$3),$N$3&gt;0),R129/(6*$N$3*1000000*$N$5)*(IF(N129&lt;($N$4*6/10),($N$4*6/10)*(MIN(O129,($N$4*6/10))^3-N129^3)-(MIN(O129,($N$4*6/10))^4-N129^4)/4,0)+IF(O129&gt;($N$4*6/10),($N$4*6/10)^2*(1.5*(O129^2-MAX(N129,($N$4*6/10))^2)-($N$4*6/10)*(O129-MAX(N129,($N$4*6/10)))),0))*1000,0)</f>
        <v>0</v>
      </c>
      <c r="AT129" s="120">
        <f>IF(AND(V129="OK",ISNUMBER($N$5),$N$5&gt;0,ISNUMBER($N$3),$N$3&gt;0),R129/(6*$N$3*1000000*$N$5)*(IF(N129&lt;($N$4*7/10),($N$4*7/10)*(MIN(O129,($N$4*7/10))^3-N129^3)-(MIN(O129,($N$4*7/10))^4-N129^4)/4,0)+IF(O129&gt;($N$4*7/10),($N$4*7/10)^2*(1.5*(O129^2-MAX(N129,($N$4*7/10))^2)-($N$4*7/10)*(O129-MAX(N129,($N$4*7/10)))),0))*1000,0)</f>
        <v>0</v>
      </c>
      <c r="AU129" s="120">
        <f>IF(AND(V129="OK",ISNUMBER($N$5),$N$5&gt;0,ISNUMBER($N$3),$N$3&gt;0),R129/(6*$N$3*1000000*$N$5)*(IF(N129&lt;($N$4*8/10),($N$4*8/10)*(MIN(O129,($N$4*8/10))^3-N129^3)-(MIN(O129,($N$4*8/10))^4-N129^4)/4,0)+IF(O129&gt;($N$4*8/10),($N$4*8/10)^2*(1.5*(O129^2-MAX(N129,($N$4*8/10))^2)-($N$4*8/10)*(O129-MAX(N129,($N$4*8/10)))),0))*1000,0)</f>
        <v>0</v>
      </c>
      <c r="AV129" s="120">
        <f>IF(AND(V129="OK",ISNUMBER($N$5),$N$5&gt;0,ISNUMBER($N$3),$N$3&gt;0),R129/(6*$N$3*1000000*$N$5)*(IF(N129&lt;($N$4*9/10),($N$4*9/10)*(MIN(O129,($N$4*9/10))^3-N129^3)-(MIN(O129,($N$4*9/10))^4-N129^4)/4,0)+IF(O129&gt;($N$4*9/10),($N$4*9/10)^2*(1.5*(O129^2-MAX(N129,($N$4*9/10))^2)-($N$4*9/10)*(O129-MAX(N129,($N$4*9/10)))),0))*1000,0)</f>
        <v>0</v>
      </c>
      <c r="AW129" s="120">
        <f>IF(AND(V129="OK",ISNUMBER($N$5),$N$5&gt;0,ISNUMBER($N$3),$N$3&gt;0),R129/(6*$N$3*1000000*$N$5)*(IF(N129&lt;($N$4*10/10),($N$4*10/10)*(MIN(O129,($N$4*10/10))^3-N129^3)-(MIN(O129,($N$4*10/10))^4-N129^4)/4,0)+IF(O129&gt;($N$4*10/10),($N$4*10/10)^2*(1.5*(O129^2-MAX(N129,($N$4*10/10))^2)-($N$4*10/10)*(O129-MAX(N129,($N$4*10/10)))),0))*1000,0)</f>
        <v>0</v>
      </c>
    </row>
    <row r="130" spans="1:49">
      <c r="A130" s="124"/>
      <c r="B130" s="125"/>
      <c r="C130" s="125"/>
      <c r="D130" s="125"/>
      <c r="E130" s="125"/>
      <c r="F130" s="126" t="str">
        <f>IF(J130="OK",D130*E130,"")</f>
        <v/>
      </c>
      <c r="G130" s="126" t="str">
        <f>IF(J130="OK",F130*(C130-B130),"")</f>
        <v/>
      </c>
      <c r="H130" s="126" t="str">
        <f>IF(J130="OK",G130*(C130+B130)/2,"")</f>
        <v/>
      </c>
      <c r="I130" s="126" t="str">
        <f>IF(AND(J130="OK",ISNUMBER($B$5),$B$5&gt;0,ISNUMBER($B$3),$B$3&gt;0),F130*(4*$B$4*(C130^3-B130^3)-(C130^4-B130^4))/(24*$B$3*1000000*$B$5)*1000,"")</f>
        <v/>
      </c>
      <c r="J130" s="120" t="str">
        <f>IF(COUNTA(A130:E130)=0,"",IF(AND(COUNT(B130:E130)=4,B130&gt;=0,C130&gt;B130,C130&lt;=$B$4,D130&gt;=0,E130&gt;0),IF(COUNTIFS($B$13:$B$129,"&lt;"&amp;C130,$C$13:$C$129,"&gt;"&amp;B130)&gt;0,"OVERLAP","OK"),"CHECK INPUTS"))</f>
        <v/>
      </c>
      <c r="M130" s="124"/>
      <c r="N130" s="125"/>
      <c r="O130" s="125"/>
      <c r="P130" s="125"/>
      <c r="Q130" s="125"/>
      <c r="R130" s="126" t="str">
        <f>IF(V130="OK",P130*Q130,"")</f>
        <v/>
      </c>
      <c r="S130" s="126" t="str">
        <f>IF(V130="OK",R130*(O130-N130),"")</f>
        <v/>
      </c>
      <c r="T130" s="126" t="str">
        <f>IF(V130="OK",S130*(O130+N130)/2,"")</f>
        <v/>
      </c>
      <c r="U130" s="126" t="str">
        <f>IF(AND(V130="OK",ISNUMBER($N$5),$N$5&gt;0,ISNUMBER($N$3),$N$3&gt;0),R130*(4*$N$4*(O130^3-N130^3)-(O130^4-N130^4))/(24*$N$3*1000000*$N$5)*1000,"")</f>
        <v/>
      </c>
      <c r="V130" s="120" t="str">
        <f>IF(COUNTA(M130:Q130)=0,"",IF(AND(COUNT(N130:Q130)=4,N130&gt;=0,O130&gt;N130,O130&lt;=$N$4,P130&gt;=0,Q130&gt;0),IF(COUNTIFS($N$13:$N$129,"&lt;"&amp;O130,$O$13:$O$129,"&gt;"&amp;N130)&gt;0,"OVERLAP","OK"),"CHECK INPUTS"))</f>
        <v/>
      </c>
      <c r="AA130" s="120">
        <f>IF(AND(J130="OK",ISNUMBER($B$5),$B$5&gt;0,ISNUMBER($B$3),$B$3&gt;0),F130/(6*$B$3*1000000*$B$5)*(IF(B130&lt;($B$4*0/10),($B$4*0/10)*(MIN(C130,($B$4*0/10))^3-B130^3)-(MIN(C130,($B$4*0/10))^4-B130^4)/4,0)+IF(C130&gt;($B$4*0/10),($B$4*0/10)^2*(1.5*(C130^2-MAX(B130,($B$4*0/10))^2)-($B$4*0/10)*(C130-MAX(B130,($B$4*0/10)))),0))*1000,0)</f>
        <v>0</v>
      </c>
      <c r="AB130" s="120">
        <f>IF(AND(J130="OK",ISNUMBER($B$5),$B$5&gt;0,ISNUMBER($B$3),$B$3&gt;0),F130/(6*$B$3*1000000*$B$5)*(IF(B130&lt;($B$4*1/10),($B$4*1/10)*(MIN(C130,($B$4*1/10))^3-B130^3)-(MIN(C130,($B$4*1/10))^4-B130^4)/4,0)+IF(C130&gt;($B$4*1/10),($B$4*1/10)^2*(1.5*(C130^2-MAX(B130,($B$4*1/10))^2)-($B$4*1/10)*(C130-MAX(B130,($B$4*1/10)))),0))*1000,0)</f>
        <v>0</v>
      </c>
      <c r="AC130" s="120">
        <f>IF(AND(J130="OK",ISNUMBER($B$5),$B$5&gt;0,ISNUMBER($B$3),$B$3&gt;0),F130/(6*$B$3*1000000*$B$5)*(IF(B130&lt;($B$4*2/10),($B$4*2/10)*(MIN(C130,($B$4*2/10))^3-B130^3)-(MIN(C130,($B$4*2/10))^4-B130^4)/4,0)+IF(C130&gt;($B$4*2/10),($B$4*2/10)^2*(1.5*(C130^2-MAX(B130,($B$4*2/10))^2)-($B$4*2/10)*(C130-MAX(B130,($B$4*2/10)))),0))*1000,0)</f>
        <v>0</v>
      </c>
      <c r="AD130" s="120">
        <f>IF(AND(J130="OK",ISNUMBER($B$5),$B$5&gt;0,ISNUMBER($B$3),$B$3&gt;0),F130/(6*$B$3*1000000*$B$5)*(IF(B130&lt;($B$4*3/10),($B$4*3/10)*(MIN(C130,($B$4*3/10))^3-B130^3)-(MIN(C130,($B$4*3/10))^4-B130^4)/4,0)+IF(C130&gt;($B$4*3/10),($B$4*3/10)^2*(1.5*(C130^2-MAX(B130,($B$4*3/10))^2)-($B$4*3/10)*(C130-MAX(B130,($B$4*3/10)))),0))*1000,0)</f>
        <v>0</v>
      </c>
      <c r="AE130" s="120">
        <f>IF(AND(J130="OK",ISNUMBER($B$5),$B$5&gt;0,ISNUMBER($B$3),$B$3&gt;0),F130/(6*$B$3*1000000*$B$5)*(IF(B130&lt;($B$4*4/10),($B$4*4/10)*(MIN(C130,($B$4*4/10))^3-B130^3)-(MIN(C130,($B$4*4/10))^4-B130^4)/4,0)+IF(C130&gt;($B$4*4/10),($B$4*4/10)^2*(1.5*(C130^2-MAX(B130,($B$4*4/10))^2)-($B$4*4/10)*(C130-MAX(B130,($B$4*4/10)))),0))*1000,0)</f>
        <v>0</v>
      </c>
      <c r="AF130" s="120">
        <f>IF(AND(J130="OK",ISNUMBER($B$5),$B$5&gt;0,ISNUMBER($B$3),$B$3&gt;0),F130/(6*$B$3*1000000*$B$5)*(IF(B130&lt;($B$4*5/10),($B$4*5/10)*(MIN(C130,($B$4*5/10))^3-B130^3)-(MIN(C130,($B$4*5/10))^4-B130^4)/4,0)+IF(C130&gt;($B$4*5/10),($B$4*5/10)^2*(1.5*(C130^2-MAX(B130,($B$4*5/10))^2)-($B$4*5/10)*(C130-MAX(B130,($B$4*5/10)))),0))*1000,0)</f>
        <v>0</v>
      </c>
      <c r="AG130" s="120">
        <f>IF(AND(J130="OK",ISNUMBER($B$5),$B$5&gt;0,ISNUMBER($B$3),$B$3&gt;0),F130/(6*$B$3*1000000*$B$5)*(IF(B130&lt;($B$4*6/10),($B$4*6/10)*(MIN(C130,($B$4*6/10))^3-B130^3)-(MIN(C130,($B$4*6/10))^4-B130^4)/4,0)+IF(C130&gt;($B$4*6/10),($B$4*6/10)^2*(1.5*(C130^2-MAX(B130,($B$4*6/10))^2)-($B$4*6/10)*(C130-MAX(B130,($B$4*6/10)))),0))*1000,0)</f>
        <v>0</v>
      </c>
      <c r="AH130" s="120">
        <f>IF(AND(J130="OK",ISNUMBER($B$5),$B$5&gt;0,ISNUMBER($B$3),$B$3&gt;0),F130/(6*$B$3*1000000*$B$5)*(IF(B130&lt;($B$4*7/10),($B$4*7/10)*(MIN(C130,($B$4*7/10))^3-B130^3)-(MIN(C130,($B$4*7/10))^4-B130^4)/4,0)+IF(C130&gt;($B$4*7/10),($B$4*7/10)^2*(1.5*(C130^2-MAX(B130,($B$4*7/10))^2)-($B$4*7/10)*(C130-MAX(B130,($B$4*7/10)))),0))*1000,0)</f>
        <v>0</v>
      </c>
      <c r="AI130" s="120">
        <f>IF(AND(J130="OK",ISNUMBER($B$5),$B$5&gt;0,ISNUMBER($B$3),$B$3&gt;0),F130/(6*$B$3*1000000*$B$5)*(IF(B130&lt;($B$4*8/10),($B$4*8/10)*(MIN(C130,($B$4*8/10))^3-B130^3)-(MIN(C130,($B$4*8/10))^4-B130^4)/4,0)+IF(C130&gt;($B$4*8/10),($B$4*8/10)^2*(1.5*(C130^2-MAX(B130,($B$4*8/10))^2)-($B$4*8/10)*(C130-MAX(B130,($B$4*8/10)))),0))*1000,0)</f>
        <v>0</v>
      </c>
      <c r="AJ130" s="120">
        <f>IF(AND(J130="OK",ISNUMBER($B$5),$B$5&gt;0,ISNUMBER($B$3),$B$3&gt;0),F130/(6*$B$3*1000000*$B$5)*(IF(B130&lt;($B$4*9/10),($B$4*9/10)*(MIN(C130,($B$4*9/10))^3-B130^3)-(MIN(C130,($B$4*9/10))^4-B130^4)/4,0)+IF(C130&gt;($B$4*9/10),($B$4*9/10)^2*(1.5*(C130^2-MAX(B130,($B$4*9/10))^2)-($B$4*9/10)*(C130-MAX(B130,($B$4*9/10)))),0))*1000,0)</f>
        <v>0</v>
      </c>
      <c r="AK130" s="120">
        <f>IF(AND(J130="OK",ISNUMBER($B$5),$B$5&gt;0,ISNUMBER($B$3),$B$3&gt;0),F130/(6*$B$3*1000000*$B$5)*(IF(B130&lt;($B$4*10/10),($B$4*10/10)*(MIN(C130,($B$4*10/10))^3-B130^3)-(MIN(C130,($B$4*10/10))^4-B130^4)/4,0)+IF(C130&gt;($B$4*10/10),($B$4*10/10)^2*(1.5*(C130^2-MAX(B130,($B$4*10/10))^2)-($B$4*10/10)*(C130-MAX(B130,($B$4*10/10)))),0))*1000,0)</f>
        <v>0</v>
      </c>
      <c r="AM130" s="120">
        <f>IF(AND(V130="OK",ISNUMBER($N$5),$N$5&gt;0,ISNUMBER($N$3),$N$3&gt;0),R130/(6*$N$3*1000000*$N$5)*(IF(N130&lt;($N$4*0/10),($N$4*0/10)*(MIN(O130,($N$4*0/10))^3-N130^3)-(MIN(O130,($N$4*0/10))^4-N130^4)/4,0)+IF(O130&gt;($N$4*0/10),($N$4*0/10)^2*(1.5*(O130^2-MAX(N130,($N$4*0/10))^2)-($N$4*0/10)*(O130-MAX(N130,($N$4*0/10)))),0))*1000,0)</f>
        <v>0</v>
      </c>
      <c r="AN130" s="120">
        <f>IF(AND(V130="OK",ISNUMBER($N$5),$N$5&gt;0,ISNUMBER($N$3),$N$3&gt;0),R130/(6*$N$3*1000000*$N$5)*(IF(N130&lt;($N$4*1/10),($N$4*1/10)*(MIN(O130,($N$4*1/10))^3-N130^3)-(MIN(O130,($N$4*1/10))^4-N130^4)/4,0)+IF(O130&gt;($N$4*1/10),($N$4*1/10)^2*(1.5*(O130^2-MAX(N130,($N$4*1/10))^2)-($N$4*1/10)*(O130-MAX(N130,($N$4*1/10)))),0))*1000,0)</f>
        <v>0</v>
      </c>
      <c r="AO130" s="120">
        <f>IF(AND(V130="OK",ISNUMBER($N$5),$N$5&gt;0,ISNUMBER($N$3),$N$3&gt;0),R130/(6*$N$3*1000000*$N$5)*(IF(N130&lt;($N$4*2/10),($N$4*2/10)*(MIN(O130,($N$4*2/10))^3-N130^3)-(MIN(O130,($N$4*2/10))^4-N130^4)/4,0)+IF(O130&gt;($N$4*2/10),($N$4*2/10)^2*(1.5*(O130^2-MAX(N130,($N$4*2/10))^2)-($N$4*2/10)*(O130-MAX(N130,($N$4*2/10)))),0))*1000,0)</f>
        <v>0</v>
      </c>
      <c r="AP130" s="120">
        <f>IF(AND(V130="OK",ISNUMBER($N$5),$N$5&gt;0,ISNUMBER($N$3),$N$3&gt;0),R130/(6*$N$3*1000000*$N$5)*(IF(N130&lt;($N$4*3/10),($N$4*3/10)*(MIN(O130,($N$4*3/10))^3-N130^3)-(MIN(O130,($N$4*3/10))^4-N130^4)/4,0)+IF(O130&gt;($N$4*3/10),($N$4*3/10)^2*(1.5*(O130^2-MAX(N130,($N$4*3/10))^2)-($N$4*3/10)*(O130-MAX(N130,($N$4*3/10)))),0))*1000,0)</f>
        <v>0</v>
      </c>
      <c r="AQ130" s="120">
        <f>IF(AND(V130="OK",ISNUMBER($N$5),$N$5&gt;0,ISNUMBER($N$3),$N$3&gt;0),R130/(6*$N$3*1000000*$N$5)*(IF(N130&lt;($N$4*4/10),($N$4*4/10)*(MIN(O130,($N$4*4/10))^3-N130^3)-(MIN(O130,($N$4*4/10))^4-N130^4)/4,0)+IF(O130&gt;($N$4*4/10),($N$4*4/10)^2*(1.5*(O130^2-MAX(N130,($N$4*4/10))^2)-($N$4*4/10)*(O130-MAX(N130,($N$4*4/10)))),0))*1000,0)</f>
        <v>0</v>
      </c>
      <c r="AR130" s="120">
        <f>IF(AND(V130="OK",ISNUMBER($N$5),$N$5&gt;0,ISNUMBER($N$3),$N$3&gt;0),R130/(6*$N$3*1000000*$N$5)*(IF(N130&lt;($N$4*5/10),($N$4*5/10)*(MIN(O130,($N$4*5/10))^3-N130^3)-(MIN(O130,($N$4*5/10))^4-N130^4)/4,0)+IF(O130&gt;($N$4*5/10),($N$4*5/10)^2*(1.5*(O130^2-MAX(N130,($N$4*5/10))^2)-($N$4*5/10)*(O130-MAX(N130,($N$4*5/10)))),0))*1000,0)</f>
        <v>0</v>
      </c>
      <c r="AS130" s="120">
        <f>IF(AND(V130="OK",ISNUMBER($N$5),$N$5&gt;0,ISNUMBER($N$3),$N$3&gt;0),R130/(6*$N$3*1000000*$N$5)*(IF(N130&lt;($N$4*6/10),($N$4*6/10)*(MIN(O130,($N$4*6/10))^3-N130^3)-(MIN(O130,($N$4*6/10))^4-N130^4)/4,0)+IF(O130&gt;($N$4*6/10),($N$4*6/10)^2*(1.5*(O130^2-MAX(N130,($N$4*6/10))^2)-($N$4*6/10)*(O130-MAX(N130,($N$4*6/10)))),0))*1000,0)</f>
        <v>0</v>
      </c>
      <c r="AT130" s="120">
        <f>IF(AND(V130="OK",ISNUMBER($N$5),$N$5&gt;0,ISNUMBER($N$3),$N$3&gt;0),R130/(6*$N$3*1000000*$N$5)*(IF(N130&lt;($N$4*7/10),($N$4*7/10)*(MIN(O130,($N$4*7/10))^3-N130^3)-(MIN(O130,($N$4*7/10))^4-N130^4)/4,0)+IF(O130&gt;($N$4*7/10),($N$4*7/10)^2*(1.5*(O130^2-MAX(N130,($N$4*7/10))^2)-($N$4*7/10)*(O130-MAX(N130,($N$4*7/10)))),0))*1000,0)</f>
        <v>0</v>
      </c>
      <c r="AU130" s="120">
        <f>IF(AND(V130="OK",ISNUMBER($N$5),$N$5&gt;0,ISNUMBER($N$3),$N$3&gt;0),R130/(6*$N$3*1000000*$N$5)*(IF(N130&lt;($N$4*8/10),($N$4*8/10)*(MIN(O130,($N$4*8/10))^3-N130^3)-(MIN(O130,($N$4*8/10))^4-N130^4)/4,0)+IF(O130&gt;($N$4*8/10),($N$4*8/10)^2*(1.5*(O130^2-MAX(N130,($N$4*8/10))^2)-($N$4*8/10)*(O130-MAX(N130,($N$4*8/10)))),0))*1000,0)</f>
        <v>0</v>
      </c>
      <c r="AV130" s="120">
        <f>IF(AND(V130="OK",ISNUMBER($N$5),$N$5&gt;0,ISNUMBER($N$3),$N$3&gt;0),R130/(6*$N$3*1000000*$N$5)*(IF(N130&lt;($N$4*9/10),($N$4*9/10)*(MIN(O130,($N$4*9/10))^3-N130^3)-(MIN(O130,($N$4*9/10))^4-N130^4)/4,0)+IF(O130&gt;($N$4*9/10),($N$4*9/10)^2*(1.5*(O130^2-MAX(N130,($N$4*9/10))^2)-($N$4*9/10)*(O130-MAX(N130,($N$4*9/10)))),0))*1000,0)</f>
        <v>0</v>
      </c>
      <c r="AW130" s="120">
        <f>IF(AND(V130="OK",ISNUMBER($N$5),$N$5&gt;0,ISNUMBER($N$3),$N$3&gt;0),R130/(6*$N$3*1000000*$N$5)*(IF(N130&lt;($N$4*10/10),($N$4*10/10)*(MIN(O130,($N$4*10/10))^3-N130^3)-(MIN(O130,($N$4*10/10))^4-N130^4)/4,0)+IF(O130&gt;($N$4*10/10),($N$4*10/10)^2*(1.5*(O130^2-MAX(N130,($N$4*10/10))^2)-($N$4*10/10)*(O130-MAX(N130,($N$4*10/10)))),0))*1000,0)</f>
        <v>0</v>
      </c>
    </row>
    <row r="131" spans="1:49">
      <c r="A131" s="124"/>
      <c r="B131" s="125"/>
      <c r="C131" s="125"/>
      <c r="D131" s="125"/>
      <c r="E131" s="125"/>
      <c r="F131" s="126" t="str">
        <f>IF(J131="OK",D131*E131,"")</f>
        <v/>
      </c>
      <c r="G131" s="126" t="str">
        <f>IF(J131="OK",F131*(C131-B131),"")</f>
        <v/>
      </c>
      <c r="H131" s="126" t="str">
        <f>IF(J131="OK",G131*(C131+B131)/2,"")</f>
        <v/>
      </c>
      <c r="I131" s="126" t="str">
        <f>IF(AND(J131="OK",ISNUMBER($B$5),$B$5&gt;0,ISNUMBER($B$3),$B$3&gt;0),F131*(4*$B$4*(C131^3-B131^3)-(C131^4-B131^4))/(24*$B$3*1000000*$B$5)*1000,"")</f>
        <v/>
      </c>
      <c r="J131" s="120" t="str">
        <f>IF(COUNTA(A131:E131)=0,"",IF(AND(COUNT(B131:E131)=4,B131&gt;=0,C131&gt;B131,C131&lt;=$B$4,D131&gt;=0,E131&gt;0),IF(COUNTIFS($B$13:$B$130,"&lt;"&amp;C131,$C$13:$C$130,"&gt;"&amp;B131)&gt;0,"OVERLAP","OK"),"CHECK INPUTS"))</f>
        <v/>
      </c>
      <c r="M131" s="124"/>
      <c r="N131" s="125"/>
      <c r="O131" s="125"/>
      <c r="P131" s="125"/>
      <c r="Q131" s="125"/>
      <c r="R131" s="126" t="str">
        <f>IF(V131="OK",P131*Q131,"")</f>
        <v/>
      </c>
      <c r="S131" s="126" t="str">
        <f>IF(V131="OK",R131*(O131-N131),"")</f>
        <v/>
      </c>
      <c r="T131" s="126" t="str">
        <f>IF(V131="OK",S131*(O131+N131)/2,"")</f>
        <v/>
      </c>
      <c r="U131" s="126" t="str">
        <f>IF(AND(V131="OK",ISNUMBER($N$5),$N$5&gt;0,ISNUMBER($N$3),$N$3&gt;0),R131*(4*$N$4*(O131^3-N131^3)-(O131^4-N131^4))/(24*$N$3*1000000*$N$5)*1000,"")</f>
        <v/>
      </c>
      <c r="V131" s="120" t="str">
        <f>IF(COUNTA(M131:Q131)=0,"",IF(AND(COUNT(N131:Q131)=4,N131&gt;=0,O131&gt;N131,O131&lt;=$N$4,P131&gt;=0,Q131&gt;0),IF(COUNTIFS($N$13:$N$130,"&lt;"&amp;O131,$O$13:$O$130,"&gt;"&amp;N131)&gt;0,"OVERLAP","OK"),"CHECK INPUTS"))</f>
        <v/>
      </c>
      <c r="AA131" s="120">
        <f>IF(AND(J131="OK",ISNUMBER($B$5),$B$5&gt;0,ISNUMBER($B$3),$B$3&gt;0),F131/(6*$B$3*1000000*$B$5)*(IF(B131&lt;($B$4*0/10),($B$4*0/10)*(MIN(C131,($B$4*0/10))^3-B131^3)-(MIN(C131,($B$4*0/10))^4-B131^4)/4,0)+IF(C131&gt;($B$4*0/10),($B$4*0/10)^2*(1.5*(C131^2-MAX(B131,($B$4*0/10))^2)-($B$4*0/10)*(C131-MAX(B131,($B$4*0/10)))),0))*1000,0)</f>
        <v>0</v>
      </c>
      <c r="AB131" s="120">
        <f>IF(AND(J131="OK",ISNUMBER($B$5),$B$5&gt;0,ISNUMBER($B$3),$B$3&gt;0),F131/(6*$B$3*1000000*$B$5)*(IF(B131&lt;($B$4*1/10),($B$4*1/10)*(MIN(C131,($B$4*1/10))^3-B131^3)-(MIN(C131,($B$4*1/10))^4-B131^4)/4,0)+IF(C131&gt;($B$4*1/10),($B$4*1/10)^2*(1.5*(C131^2-MAX(B131,($B$4*1/10))^2)-($B$4*1/10)*(C131-MAX(B131,($B$4*1/10)))),0))*1000,0)</f>
        <v>0</v>
      </c>
      <c r="AC131" s="120">
        <f>IF(AND(J131="OK",ISNUMBER($B$5),$B$5&gt;0,ISNUMBER($B$3),$B$3&gt;0),F131/(6*$B$3*1000000*$B$5)*(IF(B131&lt;($B$4*2/10),($B$4*2/10)*(MIN(C131,($B$4*2/10))^3-B131^3)-(MIN(C131,($B$4*2/10))^4-B131^4)/4,0)+IF(C131&gt;($B$4*2/10),($B$4*2/10)^2*(1.5*(C131^2-MAX(B131,($B$4*2/10))^2)-($B$4*2/10)*(C131-MAX(B131,($B$4*2/10)))),0))*1000,0)</f>
        <v>0</v>
      </c>
      <c r="AD131" s="120">
        <f>IF(AND(J131="OK",ISNUMBER($B$5),$B$5&gt;0,ISNUMBER($B$3),$B$3&gt;0),F131/(6*$B$3*1000000*$B$5)*(IF(B131&lt;($B$4*3/10),($B$4*3/10)*(MIN(C131,($B$4*3/10))^3-B131^3)-(MIN(C131,($B$4*3/10))^4-B131^4)/4,0)+IF(C131&gt;($B$4*3/10),($B$4*3/10)^2*(1.5*(C131^2-MAX(B131,($B$4*3/10))^2)-($B$4*3/10)*(C131-MAX(B131,($B$4*3/10)))),0))*1000,0)</f>
        <v>0</v>
      </c>
      <c r="AE131" s="120">
        <f>IF(AND(J131="OK",ISNUMBER($B$5),$B$5&gt;0,ISNUMBER($B$3),$B$3&gt;0),F131/(6*$B$3*1000000*$B$5)*(IF(B131&lt;($B$4*4/10),($B$4*4/10)*(MIN(C131,($B$4*4/10))^3-B131^3)-(MIN(C131,($B$4*4/10))^4-B131^4)/4,0)+IF(C131&gt;($B$4*4/10),($B$4*4/10)^2*(1.5*(C131^2-MAX(B131,($B$4*4/10))^2)-($B$4*4/10)*(C131-MAX(B131,($B$4*4/10)))),0))*1000,0)</f>
        <v>0</v>
      </c>
      <c r="AF131" s="120">
        <f>IF(AND(J131="OK",ISNUMBER($B$5),$B$5&gt;0,ISNUMBER($B$3),$B$3&gt;0),F131/(6*$B$3*1000000*$B$5)*(IF(B131&lt;($B$4*5/10),($B$4*5/10)*(MIN(C131,($B$4*5/10))^3-B131^3)-(MIN(C131,($B$4*5/10))^4-B131^4)/4,0)+IF(C131&gt;($B$4*5/10),($B$4*5/10)^2*(1.5*(C131^2-MAX(B131,($B$4*5/10))^2)-($B$4*5/10)*(C131-MAX(B131,($B$4*5/10)))),0))*1000,0)</f>
        <v>0</v>
      </c>
      <c r="AG131" s="120">
        <f>IF(AND(J131="OK",ISNUMBER($B$5),$B$5&gt;0,ISNUMBER($B$3),$B$3&gt;0),F131/(6*$B$3*1000000*$B$5)*(IF(B131&lt;($B$4*6/10),($B$4*6/10)*(MIN(C131,($B$4*6/10))^3-B131^3)-(MIN(C131,($B$4*6/10))^4-B131^4)/4,0)+IF(C131&gt;($B$4*6/10),($B$4*6/10)^2*(1.5*(C131^2-MAX(B131,($B$4*6/10))^2)-($B$4*6/10)*(C131-MAX(B131,($B$4*6/10)))),0))*1000,0)</f>
        <v>0</v>
      </c>
      <c r="AH131" s="120">
        <f>IF(AND(J131="OK",ISNUMBER($B$5),$B$5&gt;0,ISNUMBER($B$3),$B$3&gt;0),F131/(6*$B$3*1000000*$B$5)*(IF(B131&lt;($B$4*7/10),($B$4*7/10)*(MIN(C131,($B$4*7/10))^3-B131^3)-(MIN(C131,($B$4*7/10))^4-B131^4)/4,0)+IF(C131&gt;($B$4*7/10),($B$4*7/10)^2*(1.5*(C131^2-MAX(B131,($B$4*7/10))^2)-($B$4*7/10)*(C131-MAX(B131,($B$4*7/10)))),0))*1000,0)</f>
        <v>0</v>
      </c>
      <c r="AI131" s="120">
        <f>IF(AND(J131="OK",ISNUMBER($B$5),$B$5&gt;0,ISNUMBER($B$3),$B$3&gt;0),F131/(6*$B$3*1000000*$B$5)*(IF(B131&lt;($B$4*8/10),($B$4*8/10)*(MIN(C131,($B$4*8/10))^3-B131^3)-(MIN(C131,($B$4*8/10))^4-B131^4)/4,0)+IF(C131&gt;($B$4*8/10),($B$4*8/10)^2*(1.5*(C131^2-MAX(B131,($B$4*8/10))^2)-($B$4*8/10)*(C131-MAX(B131,($B$4*8/10)))),0))*1000,0)</f>
        <v>0</v>
      </c>
      <c r="AJ131" s="120">
        <f>IF(AND(J131="OK",ISNUMBER($B$5),$B$5&gt;0,ISNUMBER($B$3),$B$3&gt;0),F131/(6*$B$3*1000000*$B$5)*(IF(B131&lt;($B$4*9/10),($B$4*9/10)*(MIN(C131,($B$4*9/10))^3-B131^3)-(MIN(C131,($B$4*9/10))^4-B131^4)/4,0)+IF(C131&gt;($B$4*9/10),($B$4*9/10)^2*(1.5*(C131^2-MAX(B131,($B$4*9/10))^2)-($B$4*9/10)*(C131-MAX(B131,($B$4*9/10)))),0))*1000,0)</f>
        <v>0</v>
      </c>
      <c r="AK131" s="120">
        <f>IF(AND(J131="OK",ISNUMBER($B$5),$B$5&gt;0,ISNUMBER($B$3),$B$3&gt;0),F131/(6*$B$3*1000000*$B$5)*(IF(B131&lt;($B$4*10/10),($B$4*10/10)*(MIN(C131,($B$4*10/10))^3-B131^3)-(MIN(C131,($B$4*10/10))^4-B131^4)/4,0)+IF(C131&gt;($B$4*10/10),($B$4*10/10)^2*(1.5*(C131^2-MAX(B131,($B$4*10/10))^2)-($B$4*10/10)*(C131-MAX(B131,($B$4*10/10)))),0))*1000,0)</f>
        <v>0</v>
      </c>
      <c r="AM131" s="120">
        <f>IF(AND(V131="OK",ISNUMBER($N$5),$N$5&gt;0,ISNUMBER($N$3),$N$3&gt;0),R131/(6*$N$3*1000000*$N$5)*(IF(N131&lt;($N$4*0/10),($N$4*0/10)*(MIN(O131,($N$4*0/10))^3-N131^3)-(MIN(O131,($N$4*0/10))^4-N131^4)/4,0)+IF(O131&gt;($N$4*0/10),($N$4*0/10)^2*(1.5*(O131^2-MAX(N131,($N$4*0/10))^2)-($N$4*0/10)*(O131-MAX(N131,($N$4*0/10)))),0))*1000,0)</f>
        <v>0</v>
      </c>
      <c r="AN131" s="120">
        <f>IF(AND(V131="OK",ISNUMBER($N$5),$N$5&gt;0,ISNUMBER($N$3),$N$3&gt;0),R131/(6*$N$3*1000000*$N$5)*(IF(N131&lt;($N$4*1/10),($N$4*1/10)*(MIN(O131,($N$4*1/10))^3-N131^3)-(MIN(O131,($N$4*1/10))^4-N131^4)/4,0)+IF(O131&gt;($N$4*1/10),($N$4*1/10)^2*(1.5*(O131^2-MAX(N131,($N$4*1/10))^2)-($N$4*1/10)*(O131-MAX(N131,($N$4*1/10)))),0))*1000,0)</f>
        <v>0</v>
      </c>
      <c r="AO131" s="120">
        <f>IF(AND(V131="OK",ISNUMBER($N$5),$N$5&gt;0,ISNUMBER($N$3),$N$3&gt;0),R131/(6*$N$3*1000000*$N$5)*(IF(N131&lt;($N$4*2/10),($N$4*2/10)*(MIN(O131,($N$4*2/10))^3-N131^3)-(MIN(O131,($N$4*2/10))^4-N131^4)/4,0)+IF(O131&gt;($N$4*2/10),($N$4*2/10)^2*(1.5*(O131^2-MAX(N131,($N$4*2/10))^2)-($N$4*2/10)*(O131-MAX(N131,($N$4*2/10)))),0))*1000,0)</f>
        <v>0</v>
      </c>
      <c r="AP131" s="120">
        <f>IF(AND(V131="OK",ISNUMBER($N$5),$N$5&gt;0,ISNUMBER($N$3),$N$3&gt;0),R131/(6*$N$3*1000000*$N$5)*(IF(N131&lt;($N$4*3/10),($N$4*3/10)*(MIN(O131,($N$4*3/10))^3-N131^3)-(MIN(O131,($N$4*3/10))^4-N131^4)/4,0)+IF(O131&gt;($N$4*3/10),($N$4*3/10)^2*(1.5*(O131^2-MAX(N131,($N$4*3/10))^2)-($N$4*3/10)*(O131-MAX(N131,($N$4*3/10)))),0))*1000,0)</f>
        <v>0</v>
      </c>
      <c r="AQ131" s="120">
        <f>IF(AND(V131="OK",ISNUMBER($N$5),$N$5&gt;0,ISNUMBER($N$3),$N$3&gt;0),R131/(6*$N$3*1000000*$N$5)*(IF(N131&lt;($N$4*4/10),($N$4*4/10)*(MIN(O131,($N$4*4/10))^3-N131^3)-(MIN(O131,($N$4*4/10))^4-N131^4)/4,0)+IF(O131&gt;($N$4*4/10),($N$4*4/10)^2*(1.5*(O131^2-MAX(N131,($N$4*4/10))^2)-($N$4*4/10)*(O131-MAX(N131,($N$4*4/10)))),0))*1000,0)</f>
        <v>0</v>
      </c>
      <c r="AR131" s="120">
        <f>IF(AND(V131="OK",ISNUMBER($N$5),$N$5&gt;0,ISNUMBER($N$3),$N$3&gt;0),R131/(6*$N$3*1000000*$N$5)*(IF(N131&lt;($N$4*5/10),($N$4*5/10)*(MIN(O131,($N$4*5/10))^3-N131^3)-(MIN(O131,($N$4*5/10))^4-N131^4)/4,0)+IF(O131&gt;($N$4*5/10),($N$4*5/10)^2*(1.5*(O131^2-MAX(N131,($N$4*5/10))^2)-($N$4*5/10)*(O131-MAX(N131,($N$4*5/10)))),0))*1000,0)</f>
        <v>0</v>
      </c>
      <c r="AS131" s="120">
        <f>IF(AND(V131="OK",ISNUMBER($N$5),$N$5&gt;0,ISNUMBER($N$3),$N$3&gt;0),R131/(6*$N$3*1000000*$N$5)*(IF(N131&lt;($N$4*6/10),($N$4*6/10)*(MIN(O131,($N$4*6/10))^3-N131^3)-(MIN(O131,($N$4*6/10))^4-N131^4)/4,0)+IF(O131&gt;($N$4*6/10),($N$4*6/10)^2*(1.5*(O131^2-MAX(N131,($N$4*6/10))^2)-($N$4*6/10)*(O131-MAX(N131,($N$4*6/10)))),0))*1000,0)</f>
        <v>0</v>
      </c>
      <c r="AT131" s="120">
        <f>IF(AND(V131="OK",ISNUMBER($N$5),$N$5&gt;0,ISNUMBER($N$3),$N$3&gt;0),R131/(6*$N$3*1000000*$N$5)*(IF(N131&lt;($N$4*7/10),($N$4*7/10)*(MIN(O131,($N$4*7/10))^3-N131^3)-(MIN(O131,($N$4*7/10))^4-N131^4)/4,0)+IF(O131&gt;($N$4*7/10),($N$4*7/10)^2*(1.5*(O131^2-MAX(N131,($N$4*7/10))^2)-($N$4*7/10)*(O131-MAX(N131,($N$4*7/10)))),0))*1000,0)</f>
        <v>0</v>
      </c>
      <c r="AU131" s="120">
        <f>IF(AND(V131="OK",ISNUMBER($N$5),$N$5&gt;0,ISNUMBER($N$3),$N$3&gt;0),R131/(6*$N$3*1000000*$N$5)*(IF(N131&lt;($N$4*8/10),($N$4*8/10)*(MIN(O131,($N$4*8/10))^3-N131^3)-(MIN(O131,($N$4*8/10))^4-N131^4)/4,0)+IF(O131&gt;($N$4*8/10),($N$4*8/10)^2*(1.5*(O131^2-MAX(N131,($N$4*8/10))^2)-($N$4*8/10)*(O131-MAX(N131,($N$4*8/10)))),0))*1000,0)</f>
        <v>0</v>
      </c>
      <c r="AV131" s="120">
        <f>IF(AND(V131="OK",ISNUMBER($N$5),$N$5&gt;0,ISNUMBER($N$3),$N$3&gt;0),R131/(6*$N$3*1000000*$N$5)*(IF(N131&lt;($N$4*9/10),($N$4*9/10)*(MIN(O131,($N$4*9/10))^3-N131^3)-(MIN(O131,($N$4*9/10))^4-N131^4)/4,0)+IF(O131&gt;($N$4*9/10),($N$4*9/10)^2*(1.5*(O131^2-MAX(N131,($N$4*9/10))^2)-($N$4*9/10)*(O131-MAX(N131,($N$4*9/10)))),0))*1000,0)</f>
        <v>0</v>
      </c>
      <c r="AW131" s="120">
        <f>IF(AND(V131="OK",ISNUMBER($N$5),$N$5&gt;0,ISNUMBER($N$3),$N$3&gt;0),R131/(6*$N$3*1000000*$N$5)*(IF(N131&lt;($N$4*10/10),($N$4*10/10)*(MIN(O131,($N$4*10/10))^3-N131^3)-(MIN(O131,($N$4*10/10))^4-N131^4)/4,0)+IF(O131&gt;($N$4*10/10),($N$4*10/10)^2*(1.5*(O131^2-MAX(N131,($N$4*10/10))^2)-($N$4*10/10)*(O131-MAX(N131,($N$4*10/10)))),0))*1000,0)</f>
        <v>0</v>
      </c>
    </row>
    <row r="132" spans="1:49">
      <c r="A132" s="124"/>
      <c r="B132" s="125"/>
      <c r="C132" s="125"/>
      <c r="D132" s="125"/>
      <c r="E132" s="125"/>
      <c r="F132" s="126" t="str">
        <f>IF(J132="OK",D132*E132,"")</f>
        <v/>
      </c>
      <c r="G132" s="126" t="str">
        <f>IF(J132="OK",F132*(C132-B132),"")</f>
        <v/>
      </c>
      <c r="H132" s="126" t="str">
        <f>IF(J132="OK",G132*(C132+B132)/2,"")</f>
        <v/>
      </c>
      <c r="I132" s="126" t="str">
        <f>IF(AND(J132="OK",ISNUMBER($B$5),$B$5&gt;0,ISNUMBER($B$3),$B$3&gt;0),F132*(4*$B$4*(C132^3-B132^3)-(C132^4-B132^4))/(24*$B$3*1000000*$B$5)*1000,"")</f>
        <v/>
      </c>
      <c r="J132" s="120" t="str">
        <f>IF(COUNTA(A132:E132)=0,"",IF(AND(COUNT(B132:E132)=4,B132&gt;=0,C132&gt;B132,C132&lt;=$B$4,D132&gt;=0,E132&gt;0),IF(COUNTIFS($B$13:$B$131,"&lt;"&amp;C132,$C$13:$C$131,"&gt;"&amp;B132)&gt;0,"OVERLAP","OK"),"CHECK INPUTS"))</f>
        <v/>
      </c>
      <c r="M132" s="124"/>
      <c r="N132" s="125"/>
      <c r="O132" s="125"/>
      <c r="P132" s="125"/>
      <c r="Q132" s="125"/>
      <c r="R132" s="126" t="str">
        <f>IF(V132="OK",P132*Q132,"")</f>
        <v/>
      </c>
      <c r="S132" s="126" t="str">
        <f>IF(V132="OK",R132*(O132-N132),"")</f>
        <v/>
      </c>
      <c r="T132" s="126" t="str">
        <f>IF(V132="OK",S132*(O132+N132)/2,"")</f>
        <v/>
      </c>
      <c r="U132" s="126" t="str">
        <f>IF(AND(V132="OK",ISNUMBER($N$5),$N$5&gt;0,ISNUMBER($N$3),$N$3&gt;0),R132*(4*$N$4*(O132^3-N132^3)-(O132^4-N132^4))/(24*$N$3*1000000*$N$5)*1000,"")</f>
        <v/>
      </c>
      <c r="V132" s="120" t="str">
        <f>IF(COUNTA(M132:Q132)=0,"",IF(AND(COUNT(N132:Q132)=4,N132&gt;=0,O132&gt;N132,O132&lt;=$N$4,P132&gt;=0,Q132&gt;0),IF(COUNTIFS($N$13:$N$131,"&lt;"&amp;O132,$O$13:$O$131,"&gt;"&amp;N132)&gt;0,"OVERLAP","OK"),"CHECK INPUTS"))</f>
        <v/>
      </c>
      <c r="AA132" s="120">
        <f>IF(AND(J132="OK",ISNUMBER($B$5),$B$5&gt;0,ISNUMBER($B$3),$B$3&gt;0),F132/(6*$B$3*1000000*$B$5)*(IF(B132&lt;($B$4*0/10),($B$4*0/10)*(MIN(C132,($B$4*0/10))^3-B132^3)-(MIN(C132,($B$4*0/10))^4-B132^4)/4,0)+IF(C132&gt;($B$4*0/10),($B$4*0/10)^2*(1.5*(C132^2-MAX(B132,($B$4*0/10))^2)-($B$4*0/10)*(C132-MAX(B132,($B$4*0/10)))),0))*1000,0)</f>
        <v>0</v>
      </c>
      <c r="AB132" s="120">
        <f>IF(AND(J132="OK",ISNUMBER($B$5),$B$5&gt;0,ISNUMBER($B$3),$B$3&gt;0),F132/(6*$B$3*1000000*$B$5)*(IF(B132&lt;($B$4*1/10),($B$4*1/10)*(MIN(C132,($B$4*1/10))^3-B132^3)-(MIN(C132,($B$4*1/10))^4-B132^4)/4,0)+IF(C132&gt;($B$4*1/10),($B$4*1/10)^2*(1.5*(C132^2-MAX(B132,($B$4*1/10))^2)-($B$4*1/10)*(C132-MAX(B132,($B$4*1/10)))),0))*1000,0)</f>
        <v>0</v>
      </c>
      <c r="AC132" s="120">
        <f>IF(AND(J132="OK",ISNUMBER($B$5),$B$5&gt;0,ISNUMBER($B$3),$B$3&gt;0),F132/(6*$B$3*1000000*$B$5)*(IF(B132&lt;($B$4*2/10),($B$4*2/10)*(MIN(C132,($B$4*2/10))^3-B132^3)-(MIN(C132,($B$4*2/10))^4-B132^4)/4,0)+IF(C132&gt;($B$4*2/10),($B$4*2/10)^2*(1.5*(C132^2-MAX(B132,($B$4*2/10))^2)-($B$4*2/10)*(C132-MAX(B132,($B$4*2/10)))),0))*1000,0)</f>
        <v>0</v>
      </c>
      <c r="AD132" s="120">
        <f>IF(AND(J132="OK",ISNUMBER($B$5),$B$5&gt;0,ISNUMBER($B$3),$B$3&gt;0),F132/(6*$B$3*1000000*$B$5)*(IF(B132&lt;($B$4*3/10),($B$4*3/10)*(MIN(C132,($B$4*3/10))^3-B132^3)-(MIN(C132,($B$4*3/10))^4-B132^4)/4,0)+IF(C132&gt;($B$4*3/10),($B$4*3/10)^2*(1.5*(C132^2-MAX(B132,($B$4*3/10))^2)-($B$4*3/10)*(C132-MAX(B132,($B$4*3/10)))),0))*1000,0)</f>
        <v>0</v>
      </c>
      <c r="AE132" s="120">
        <f>IF(AND(J132="OK",ISNUMBER($B$5),$B$5&gt;0,ISNUMBER($B$3),$B$3&gt;0),F132/(6*$B$3*1000000*$B$5)*(IF(B132&lt;($B$4*4/10),($B$4*4/10)*(MIN(C132,($B$4*4/10))^3-B132^3)-(MIN(C132,($B$4*4/10))^4-B132^4)/4,0)+IF(C132&gt;($B$4*4/10),($B$4*4/10)^2*(1.5*(C132^2-MAX(B132,($B$4*4/10))^2)-($B$4*4/10)*(C132-MAX(B132,($B$4*4/10)))),0))*1000,0)</f>
        <v>0</v>
      </c>
      <c r="AF132" s="120">
        <f>IF(AND(J132="OK",ISNUMBER($B$5),$B$5&gt;0,ISNUMBER($B$3),$B$3&gt;0),F132/(6*$B$3*1000000*$B$5)*(IF(B132&lt;($B$4*5/10),($B$4*5/10)*(MIN(C132,($B$4*5/10))^3-B132^3)-(MIN(C132,($B$4*5/10))^4-B132^4)/4,0)+IF(C132&gt;($B$4*5/10),($B$4*5/10)^2*(1.5*(C132^2-MAX(B132,($B$4*5/10))^2)-($B$4*5/10)*(C132-MAX(B132,($B$4*5/10)))),0))*1000,0)</f>
        <v>0</v>
      </c>
      <c r="AG132" s="120">
        <f>IF(AND(J132="OK",ISNUMBER($B$5),$B$5&gt;0,ISNUMBER($B$3),$B$3&gt;0),F132/(6*$B$3*1000000*$B$5)*(IF(B132&lt;($B$4*6/10),($B$4*6/10)*(MIN(C132,($B$4*6/10))^3-B132^3)-(MIN(C132,($B$4*6/10))^4-B132^4)/4,0)+IF(C132&gt;($B$4*6/10),($B$4*6/10)^2*(1.5*(C132^2-MAX(B132,($B$4*6/10))^2)-($B$4*6/10)*(C132-MAX(B132,($B$4*6/10)))),0))*1000,0)</f>
        <v>0</v>
      </c>
      <c r="AH132" s="120">
        <f>IF(AND(J132="OK",ISNUMBER($B$5),$B$5&gt;0,ISNUMBER($B$3),$B$3&gt;0),F132/(6*$B$3*1000000*$B$5)*(IF(B132&lt;($B$4*7/10),($B$4*7/10)*(MIN(C132,($B$4*7/10))^3-B132^3)-(MIN(C132,($B$4*7/10))^4-B132^4)/4,0)+IF(C132&gt;($B$4*7/10),($B$4*7/10)^2*(1.5*(C132^2-MAX(B132,($B$4*7/10))^2)-($B$4*7/10)*(C132-MAX(B132,($B$4*7/10)))),0))*1000,0)</f>
        <v>0</v>
      </c>
      <c r="AI132" s="120">
        <f>IF(AND(J132="OK",ISNUMBER($B$5),$B$5&gt;0,ISNUMBER($B$3),$B$3&gt;0),F132/(6*$B$3*1000000*$B$5)*(IF(B132&lt;($B$4*8/10),($B$4*8/10)*(MIN(C132,($B$4*8/10))^3-B132^3)-(MIN(C132,($B$4*8/10))^4-B132^4)/4,0)+IF(C132&gt;($B$4*8/10),($B$4*8/10)^2*(1.5*(C132^2-MAX(B132,($B$4*8/10))^2)-($B$4*8/10)*(C132-MAX(B132,($B$4*8/10)))),0))*1000,0)</f>
        <v>0</v>
      </c>
      <c r="AJ132" s="120">
        <f>IF(AND(J132="OK",ISNUMBER($B$5),$B$5&gt;0,ISNUMBER($B$3),$B$3&gt;0),F132/(6*$B$3*1000000*$B$5)*(IF(B132&lt;($B$4*9/10),($B$4*9/10)*(MIN(C132,($B$4*9/10))^3-B132^3)-(MIN(C132,($B$4*9/10))^4-B132^4)/4,0)+IF(C132&gt;($B$4*9/10),($B$4*9/10)^2*(1.5*(C132^2-MAX(B132,($B$4*9/10))^2)-($B$4*9/10)*(C132-MAX(B132,($B$4*9/10)))),0))*1000,0)</f>
        <v>0</v>
      </c>
      <c r="AK132" s="120">
        <f>IF(AND(J132="OK",ISNUMBER($B$5),$B$5&gt;0,ISNUMBER($B$3),$B$3&gt;0),F132/(6*$B$3*1000000*$B$5)*(IF(B132&lt;($B$4*10/10),($B$4*10/10)*(MIN(C132,($B$4*10/10))^3-B132^3)-(MIN(C132,($B$4*10/10))^4-B132^4)/4,0)+IF(C132&gt;($B$4*10/10),($B$4*10/10)^2*(1.5*(C132^2-MAX(B132,($B$4*10/10))^2)-($B$4*10/10)*(C132-MAX(B132,($B$4*10/10)))),0))*1000,0)</f>
        <v>0</v>
      </c>
      <c r="AM132" s="120">
        <f>IF(AND(V132="OK",ISNUMBER($N$5),$N$5&gt;0,ISNUMBER($N$3),$N$3&gt;0),R132/(6*$N$3*1000000*$N$5)*(IF(N132&lt;($N$4*0/10),($N$4*0/10)*(MIN(O132,($N$4*0/10))^3-N132^3)-(MIN(O132,($N$4*0/10))^4-N132^4)/4,0)+IF(O132&gt;($N$4*0/10),($N$4*0/10)^2*(1.5*(O132^2-MAX(N132,($N$4*0/10))^2)-($N$4*0/10)*(O132-MAX(N132,($N$4*0/10)))),0))*1000,0)</f>
        <v>0</v>
      </c>
      <c r="AN132" s="120">
        <f>IF(AND(V132="OK",ISNUMBER($N$5),$N$5&gt;0,ISNUMBER($N$3),$N$3&gt;0),R132/(6*$N$3*1000000*$N$5)*(IF(N132&lt;($N$4*1/10),($N$4*1/10)*(MIN(O132,($N$4*1/10))^3-N132^3)-(MIN(O132,($N$4*1/10))^4-N132^4)/4,0)+IF(O132&gt;($N$4*1/10),($N$4*1/10)^2*(1.5*(O132^2-MAX(N132,($N$4*1/10))^2)-($N$4*1/10)*(O132-MAX(N132,($N$4*1/10)))),0))*1000,0)</f>
        <v>0</v>
      </c>
      <c r="AO132" s="120">
        <f>IF(AND(V132="OK",ISNUMBER($N$5),$N$5&gt;0,ISNUMBER($N$3),$N$3&gt;0),R132/(6*$N$3*1000000*$N$5)*(IF(N132&lt;($N$4*2/10),($N$4*2/10)*(MIN(O132,($N$4*2/10))^3-N132^3)-(MIN(O132,($N$4*2/10))^4-N132^4)/4,0)+IF(O132&gt;($N$4*2/10),($N$4*2/10)^2*(1.5*(O132^2-MAX(N132,($N$4*2/10))^2)-($N$4*2/10)*(O132-MAX(N132,($N$4*2/10)))),0))*1000,0)</f>
        <v>0</v>
      </c>
      <c r="AP132" s="120">
        <f>IF(AND(V132="OK",ISNUMBER($N$5),$N$5&gt;0,ISNUMBER($N$3),$N$3&gt;0),R132/(6*$N$3*1000000*$N$5)*(IF(N132&lt;($N$4*3/10),($N$4*3/10)*(MIN(O132,($N$4*3/10))^3-N132^3)-(MIN(O132,($N$4*3/10))^4-N132^4)/4,0)+IF(O132&gt;($N$4*3/10),($N$4*3/10)^2*(1.5*(O132^2-MAX(N132,($N$4*3/10))^2)-($N$4*3/10)*(O132-MAX(N132,($N$4*3/10)))),0))*1000,0)</f>
        <v>0</v>
      </c>
      <c r="AQ132" s="120">
        <f>IF(AND(V132="OK",ISNUMBER($N$5),$N$5&gt;0,ISNUMBER($N$3),$N$3&gt;0),R132/(6*$N$3*1000000*$N$5)*(IF(N132&lt;($N$4*4/10),($N$4*4/10)*(MIN(O132,($N$4*4/10))^3-N132^3)-(MIN(O132,($N$4*4/10))^4-N132^4)/4,0)+IF(O132&gt;($N$4*4/10),($N$4*4/10)^2*(1.5*(O132^2-MAX(N132,($N$4*4/10))^2)-($N$4*4/10)*(O132-MAX(N132,($N$4*4/10)))),0))*1000,0)</f>
        <v>0</v>
      </c>
      <c r="AR132" s="120">
        <f>IF(AND(V132="OK",ISNUMBER($N$5),$N$5&gt;0,ISNUMBER($N$3),$N$3&gt;0),R132/(6*$N$3*1000000*$N$5)*(IF(N132&lt;($N$4*5/10),($N$4*5/10)*(MIN(O132,($N$4*5/10))^3-N132^3)-(MIN(O132,($N$4*5/10))^4-N132^4)/4,0)+IF(O132&gt;($N$4*5/10),($N$4*5/10)^2*(1.5*(O132^2-MAX(N132,($N$4*5/10))^2)-($N$4*5/10)*(O132-MAX(N132,($N$4*5/10)))),0))*1000,0)</f>
        <v>0</v>
      </c>
      <c r="AS132" s="120">
        <f>IF(AND(V132="OK",ISNUMBER($N$5),$N$5&gt;0,ISNUMBER($N$3),$N$3&gt;0),R132/(6*$N$3*1000000*$N$5)*(IF(N132&lt;($N$4*6/10),($N$4*6/10)*(MIN(O132,($N$4*6/10))^3-N132^3)-(MIN(O132,($N$4*6/10))^4-N132^4)/4,0)+IF(O132&gt;($N$4*6/10),($N$4*6/10)^2*(1.5*(O132^2-MAX(N132,($N$4*6/10))^2)-($N$4*6/10)*(O132-MAX(N132,($N$4*6/10)))),0))*1000,0)</f>
        <v>0</v>
      </c>
      <c r="AT132" s="120">
        <f>IF(AND(V132="OK",ISNUMBER($N$5),$N$5&gt;0,ISNUMBER($N$3),$N$3&gt;0),R132/(6*$N$3*1000000*$N$5)*(IF(N132&lt;($N$4*7/10),($N$4*7/10)*(MIN(O132,($N$4*7/10))^3-N132^3)-(MIN(O132,($N$4*7/10))^4-N132^4)/4,0)+IF(O132&gt;($N$4*7/10),($N$4*7/10)^2*(1.5*(O132^2-MAX(N132,($N$4*7/10))^2)-($N$4*7/10)*(O132-MAX(N132,($N$4*7/10)))),0))*1000,0)</f>
        <v>0</v>
      </c>
      <c r="AU132" s="120">
        <f>IF(AND(V132="OK",ISNUMBER($N$5),$N$5&gt;0,ISNUMBER($N$3),$N$3&gt;0),R132/(6*$N$3*1000000*$N$5)*(IF(N132&lt;($N$4*8/10),($N$4*8/10)*(MIN(O132,($N$4*8/10))^3-N132^3)-(MIN(O132,($N$4*8/10))^4-N132^4)/4,0)+IF(O132&gt;($N$4*8/10),($N$4*8/10)^2*(1.5*(O132^2-MAX(N132,($N$4*8/10))^2)-($N$4*8/10)*(O132-MAX(N132,($N$4*8/10)))),0))*1000,0)</f>
        <v>0</v>
      </c>
      <c r="AV132" s="120">
        <f>IF(AND(V132="OK",ISNUMBER($N$5),$N$5&gt;0,ISNUMBER($N$3),$N$3&gt;0),R132/(6*$N$3*1000000*$N$5)*(IF(N132&lt;($N$4*9/10),($N$4*9/10)*(MIN(O132,($N$4*9/10))^3-N132^3)-(MIN(O132,($N$4*9/10))^4-N132^4)/4,0)+IF(O132&gt;($N$4*9/10),($N$4*9/10)^2*(1.5*(O132^2-MAX(N132,($N$4*9/10))^2)-($N$4*9/10)*(O132-MAX(N132,($N$4*9/10)))),0))*1000,0)</f>
        <v>0</v>
      </c>
      <c r="AW132" s="120">
        <f>IF(AND(V132="OK",ISNUMBER($N$5),$N$5&gt;0,ISNUMBER($N$3),$N$3&gt;0),R132/(6*$N$3*1000000*$N$5)*(IF(N132&lt;($N$4*10/10),($N$4*10/10)*(MIN(O132,($N$4*10/10))^3-N132^3)-(MIN(O132,($N$4*10/10))^4-N132^4)/4,0)+IF(O132&gt;($N$4*10/10),($N$4*10/10)^2*(1.5*(O132^2-MAX(N132,($N$4*10/10))^2)-($N$4*10/10)*(O132-MAX(N132,($N$4*10/10)))),0))*1000,0)</f>
        <v>0</v>
      </c>
    </row>
    <row r="133" spans="1:49">
      <c r="A133" s="124"/>
      <c r="B133" s="125"/>
      <c r="C133" s="125"/>
      <c r="D133" s="125"/>
      <c r="E133" s="125"/>
      <c r="F133" s="126" t="str">
        <f>IF(J133="OK",D133*E133,"")</f>
        <v/>
      </c>
      <c r="G133" s="126" t="str">
        <f>IF(J133="OK",F133*(C133-B133),"")</f>
        <v/>
      </c>
      <c r="H133" s="126" t="str">
        <f>IF(J133="OK",G133*(C133+B133)/2,"")</f>
        <v/>
      </c>
      <c r="I133" s="126" t="str">
        <f>IF(AND(J133="OK",ISNUMBER($B$5),$B$5&gt;0,ISNUMBER($B$3),$B$3&gt;0),F133*(4*$B$4*(C133^3-B133^3)-(C133^4-B133^4))/(24*$B$3*1000000*$B$5)*1000,"")</f>
        <v/>
      </c>
      <c r="J133" s="120" t="str">
        <f>IF(COUNTA(A133:E133)=0,"",IF(AND(COUNT(B133:E133)=4,B133&gt;=0,C133&gt;B133,C133&lt;=$B$4,D133&gt;=0,E133&gt;0),IF(COUNTIFS($B$13:$B$132,"&lt;"&amp;C133,$C$13:$C$132,"&gt;"&amp;B133)&gt;0,"OVERLAP","OK"),"CHECK INPUTS"))</f>
        <v/>
      </c>
      <c r="M133" s="124"/>
      <c r="N133" s="125"/>
      <c r="O133" s="125"/>
      <c r="P133" s="125"/>
      <c r="Q133" s="125"/>
      <c r="R133" s="126" t="str">
        <f>IF(V133="OK",P133*Q133,"")</f>
        <v/>
      </c>
      <c r="S133" s="126" t="str">
        <f>IF(V133="OK",R133*(O133-N133),"")</f>
        <v/>
      </c>
      <c r="T133" s="126" t="str">
        <f>IF(V133="OK",S133*(O133+N133)/2,"")</f>
        <v/>
      </c>
      <c r="U133" s="126" t="str">
        <f>IF(AND(V133="OK",ISNUMBER($N$5),$N$5&gt;0,ISNUMBER($N$3),$N$3&gt;0),R133*(4*$N$4*(O133^3-N133^3)-(O133^4-N133^4))/(24*$N$3*1000000*$N$5)*1000,"")</f>
        <v/>
      </c>
      <c r="V133" s="120" t="str">
        <f>IF(COUNTA(M133:Q133)=0,"",IF(AND(COUNT(N133:Q133)=4,N133&gt;=0,O133&gt;N133,O133&lt;=$N$4,P133&gt;=0,Q133&gt;0),IF(COUNTIFS($N$13:$N$132,"&lt;"&amp;O133,$O$13:$O$132,"&gt;"&amp;N133)&gt;0,"OVERLAP","OK"),"CHECK INPUTS"))</f>
        <v/>
      </c>
      <c r="AA133" s="120">
        <f>IF(AND(J133="OK",ISNUMBER($B$5),$B$5&gt;0,ISNUMBER($B$3),$B$3&gt;0),F133/(6*$B$3*1000000*$B$5)*(IF(B133&lt;($B$4*0/10),($B$4*0/10)*(MIN(C133,($B$4*0/10))^3-B133^3)-(MIN(C133,($B$4*0/10))^4-B133^4)/4,0)+IF(C133&gt;($B$4*0/10),($B$4*0/10)^2*(1.5*(C133^2-MAX(B133,($B$4*0/10))^2)-($B$4*0/10)*(C133-MAX(B133,($B$4*0/10)))),0))*1000,0)</f>
        <v>0</v>
      </c>
      <c r="AB133" s="120">
        <f>IF(AND(J133="OK",ISNUMBER($B$5),$B$5&gt;0,ISNUMBER($B$3),$B$3&gt;0),F133/(6*$B$3*1000000*$B$5)*(IF(B133&lt;($B$4*1/10),($B$4*1/10)*(MIN(C133,($B$4*1/10))^3-B133^3)-(MIN(C133,($B$4*1/10))^4-B133^4)/4,0)+IF(C133&gt;($B$4*1/10),($B$4*1/10)^2*(1.5*(C133^2-MAX(B133,($B$4*1/10))^2)-($B$4*1/10)*(C133-MAX(B133,($B$4*1/10)))),0))*1000,0)</f>
        <v>0</v>
      </c>
      <c r="AC133" s="120">
        <f>IF(AND(J133="OK",ISNUMBER($B$5),$B$5&gt;0,ISNUMBER($B$3),$B$3&gt;0),F133/(6*$B$3*1000000*$B$5)*(IF(B133&lt;($B$4*2/10),($B$4*2/10)*(MIN(C133,($B$4*2/10))^3-B133^3)-(MIN(C133,($B$4*2/10))^4-B133^4)/4,0)+IF(C133&gt;($B$4*2/10),($B$4*2/10)^2*(1.5*(C133^2-MAX(B133,($B$4*2/10))^2)-($B$4*2/10)*(C133-MAX(B133,($B$4*2/10)))),0))*1000,0)</f>
        <v>0</v>
      </c>
      <c r="AD133" s="120">
        <f>IF(AND(J133="OK",ISNUMBER($B$5),$B$5&gt;0,ISNUMBER($B$3),$B$3&gt;0),F133/(6*$B$3*1000000*$B$5)*(IF(B133&lt;($B$4*3/10),($B$4*3/10)*(MIN(C133,($B$4*3/10))^3-B133^3)-(MIN(C133,($B$4*3/10))^4-B133^4)/4,0)+IF(C133&gt;($B$4*3/10),($B$4*3/10)^2*(1.5*(C133^2-MAX(B133,($B$4*3/10))^2)-($B$4*3/10)*(C133-MAX(B133,($B$4*3/10)))),0))*1000,0)</f>
        <v>0</v>
      </c>
      <c r="AE133" s="120">
        <f>IF(AND(J133="OK",ISNUMBER($B$5),$B$5&gt;0,ISNUMBER($B$3),$B$3&gt;0),F133/(6*$B$3*1000000*$B$5)*(IF(B133&lt;($B$4*4/10),($B$4*4/10)*(MIN(C133,($B$4*4/10))^3-B133^3)-(MIN(C133,($B$4*4/10))^4-B133^4)/4,0)+IF(C133&gt;($B$4*4/10),($B$4*4/10)^2*(1.5*(C133^2-MAX(B133,($B$4*4/10))^2)-($B$4*4/10)*(C133-MAX(B133,($B$4*4/10)))),0))*1000,0)</f>
        <v>0</v>
      </c>
      <c r="AF133" s="120">
        <f>IF(AND(J133="OK",ISNUMBER($B$5),$B$5&gt;0,ISNUMBER($B$3),$B$3&gt;0),F133/(6*$B$3*1000000*$B$5)*(IF(B133&lt;($B$4*5/10),($B$4*5/10)*(MIN(C133,($B$4*5/10))^3-B133^3)-(MIN(C133,($B$4*5/10))^4-B133^4)/4,0)+IF(C133&gt;($B$4*5/10),($B$4*5/10)^2*(1.5*(C133^2-MAX(B133,($B$4*5/10))^2)-($B$4*5/10)*(C133-MAX(B133,($B$4*5/10)))),0))*1000,0)</f>
        <v>0</v>
      </c>
      <c r="AG133" s="120">
        <f>IF(AND(J133="OK",ISNUMBER($B$5),$B$5&gt;0,ISNUMBER($B$3),$B$3&gt;0),F133/(6*$B$3*1000000*$B$5)*(IF(B133&lt;($B$4*6/10),($B$4*6/10)*(MIN(C133,($B$4*6/10))^3-B133^3)-(MIN(C133,($B$4*6/10))^4-B133^4)/4,0)+IF(C133&gt;($B$4*6/10),($B$4*6/10)^2*(1.5*(C133^2-MAX(B133,($B$4*6/10))^2)-($B$4*6/10)*(C133-MAX(B133,($B$4*6/10)))),0))*1000,0)</f>
        <v>0</v>
      </c>
      <c r="AH133" s="120">
        <f>IF(AND(J133="OK",ISNUMBER($B$5),$B$5&gt;0,ISNUMBER($B$3),$B$3&gt;0),F133/(6*$B$3*1000000*$B$5)*(IF(B133&lt;($B$4*7/10),($B$4*7/10)*(MIN(C133,($B$4*7/10))^3-B133^3)-(MIN(C133,($B$4*7/10))^4-B133^4)/4,0)+IF(C133&gt;($B$4*7/10),($B$4*7/10)^2*(1.5*(C133^2-MAX(B133,($B$4*7/10))^2)-($B$4*7/10)*(C133-MAX(B133,($B$4*7/10)))),0))*1000,0)</f>
        <v>0</v>
      </c>
      <c r="AI133" s="120">
        <f>IF(AND(J133="OK",ISNUMBER($B$5),$B$5&gt;0,ISNUMBER($B$3),$B$3&gt;0),F133/(6*$B$3*1000000*$B$5)*(IF(B133&lt;($B$4*8/10),($B$4*8/10)*(MIN(C133,($B$4*8/10))^3-B133^3)-(MIN(C133,($B$4*8/10))^4-B133^4)/4,0)+IF(C133&gt;($B$4*8/10),($B$4*8/10)^2*(1.5*(C133^2-MAX(B133,($B$4*8/10))^2)-($B$4*8/10)*(C133-MAX(B133,($B$4*8/10)))),0))*1000,0)</f>
        <v>0</v>
      </c>
      <c r="AJ133" s="120">
        <f>IF(AND(J133="OK",ISNUMBER($B$5),$B$5&gt;0,ISNUMBER($B$3),$B$3&gt;0),F133/(6*$B$3*1000000*$B$5)*(IF(B133&lt;($B$4*9/10),($B$4*9/10)*(MIN(C133,($B$4*9/10))^3-B133^3)-(MIN(C133,($B$4*9/10))^4-B133^4)/4,0)+IF(C133&gt;($B$4*9/10),($B$4*9/10)^2*(1.5*(C133^2-MAX(B133,($B$4*9/10))^2)-($B$4*9/10)*(C133-MAX(B133,($B$4*9/10)))),0))*1000,0)</f>
        <v>0</v>
      </c>
      <c r="AK133" s="120">
        <f>IF(AND(J133="OK",ISNUMBER($B$5),$B$5&gt;0,ISNUMBER($B$3),$B$3&gt;0),F133/(6*$B$3*1000000*$B$5)*(IF(B133&lt;($B$4*10/10),($B$4*10/10)*(MIN(C133,($B$4*10/10))^3-B133^3)-(MIN(C133,($B$4*10/10))^4-B133^4)/4,0)+IF(C133&gt;($B$4*10/10),($B$4*10/10)^2*(1.5*(C133^2-MAX(B133,($B$4*10/10))^2)-($B$4*10/10)*(C133-MAX(B133,($B$4*10/10)))),0))*1000,0)</f>
        <v>0</v>
      </c>
      <c r="AM133" s="120">
        <f>IF(AND(V133="OK",ISNUMBER($N$5),$N$5&gt;0,ISNUMBER($N$3),$N$3&gt;0),R133/(6*$N$3*1000000*$N$5)*(IF(N133&lt;($N$4*0/10),($N$4*0/10)*(MIN(O133,($N$4*0/10))^3-N133^3)-(MIN(O133,($N$4*0/10))^4-N133^4)/4,0)+IF(O133&gt;($N$4*0/10),($N$4*0/10)^2*(1.5*(O133^2-MAX(N133,($N$4*0/10))^2)-($N$4*0/10)*(O133-MAX(N133,($N$4*0/10)))),0))*1000,0)</f>
        <v>0</v>
      </c>
      <c r="AN133" s="120">
        <f>IF(AND(V133="OK",ISNUMBER($N$5),$N$5&gt;0,ISNUMBER($N$3),$N$3&gt;0),R133/(6*$N$3*1000000*$N$5)*(IF(N133&lt;($N$4*1/10),($N$4*1/10)*(MIN(O133,($N$4*1/10))^3-N133^3)-(MIN(O133,($N$4*1/10))^4-N133^4)/4,0)+IF(O133&gt;($N$4*1/10),($N$4*1/10)^2*(1.5*(O133^2-MAX(N133,($N$4*1/10))^2)-($N$4*1/10)*(O133-MAX(N133,($N$4*1/10)))),0))*1000,0)</f>
        <v>0</v>
      </c>
      <c r="AO133" s="120">
        <f>IF(AND(V133="OK",ISNUMBER($N$5),$N$5&gt;0,ISNUMBER($N$3),$N$3&gt;0),R133/(6*$N$3*1000000*$N$5)*(IF(N133&lt;($N$4*2/10),($N$4*2/10)*(MIN(O133,($N$4*2/10))^3-N133^3)-(MIN(O133,($N$4*2/10))^4-N133^4)/4,0)+IF(O133&gt;($N$4*2/10),($N$4*2/10)^2*(1.5*(O133^2-MAX(N133,($N$4*2/10))^2)-($N$4*2/10)*(O133-MAX(N133,($N$4*2/10)))),0))*1000,0)</f>
        <v>0</v>
      </c>
      <c r="AP133" s="120">
        <f>IF(AND(V133="OK",ISNUMBER($N$5),$N$5&gt;0,ISNUMBER($N$3),$N$3&gt;0),R133/(6*$N$3*1000000*$N$5)*(IF(N133&lt;($N$4*3/10),($N$4*3/10)*(MIN(O133,($N$4*3/10))^3-N133^3)-(MIN(O133,($N$4*3/10))^4-N133^4)/4,0)+IF(O133&gt;($N$4*3/10),($N$4*3/10)^2*(1.5*(O133^2-MAX(N133,($N$4*3/10))^2)-($N$4*3/10)*(O133-MAX(N133,($N$4*3/10)))),0))*1000,0)</f>
        <v>0</v>
      </c>
      <c r="AQ133" s="120">
        <f>IF(AND(V133="OK",ISNUMBER($N$5),$N$5&gt;0,ISNUMBER($N$3),$N$3&gt;0),R133/(6*$N$3*1000000*$N$5)*(IF(N133&lt;($N$4*4/10),($N$4*4/10)*(MIN(O133,($N$4*4/10))^3-N133^3)-(MIN(O133,($N$4*4/10))^4-N133^4)/4,0)+IF(O133&gt;($N$4*4/10),($N$4*4/10)^2*(1.5*(O133^2-MAX(N133,($N$4*4/10))^2)-($N$4*4/10)*(O133-MAX(N133,($N$4*4/10)))),0))*1000,0)</f>
        <v>0</v>
      </c>
      <c r="AR133" s="120">
        <f>IF(AND(V133="OK",ISNUMBER($N$5),$N$5&gt;0,ISNUMBER($N$3),$N$3&gt;0),R133/(6*$N$3*1000000*$N$5)*(IF(N133&lt;($N$4*5/10),($N$4*5/10)*(MIN(O133,($N$4*5/10))^3-N133^3)-(MIN(O133,($N$4*5/10))^4-N133^4)/4,0)+IF(O133&gt;($N$4*5/10),($N$4*5/10)^2*(1.5*(O133^2-MAX(N133,($N$4*5/10))^2)-($N$4*5/10)*(O133-MAX(N133,($N$4*5/10)))),0))*1000,0)</f>
        <v>0</v>
      </c>
      <c r="AS133" s="120">
        <f>IF(AND(V133="OK",ISNUMBER($N$5),$N$5&gt;0,ISNUMBER($N$3),$N$3&gt;0),R133/(6*$N$3*1000000*$N$5)*(IF(N133&lt;($N$4*6/10),($N$4*6/10)*(MIN(O133,($N$4*6/10))^3-N133^3)-(MIN(O133,($N$4*6/10))^4-N133^4)/4,0)+IF(O133&gt;($N$4*6/10),($N$4*6/10)^2*(1.5*(O133^2-MAX(N133,($N$4*6/10))^2)-($N$4*6/10)*(O133-MAX(N133,($N$4*6/10)))),0))*1000,0)</f>
        <v>0</v>
      </c>
      <c r="AT133" s="120">
        <f>IF(AND(V133="OK",ISNUMBER($N$5),$N$5&gt;0,ISNUMBER($N$3),$N$3&gt;0),R133/(6*$N$3*1000000*$N$5)*(IF(N133&lt;($N$4*7/10),($N$4*7/10)*(MIN(O133,($N$4*7/10))^3-N133^3)-(MIN(O133,($N$4*7/10))^4-N133^4)/4,0)+IF(O133&gt;($N$4*7/10),($N$4*7/10)^2*(1.5*(O133^2-MAX(N133,($N$4*7/10))^2)-($N$4*7/10)*(O133-MAX(N133,($N$4*7/10)))),0))*1000,0)</f>
        <v>0</v>
      </c>
      <c r="AU133" s="120">
        <f>IF(AND(V133="OK",ISNUMBER($N$5),$N$5&gt;0,ISNUMBER($N$3),$N$3&gt;0),R133/(6*$N$3*1000000*$N$5)*(IF(N133&lt;($N$4*8/10),($N$4*8/10)*(MIN(O133,($N$4*8/10))^3-N133^3)-(MIN(O133,($N$4*8/10))^4-N133^4)/4,0)+IF(O133&gt;($N$4*8/10),($N$4*8/10)^2*(1.5*(O133^2-MAX(N133,($N$4*8/10))^2)-($N$4*8/10)*(O133-MAX(N133,($N$4*8/10)))),0))*1000,0)</f>
        <v>0</v>
      </c>
      <c r="AV133" s="120">
        <f>IF(AND(V133="OK",ISNUMBER($N$5),$N$5&gt;0,ISNUMBER($N$3),$N$3&gt;0),R133/(6*$N$3*1000000*$N$5)*(IF(N133&lt;($N$4*9/10),($N$4*9/10)*(MIN(O133,($N$4*9/10))^3-N133^3)-(MIN(O133,($N$4*9/10))^4-N133^4)/4,0)+IF(O133&gt;($N$4*9/10),($N$4*9/10)^2*(1.5*(O133^2-MAX(N133,($N$4*9/10))^2)-($N$4*9/10)*(O133-MAX(N133,($N$4*9/10)))),0))*1000,0)</f>
        <v>0</v>
      </c>
      <c r="AW133" s="120">
        <f>IF(AND(V133="OK",ISNUMBER($N$5),$N$5&gt;0,ISNUMBER($N$3),$N$3&gt;0),R133/(6*$N$3*1000000*$N$5)*(IF(N133&lt;($N$4*10/10),($N$4*10/10)*(MIN(O133,($N$4*10/10))^3-N133^3)-(MIN(O133,($N$4*10/10))^4-N133^4)/4,0)+IF(O133&gt;($N$4*10/10),($N$4*10/10)^2*(1.5*(O133^2-MAX(N133,($N$4*10/10))^2)-($N$4*10/10)*(O133-MAX(N133,($N$4*10/10)))),0))*1000,0)</f>
        <v>0</v>
      </c>
    </row>
    <row r="134" spans="1:49">
      <c r="A134" s="124"/>
      <c r="B134" s="125"/>
      <c r="C134" s="125"/>
      <c r="D134" s="125"/>
      <c r="E134" s="125"/>
      <c r="F134" s="126" t="str">
        <f>IF(J134="OK",D134*E134,"")</f>
        <v/>
      </c>
      <c r="G134" s="126" t="str">
        <f>IF(J134="OK",F134*(C134-B134),"")</f>
        <v/>
      </c>
      <c r="H134" s="126" t="str">
        <f>IF(J134="OK",G134*(C134+B134)/2,"")</f>
        <v/>
      </c>
      <c r="I134" s="126" t="str">
        <f>IF(AND(J134="OK",ISNUMBER($B$5),$B$5&gt;0,ISNUMBER($B$3),$B$3&gt;0),F134*(4*$B$4*(C134^3-B134^3)-(C134^4-B134^4))/(24*$B$3*1000000*$B$5)*1000,"")</f>
        <v/>
      </c>
      <c r="J134" s="120" t="str">
        <f>IF(COUNTA(A134:E134)=0,"",IF(AND(COUNT(B134:E134)=4,B134&gt;=0,C134&gt;B134,C134&lt;=$B$4,D134&gt;=0,E134&gt;0),IF(COUNTIFS($B$13:$B$133,"&lt;"&amp;C134,$C$13:$C$133,"&gt;"&amp;B134)&gt;0,"OVERLAP","OK"),"CHECK INPUTS"))</f>
        <v/>
      </c>
      <c r="M134" s="124"/>
      <c r="N134" s="125"/>
      <c r="O134" s="125"/>
      <c r="P134" s="125"/>
      <c r="Q134" s="125"/>
      <c r="R134" s="126" t="str">
        <f>IF(V134="OK",P134*Q134,"")</f>
        <v/>
      </c>
      <c r="S134" s="126" t="str">
        <f>IF(V134="OK",R134*(O134-N134),"")</f>
        <v/>
      </c>
      <c r="T134" s="126" t="str">
        <f>IF(V134="OK",S134*(O134+N134)/2,"")</f>
        <v/>
      </c>
      <c r="U134" s="126" t="str">
        <f>IF(AND(V134="OK",ISNUMBER($N$5),$N$5&gt;0,ISNUMBER($N$3),$N$3&gt;0),R134*(4*$N$4*(O134^3-N134^3)-(O134^4-N134^4))/(24*$N$3*1000000*$N$5)*1000,"")</f>
        <v/>
      </c>
      <c r="V134" s="120" t="str">
        <f>IF(COUNTA(M134:Q134)=0,"",IF(AND(COUNT(N134:Q134)=4,N134&gt;=0,O134&gt;N134,O134&lt;=$N$4,P134&gt;=0,Q134&gt;0),IF(COUNTIFS($N$13:$N$133,"&lt;"&amp;O134,$O$13:$O$133,"&gt;"&amp;N134)&gt;0,"OVERLAP","OK"),"CHECK INPUTS"))</f>
        <v/>
      </c>
      <c r="AA134" s="120">
        <f>IF(AND(J134="OK",ISNUMBER($B$5),$B$5&gt;0,ISNUMBER($B$3),$B$3&gt;0),F134/(6*$B$3*1000000*$B$5)*(IF(B134&lt;($B$4*0/10),($B$4*0/10)*(MIN(C134,($B$4*0/10))^3-B134^3)-(MIN(C134,($B$4*0/10))^4-B134^4)/4,0)+IF(C134&gt;($B$4*0/10),($B$4*0/10)^2*(1.5*(C134^2-MAX(B134,($B$4*0/10))^2)-($B$4*0/10)*(C134-MAX(B134,($B$4*0/10)))),0))*1000,0)</f>
        <v>0</v>
      </c>
      <c r="AB134" s="120">
        <f>IF(AND(J134="OK",ISNUMBER($B$5),$B$5&gt;0,ISNUMBER($B$3),$B$3&gt;0),F134/(6*$B$3*1000000*$B$5)*(IF(B134&lt;($B$4*1/10),($B$4*1/10)*(MIN(C134,($B$4*1/10))^3-B134^3)-(MIN(C134,($B$4*1/10))^4-B134^4)/4,0)+IF(C134&gt;($B$4*1/10),($B$4*1/10)^2*(1.5*(C134^2-MAX(B134,($B$4*1/10))^2)-($B$4*1/10)*(C134-MAX(B134,($B$4*1/10)))),0))*1000,0)</f>
        <v>0</v>
      </c>
      <c r="AC134" s="120">
        <f>IF(AND(J134="OK",ISNUMBER($B$5),$B$5&gt;0,ISNUMBER($B$3),$B$3&gt;0),F134/(6*$B$3*1000000*$B$5)*(IF(B134&lt;($B$4*2/10),($B$4*2/10)*(MIN(C134,($B$4*2/10))^3-B134^3)-(MIN(C134,($B$4*2/10))^4-B134^4)/4,0)+IF(C134&gt;($B$4*2/10),($B$4*2/10)^2*(1.5*(C134^2-MAX(B134,($B$4*2/10))^2)-($B$4*2/10)*(C134-MAX(B134,($B$4*2/10)))),0))*1000,0)</f>
        <v>0</v>
      </c>
      <c r="AD134" s="120">
        <f>IF(AND(J134="OK",ISNUMBER($B$5),$B$5&gt;0,ISNUMBER($B$3),$B$3&gt;0),F134/(6*$B$3*1000000*$B$5)*(IF(B134&lt;($B$4*3/10),($B$4*3/10)*(MIN(C134,($B$4*3/10))^3-B134^3)-(MIN(C134,($B$4*3/10))^4-B134^4)/4,0)+IF(C134&gt;($B$4*3/10),($B$4*3/10)^2*(1.5*(C134^2-MAX(B134,($B$4*3/10))^2)-($B$4*3/10)*(C134-MAX(B134,($B$4*3/10)))),0))*1000,0)</f>
        <v>0</v>
      </c>
      <c r="AE134" s="120">
        <f>IF(AND(J134="OK",ISNUMBER($B$5),$B$5&gt;0,ISNUMBER($B$3),$B$3&gt;0),F134/(6*$B$3*1000000*$B$5)*(IF(B134&lt;($B$4*4/10),($B$4*4/10)*(MIN(C134,($B$4*4/10))^3-B134^3)-(MIN(C134,($B$4*4/10))^4-B134^4)/4,0)+IF(C134&gt;($B$4*4/10),($B$4*4/10)^2*(1.5*(C134^2-MAX(B134,($B$4*4/10))^2)-($B$4*4/10)*(C134-MAX(B134,($B$4*4/10)))),0))*1000,0)</f>
        <v>0</v>
      </c>
      <c r="AF134" s="120">
        <f>IF(AND(J134="OK",ISNUMBER($B$5),$B$5&gt;0,ISNUMBER($B$3),$B$3&gt;0),F134/(6*$B$3*1000000*$B$5)*(IF(B134&lt;($B$4*5/10),($B$4*5/10)*(MIN(C134,($B$4*5/10))^3-B134^3)-(MIN(C134,($B$4*5/10))^4-B134^4)/4,0)+IF(C134&gt;($B$4*5/10),($B$4*5/10)^2*(1.5*(C134^2-MAX(B134,($B$4*5/10))^2)-($B$4*5/10)*(C134-MAX(B134,($B$4*5/10)))),0))*1000,0)</f>
        <v>0</v>
      </c>
      <c r="AG134" s="120">
        <f>IF(AND(J134="OK",ISNUMBER($B$5),$B$5&gt;0,ISNUMBER($B$3),$B$3&gt;0),F134/(6*$B$3*1000000*$B$5)*(IF(B134&lt;($B$4*6/10),($B$4*6/10)*(MIN(C134,($B$4*6/10))^3-B134^3)-(MIN(C134,($B$4*6/10))^4-B134^4)/4,0)+IF(C134&gt;($B$4*6/10),($B$4*6/10)^2*(1.5*(C134^2-MAX(B134,($B$4*6/10))^2)-($B$4*6/10)*(C134-MAX(B134,($B$4*6/10)))),0))*1000,0)</f>
        <v>0</v>
      </c>
      <c r="AH134" s="120">
        <f>IF(AND(J134="OK",ISNUMBER($B$5),$B$5&gt;0,ISNUMBER($B$3),$B$3&gt;0),F134/(6*$B$3*1000000*$B$5)*(IF(B134&lt;($B$4*7/10),($B$4*7/10)*(MIN(C134,($B$4*7/10))^3-B134^3)-(MIN(C134,($B$4*7/10))^4-B134^4)/4,0)+IF(C134&gt;($B$4*7/10),($B$4*7/10)^2*(1.5*(C134^2-MAX(B134,($B$4*7/10))^2)-($B$4*7/10)*(C134-MAX(B134,($B$4*7/10)))),0))*1000,0)</f>
        <v>0</v>
      </c>
      <c r="AI134" s="120">
        <f>IF(AND(J134="OK",ISNUMBER($B$5),$B$5&gt;0,ISNUMBER($B$3),$B$3&gt;0),F134/(6*$B$3*1000000*$B$5)*(IF(B134&lt;($B$4*8/10),($B$4*8/10)*(MIN(C134,($B$4*8/10))^3-B134^3)-(MIN(C134,($B$4*8/10))^4-B134^4)/4,0)+IF(C134&gt;($B$4*8/10),($B$4*8/10)^2*(1.5*(C134^2-MAX(B134,($B$4*8/10))^2)-($B$4*8/10)*(C134-MAX(B134,($B$4*8/10)))),0))*1000,0)</f>
        <v>0</v>
      </c>
      <c r="AJ134" s="120">
        <f>IF(AND(J134="OK",ISNUMBER($B$5),$B$5&gt;0,ISNUMBER($B$3),$B$3&gt;0),F134/(6*$B$3*1000000*$B$5)*(IF(B134&lt;($B$4*9/10),($B$4*9/10)*(MIN(C134,($B$4*9/10))^3-B134^3)-(MIN(C134,($B$4*9/10))^4-B134^4)/4,0)+IF(C134&gt;($B$4*9/10),($B$4*9/10)^2*(1.5*(C134^2-MAX(B134,($B$4*9/10))^2)-($B$4*9/10)*(C134-MAX(B134,($B$4*9/10)))),0))*1000,0)</f>
        <v>0</v>
      </c>
      <c r="AK134" s="120">
        <f>IF(AND(J134="OK",ISNUMBER($B$5),$B$5&gt;0,ISNUMBER($B$3),$B$3&gt;0),F134/(6*$B$3*1000000*$B$5)*(IF(B134&lt;($B$4*10/10),($B$4*10/10)*(MIN(C134,($B$4*10/10))^3-B134^3)-(MIN(C134,($B$4*10/10))^4-B134^4)/4,0)+IF(C134&gt;($B$4*10/10),($B$4*10/10)^2*(1.5*(C134^2-MAX(B134,($B$4*10/10))^2)-($B$4*10/10)*(C134-MAX(B134,($B$4*10/10)))),0))*1000,0)</f>
        <v>0</v>
      </c>
      <c r="AM134" s="120">
        <f>IF(AND(V134="OK",ISNUMBER($N$5),$N$5&gt;0,ISNUMBER($N$3),$N$3&gt;0),R134/(6*$N$3*1000000*$N$5)*(IF(N134&lt;($N$4*0/10),($N$4*0/10)*(MIN(O134,($N$4*0/10))^3-N134^3)-(MIN(O134,($N$4*0/10))^4-N134^4)/4,0)+IF(O134&gt;($N$4*0/10),($N$4*0/10)^2*(1.5*(O134^2-MAX(N134,($N$4*0/10))^2)-($N$4*0/10)*(O134-MAX(N134,($N$4*0/10)))),0))*1000,0)</f>
        <v>0</v>
      </c>
      <c r="AN134" s="120">
        <f>IF(AND(V134="OK",ISNUMBER($N$5),$N$5&gt;0,ISNUMBER($N$3),$N$3&gt;0),R134/(6*$N$3*1000000*$N$5)*(IF(N134&lt;($N$4*1/10),($N$4*1/10)*(MIN(O134,($N$4*1/10))^3-N134^3)-(MIN(O134,($N$4*1/10))^4-N134^4)/4,0)+IF(O134&gt;($N$4*1/10),($N$4*1/10)^2*(1.5*(O134^2-MAX(N134,($N$4*1/10))^2)-($N$4*1/10)*(O134-MAX(N134,($N$4*1/10)))),0))*1000,0)</f>
        <v>0</v>
      </c>
      <c r="AO134" s="120">
        <f>IF(AND(V134="OK",ISNUMBER($N$5),$N$5&gt;0,ISNUMBER($N$3),$N$3&gt;0),R134/(6*$N$3*1000000*$N$5)*(IF(N134&lt;($N$4*2/10),($N$4*2/10)*(MIN(O134,($N$4*2/10))^3-N134^3)-(MIN(O134,($N$4*2/10))^4-N134^4)/4,0)+IF(O134&gt;($N$4*2/10),($N$4*2/10)^2*(1.5*(O134^2-MAX(N134,($N$4*2/10))^2)-($N$4*2/10)*(O134-MAX(N134,($N$4*2/10)))),0))*1000,0)</f>
        <v>0</v>
      </c>
      <c r="AP134" s="120">
        <f>IF(AND(V134="OK",ISNUMBER($N$5),$N$5&gt;0,ISNUMBER($N$3),$N$3&gt;0),R134/(6*$N$3*1000000*$N$5)*(IF(N134&lt;($N$4*3/10),($N$4*3/10)*(MIN(O134,($N$4*3/10))^3-N134^3)-(MIN(O134,($N$4*3/10))^4-N134^4)/4,0)+IF(O134&gt;($N$4*3/10),($N$4*3/10)^2*(1.5*(O134^2-MAX(N134,($N$4*3/10))^2)-($N$4*3/10)*(O134-MAX(N134,($N$4*3/10)))),0))*1000,0)</f>
        <v>0</v>
      </c>
      <c r="AQ134" s="120">
        <f>IF(AND(V134="OK",ISNUMBER($N$5),$N$5&gt;0,ISNUMBER($N$3),$N$3&gt;0),R134/(6*$N$3*1000000*$N$5)*(IF(N134&lt;($N$4*4/10),($N$4*4/10)*(MIN(O134,($N$4*4/10))^3-N134^3)-(MIN(O134,($N$4*4/10))^4-N134^4)/4,0)+IF(O134&gt;($N$4*4/10),($N$4*4/10)^2*(1.5*(O134^2-MAX(N134,($N$4*4/10))^2)-($N$4*4/10)*(O134-MAX(N134,($N$4*4/10)))),0))*1000,0)</f>
        <v>0</v>
      </c>
      <c r="AR134" s="120">
        <f>IF(AND(V134="OK",ISNUMBER($N$5),$N$5&gt;0,ISNUMBER($N$3),$N$3&gt;0),R134/(6*$N$3*1000000*$N$5)*(IF(N134&lt;($N$4*5/10),($N$4*5/10)*(MIN(O134,($N$4*5/10))^3-N134^3)-(MIN(O134,($N$4*5/10))^4-N134^4)/4,0)+IF(O134&gt;($N$4*5/10),($N$4*5/10)^2*(1.5*(O134^2-MAX(N134,($N$4*5/10))^2)-($N$4*5/10)*(O134-MAX(N134,($N$4*5/10)))),0))*1000,0)</f>
        <v>0</v>
      </c>
      <c r="AS134" s="120">
        <f>IF(AND(V134="OK",ISNUMBER($N$5),$N$5&gt;0,ISNUMBER($N$3),$N$3&gt;0),R134/(6*$N$3*1000000*$N$5)*(IF(N134&lt;($N$4*6/10),($N$4*6/10)*(MIN(O134,($N$4*6/10))^3-N134^3)-(MIN(O134,($N$4*6/10))^4-N134^4)/4,0)+IF(O134&gt;($N$4*6/10),($N$4*6/10)^2*(1.5*(O134^2-MAX(N134,($N$4*6/10))^2)-($N$4*6/10)*(O134-MAX(N134,($N$4*6/10)))),0))*1000,0)</f>
        <v>0</v>
      </c>
      <c r="AT134" s="120">
        <f>IF(AND(V134="OK",ISNUMBER($N$5),$N$5&gt;0,ISNUMBER($N$3),$N$3&gt;0),R134/(6*$N$3*1000000*$N$5)*(IF(N134&lt;($N$4*7/10),($N$4*7/10)*(MIN(O134,($N$4*7/10))^3-N134^3)-(MIN(O134,($N$4*7/10))^4-N134^4)/4,0)+IF(O134&gt;($N$4*7/10),($N$4*7/10)^2*(1.5*(O134^2-MAX(N134,($N$4*7/10))^2)-($N$4*7/10)*(O134-MAX(N134,($N$4*7/10)))),0))*1000,0)</f>
        <v>0</v>
      </c>
      <c r="AU134" s="120">
        <f>IF(AND(V134="OK",ISNUMBER($N$5),$N$5&gt;0,ISNUMBER($N$3),$N$3&gt;0),R134/(6*$N$3*1000000*$N$5)*(IF(N134&lt;($N$4*8/10),($N$4*8/10)*(MIN(O134,($N$4*8/10))^3-N134^3)-(MIN(O134,($N$4*8/10))^4-N134^4)/4,0)+IF(O134&gt;($N$4*8/10),($N$4*8/10)^2*(1.5*(O134^2-MAX(N134,($N$4*8/10))^2)-($N$4*8/10)*(O134-MAX(N134,($N$4*8/10)))),0))*1000,0)</f>
        <v>0</v>
      </c>
      <c r="AV134" s="120">
        <f>IF(AND(V134="OK",ISNUMBER($N$5),$N$5&gt;0,ISNUMBER($N$3),$N$3&gt;0),R134/(6*$N$3*1000000*$N$5)*(IF(N134&lt;($N$4*9/10),($N$4*9/10)*(MIN(O134,($N$4*9/10))^3-N134^3)-(MIN(O134,($N$4*9/10))^4-N134^4)/4,0)+IF(O134&gt;($N$4*9/10),($N$4*9/10)^2*(1.5*(O134^2-MAX(N134,($N$4*9/10))^2)-($N$4*9/10)*(O134-MAX(N134,($N$4*9/10)))),0))*1000,0)</f>
        <v>0</v>
      </c>
      <c r="AW134" s="120">
        <f>IF(AND(V134="OK",ISNUMBER($N$5),$N$5&gt;0,ISNUMBER($N$3),$N$3&gt;0),R134/(6*$N$3*1000000*$N$5)*(IF(N134&lt;($N$4*10/10),($N$4*10/10)*(MIN(O134,($N$4*10/10))^3-N134^3)-(MIN(O134,($N$4*10/10))^4-N134^4)/4,0)+IF(O134&gt;($N$4*10/10),($N$4*10/10)^2*(1.5*(O134^2-MAX(N134,($N$4*10/10))^2)-($N$4*10/10)*(O134-MAX(N134,($N$4*10/10)))),0))*1000,0)</f>
        <v>0</v>
      </c>
    </row>
    <row r="135" spans="1:49">
      <c r="A135" s="124"/>
      <c r="B135" s="125"/>
      <c r="C135" s="125"/>
      <c r="D135" s="125"/>
      <c r="E135" s="125"/>
      <c r="F135" s="126" t="str">
        <f>IF(J135="OK",D135*E135,"")</f>
        <v/>
      </c>
      <c r="G135" s="126" t="str">
        <f>IF(J135="OK",F135*(C135-B135),"")</f>
        <v/>
      </c>
      <c r="H135" s="126" t="str">
        <f>IF(J135="OK",G135*(C135+B135)/2,"")</f>
        <v/>
      </c>
      <c r="I135" s="126" t="str">
        <f>IF(AND(J135="OK",ISNUMBER($B$5),$B$5&gt;0,ISNUMBER($B$3),$B$3&gt;0),F135*(4*$B$4*(C135^3-B135^3)-(C135^4-B135^4))/(24*$B$3*1000000*$B$5)*1000,"")</f>
        <v/>
      </c>
      <c r="J135" s="120" t="str">
        <f>IF(COUNTA(A135:E135)=0,"",IF(AND(COUNT(B135:E135)=4,B135&gt;=0,C135&gt;B135,C135&lt;=$B$4,D135&gt;=0,E135&gt;0),IF(COUNTIFS($B$13:$B$134,"&lt;"&amp;C135,$C$13:$C$134,"&gt;"&amp;B135)&gt;0,"OVERLAP","OK"),"CHECK INPUTS"))</f>
        <v/>
      </c>
      <c r="M135" s="124"/>
      <c r="N135" s="125"/>
      <c r="O135" s="125"/>
      <c r="P135" s="125"/>
      <c r="Q135" s="125"/>
      <c r="R135" s="126" t="str">
        <f>IF(V135="OK",P135*Q135,"")</f>
        <v/>
      </c>
      <c r="S135" s="126" t="str">
        <f>IF(V135="OK",R135*(O135-N135),"")</f>
        <v/>
      </c>
      <c r="T135" s="126" t="str">
        <f>IF(V135="OK",S135*(O135+N135)/2,"")</f>
        <v/>
      </c>
      <c r="U135" s="126" t="str">
        <f>IF(AND(V135="OK",ISNUMBER($N$5),$N$5&gt;0,ISNUMBER($N$3),$N$3&gt;0),R135*(4*$N$4*(O135^3-N135^3)-(O135^4-N135^4))/(24*$N$3*1000000*$N$5)*1000,"")</f>
        <v/>
      </c>
      <c r="V135" s="120" t="str">
        <f>IF(COUNTA(M135:Q135)=0,"",IF(AND(COUNT(N135:Q135)=4,N135&gt;=0,O135&gt;N135,O135&lt;=$N$4,P135&gt;=0,Q135&gt;0),IF(COUNTIFS($N$13:$N$134,"&lt;"&amp;O135,$O$13:$O$134,"&gt;"&amp;N135)&gt;0,"OVERLAP","OK"),"CHECK INPUTS"))</f>
        <v/>
      </c>
      <c r="AA135" s="120">
        <f>IF(AND(J135="OK",ISNUMBER($B$5),$B$5&gt;0,ISNUMBER($B$3),$B$3&gt;0),F135/(6*$B$3*1000000*$B$5)*(IF(B135&lt;($B$4*0/10),($B$4*0/10)*(MIN(C135,($B$4*0/10))^3-B135^3)-(MIN(C135,($B$4*0/10))^4-B135^4)/4,0)+IF(C135&gt;($B$4*0/10),($B$4*0/10)^2*(1.5*(C135^2-MAX(B135,($B$4*0/10))^2)-($B$4*0/10)*(C135-MAX(B135,($B$4*0/10)))),0))*1000,0)</f>
        <v>0</v>
      </c>
      <c r="AB135" s="120">
        <f>IF(AND(J135="OK",ISNUMBER($B$5),$B$5&gt;0,ISNUMBER($B$3),$B$3&gt;0),F135/(6*$B$3*1000000*$B$5)*(IF(B135&lt;($B$4*1/10),($B$4*1/10)*(MIN(C135,($B$4*1/10))^3-B135^3)-(MIN(C135,($B$4*1/10))^4-B135^4)/4,0)+IF(C135&gt;($B$4*1/10),($B$4*1/10)^2*(1.5*(C135^2-MAX(B135,($B$4*1/10))^2)-($B$4*1/10)*(C135-MAX(B135,($B$4*1/10)))),0))*1000,0)</f>
        <v>0</v>
      </c>
      <c r="AC135" s="120">
        <f>IF(AND(J135="OK",ISNUMBER($B$5),$B$5&gt;0,ISNUMBER($B$3),$B$3&gt;0),F135/(6*$B$3*1000000*$B$5)*(IF(B135&lt;($B$4*2/10),($B$4*2/10)*(MIN(C135,($B$4*2/10))^3-B135^3)-(MIN(C135,($B$4*2/10))^4-B135^4)/4,0)+IF(C135&gt;($B$4*2/10),($B$4*2/10)^2*(1.5*(C135^2-MAX(B135,($B$4*2/10))^2)-($B$4*2/10)*(C135-MAX(B135,($B$4*2/10)))),0))*1000,0)</f>
        <v>0</v>
      </c>
      <c r="AD135" s="120">
        <f>IF(AND(J135="OK",ISNUMBER($B$5),$B$5&gt;0,ISNUMBER($B$3),$B$3&gt;0),F135/(6*$B$3*1000000*$B$5)*(IF(B135&lt;($B$4*3/10),($B$4*3/10)*(MIN(C135,($B$4*3/10))^3-B135^3)-(MIN(C135,($B$4*3/10))^4-B135^4)/4,0)+IF(C135&gt;($B$4*3/10),($B$4*3/10)^2*(1.5*(C135^2-MAX(B135,($B$4*3/10))^2)-($B$4*3/10)*(C135-MAX(B135,($B$4*3/10)))),0))*1000,0)</f>
        <v>0</v>
      </c>
      <c r="AE135" s="120">
        <f>IF(AND(J135="OK",ISNUMBER($B$5),$B$5&gt;0,ISNUMBER($B$3),$B$3&gt;0),F135/(6*$B$3*1000000*$B$5)*(IF(B135&lt;($B$4*4/10),($B$4*4/10)*(MIN(C135,($B$4*4/10))^3-B135^3)-(MIN(C135,($B$4*4/10))^4-B135^4)/4,0)+IF(C135&gt;($B$4*4/10),($B$4*4/10)^2*(1.5*(C135^2-MAX(B135,($B$4*4/10))^2)-($B$4*4/10)*(C135-MAX(B135,($B$4*4/10)))),0))*1000,0)</f>
        <v>0</v>
      </c>
      <c r="AF135" s="120">
        <f>IF(AND(J135="OK",ISNUMBER($B$5),$B$5&gt;0,ISNUMBER($B$3),$B$3&gt;0),F135/(6*$B$3*1000000*$B$5)*(IF(B135&lt;($B$4*5/10),($B$4*5/10)*(MIN(C135,($B$4*5/10))^3-B135^3)-(MIN(C135,($B$4*5/10))^4-B135^4)/4,0)+IF(C135&gt;($B$4*5/10),($B$4*5/10)^2*(1.5*(C135^2-MAX(B135,($B$4*5/10))^2)-($B$4*5/10)*(C135-MAX(B135,($B$4*5/10)))),0))*1000,0)</f>
        <v>0</v>
      </c>
      <c r="AG135" s="120">
        <f>IF(AND(J135="OK",ISNUMBER($B$5),$B$5&gt;0,ISNUMBER($B$3),$B$3&gt;0),F135/(6*$B$3*1000000*$B$5)*(IF(B135&lt;($B$4*6/10),($B$4*6/10)*(MIN(C135,($B$4*6/10))^3-B135^3)-(MIN(C135,($B$4*6/10))^4-B135^4)/4,0)+IF(C135&gt;($B$4*6/10),($B$4*6/10)^2*(1.5*(C135^2-MAX(B135,($B$4*6/10))^2)-($B$4*6/10)*(C135-MAX(B135,($B$4*6/10)))),0))*1000,0)</f>
        <v>0</v>
      </c>
      <c r="AH135" s="120">
        <f>IF(AND(J135="OK",ISNUMBER($B$5),$B$5&gt;0,ISNUMBER($B$3),$B$3&gt;0),F135/(6*$B$3*1000000*$B$5)*(IF(B135&lt;($B$4*7/10),($B$4*7/10)*(MIN(C135,($B$4*7/10))^3-B135^3)-(MIN(C135,($B$4*7/10))^4-B135^4)/4,0)+IF(C135&gt;($B$4*7/10),($B$4*7/10)^2*(1.5*(C135^2-MAX(B135,($B$4*7/10))^2)-($B$4*7/10)*(C135-MAX(B135,($B$4*7/10)))),0))*1000,0)</f>
        <v>0</v>
      </c>
      <c r="AI135" s="120">
        <f>IF(AND(J135="OK",ISNUMBER($B$5),$B$5&gt;0,ISNUMBER($B$3),$B$3&gt;0),F135/(6*$B$3*1000000*$B$5)*(IF(B135&lt;($B$4*8/10),($B$4*8/10)*(MIN(C135,($B$4*8/10))^3-B135^3)-(MIN(C135,($B$4*8/10))^4-B135^4)/4,0)+IF(C135&gt;($B$4*8/10),($B$4*8/10)^2*(1.5*(C135^2-MAX(B135,($B$4*8/10))^2)-($B$4*8/10)*(C135-MAX(B135,($B$4*8/10)))),0))*1000,0)</f>
        <v>0</v>
      </c>
      <c r="AJ135" s="120">
        <f>IF(AND(J135="OK",ISNUMBER($B$5),$B$5&gt;0,ISNUMBER($B$3),$B$3&gt;0),F135/(6*$B$3*1000000*$B$5)*(IF(B135&lt;($B$4*9/10),($B$4*9/10)*(MIN(C135,($B$4*9/10))^3-B135^3)-(MIN(C135,($B$4*9/10))^4-B135^4)/4,0)+IF(C135&gt;($B$4*9/10),($B$4*9/10)^2*(1.5*(C135^2-MAX(B135,($B$4*9/10))^2)-($B$4*9/10)*(C135-MAX(B135,($B$4*9/10)))),0))*1000,0)</f>
        <v>0</v>
      </c>
      <c r="AK135" s="120">
        <f>IF(AND(J135="OK",ISNUMBER($B$5),$B$5&gt;0,ISNUMBER($B$3),$B$3&gt;0),F135/(6*$B$3*1000000*$B$5)*(IF(B135&lt;($B$4*10/10),($B$4*10/10)*(MIN(C135,($B$4*10/10))^3-B135^3)-(MIN(C135,($B$4*10/10))^4-B135^4)/4,0)+IF(C135&gt;($B$4*10/10),($B$4*10/10)^2*(1.5*(C135^2-MAX(B135,($B$4*10/10))^2)-($B$4*10/10)*(C135-MAX(B135,($B$4*10/10)))),0))*1000,0)</f>
        <v>0</v>
      </c>
      <c r="AM135" s="120">
        <f>IF(AND(V135="OK",ISNUMBER($N$5),$N$5&gt;0,ISNUMBER($N$3),$N$3&gt;0),R135/(6*$N$3*1000000*$N$5)*(IF(N135&lt;($N$4*0/10),($N$4*0/10)*(MIN(O135,($N$4*0/10))^3-N135^3)-(MIN(O135,($N$4*0/10))^4-N135^4)/4,0)+IF(O135&gt;($N$4*0/10),($N$4*0/10)^2*(1.5*(O135^2-MAX(N135,($N$4*0/10))^2)-($N$4*0/10)*(O135-MAX(N135,($N$4*0/10)))),0))*1000,0)</f>
        <v>0</v>
      </c>
      <c r="AN135" s="120">
        <f>IF(AND(V135="OK",ISNUMBER($N$5),$N$5&gt;0,ISNUMBER($N$3),$N$3&gt;0),R135/(6*$N$3*1000000*$N$5)*(IF(N135&lt;($N$4*1/10),($N$4*1/10)*(MIN(O135,($N$4*1/10))^3-N135^3)-(MIN(O135,($N$4*1/10))^4-N135^4)/4,0)+IF(O135&gt;($N$4*1/10),($N$4*1/10)^2*(1.5*(O135^2-MAX(N135,($N$4*1/10))^2)-($N$4*1/10)*(O135-MAX(N135,($N$4*1/10)))),0))*1000,0)</f>
        <v>0</v>
      </c>
      <c r="AO135" s="120">
        <f>IF(AND(V135="OK",ISNUMBER($N$5),$N$5&gt;0,ISNUMBER($N$3),$N$3&gt;0),R135/(6*$N$3*1000000*$N$5)*(IF(N135&lt;($N$4*2/10),($N$4*2/10)*(MIN(O135,($N$4*2/10))^3-N135^3)-(MIN(O135,($N$4*2/10))^4-N135^4)/4,0)+IF(O135&gt;($N$4*2/10),($N$4*2/10)^2*(1.5*(O135^2-MAX(N135,($N$4*2/10))^2)-($N$4*2/10)*(O135-MAX(N135,($N$4*2/10)))),0))*1000,0)</f>
        <v>0</v>
      </c>
      <c r="AP135" s="120">
        <f>IF(AND(V135="OK",ISNUMBER($N$5),$N$5&gt;0,ISNUMBER($N$3),$N$3&gt;0),R135/(6*$N$3*1000000*$N$5)*(IF(N135&lt;($N$4*3/10),($N$4*3/10)*(MIN(O135,($N$4*3/10))^3-N135^3)-(MIN(O135,($N$4*3/10))^4-N135^4)/4,0)+IF(O135&gt;($N$4*3/10),($N$4*3/10)^2*(1.5*(O135^2-MAX(N135,($N$4*3/10))^2)-($N$4*3/10)*(O135-MAX(N135,($N$4*3/10)))),0))*1000,0)</f>
        <v>0</v>
      </c>
      <c r="AQ135" s="120">
        <f>IF(AND(V135="OK",ISNUMBER($N$5),$N$5&gt;0,ISNUMBER($N$3),$N$3&gt;0),R135/(6*$N$3*1000000*$N$5)*(IF(N135&lt;($N$4*4/10),($N$4*4/10)*(MIN(O135,($N$4*4/10))^3-N135^3)-(MIN(O135,($N$4*4/10))^4-N135^4)/4,0)+IF(O135&gt;($N$4*4/10),($N$4*4/10)^2*(1.5*(O135^2-MAX(N135,($N$4*4/10))^2)-($N$4*4/10)*(O135-MAX(N135,($N$4*4/10)))),0))*1000,0)</f>
        <v>0</v>
      </c>
      <c r="AR135" s="120">
        <f>IF(AND(V135="OK",ISNUMBER($N$5),$N$5&gt;0,ISNUMBER($N$3),$N$3&gt;0),R135/(6*$N$3*1000000*$N$5)*(IF(N135&lt;($N$4*5/10),($N$4*5/10)*(MIN(O135,($N$4*5/10))^3-N135^3)-(MIN(O135,($N$4*5/10))^4-N135^4)/4,0)+IF(O135&gt;($N$4*5/10),($N$4*5/10)^2*(1.5*(O135^2-MAX(N135,($N$4*5/10))^2)-($N$4*5/10)*(O135-MAX(N135,($N$4*5/10)))),0))*1000,0)</f>
        <v>0</v>
      </c>
      <c r="AS135" s="120">
        <f>IF(AND(V135="OK",ISNUMBER($N$5),$N$5&gt;0,ISNUMBER($N$3),$N$3&gt;0),R135/(6*$N$3*1000000*$N$5)*(IF(N135&lt;($N$4*6/10),($N$4*6/10)*(MIN(O135,($N$4*6/10))^3-N135^3)-(MIN(O135,($N$4*6/10))^4-N135^4)/4,0)+IF(O135&gt;($N$4*6/10),($N$4*6/10)^2*(1.5*(O135^2-MAX(N135,($N$4*6/10))^2)-($N$4*6/10)*(O135-MAX(N135,($N$4*6/10)))),0))*1000,0)</f>
        <v>0</v>
      </c>
      <c r="AT135" s="120">
        <f>IF(AND(V135="OK",ISNUMBER($N$5),$N$5&gt;0,ISNUMBER($N$3),$N$3&gt;0),R135/(6*$N$3*1000000*$N$5)*(IF(N135&lt;($N$4*7/10),($N$4*7/10)*(MIN(O135,($N$4*7/10))^3-N135^3)-(MIN(O135,($N$4*7/10))^4-N135^4)/4,0)+IF(O135&gt;($N$4*7/10),($N$4*7/10)^2*(1.5*(O135^2-MAX(N135,($N$4*7/10))^2)-($N$4*7/10)*(O135-MAX(N135,($N$4*7/10)))),0))*1000,0)</f>
        <v>0</v>
      </c>
      <c r="AU135" s="120">
        <f>IF(AND(V135="OK",ISNUMBER($N$5),$N$5&gt;0,ISNUMBER($N$3),$N$3&gt;0),R135/(6*$N$3*1000000*$N$5)*(IF(N135&lt;($N$4*8/10),($N$4*8/10)*(MIN(O135,($N$4*8/10))^3-N135^3)-(MIN(O135,($N$4*8/10))^4-N135^4)/4,0)+IF(O135&gt;($N$4*8/10),($N$4*8/10)^2*(1.5*(O135^2-MAX(N135,($N$4*8/10))^2)-($N$4*8/10)*(O135-MAX(N135,($N$4*8/10)))),0))*1000,0)</f>
        <v>0</v>
      </c>
      <c r="AV135" s="120">
        <f>IF(AND(V135="OK",ISNUMBER($N$5),$N$5&gt;0,ISNUMBER($N$3),$N$3&gt;0),R135/(6*$N$3*1000000*$N$5)*(IF(N135&lt;($N$4*9/10),($N$4*9/10)*(MIN(O135,($N$4*9/10))^3-N135^3)-(MIN(O135,($N$4*9/10))^4-N135^4)/4,0)+IF(O135&gt;($N$4*9/10),($N$4*9/10)^2*(1.5*(O135^2-MAX(N135,($N$4*9/10))^2)-($N$4*9/10)*(O135-MAX(N135,($N$4*9/10)))),0))*1000,0)</f>
        <v>0</v>
      </c>
      <c r="AW135" s="120">
        <f>IF(AND(V135="OK",ISNUMBER($N$5),$N$5&gt;0,ISNUMBER($N$3),$N$3&gt;0),R135/(6*$N$3*1000000*$N$5)*(IF(N135&lt;($N$4*10/10),($N$4*10/10)*(MIN(O135,($N$4*10/10))^3-N135^3)-(MIN(O135,($N$4*10/10))^4-N135^4)/4,0)+IF(O135&gt;($N$4*10/10),($N$4*10/10)^2*(1.5*(O135^2-MAX(N135,($N$4*10/10))^2)-($N$4*10/10)*(O135-MAX(N135,($N$4*10/10)))),0))*1000,0)</f>
        <v>0</v>
      </c>
    </row>
    <row r="136" spans="1:49">
      <c r="A136" s="124"/>
      <c r="B136" s="125"/>
      <c r="C136" s="125"/>
      <c r="D136" s="125"/>
      <c r="E136" s="125"/>
      <c r="F136" s="126" t="str">
        <f>IF(J136="OK",D136*E136,"")</f>
        <v/>
      </c>
      <c r="G136" s="126" t="str">
        <f>IF(J136="OK",F136*(C136-B136),"")</f>
        <v/>
      </c>
      <c r="H136" s="126" t="str">
        <f>IF(J136="OK",G136*(C136+B136)/2,"")</f>
        <v/>
      </c>
      <c r="I136" s="126" t="str">
        <f>IF(AND(J136="OK",ISNUMBER($B$5),$B$5&gt;0,ISNUMBER($B$3),$B$3&gt;0),F136*(4*$B$4*(C136^3-B136^3)-(C136^4-B136^4))/(24*$B$3*1000000*$B$5)*1000,"")</f>
        <v/>
      </c>
      <c r="J136" s="120" t="str">
        <f>IF(COUNTA(A136:E136)=0,"",IF(AND(COUNT(B136:E136)=4,B136&gt;=0,C136&gt;B136,C136&lt;=$B$4,D136&gt;=0,E136&gt;0),IF(COUNTIFS($B$13:$B$135,"&lt;"&amp;C136,$C$13:$C$135,"&gt;"&amp;B136)&gt;0,"OVERLAP","OK"),"CHECK INPUTS"))</f>
        <v/>
      </c>
      <c r="M136" s="124"/>
      <c r="N136" s="125"/>
      <c r="O136" s="125"/>
      <c r="P136" s="125"/>
      <c r="Q136" s="125"/>
      <c r="R136" s="126" t="str">
        <f>IF(V136="OK",P136*Q136,"")</f>
        <v/>
      </c>
      <c r="S136" s="126" t="str">
        <f>IF(V136="OK",R136*(O136-N136),"")</f>
        <v/>
      </c>
      <c r="T136" s="126" t="str">
        <f>IF(V136="OK",S136*(O136+N136)/2,"")</f>
        <v/>
      </c>
      <c r="U136" s="126" t="str">
        <f>IF(AND(V136="OK",ISNUMBER($N$5),$N$5&gt;0,ISNUMBER($N$3),$N$3&gt;0),R136*(4*$N$4*(O136^3-N136^3)-(O136^4-N136^4))/(24*$N$3*1000000*$N$5)*1000,"")</f>
        <v/>
      </c>
      <c r="V136" s="120" t="str">
        <f>IF(COUNTA(M136:Q136)=0,"",IF(AND(COUNT(N136:Q136)=4,N136&gt;=0,O136&gt;N136,O136&lt;=$N$4,P136&gt;=0,Q136&gt;0),IF(COUNTIFS($N$13:$N$135,"&lt;"&amp;O136,$O$13:$O$135,"&gt;"&amp;N136)&gt;0,"OVERLAP","OK"),"CHECK INPUTS"))</f>
        <v/>
      </c>
      <c r="AA136" s="120">
        <f>IF(AND(J136="OK",ISNUMBER($B$5),$B$5&gt;0,ISNUMBER($B$3),$B$3&gt;0),F136/(6*$B$3*1000000*$B$5)*(IF(B136&lt;($B$4*0/10),($B$4*0/10)*(MIN(C136,($B$4*0/10))^3-B136^3)-(MIN(C136,($B$4*0/10))^4-B136^4)/4,0)+IF(C136&gt;($B$4*0/10),($B$4*0/10)^2*(1.5*(C136^2-MAX(B136,($B$4*0/10))^2)-($B$4*0/10)*(C136-MAX(B136,($B$4*0/10)))),0))*1000,0)</f>
        <v>0</v>
      </c>
      <c r="AB136" s="120">
        <f>IF(AND(J136="OK",ISNUMBER($B$5),$B$5&gt;0,ISNUMBER($B$3),$B$3&gt;0),F136/(6*$B$3*1000000*$B$5)*(IF(B136&lt;($B$4*1/10),($B$4*1/10)*(MIN(C136,($B$4*1/10))^3-B136^3)-(MIN(C136,($B$4*1/10))^4-B136^4)/4,0)+IF(C136&gt;($B$4*1/10),($B$4*1/10)^2*(1.5*(C136^2-MAX(B136,($B$4*1/10))^2)-($B$4*1/10)*(C136-MAX(B136,($B$4*1/10)))),0))*1000,0)</f>
        <v>0</v>
      </c>
      <c r="AC136" s="120">
        <f>IF(AND(J136="OK",ISNUMBER($B$5),$B$5&gt;0,ISNUMBER($B$3),$B$3&gt;0),F136/(6*$B$3*1000000*$B$5)*(IF(B136&lt;($B$4*2/10),($B$4*2/10)*(MIN(C136,($B$4*2/10))^3-B136^3)-(MIN(C136,($B$4*2/10))^4-B136^4)/4,0)+IF(C136&gt;($B$4*2/10),($B$4*2/10)^2*(1.5*(C136^2-MAX(B136,($B$4*2/10))^2)-($B$4*2/10)*(C136-MAX(B136,($B$4*2/10)))),0))*1000,0)</f>
        <v>0</v>
      </c>
      <c r="AD136" s="120">
        <f>IF(AND(J136="OK",ISNUMBER($B$5),$B$5&gt;0,ISNUMBER($B$3),$B$3&gt;0),F136/(6*$B$3*1000000*$B$5)*(IF(B136&lt;($B$4*3/10),($B$4*3/10)*(MIN(C136,($B$4*3/10))^3-B136^3)-(MIN(C136,($B$4*3/10))^4-B136^4)/4,0)+IF(C136&gt;($B$4*3/10),($B$4*3/10)^2*(1.5*(C136^2-MAX(B136,($B$4*3/10))^2)-($B$4*3/10)*(C136-MAX(B136,($B$4*3/10)))),0))*1000,0)</f>
        <v>0</v>
      </c>
      <c r="AE136" s="120">
        <f>IF(AND(J136="OK",ISNUMBER($B$5),$B$5&gt;0,ISNUMBER($B$3),$B$3&gt;0),F136/(6*$B$3*1000000*$B$5)*(IF(B136&lt;($B$4*4/10),($B$4*4/10)*(MIN(C136,($B$4*4/10))^3-B136^3)-(MIN(C136,($B$4*4/10))^4-B136^4)/4,0)+IF(C136&gt;($B$4*4/10),($B$4*4/10)^2*(1.5*(C136^2-MAX(B136,($B$4*4/10))^2)-($B$4*4/10)*(C136-MAX(B136,($B$4*4/10)))),0))*1000,0)</f>
        <v>0</v>
      </c>
      <c r="AF136" s="120">
        <f>IF(AND(J136="OK",ISNUMBER($B$5),$B$5&gt;0,ISNUMBER($B$3),$B$3&gt;0),F136/(6*$B$3*1000000*$B$5)*(IF(B136&lt;($B$4*5/10),($B$4*5/10)*(MIN(C136,($B$4*5/10))^3-B136^3)-(MIN(C136,($B$4*5/10))^4-B136^4)/4,0)+IF(C136&gt;($B$4*5/10),($B$4*5/10)^2*(1.5*(C136^2-MAX(B136,($B$4*5/10))^2)-($B$4*5/10)*(C136-MAX(B136,($B$4*5/10)))),0))*1000,0)</f>
        <v>0</v>
      </c>
      <c r="AG136" s="120">
        <f>IF(AND(J136="OK",ISNUMBER($B$5),$B$5&gt;0,ISNUMBER($B$3),$B$3&gt;0),F136/(6*$B$3*1000000*$B$5)*(IF(B136&lt;($B$4*6/10),($B$4*6/10)*(MIN(C136,($B$4*6/10))^3-B136^3)-(MIN(C136,($B$4*6/10))^4-B136^4)/4,0)+IF(C136&gt;($B$4*6/10),($B$4*6/10)^2*(1.5*(C136^2-MAX(B136,($B$4*6/10))^2)-($B$4*6/10)*(C136-MAX(B136,($B$4*6/10)))),0))*1000,0)</f>
        <v>0</v>
      </c>
      <c r="AH136" s="120">
        <f>IF(AND(J136="OK",ISNUMBER($B$5),$B$5&gt;0,ISNUMBER($B$3),$B$3&gt;0),F136/(6*$B$3*1000000*$B$5)*(IF(B136&lt;($B$4*7/10),($B$4*7/10)*(MIN(C136,($B$4*7/10))^3-B136^3)-(MIN(C136,($B$4*7/10))^4-B136^4)/4,0)+IF(C136&gt;($B$4*7/10),($B$4*7/10)^2*(1.5*(C136^2-MAX(B136,($B$4*7/10))^2)-($B$4*7/10)*(C136-MAX(B136,($B$4*7/10)))),0))*1000,0)</f>
        <v>0</v>
      </c>
      <c r="AI136" s="120">
        <f>IF(AND(J136="OK",ISNUMBER($B$5),$B$5&gt;0,ISNUMBER($B$3),$B$3&gt;0),F136/(6*$B$3*1000000*$B$5)*(IF(B136&lt;($B$4*8/10),($B$4*8/10)*(MIN(C136,($B$4*8/10))^3-B136^3)-(MIN(C136,($B$4*8/10))^4-B136^4)/4,0)+IF(C136&gt;($B$4*8/10),($B$4*8/10)^2*(1.5*(C136^2-MAX(B136,($B$4*8/10))^2)-($B$4*8/10)*(C136-MAX(B136,($B$4*8/10)))),0))*1000,0)</f>
        <v>0</v>
      </c>
      <c r="AJ136" s="120">
        <f>IF(AND(J136="OK",ISNUMBER($B$5),$B$5&gt;0,ISNUMBER($B$3),$B$3&gt;0),F136/(6*$B$3*1000000*$B$5)*(IF(B136&lt;($B$4*9/10),($B$4*9/10)*(MIN(C136,($B$4*9/10))^3-B136^3)-(MIN(C136,($B$4*9/10))^4-B136^4)/4,0)+IF(C136&gt;($B$4*9/10),($B$4*9/10)^2*(1.5*(C136^2-MAX(B136,($B$4*9/10))^2)-($B$4*9/10)*(C136-MAX(B136,($B$4*9/10)))),0))*1000,0)</f>
        <v>0</v>
      </c>
      <c r="AK136" s="120">
        <f>IF(AND(J136="OK",ISNUMBER($B$5),$B$5&gt;0,ISNUMBER($B$3),$B$3&gt;0),F136/(6*$B$3*1000000*$B$5)*(IF(B136&lt;($B$4*10/10),($B$4*10/10)*(MIN(C136,($B$4*10/10))^3-B136^3)-(MIN(C136,($B$4*10/10))^4-B136^4)/4,0)+IF(C136&gt;($B$4*10/10),($B$4*10/10)^2*(1.5*(C136^2-MAX(B136,($B$4*10/10))^2)-($B$4*10/10)*(C136-MAX(B136,($B$4*10/10)))),0))*1000,0)</f>
        <v>0</v>
      </c>
      <c r="AM136" s="120">
        <f>IF(AND(V136="OK",ISNUMBER($N$5),$N$5&gt;0,ISNUMBER($N$3),$N$3&gt;0),R136/(6*$N$3*1000000*$N$5)*(IF(N136&lt;($N$4*0/10),($N$4*0/10)*(MIN(O136,($N$4*0/10))^3-N136^3)-(MIN(O136,($N$4*0/10))^4-N136^4)/4,0)+IF(O136&gt;($N$4*0/10),($N$4*0/10)^2*(1.5*(O136^2-MAX(N136,($N$4*0/10))^2)-($N$4*0/10)*(O136-MAX(N136,($N$4*0/10)))),0))*1000,0)</f>
        <v>0</v>
      </c>
      <c r="AN136" s="120">
        <f>IF(AND(V136="OK",ISNUMBER($N$5),$N$5&gt;0,ISNUMBER($N$3),$N$3&gt;0),R136/(6*$N$3*1000000*$N$5)*(IF(N136&lt;($N$4*1/10),($N$4*1/10)*(MIN(O136,($N$4*1/10))^3-N136^3)-(MIN(O136,($N$4*1/10))^4-N136^4)/4,0)+IF(O136&gt;($N$4*1/10),($N$4*1/10)^2*(1.5*(O136^2-MAX(N136,($N$4*1/10))^2)-($N$4*1/10)*(O136-MAX(N136,($N$4*1/10)))),0))*1000,0)</f>
        <v>0</v>
      </c>
      <c r="AO136" s="120">
        <f>IF(AND(V136="OK",ISNUMBER($N$5),$N$5&gt;0,ISNUMBER($N$3),$N$3&gt;0),R136/(6*$N$3*1000000*$N$5)*(IF(N136&lt;($N$4*2/10),($N$4*2/10)*(MIN(O136,($N$4*2/10))^3-N136^3)-(MIN(O136,($N$4*2/10))^4-N136^4)/4,0)+IF(O136&gt;($N$4*2/10),($N$4*2/10)^2*(1.5*(O136^2-MAX(N136,($N$4*2/10))^2)-($N$4*2/10)*(O136-MAX(N136,($N$4*2/10)))),0))*1000,0)</f>
        <v>0</v>
      </c>
      <c r="AP136" s="120">
        <f>IF(AND(V136="OK",ISNUMBER($N$5),$N$5&gt;0,ISNUMBER($N$3),$N$3&gt;0),R136/(6*$N$3*1000000*$N$5)*(IF(N136&lt;($N$4*3/10),($N$4*3/10)*(MIN(O136,($N$4*3/10))^3-N136^3)-(MIN(O136,($N$4*3/10))^4-N136^4)/4,0)+IF(O136&gt;($N$4*3/10),($N$4*3/10)^2*(1.5*(O136^2-MAX(N136,($N$4*3/10))^2)-($N$4*3/10)*(O136-MAX(N136,($N$4*3/10)))),0))*1000,0)</f>
        <v>0</v>
      </c>
      <c r="AQ136" s="120">
        <f>IF(AND(V136="OK",ISNUMBER($N$5),$N$5&gt;0,ISNUMBER($N$3),$N$3&gt;0),R136/(6*$N$3*1000000*$N$5)*(IF(N136&lt;($N$4*4/10),($N$4*4/10)*(MIN(O136,($N$4*4/10))^3-N136^3)-(MIN(O136,($N$4*4/10))^4-N136^4)/4,0)+IF(O136&gt;($N$4*4/10),($N$4*4/10)^2*(1.5*(O136^2-MAX(N136,($N$4*4/10))^2)-($N$4*4/10)*(O136-MAX(N136,($N$4*4/10)))),0))*1000,0)</f>
        <v>0</v>
      </c>
      <c r="AR136" s="120">
        <f>IF(AND(V136="OK",ISNUMBER($N$5),$N$5&gt;0,ISNUMBER($N$3),$N$3&gt;0),R136/(6*$N$3*1000000*$N$5)*(IF(N136&lt;($N$4*5/10),($N$4*5/10)*(MIN(O136,($N$4*5/10))^3-N136^3)-(MIN(O136,($N$4*5/10))^4-N136^4)/4,0)+IF(O136&gt;($N$4*5/10),($N$4*5/10)^2*(1.5*(O136^2-MAX(N136,($N$4*5/10))^2)-($N$4*5/10)*(O136-MAX(N136,($N$4*5/10)))),0))*1000,0)</f>
        <v>0</v>
      </c>
      <c r="AS136" s="120">
        <f>IF(AND(V136="OK",ISNUMBER($N$5),$N$5&gt;0,ISNUMBER($N$3),$N$3&gt;0),R136/(6*$N$3*1000000*$N$5)*(IF(N136&lt;($N$4*6/10),($N$4*6/10)*(MIN(O136,($N$4*6/10))^3-N136^3)-(MIN(O136,($N$4*6/10))^4-N136^4)/4,0)+IF(O136&gt;($N$4*6/10),($N$4*6/10)^2*(1.5*(O136^2-MAX(N136,($N$4*6/10))^2)-($N$4*6/10)*(O136-MAX(N136,($N$4*6/10)))),0))*1000,0)</f>
        <v>0</v>
      </c>
      <c r="AT136" s="120">
        <f>IF(AND(V136="OK",ISNUMBER($N$5),$N$5&gt;0,ISNUMBER($N$3),$N$3&gt;0),R136/(6*$N$3*1000000*$N$5)*(IF(N136&lt;($N$4*7/10),($N$4*7/10)*(MIN(O136,($N$4*7/10))^3-N136^3)-(MIN(O136,($N$4*7/10))^4-N136^4)/4,0)+IF(O136&gt;($N$4*7/10),($N$4*7/10)^2*(1.5*(O136^2-MAX(N136,($N$4*7/10))^2)-($N$4*7/10)*(O136-MAX(N136,($N$4*7/10)))),0))*1000,0)</f>
        <v>0</v>
      </c>
      <c r="AU136" s="120">
        <f>IF(AND(V136="OK",ISNUMBER($N$5),$N$5&gt;0,ISNUMBER($N$3),$N$3&gt;0),R136/(6*$N$3*1000000*$N$5)*(IF(N136&lt;($N$4*8/10),($N$4*8/10)*(MIN(O136,($N$4*8/10))^3-N136^3)-(MIN(O136,($N$4*8/10))^4-N136^4)/4,0)+IF(O136&gt;($N$4*8/10),($N$4*8/10)^2*(1.5*(O136^2-MAX(N136,($N$4*8/10))^2)-($N$4*8/10)*(O136-MAX(N136,($N$4*8/10)))),0))*1000,0)</f>
        <v>0</v>
      </c>
      <c r="AV136" s="120">
        <f>IF(AND(V136="OK",ISNUMBER($N$5),$N$5&gt;0,ISNUMBER($N$3),$N$3&gt;0),R136/(6*$N$3*1000000*$N$5)*(IF(N136&lt;($N$4*9/10),($N$4*9/10)*(MIN(O136,($N$4*9/10))^3-N136^3)-(MIN(O136,($N$4*9/10))^4-N136^4)/4,0)+IF(O136&gt;($N$4*9/10),($N$4*9/10)^2*(1.5*(O136^2-MAX(N136,($N$4*9/10))^2)-($N$4*9/10)*(O136-MAX(N136,($N$4*9/10)))),0))*1000,0)</f>
        <v>0</v>
      </c>
      <c r="AW136" s="120">
        <f>IF(AND(V136="OK",ISNUMBER($N$5),$N$5&gt;0,ISNUMBER($N$3),$N$3&gt;0),R136/(6*$N$3*1000000*$N$5)*(IF(N136&lt;($N$4*10/10),($N$4*10/10)*(MIN(O136,($N$4*10/10))^3-N136^3)-(MIN(O136,($N$4*10/10))^4-N136^4)/4,0)+IF(O136&gt;($N$4*10/10),($N$4*10/10)^2*(1.5*(O136^2-MAX(N136,($N$4*10/10))^2)-($N$4*10/10)*(O136-MAX(N136,($N$4*10/10)))),0))*1000,0)</f>
        <v>0</v>
      </c>
    </row>
    <row r="137" spans="1:49">
      <c r="A137" s="124"/>
      <c r="B137" s="125"/>
      <c r="C137" s="125"/>
      <c r="D137" s="125"/>
      <c r="E137" s="125"/>
      <c r="F137" s="126" t="str">
        <f>IF(J137="OK",D137*E137,"")</f>
        <v/>
      </c>
      <c r="G137" s="126" t="str">
        <f>IF(J137="OK",F137*(C137-B137),"")</f>
        <v/>
      </c>
      <c r="H137" s="126" t="str">
        <f>IF(J137="OK",G137*(C137+B137)/2,"")</f>
        <v/>
      </c>
      <c r="I137" s="126" t="str">
        <f>IF(AND(J137="OK",ISNUMBER($B$5),$B$5&gt;0,ISNUMBER($B$3),$B$3&gt;0),F137*(4*$B$4*(C137^3-B137^3)-(C137^4-B137^4))/(24*$B$3*1000000*$B$5)*1000,"")</f>
        <v/>
      </c>
      <c r="J137" s="120" t="str">
        <f>IF(COUNTA(A137:E137)=0,"",IF(AND(COUNT(B137:E137)=4,B137&gt;=0,C137&gt;B137,C137&lt;=$B$4,D137&gt;=0,E137&gt;0),IF(COUNTIFS($B$13:$B$136,"&lt;"&amp;C137,$C$13:$C$136,"&gt;"&amp;B137)&gt;0,"OVERLAP","OK"),"CHECK INPUTS"))</f>
        <v/>
      </c>
      <c r="M137" s="124"/>
      <c r="N137" s="125"/>
      <c r="O137" s="125"/>
      <c r="P137" s="125"/>
      <c r="Q137" s="125"/>
      <c r="R137" s="126" t="str">
        <f>IF(V137="OK",P137*Q137,"")</f>
        <v/>
      </c>
      <c r="S137" s="126" t="str">
        <f>IF(V137="OK",R137*(O137-N137),"")</f>
        <v/>
      </c>
      <c r="T137" s="126" t="str">
        <f>IF(V137="OK",S137*(O137+N137)/2,"")</f>
        <v/>
      </c>
      <c r="U137" s="126" t="str">
        <f>IF(AND(V137="OK",ISNUMBER($N$5),$N$5&gt;0,ISNUMBER($N$3),$N$3&gt;0),R137*(4*$N$4*(O137^3-N137^3)-(O137^4-N137^4))/(24*$N$3*1000000*$N$5)*1000,"")</f>
        <v/>
      </c>
      <c r="V137" s="120" t="str">
        <f>IF(COUNTA(M137:Q137)=0,"",IF(AND(COUNT(N137:Q137)=4,N137&gt;=0,O137&gt;N137,O137&lt;=$N$4,P137&gt;=0,Q137&gt;0),IF(COUNTIFS($N$13:$N$136,"&lt;"&amp;O137,$O$13:$O$136,"&gt;"&amp;N137)&gt;0,"OVERLAP","OK"),"CHECK INPUTS"))</f>
        <v/>
      </c>
      <c r="AA137" s="120">
        <f>IF(AND(J137="OK",ISNUMBER($B$5),$B$5&gt;0,ISNUMBER($B$3),$B$3&gt;0),F137/(6*$B$3*1000000*$B$5)*(IF(B137&lt;($B$4*0/10),($B$4*0/10)*(MIN(C137,($B$4*0/10))^3-B137^3)-(MIN(C137,($B$4*0/10))^4-B137^4)/4,0)+IF(C137&gt;($B$4*0/10),($B$4*0/10)^2*(1.5*(C137^2-MAX(B137,($B$4*0/10))^2)-($B$4*0/10)*(C137-MAX(B137,($B$4*0/10)))),0))*1000,0)</f>
        <v>0</v>
      </c>
      <c r="AB137" s="120">
        <f>IF(AND(J137="OK",ISNUMBER($B$5),$B$5&gt;0,ISNUMBER($B$3),$B$3&gt;0),F137/(6*$B$3*1000000*$B$5)*(IF(B137&lt;($B$4*1/10),($B$4*1/10)*(MIN(C137,($B$4*1/10))^3-B137^3)-(MIN(C137,($B$4*1/10))^4-B137^4)/4,0)+IF(C137&gt;($B$4*1/10),($B$4*1/10)^2*(1.5*(C137^2-MAX(B137,($B$4*1/10))^2)-($B$4*1/10)*(C137-MAX(B137,($B$4*1/10)))),0))*1000,0)</f>
        <v>0</v>
      </c>
      <c r="AC137" s="120">
        <f>IF(AND(J137="OK",ISNUMBER($B$5),$B$5&gt;0,ISNUMBER($B$3),$B$3&gt;0),F137/(6*$B$3*1000000*$B$5)*(IF(B137&lt;($B$4*2/10),($B$4*2/10)*(MIN(C137,($B$4*2/10))^3-B137^3)-(MIN(C137,($B$4*2/10))^4-B137^4)/4,0)+IF(C137&gt;($B$4*2/10),($B$4*2/10)^2*(1.5*(C137^2-MAX(B137,($B$4*2/10))^2)-($B$4*2/10)*(C137-MAX(B137,($B$4*2/10)))),0))*1000,0)</f>
        <v>0</v>
      </c>
      <c r="AD137" s="120">
        <f>IF(AND(J137="OK",ISNUMBER($B$5),$B$5&gt;0,ISNUMBER($B$3),$B$3&gt;0),F137/(6*$B$3*1000000*$B$5)*(IF(B137&lt;($B$4*3/10),($B$4*3/10)*(MIN(C137,($B$4*3/10))^3-B137^3)-(MIN(C137,($B$4*3/10))^4-B137^4)/4,0)+IF(C137&gt;($B$4*3/10),($B$4*3/10)^2*(1.5*(C137^2-MAX(B137,($B$4*3/10))^2)-($B$4*3/10)*(C137-MAX(B137,($B$4*3/10)))),0))*1000,0)</f>
        <v>0</v>
      </c>
      <c r="AE137" s="120">
        <f>IF(AND(J137="OK",ISNUMBER($B$5),$B$5&gt;0,ISNUMBER($B$3),$B$3&gt;0),F137/(6*$B$3*1000000*$B$5)*(IF(B137&lt;($B$4*4/10),($B$4*4/10)*(MIN(C137,($B$4*4/10))^3-B137^3)-(MIN(C137,($B$4*4/10))^4-B137^4)/4,0)+IF(C137&gt;($B$4*4/10),($B$4*4/10)^2*(1.5*(C137^2-MAX(B137,($B$4*4/10))^2)-($B$4*4/10)*(C137-MAX(B137,($B$4*4/10)))),0))*1000,0)</f>
        <v>0</v>
      </c>
      <c r="AF137" s="120">
        <f>IF(AND(J137="OK",ISNUMBER($B$5),$B$5&gt;0,ISNUMBER($B$3),$B$3&gt;0),F137/(6*$B$3*1000000*$B$5)*(IF(B137&lt;($B$4*5/10),($B$4*5/10)*(MIN(C137,($B$4*5/10))^3-B137^3)-(MIN(C137,($B$4*5/10))^4-B137^4)/4,0)+IF(C137&gt;($B$4*5/10),($B$4*5/10)^2*(1.5*(C137^2-MAX(B137,($B$4*5/10))^2)-($B$4*5/10)*(C137-MAX(B137,($B$4*5/10)))),0))*1000,0)</f>
        <v>0</v>
      </c>
      <c r="AG137" s="120">
        <f>IF(AND(J137="OK",ISNUMBER($B$5),$B$5&gt;0,ISNUMBER($B$3),$B$3&gt;0),F137/(6*$B$3*1000000*$B$5)*(IF(B137&lt;($B$4*6/10),($B$4*6/10)*(MIN(C137,($B$4*6/10))^3-B137^3)-(MIN(C137,($B$4*6/10))^4-B137^4)/4,0)+IF(C137&gt;($B$4*6/10),($B$4*6/10)^2*(1.5*(C137^2-MAX(B137,($B$4*6/10))^2)-($B$4*6/10)*(C137-MAX(B137,($B$4*6/10)))),0))*1000,0)</f>
        <v>0</v>
      </c>
      <c r="AH137" s="120">
        <f>IF(AND(J137="OK",ISNUMBER($B$5),$B$5&gt;0,ISNUMBER($B$3),$B$3&gt;0),F137/(6*$B$3*1000000*$B$5)*(IF(B137&lt;($B$4*7/10),($B$4*7/10)*(MIN(C137,($B$4*7/10))^3-B137^3)-(MIN(C137,($B$4*7/10))^4-B137^4)/4,0)+IF(C137&gt;($B$4*7/10),($B$4*7/10)^2*(1.5*(C137^2-MAX(B137,($B$4*7/10))^2)-($B$4*7/10)*(C137-MAX(B137,($B$4*7/10)))),0))*1000,0)</f>
        <v>0</v>
      </c>
      <c r="AI137" s="120">
        <f>IF(AND(J137="OK",ISNUMBER($B$5),$B$5&gt;0,ISNUMBER($B$3),$B$3&gt;0),F137/(6*$B$3*1000000*$B$5)*(IF(B137&lt;($B$4*8/10),($B$4*8/10)*(MIN(C137,($B$4*8/10))^3-B137^3)-(MIN(C137,($B$4*8/10))^4-B137^4)/4,0)+IF(C137&gt;($B$4*8/10),($B$4*8/10)^2*(1.5*(C137^2-MAX(B137,($B$4*8/10))^2)-($B$4*8/10)*(C137-MAX(B137,($B$4*8/10)))),0))*1000,0)</f>
        <v>0</v>
      </c>
      <c r="AJ137" s="120">
        <f>IF(AND(J137="OK",ISNUMBER($B$5),$B$5&gt;0,ISNUMBER($B$3),$B$3&gt;0),F137/(6*$B$3*1000000*$B$5)*(IF(B137&lt;($B$4*9/10),($B$4*9/10)*(MIN(C137,($B$4*9/10))^3-B137^3)-(MIN(C137,($B$4*9/10))^4-B137^4)/4,0)+IF(C137&gt;($B$4*9/10),($B$4*9/10)^2*(1.5*(C137^2-MAX(B137,($B$4*9/10))^2)-($B$4*9/10)*(C137-MAX(B137,($B$4*9/10)))),0))*1000,0)</f>
        <v>0</v>
      </c>
      <c r="AK137" s="120">
        <f>IF(AND(J137="OK",ISNUMBER($B$5),$B$5&gt;0,ISNUMBER($B$3),$B$3&gt;0),F137/(6*$B$3*1000000*$B$5)*(IF(B137&lt;($B$4*10/10),($B$4*10/10)*(MIN(C137,($B$4*10/10))^3-B137^3)-(MIN(C137,($B$4*10/10))^4-B137^4)/4,0)+IF(C137&gt;($B$4*10/10),($B$4*10/10)^2*(1.5*(C137^2-MAX(B137,($B$4*10/10))^2)-($B$4*10/10)*(C137-MAX(B137,($B$4*10/10)))),0))*1000,0)</f>
        <v>0</v>
      </c>
      <c r="AM137" s="120">
        <f>IF(AND(V137="OK",ISNUMBER($N$5),$N$5&gt;0,ISNUMBER($N$3),$N$3&gt;0),R137/(6*$N$3*1000000*$N$5)*(IF(N137&lt;($N$4*0/10),($N$4*0/10)*(MIN(O137,($N$4*0/10))^3-N137^3)-(MIN(O137,($N$4*0/10))^4-N137^4)/4,0)+IF(O137&gt;($N$4*0/10),($N$4*0/10)^2*(1.5*(O137^2-MAX(N137,($N$4*0/10))^2)-($N$4*0/10)*(O137-MAX(N137,($N$4*0/10)))),0))*1000,0)</f>
        <v>0</v>
      </c>
      <c r="AN137" s="120">
        <f>IF(AND(V137="OK",ISNUMBER($N$5),$N$5&gt;0,ISNUMBER($N$3),$N$3&gt;0),R137/(6*$N$3*1000000*$N$5)*(IF(N137&lt;($N$4*1/10),($N$4*1/10)*(MIN(O137,($N$4*1/10))^3-N137^3)-(MIN(O137,($N$4*1/10))^4-N137^4)/4,0)+IF(O137&gt;($N$4*1/10),($N$4*1/10)^2*(1.5*(O137^2-MAX(N137,($N$4*1/10))^2)-($N$4*1/10)*(O137-MAX(N137,($N$4*1/10)))),0))*1000,0)</f>
        <v>0</v>
      </c>
      <c r="AO137" s="120">
        <f>IF(AND(V137="OK",ISNUMBER($N$5),$N$5&gt;0,ISNUMBER($N$3),$N$3&gt;0),R137/(6*$N$3*1000000*$N$5)*(IF(N137&lt;($N$4*2/10),($N$4*2/10)*(MIN(O137,($N$4*2/10))^3-N137^3)-(MIN(O137,($N$4*2/10))^4-N137^4)/4,0)+IF(O137&gt;($N$4*2/10),($N$4*2/10)^2*(1.5*(O137^2-MAX(N137,($N$4*2/10))^2)-($N$4*2/10)*(O137-MAX(N137,($N$4*2/10)))),0))*1000,0)</f>
        <v>0</v>
      </c>
      <c r="AP137" s="120">
        <f>IF(AND(V137="OK",ISNUMBER($N$5),$N$5&gt;0,ISNUMBER($N$3),$N$3&gt;0),R137/(6*$N$3*1000000*$N$5)*(IF(N137&lt;($N$4*3/10),($N$4*3/10)*(MIN(O137,($N$4*3/10))^3-N137^3)-(MIN(O137,($N$4*3/10))^4-N137^4)/4,0)+IF(O137&gt;($N$4*3/10),($N$4*3/10)^2*(1.5*(O137^2-MAX(N137,($N$4*3/10))^2)-($N$4*3/10)*(O137-MAX(N137,($N$4*3/10)))),0))*1000,0)</f>
        <v>0</v>
      </c>
      <c r="AQ137" s="120">
        <f>IF(AND(V137="OK",ISNUMBER($N$5),$N$5&gt;0,ISNUMBER($N$3),$N$3&gt;0),R137/(6*$N$3*1000000*$N$5)*(IF(N137&lt;($N$4*4/10),($N$4*4/10)*(MIN(O137,($N$4*4/10))^3-N137^3)-(MIN(O137,($N$4*4/10))^4-N137^4)/4,0)+IF(O137&gt;($N$4*4/10),($N$4*4/10)^2*(1.5*(O137^2-MAX(N137,($N$4*4/10))^2)-($N$4*4/10)*(O137-MAX(N137,($N$4*4/10)))),0))*1000,0)</f>
        <v>0</v>
      </c>
      <c r="AR137" s="120">
        <f>IF(AND(V137="OK",ISNUMBER($N$5),$N$5&gt;0,ISNUMBER($N$3),$N$3&gt;0),R137/(6*$N$3*1000000*$N$5)*(IF(N137&lt;($N$4*5/10),($N$4*5/10)*(MIN(O137,($N$4*5/10))^3-N137^3)-(MIN(O137,($N$4*5/10))^4-N137^4)/4,0)+IF(O137&gt;($N$4*5/10),($N$4*5/10)^2*(1.5*(O137^2-MAX(N137,($N$4*5/10))^2)-($N$4*5/10)*(O137-MAX(N137,($N$4*5/10)))),0))*1000,0)</f>
        <v>0</v>
      </c>
      <c r="AS137" s="120">
        <f>IF(AND(V137="OK",ISNUMBER($N$5),$N$5&gt;0,ISNUMBER($N$3),$N$3&gt;0),R137/(6*$N$3*1000000*$N$5)*(IF(N137&lt;($N$4*6/10),($N$4*6/10)*(MIN(O137,($N$4*6/10))^3-N137^3)-(MIN(O137,($N$4*6/10))^4-N137^4)/4,0)+IF(O137&gt;($N$4*6/10),($N$4*6/10)^2*(1.5*(O137^2-MAX(N137,($N$4*6/10))^2)-($N$4*6/10)*(O137-MAX(N137,($N$4*6/10)))),0))*1000,0)</f>
        <v>0</v>
      </c>
      <c r="AT137" s="120">
        <f>IF(AND(V137="OK",ISNUMBER($N$5),$N$5&gt;0,ISNUMBER($N$3),$N$3&gt;0),R137/(6*$N$3*1000000*$N$5)*(IF(N137&lt;($N$4*7/10),($N$4*7/10)*(MIN(O137,($N$4*7/10))^3-N137^3)-(MIN(O137,($N$4*7/10))^4-N137^4)/4,0)+IF(O137&gt;($N$4*7/10),($N$4*7/10)^2*(1.5*(O137^2-MAX(N137,($N$4*7/10))^2)-($N$4*7/10)*(O137-MAX(N137,($N$4*7/10)))),0))*1000,0)</f>
        <v>0</v>
      </c>
      <c r="AU137" s="120">
        <f>IF(AND(V137="OK",ISNUMBER($N$5),$N$5&gt;0,ISNUMBER($N$3),$N$3&gt;0),R137/(6*$N$3*1000000*$N$5)*(IF(N137&lt;($N$4*8/10),($N$4*8/10)*(MIN(O137,($N$4*8/10))^3-N137^3)-(MIN(O137,($N$4*8/10))^4-N137^4)/4,0)+IF(O137&gt;($N$4*8/10),($N$4*8/10)^2*(1.5*(O137^2-MAX(N137,($N$4*8/10))^2)-($N$4*8/10)*(O137-MAX(N137,($N$4*8/10)))),0))*1000,0)</f>
        <v>0</v>
      </c>
      <c r="AV137" s="120">
        <f>IF(AND(V137="OK",ISNUMBER($N$5),$N$5&gt;0,ISNUMBER($N$3),$N$3&gt;0),R137/(6*$N$3*1000000*$N$5)*(IF(N137&lt;($N$4*9/10),($N$4*9/10)*(MIN(O137,($N$4*9/10))^3-N137^3)-(MIN(O137,($N$4*9/10))^4-N137^4)/4,0)+IF(O137&gt;($N$4*9/10),($N$4*9/10)^2*(1.5*(O137^2-MAX(N137,($N$4*9/10))^2)-($N$4*9/10)*(O137-MAX(N137,($N$4*9/10)))),0))*1000,0)</f>
        <v>0</v>
      </c>
      <c r="AW137" s="120">
        <f>IF(AND(V137="OK",ISNUMBER($N$5),$N$5&gt;0,ISNUMBER($N$3),$N$3&gt;0),R137/(6*$N$3*1000000*$N$5)*(IF(N137&lt;($N$4*10/10),($N$4*10/10)*(MIN(O137,($N$4*10/10))^3-N137^3)-(MIN(O137,($N$4*10/10))^4-N137^4)/4,0)+IF(O137&gt;($N$4*10/10),($N$4*10/10)^2*(1.5*(O137^2-MAX(N137,($N$4*10/10))^2)-($N$4*10/10)*(O137-MAX(N137,($N$4*10/10)))),0))*1000,0)</f>
        <v>0</v>
      </c>
    </row>
    <row r="138" spans="1:49">
      <c r="A138" s="124"/>
      <c r="B138" s="125"/>
      <c r="C138" s="125"/>
      <c r="D138" s="125"/>
      <c r="E138" s="125"/>
      <c r="F138" s="126" t="str">
        <f>IF(J138="OK",D138*E138,"")</f>
        <v/>
      </c>
      <c r="G138" s="126" t="str">
        <f>IF(J138="OK",F138*(C138-B138),"")</f>
        <v/>
      </c>
      <c r="H138" s="126" t="str">
        <f>IF(J138="OK",G138*(C138+B138)/2,"")</f>
        <v/>
      </c>
      <c r="I138" s="126" t="str">
        <f>IF(AND(J138="OK",ISNUMBER($B$5),$B$5&gt;0,ISNUMBER($B$3),$B$3&gt;0),F138*(4*$B$4*(C138^3-B138^3)-(C138^4-B138^4))/(24*$B$3*1000000*$B$5)*1000,"")</f>
        <v/>
      </c>
      <c r="J138" s="120" t="str">
        <f>IF(COUNTA(A138:E138)=0,"",IF(AND(COUNT(B138:E138)=4,B138&gt;=0,C138&gt;B138,C138&lt;=$B$4,D138&gt;=0,E138&gt;0),IF(COUNTIFS($B$13:$B$137,"&lt;"&amp;C138,$C$13:$C$137,"&gt;"&amp;B138)&gt;0,"OVERLAP","OK"),"CHECK INPUTS"))</f>
        <v/>
      </c>
      <c r="M138" s="124"/>
      <c r="N138" s="125"/>
      <c r="O138" s="125"/>
      <c r="P138" s="125"/>
      <c r="Q138" s="125"/>
      <c r="R138" s="126" t="str">
        <f>IF(V138="OK",P138*Q138,"")</f>
        <v/>
      </c>
      <c r="S138" s="126" t="str">
        <f>IF(V138="OK",R138*(O138-N138),"")</f>
        <v/>
      </c>
      <c r="T138" s="126" t="str">
        <f>IF(V138="OK",S138*(O138+N138)/2,"")</f>
        <v/>
      </c>
      <c r="U138" s="126" t="str">
        <f>IF(AND(V138="OK",ISNUMBER($N$5),$N$5&gt;0,ISNUMBER($N$3),$N$3&gt;0),R138*(4*$N$4*(O138^3-N138^3)-(O138^4-N138^4))/(24*$N$3*1000000*$N$5)*1000,"")</f>
        <v/>
      </c>
      <c r="V138" s="120" t="str">
        <f>IF(COUNTA(M138:Q138)=0,"",IF(AND(COUNT(N138:Q138)=4,N138&gt;=0,O138&gt;N138,O138&lt;=$N$4,P138&gt;=0,Q138&gt;0),IF(COUNTIFS($N$13:$N$137,"&lt;"&amp;O138,$O$13:$O$137,"&gt;"&amp;N138)&gt;0,"OVERLAP","OK"),"CHECK INPUTS"))</f>
        <v/>
      </c>
      <c r="AA138" s="120">
        <f>IF(AND(J138="OK",ISNUMBER($B$5),$B$5&gt;0,ISNUMBER($B$3),$B$3&gt;0),F138/(6*$B$3*1000000*$B$5)*(IF(B138&lt;($B$4*0/10),($B$4*0/10)*(MIN(C138,($B$4*0/10))^3-B138^3)-(MIN(C138,($B$4*0/10))^4-B138^4)/4,0)+IF(C138&gt;($B$4*0/10),($B$4*0/10)^2*(1.5*(C138^2-MAX(B138,($B$4*0/10))^2)-($B$4*0/10)*(C138-MAX(B138,($B$4*0/10)))),0))*1000,0)</f>
        <v>0</v>
      </c>
      <c r="AB138" s="120">
        <f>IF(AND(J138="OK",ISNUMBER($B$5),$B$5&gt;0,ISNUMBER($B$3),$B$3&gt;0),F138/(6*$B$3*1000000*$B$5)*(IF(B138&lt;($B$4*1/10),($B$4*1/10)*(MIN(C138,($B$4*1/10))^3-B138^3)-(MIN(C138,($B$4*1/10))^4-B138^4)/4,0)+IF(C138&gt;($B$4*1/10),($B$4*1/10)^2*(1.5*(C138^2-MAX(B138,($B$4*1/10))^2)-($B$4*1/10)*(C138-MAX(B138,($B$4*1/10)))),0))*1000,0)</f>
        <v>0</v>
      </c>
      <c r="AC138" s="120">
        <f>IF(AND(J138="OK",ISNUMBER($B$5),$B$5&gt;0,ISNUMBER($B$3),$B$3&gt;0),F138/(6*$B$3*1000000*$B$5)*(IF(B138&lt;($B$4*2/10),($B$4*2/10)*(MIN(C138,($B$4*2/10))^3-B138^3)-(MIN(C138,($B$4*2/10))^4-B138^4)/4,0)+IF(C138&gt;($B$4*2/10),($B$4*2/10)^2*(1.5*(C138^2-MAX(B138,($B$4*2/10))^2)-($B$4*2/10)*(C138-MAX(B138,($B$4*2/10)))),0))*1000,0)</f>
        <v>0</v>
      </c>
      <c r="AD138" s="120">
        <f>IF(AND(J138="OK",ISNUMBER($B$5),$B$5&gt;0,ISNUMBER($B$3),$B$3&gt;0),F138/(6*$B$3*1000000*$B$5)*(IF(B138&lt;($B$4*3/10),($B$4*3/10)*(MIN(C138,($B$4*3/10))^3-B138^3)-(MIN(C138,($B$4*3/10))^4-B138^4)/4,0)+IF(C138&gt;($B$4*3/10),($B$4*3/10)^2*(1.5*(C138^2-MAX(B138,($B$4*3/10))^2)-($B$4*3/10)*(C138-MAX(B138,($B$4*3/10)))),0))*1000,0)</f>
        <v>0</v>
      </c>
      <c r="AE138" s="120">
        <f>IF(AND(J138="OK",ISNUMBER($B$5),$B$5&gt;0,ISNUMBER($B$3),$B$3&gt;0),F138/(6*$B$3*1000000*$B$5)*(IF(B138&lt;($B$4*4/10),($B$4*4/10)*(MIN(C138,($B$4*4/10))^3-B138^3)-(MIN(C138,($B$4*4/10))^4-B138^4)/4,0)+IF(C138&gt;($B$4*4/10),($B$4*4/10)^2*(1.5*(C138^2-MAX(B138,($B$4*4/10))^2)-($B$4*4/10)*(C138-MAX(B138,($B$4*4/10)))),0))*1000,0)</f>
        <v>0</v>
      </c>
      <c r="AF138" s="120">
        <f>IF(AND(J138="OK",ISNUMBER($B$5),$B$5&gt;0,ISNUMBER($B$3),$B$3&gt;0),F138/(6*$B$3*1000000*$B$5)*(IF(B138&lt;($B$4*5/10),($B$4*5/10)*(MIN(C138,($B$4*5/10))^3-B138^3)-(MIN(C138,($B$4*5/10))^4-B138^4)/4,0)+IF(C138&gt;($B$4*5/10),($B$4*5/10)^2*(1.5*(C138^2-MAX(B138,($B$4*5/10))^2)-($B$4*5/10)*(C138-MAX(B138,($B$4*5/10)))),0))*1000,0)</f>
        <v>0</v>
      </c>
      <c r="AG138" s="120">
        <f>IF(AND(J138="OK",ISNUMBER($B$5),$B$5&gt;0,ISNUMBER($B$3),$B$3&gt;0),F138/(6*$B$3*1000000*$B$5)*(IF(B138&lt;($B$4*6/10),($B$4*6/10)*(MIN(C138,($B$4*6/10))^3-B138^3)-(MIN(C138,($B$4*6/10))^4-B138^4)/4,0)+IF(C138&gt;($B$4*6/10),($B$4*6/10)^2*(1.5*(C138^2-MAX(B138,($B$4*6/10))^2)-($B$4*6/10)*(C138-MAX(B138,($B$4*6/10)))),0))*1000,0)</f>
        <v>0</v>
      </c>
      <c r="AH138" s="120">
        <f>IF(AND(J138="OK",ISNUMBER($B$5),$B$5&gt;0,ISNUMBER($B$3),$B$3&gt;0),F138/(6*$B$3*1000000*$B$5)*(IF(B138&lt;($B$4*7/10),($B$4*7/10)*(MIN(C138,($B$4*7/10))^3-B138^3)-(MIN(C138,($B$4*7/10))^4-B138^4)/4,0)+IF(C138&gt;($B$4*7/10),($B$4*7/10)^2*(1.5*(C138^2-MAX(B138,($B$4*7/10))^2)-($B$4*7/10)*(C138-MAX(B138,($B$4*7/10)))),0))*1000,0)</f>
        <v>0</v>
      </c>
      <c r="AI138" s="120">
        <f>IF(AND(J138="OK",ISNUMBER($B$5),$B$5&gt;0,ISNUMBER($B$3),$B$3&gt;0),F138/(6*$B$3*1000000*$B$5)*(IF(B138&lt;($B$4*8/10),($B$4*8/10)*(MIN(C138,($B$4*8/10))^3-B138^3)-(MIN(C138,($B$4*8/10))^4-B138^4)/4,0)+IF(C138&gt;($B$4*8/10),($B$4*8/10)^2*(1.5*(C138^2-MAX(B138,($B$4*8/10))^2)-($B$4*8/10)*(C138-MAX(B138,($B$4*8/10)))),0))*1000,0)</f>
        <v>0</v>
      </c>
      <c r="AJ138" s="120">
        <f>IF(AND(J138="OK",ISNUMBER($B$5),$B$5&gt;0,ISNUMBER($B$3),$B$3&gt;0),F138/(6*$B$3*1000000*$B$5)*(IF(B138&lt;($B$4*9/10),($B$4*9/10)*(MIN(C138,($B$4*9/10))^3-B138^3)-(MIN(C138,($B$4*9/10))^4-B138^4)/4,0)+IF(C138&gt;($B$4*9/10),($B$4*9/10)^2*(1.5*(C138^2-MAX(B138,($B$4*9/10))^2)-($B$4*9/10)*(C138-MAX(B138,($B$4*9/10)))),0))*1000,0)</f>
        <v>0</v>
      </c>
      <c r="AK138" s="120">
        <f>IF(AND(J138="OK",ISNUMBER($B$5),$B$5&gt;0,ISNUMBER($B$3),$B$3&gt;0),F138/(6*$B$3*1000000*$B$5)*(IF(B138&lt;($B$4*10/10),($B$4*10/10)*(MIN(C138,($B$4*10/10))^3-B138^3)-(MIN(C138,($B$4*10/10))^4-B138^4)/4,0)+IF(C138&gt;($B$4*10/10),($B$4*10/10)^2*(1.5*(C138^2-MAX(B138,($B$4*10/10))^2)-($B$4*10/10)*(C138-MAX(B138,($B$4*10/10)))),0))*1000,0)</f>
        <v>0</v>
      </c>
      <c r="AM138" s="120">
        <f>IF(AND(V138="OK",ISNUMBER($N$5),$N$5&gt;0,ISNUMBER($N$3),$N$3&gt;0),R138/(6*$N$3*1000000*$N$5)*(IF(N138&lt;($N$4*0/10),($N$4*0/10)*(MIN(O138,($N$4*0/10))^3-N138^3)-(MIN(O138,($N$4*0/10))^4-N138^4)/4,0)+IF(O138&gt;($N$4*0/10),($N$4*0/10)^2*(1.5*(O138^2-MAX(N138,($N$4*0/10))^2)-($N$4*0/10)*(O138-MAX(N138,($N$4*0/10)))),0))*1000,0)</f>
        <v>0</v>
      </c>
      <c r="AN138" s="120">
        <f>IF(AND(V138="OK",ISNUMBER($N$5),$N$5&gt;0,ISNUMBER($N$3),$N$3&gt;0),R138/(6*$N$3*1000000*$N$5)*(IF(N138&lt;($N$4*1/10),($N$4*1/10)*(MIN(O138,($N$4*1/10))^3-N138^3)-(MIN(O138,($N$4*1/10))^4-N138^4)/4,0)+IF(O138&gt;($N$4*1/10),($N$4*1/10)^2*(1.5*(O138^2-MAX(N138,($N$4*1/10))^2)-($N$4*1/10)*(O138-MAX(N138,($N$4*1/10)))),0))*1000,0)</f>
        <v>0</v>
      </c>
      <c r="AO138" s="120">
        <f>IF(AND(V138="OK",ISNUMBER($N$5),$N$5&gt;0,ISNUMBER($N$3),$N$3&gt;0),R138/(6*$N$3*1000000*$N$5)*(IF(N138&lt;($N$4*2/10),($N$4*2/10)*(MIN(O138,($N$4*2/10))^3-N138^3)-(MIN(O138,($N$4*2/10))^4-N138^4)/4,0)+IF(O138&gt;($N$4*2/10),($N$4*2/10)^2*(1.5*(O138^2-MAX(N138,($N$4*2/10))^2)-($N$4*2/10)*(O138-MAX(N138,($N$4*2/10)))),0))*1000,0)</f>
        <v>0</v>
      </c>
      <c r="AP138" s="120">
        <f>IF(AND(V138="OK",ISNUMBER($N$5),$N$5&gt;0,ISNUMBER($N$3),$N$3&gt;0),R138/(6*$N$3*1000000*$N$5)*(IF(N138&lt;($N$4*3/10),($N$4*3/10)*(MIN(O138,($N$4*3/10))^3-N138^3)-(MIN(O138,($N$4*3/10))^4-N138^4)/4,0)+IF(O138&gt;($N$4*3/10),($N$4*3/10)^2*(1.5*(O138^2-MAX(N138,($N$4*3/10))^2)-($N$4*3/10)*(O138-MAX(N138,($N$4*3/10)))),0))*1000,0)</f>
        <v>0</v>
      </c>
      <c r="AQ138" s="120">
        <f>IF(AND(V138="OK",ISNUMBER($N$5),$N$5&gt;0,ISNUMBER($N$3),$N$3&gt;0),R138/(6*$N$3*1000000*$N$5)*(IF(N138&lt;($N$4*4/10),($N$4*4/10)*(MIN(O138,($N$4*4/10))^3-N138^3)-(MIN(O138,($N$4*4/10))^4-N138^4)/4,0)+IF(O138&gt;($N$4*4/10),($N$4*4/10)^2*(1.5*(O138^2-MAX(N138,($N$4*4/10))^2)-($N$4*4/10)*(O138-MAX(N138,($N$4*4/10)))),0))*1000,0)</f>
        <v>0</v>
      </c>
      <c r="AR138" s="120">
        <f>IF(AND(V138="OK",ISNUMBER($N$5),$N$5&gt;0,ISNUMBER($N$3),$N$3&gt;0),R138/(6*$N$3*1000000*$N$5)*(IF(N138&lt;($N$4*5/10),($N$4*5/10)*(MIN(O138,($N$4*5/10))^3-N138^3)-(MIN(O138,($N$4*5/10))^4-N138^4)/4,0)+IF(O138&gt;($N$4*5/10),($N$4*5/10)^2*(1.5*(O138^2-MAX(N138,($N$4*5/10))^2)-($N$4*5/10)*(O138-MAX(N138,($N$4*5/10)))),0))*1000,0)</f>
        <v>0</v>
      </c>
      <c r="AS138" s="120">
        <f>IF(AND(V138="OK",ISNUMBER($N$5),$N$5&gt;0,ISNUMBER($N$3),$N$3&gt;0),R138/(6*$N$3*1000000*$N$5)*(IF(N138&lt;($N$4*6/10),($N$4*6/10)*(MIN(O138,($N$4*6/10))^3-N138^3)-(MIN(O138,($N$4*6/10))^4-N138^4)/4,0)+IF(O138&gt;($N$4*6/10),($N$4*6/10)^2*(1.5*(O138^2-MAX(N138,($N$4*6/10))^2)-($N$4*6/10)*(O138-MAX(N138,($N$4*6/10)))),0))*1000,0)</f>
        <v>0</v>
      </c>
      <c r="AT138" s="120">
        <f>IF(AND(V138="OK",ISNUMBER($N$5),$N$5&gt;0,ISNUMBER($N$3),$N$3&gt;0),R138/(6*$N$3*1000000*$N$5)*(IF(N138&lt;($N$4*7/10),($N$4*7/10)*(MIN(O138,($N$4*7/10))^3-N138^3)-(MIN(O138,($N$4*7/10))^4-N138^4)/4,0)+IF(O138&gt;($N$4*7/10),($N$4*7/10)^2*(1.5*(O138^2-MAX(N138,($N$4*7/10))^2)-($N$4*7/10)*(O138-MAX(N138,($N$4*7/10)))),0))*1000,0)</f>
        <v>0</v>
      </c>
      <c r="AU138" s="120">
        <f>IF(AND(V138="OK",ISNUMBER($N$5),$N$5&gt;0,ISNUMBER($N$3),$N$3&gt;0),R138/(6*$N$3*1000000*$N$5)*(IF(N138&lt;($N$4*8/10),($N$4*8/10)*(MIN(O138,($N$4*8/10))^3-N138^3)-(MIN(O138,($N$4*8/10))^4-N138^4)/4,0)+IF(O138&gt;($N$4*8/10),($N$4*8/10)^2*(1.5*(O138^2-MAX(N138,($N$4*8/10))^2)-($N$4*8/10)*(O138-MAX(N138,($N$4*8/10)))),0))*1000,0)</f>
        <v>0</v>
      </c>
      <c r="AV138" s="120">
        <f>IF(AND(V138="OK",ISNUMBER($N$5),$N$5&gt;0,ISNUMBER($N$3),$N$3&gt;0),R138/(6*$N$3*1000000*$N$5)*(IF(N138&lt;($N$4*9/10),($N$4*9/10)*(MIN(O138,($N$4*9/10))^3-N138^3)-(MIN(O138,($N$4*9/10))^4-N138^4)/4,0)+IF(O138&gt;($N$4*9/10),($N$4*9/10)^2*(1.5*(O138^2-MAX(N138,($N$4*9/10))^2)-($N$4*9/10)*(O138-MAX(N138,($N$4*9/10)))),0))*1000,0)</f>
        <v>0</v>
      </c>
      <c r="AW138" s="120">
        <f>IF(AND(V138="OK",ISNUMBER($N$5),$N$5&gt;0,ISNUMBER($N$3),$N$3&gt;0),R138/(6*$N$3*1000000*$N$5)*(IF(N138&lt;($N$4*10/10),($N$4*10/10)*(MIN(O138,($N$4*10/10))^3-N138^3)-(MIN(O138,($N$4*10/10))^4-N138^4)/4,0)+IF(O138&gt;($N$4*10/10),($N$4*10/10)^2*(1.5*(O138^2-MAX(N138,($N$4*10/10))^2)-($N$4*10/10)*(O138-MAX(N138,($N$4*10/10)))),0))*1000,0)</f>
        <v>0</v>
      </c>
    </row>
    <row r="139" spans="1:49">
      <c r="A139" s="124"/>
      <c r="B139" s="125"/>
      <c r="C139" s="125"/>
      <c r="D139" s="125"/>
      <c r="E139" s="125"/>
      <c r="F139" s="126" t="str">
        <f>IF(J139="OK",D139*E139,"")</f>
        <v/>
      </c>
      <c r="G139" s="126" t="str">
        <f>IF(J139="OK",F139*(C139-B139),"")</f>
        <v/>
      </c>
      <c r="H139" s="126" t="str">
        <f>IF(J139="OK",G139*(C139+B139)/2,"")</f>
        <v/>
      </c>
      <c r="I139" s="126" t="str">
        <f>IF(AND(J139="OK",ISNUMBER($B$5),$B$5&gt;0,ISNUMBER($B$3),$B$3&gt;0),F139*(4*$B$4*(C139^3-B139^3)-(C139^4-B139^4))/(24*$B$3*1000000*$B$5)*1000,"")</f>
        <v/>
      </c>
      <c r="J139" s="120" t="str">
        <f>IF(COUNTA(A139:E139)=0,"",IF(AND(COUNT(B139:E139)=4,B139&gt;=0,C139&gt;B139,C139&lt;=$B$4,D139&gt;=0,E139&gt;0),IF(COUNTIFS($B$13:$B$138,"&lt;"&amp;C139,$C$13:$C$138,"&gt;"&amp;B139)&gt;0,"OVERLAP","OK"),"CHECK INPUTS"))</f>
        <v/>
      </c>
      <c r="M139" s="124"/>
      <c r="N139" s="125"/>
      <c r="O139" s="125"/>
      <c r="P139" s="125"/>
      <c r="Q139" s="125"/>
      <c r="R139" s="126" t="str">
        <f>IF(V139="OK",P139*Q139,"")</f>
        <v/>
      </c>
      <c r="S139" s="126" t="str">
        <f>IF(V139="OK",R139*(O139-N139),"")</f>
        <v/>
      </c>
      <c r="T139" s="126" t="str">
        <f>IF(V139="OK",S139*(O139+N139)/2,"")</f>
        <v/>
      </c>
      <c r="U139" s="126" t="str">
        <f>IF(AND(V139="OK",ISNUMBER($N$5),$N$5&gt;0,ISNUMBER($N$3),$N$3&gt;0),R139*(4*$N$4*(O139^3-N139^3)-(O139^4-N139^4))/(24*$N$3*1000000*$N$5)*1000,"")</f>
        <v/>
      </c>
      <c r="V139" s="120" t="str">
        <f>IF(COUNTA(M139:Q139)=0,"",IF(AND(COUNT(N139:Q139)=4,N139&gt;=0,O139&gt;N139,O139&lt;=$N$4,P139&gt;=0,Q139&gt;0),IF(COUNTIFS($N$13:$N$138,"&lt;"&amp;O139,$O$13:$O$138,"&gt;"&amp;N139)&gt;0,"OVERLAP","OK"),"CHECK INPUTS"))</f>
        <v/>
      </c>
      <c r="AA139" s="120">
        <f>IF(AND(J139="OK",ISNUMBER($B$5),$B$5&gt;0,ISNUMBER($B$3),$B$3&gt;0),F139/(6*$B$3*1000000*$B$5)*(IF(B139&lt;($B$4*0/10),($B$4*0/10)*(MIN(C139,($B$4*0/10))^3-B139^3)-(MIN(C139,($B$4*0/10))^4-B139^4)/4,0)+IF(C139&gt;($B$4*0/10),($B$4*0/10)^2*(1.5*(C139^2-MAX(B139,($B$4*0/10))^2)-($B$4*0/10)*(C139-MAX(B139,($B$4*0/10)))),0))*1000,0)</f>
        <v>0</v>
      </c>
      <c r="AB139" s="120">
        <f>IF(AND(J139="OK",ISNUMBER($B$5),$B$5&gt;0,ISNUMBER($B$3),$B$3&gt;0),F139/(6*$B$3*1000000*$B$5)*(IF(B139&lt;($B$4*1/10),($B$4*1/10)*(MIN(C139,($B$4*1/10))^3-B139^3)-(MIN(C139,($B$4*1/10))^4-B139^4)/4,0)+IF(C139&gt;($B$4*1/10),($B$4*1/10)^2*(1.5*(C139^2-MAX(B139,($B$4*1/10))^2)-($B$4*1/10)*(C139-MAX(B139,($B$4*1/10)))),0))*1000,0)</f>
        <v>0</v>
      </c>
      <c r="AC139" s="120">
        <f>IF(AND(J139="OK",ISNUMBER($B$5),$B$5&gt;0,ISNUMBER($B$3),$B$3&gt;0),F139/(6*$B$3*1000000*$B$5)*(IF(B139&lt;($B$4*2/10),($B$4*2/10)*(MIN(C139,($B$4*2/10))^3-B139^3)-(MIN(C139,($B$4*2/10))^4-B139^4)/4,0)+IF(C139&gt;($B$4*2/10),($B$4*2/10)^2*(1.5*(C139^2-MAX(B139,($B$4*2/10))^2)-($B$4*2/10)*(C139-MAX(B139,($B$4*2/10)))),0))*1000,0)</f>
        <v>0</v>
      </c>
      <c r="AD139" s="120">
        <f>IF(AND(J139="OK",ISNUMBER($B$5),$B$5&gt;0,ISNUMBER($B$3),$B$3&gt;0),F139/(6*$B$3*1000000*$B$5)*(IF(B139&lt;($B$4*3/10),($B$4*3/10)*(MIN(C139,($B$4*3/10))^3-B139^3)-(MIN(C139,($B$4*3/10))^4-B139^4)/4,0)+IF(C139&gt;($B$4*3/10),($B$4*3/10)^2*(1.5*(C139^2-MAX(B139,($B$4*3/10))^2)-($B$4*3/10)*(C139-MAX(B139,($B$4*3/10)))),0))*1000,0)</f>
        <v>0</v>
      </c>
      <c r="AE139" s="120">
        <f>IF(AND(J139="OK",ISNUMBER($B$5),$B$5&gt;0,ISNUMBER($B$3),$B$3&gt;0),F139/(6*$B$3*1000000*$B$5)*(IF(B139&lt;($B$4*4/10),($B$4*4/10)*(MIN(C139,($B$4*4/10))^3-B139^3)-(MIN(C139,($B$4*4/10))^4-B139^4)/4,0)+IF(C139&gt;($B$4*4/10),($B$4*4/10)^2*(1.5*(C139^2-MAX(B139,($B$4*4/10))^2)-($B$4*4/10)*(C139-MAX(B139,($B$4*4/10)))),0))*1000,0)</f>
        <v>0</v>
      </c>
      <c r="AF139" s="120">
        <f>IF(AND(J139="OK",ISNUMBER($B$5),$B$5&gt;0,ISNUMBER($B$3),$B$3&gt;0),F139/(6*$B$3*1000000*$B$5)*(IF(B139&lt;($B$4*5/10),($B$4*5/10)*(MIN(C139,($B$4*5/10))^3-B139^3)-(MIN(C139,($B$4*5/10))^4-B139^4)/4,0)+IF(C139&gt;($B$4*5/10),($B$4*5/10)^2*(1.5*(C139^2-MAX(B139,($B$4*5/10))^2)-($B$4*5/10)*(C139-MAX(B139,($B$4*5/10)))),0))*1000,0)</f>
        <v>0</v>
      </c>
      <c r="AG139" s="120">
        <f>IF(AND(J139="OK",ISNUMBER($B$5),$B$5&gt;0,ISNUMBER($B$3),$B$3&gt;0),F139/(6*$B$3*1000000*$B$5)*(IF(B139&lt;($B$4*6/10),($B$4*6/10)*(MIN(C139,($B$4*6/10))^3-B139^3)-(MIN(C139,($B$4*6/10))^4-B139^4)/4,0)+IF(C139&gt;($B$4*6/10),($B$4*6/10)^2*(1.5*(C139^2-MAX(B139,($B$4*6/10))^2)-($B$4*6/10)*(C139-MAX(B139,($B$4*6/10)))),0))*1000,0)</f>
        <v>0</v>
      </c>
      <c r="AH139" s="120">
        <f>IF(AND(J139="OK",ISNUMBER($B$5),$B$5&gt;0,ISNUMBER($B$3),$B$3&gt;0),F139/(6*$B$3*1000000*$B$5)*(IF(B139&lt;($B$4*7/10),($B$4*7/10)*(MIN(C139,($B$4*7/10))^3-B139^3)-(MIN(C139,($B$4*7/10))^4-B139^4)/4,0)+IF(C139&gt;($B$4*7/10),($B$4*7/10)^2*(1.5*(C139^2-MAX(B139,($B$4*7/10))^2)-($B$4*7/10)*(C139-MAX(B139,($B$4*7/10)))),0))*1000,0)</f>
        <v>0</v>
      </c>
      <c r="AI139" s="120">
        <f>IF(AND(J139="OK",ISNUMBER($B$5),$B$5&gt;0,ISNUMBER($B$3),$B$3&gt;0),F139/(6*$B$3*1000000*$B$5)*(IF(B139&lt;($B$4*8/10),($B$4*8/10)*(MIN(C139,($B$4*8/10))^3-B139^3)-(MIN(C139,($B$4*8/10))^4-B139^4)/4,0)+IF(C139&gt;($B$4*8/10),($B$4*8/10)^2*(1.5*(C139^2-MAX(B139,($B$4*8/10))^2)-($B$4*8/10)*(C139-MAX(B139,($B$4*8/10)))),0))*1000,0)</f>
        <v>0</v>
      </c>
      <c r="AJ139" s="120">
        <f>IF(AND(J139="OK",ISNUMBER($B$5),$B$5&gt;0,ISNUMBER($B$3),$B$3&gt;0),F139/(6*$B$3*1000000*$B$5)*(IF(B139&lt;($B$4*9/10),($B$4*9/10)*(MIN(C139,($B$4*9/10))^3-B139^3)-(MIN(C139,($B$4*9/10))^4-B139^4)/4,0)+IF(C139&gt;($B$4*9/10),($B$4*9/10)^2*(1.5*(C139^2-MAX(B139,($B$4*9/10))^2)-($B$4*9/10)*(C139-MAX(B139,($B$4*9/10)))),0))*1000,0)</f>
        <v>0</v>
      </c>
      <c r="AK139" s="120">
        <f>IF(AND(J139="OK",ISNUMBER($B$5),$B$5&gt;0,ISNUMBER($B$3),$B$3&gt;0),F139/(6*$B$3*1000000*$B$5)*(IF(B139&lt;($B$4*10/10),($B$4*10/10)*(MIN(C139,($B$4*10/10))^3-B139^3)-(MIN(C139,($B$4*10/10))^4-B139^4)/4,0)+IF(C139&gt;($B$4*10/10),($B$4*10/10)^2*(1.5*(C139^2-MAX(B139,($B$4*10/10))^2)-($B$4*10/10)*(C139-MAX(B139,($B$4*10/10)))),0))*1000,0)</f>
        <v>0</v>
      </c>
      <c r="AM139" s="120">
        <f>IF(AND(V139="OK",ISNUMBER($N$5),$N$5&gt;0,ISNUMBER($N$3),$N$3&gt;0),R139/(6*$N$3*1000000*$N$5)*(IF(N139&lt;($N$4*0/10),($N$4*0/10)*(MIN(O139,($N$4*0/10))^3-N139^3)-(MIN(O139,($N$4*0/10))^4-N139^4)/4,0)+IF(O139&gt;($N$4*0/10),($N$4*0/10)^2*(1.5*(O139^2-MAX(N139,($N$4*0/10))^2)-($N$4*0/10)*(O139-MAX(N139,($N$4*0/10)))),0))*1000,0)</f>
        <v>0</v>
      </c>
      <c r="AN139" s="120">
        <f>IF(AND(V139="OK",ISNUMBER($N$5),$N$5&gt;0,ISNUMBER($N$3),$N$3&gt;0),R139/(6*$N$3*1000000*$N$5)*(IF(N139&lt;($N$4*1/10),($N$4*1/10)*(MIN(O139,($N$4*1/10))^3-N139^3)-(MIN(O139,($N$4*1/10))^4-N139^4)/4,0)+IF(O139&gt;($N$4*1/10),($N$4*1/10)^2*(1.5*(O139^2-MAX(N139,($N$4*1/10))^2)-($N$4*1/10)*(O139-MAX(N139,($N$4*1/10)))),0))*1000,0)</f>
        <v>0</v>
      </c>
      <c r="AO139" s="120">
        <f>IF(AND(V139="OK",ISNUMBER($N$5),$N$5&gt;0,ISNUMBER($N$3),$N$3&gt;0),R139/(6*$N$3*1000000*$N$5)*(IF(N139&lt;($N$4*2/10),($N$4*2/10)*(MIN(O139,($N$4*2/10))^3-N139^3)-(MIN(O139,($N$4*2/10))^4-N139^4)/4,0)+IF(O139&gt;($N$4*2/10),($N$4*2/10)^2*(1.5*(O139^2-MAX(N139,($N$4*2/10))^2)-($N$4*2/10)*(O139-MAX(N139,($N$4*2/10)))),0))*1000,0)</f>
        <v>0</v>
      </c>
      <c r="AP139" s="120">
        <f>IF(AND(V139="OK",ISNUMBER($N$5),$N$5&gt;0,ISNUMBER($N$3),$N$3&gt;0),R139/(6*$N$3*1000000*$N$5)*(IF(N139&lt;($N$4*3/10),($N$4*3/10)*(MIN(O139,($N$4*3/10))^3-N139^3)-(MIN(O139,($N$4*3/10))^4-N139^4)/4,0)+IF(O139&gt;($N$4*3/10),($N$4*3/10)^2*(1.5*(O139^2-MAX(N139,($N$4*3/10))^2)-($N$4*3/10)*(O139-MAX(N139,($N$4*3/10)))),0))*1000,0)</f>
        <v>0</v>
      </c>
      <c r="AQ139" s="120">
        <f>IF(AND(V139="OK",ISNUMBER($N$5),$N$5&gt;0,ISNUMBER($N$3),$N$3&gt;0),R139/(6*$N$3*1000000*$N$5)*(IF(N139&lt;($N$4*4/10),($N$4*4/10)*(MIN(O139,($N$4*4/10))^3-N139^3)-(MIN(O139,($N$4*4/10))^4-N139^4)/4,0)+IF(O139&gt;($N$4*4/10),($N$4*4/10)^2*(1.5*(O139^2-MAX(N139,($N$4*4/10))^2)-($N$4*4/10)*(O139-MAX(N139,($N$4*4/10)))),0))*1000,0)</f>
        <v>0</v>
      </c>
      <c r="AR139" s="120">
        <f>IF(AND(V139="OK",ISNUMBER($N$5),$N$5&gt;0,ISNUMBER($N$3),$N$3&gt;0),R139/(6*$N$3*1000000*$N$5)*(IF(N139&lt;($N$4*5/10),($N$4*5/10)*(MIN(O139,($N$4*5/10))^3-N139^3)-(MIN(O139,($N$4*5/10))^4-N139^4)/4,0)+IF(O139&gt;($N$4*5/10),($N$4*5/10)^2*(1.5*(O139^2-MAX(N139,($N$4*5/10))^2)-($N$4*5/10)*(O139-MAX(N139,($N$4*5/10)))),0))*1000,0)</f>
        <v>0</v>
      </c>
      <c r="AS139" s="120">
        <f>IF(AND(V139="OK",ISNUMBER($N$5),$N$5&gt;0,ISNUMBER($N$3),$N$3&gt;0),R139/(6*$N$3*1000000*$N$5)*(IF(N139&lt;($N$4*6/10),($N$4*6/10)*(MIN(O139,($N$4*6/10))^3-N139^3)-(MIN(O139,($N$4*6/10))^4-N139^4)/4,0)+IF(O139&gt;($N$4*6/10),($N$4*6/10)^2*(1.5*(O139^2-MAX(N139,($N$4*6/10))^2)-($N$4*6/10)*(O139-MAX(N139,($N$4*6/10)))),0))*1000,0)</f>
        <v>0</v>
      </c>
      <c r="AT139" s="120">
        <f>IF(AND(V139="OK",ISNUMBER($N$5),$N$5&gt;0,ISNUMBER($N$3),$N$3&gt;0),R139/(6*$N$3*1000000*$N$5)*(IF(N139&lt;($N$4*7/10),($N$4*7/10)*(MIN(O139,($N$4*7/10))^3-N139^3)-(MIN(O139,($N$4*7/10))^4-N139^4)/4,0)+IF(O139&gt;($N$4*7/10),($N$4*7/10)^2*(1.5*(O139^2-MAX(N139,($N$4*7/10))^2)-($N$4*7/10)*(O139-MAX(N139,($N$4*7/10)))),0))*1000,0)</f>
        <v>0</v>
      </c>
      <c r="AU139" s="120">
        <f>IF(AND(V139="OK",ISNUMBER($N$5),$N$5&gt;0,ISNUMBER($N$3),$N$3&gt;0),R139/(6*$N$3*1000000*$N$5)*(IF(N139&lt;($N$4*8/10),($N$4*8/10)*(MIN(O139,($N$4*8/10))^3-N139^3)-(MIN(O139,($N$4*8/10))^4-N139^4)/4,0)+IF(O139&gt;($N$4*8/10),($N$4*8/10)^2*(1.5*(O139^2-MAX(N139,($N$4*8/10))^2)-($N$4*8/10)*(O139-MAX(N139,($N$4*8/10)))),0))*1000,0)</f>
        <v>0</v>
      </c>
      <c r="AV139" s="120">
        <f>IF(AND(V139="OK",ISNUMBER($N$5),$N$5&gt;0,ISNUMBER($N$3),$N$3&gt;0),R139/(6*$N$3*1000000*$N$5)*(IF(N139&lt;($N$4*9/10),($N$4*9/10)*(MIN(O139,($N$4*9/10))^3-N139^3)-(MIN(O139,($N$4*9/10))^4-N139^4)/4,0)+IF(O139&gt;($N$4*9/10),($N$4*9/10)^2*(1.5*(O139^2-MAX(N139,($N$4*9/10))^2)-($N$4*9/10)*(O139-MAX(N139,($N$4*9/10)))),0))*1000,0)</f>
        <v>0</v>
      </c>
      <c r="AW139" s="120">
        <f>IF(AND(V139="OK",ISNUMBER($N$5),$N$5&gt;0,ISNUMBER($N$3),$N$3&gt;0),R139/(6*$N$3*1000000*$N$5)*(IF(N139&lt;($N$4*10/10),($N$4*10/10)*(MIN(O139,($N$4*10/10))^3-N139^3)-(MIN(O139,($N$4*10/10))^4-N139^4)/4,0)+IF(O139&gt;($N$4*10/10),($N$4*10/10)^2*(1.5*(O139^2-MAX(N139,($N$4*10/10))^2)-($N$4*10/10)*(O139-MAX(N139,($N$4*10/10)))),0))*1000,0)</f>
        <v>0</v>
      </c>
    </row>
    <row r="140" spans="1:49">
      <c r="A140" s="124"/>
      <c r="B140" s="125"/>
      <c r="C140" s="125"/>
      <c r="D140" s="125"/>
      <c r="E140" s="125"/>
      <c r="F140" s="126" t="str">
        <f>IF(J140="OK",D140*E140,"")</f>
        <v/>
      </c>
      <c r="G140" s="126" t="str">
        <f>IF(J140="OK",F140*(C140-B140),"")</f>
        <v/>
      </c>
      <c r="H140" s="126" t="str">
        <f>IF(J140="OK",G140*(C140+B140)/2,"")</f>
        <v/>
      </c>
      <c r="I140" s="126" t="str">
        <f>IF(AND(J140="OK",ISNUMBER($B$5),$B$5&gt;0,ISNUMBER($B$3),$B$3&gt;0),F140*(4*$B$4*(C140^3-B140^3)-(C140^4-B140^4))/(24*$B$3*1000000*$B$5)*1000,"")</f>
        <v/>
      </c>
      <c r="J140" s="120" t="str">
        <f>IF(COUNTA(A140:E140)=0,"",IF(AND(COUNT(B140:E140)=4,B140&gt;=0,C140&gt;B140,C140&lt;=$B$4,D140&gt;=0,E140&gt;0),IF(COUNTIFS($B$13:$B$139,"&lt;"&amp;C140,$C$13:$C$139,"&gt;"&amp;B140)&gt;0,"OVERLAP","OK"),"CHECK INPUTS"))</f>
        <v/>
      </c>
      <c r="M140" s="124"/>
      <c r="N140" s="125"/>
      <c r="O140" s="125"/>
      <c r="P140" s="125"/>
      <c r="Q140" s="125"/>
      <c r="R140" s="126" t="str">
        <f>IF(V140="OK",P140*Q140,"")</f>
        <v/>
      </c>
      <c r="S140" s="126" t="str">
        <f>IF(V140="OK",R140*(O140-N140),"")</f>
        <v/>
      </c>
      <c r="T140" s="126" t="str">
        <f>IF(V140="OK",S140*(O140+N140)/2,"")</f>
        <v/>
      </c>
      <c r="U140" s="126" t="str">
        <f>IF(AND(V140="OK",ISNUMBER($N$5),$N$5&gt;0,ISNUMBER($N$3),$N$3&gt;0),R140*(4*$N$4*(O140^3-N140^3)-(O140^4-N140^4))/(24*$N$3*1000000*$N$5)*1000,"")</f>
        <v/>
      </c>
      <c r="V140" s="120" t="str">
        <f>IF(COUNTA(M140:Q140)=0,"",IF(AND(COUNT(N140:Q140)=4,N140&gt;=0,O140&gt;N140,O140&lt;=$N$4,P140&gt;=0,Q140&gt;0),IF(COUNTIFS($N$13:$N$139,"&lt;"&amp;O140,$O$13:$O$139,"&gt;"&amp;N140)&gt;0,"OVERLAP","OK"),"CHECK INPUTS"))</f>
        <v/>
      </c>
      <c r="AA140" s="120">
        <f>IF(AND(J140="OK",ISNUMBER($B$5),$B$5&gt;0,ISNUMBER($B$3),$B$3&gt;0),F140/(6*$B$3*1000000*$B$5)*(IF(B140&lt;($B$4*0/10),($B$4*0/10)*(MIN(C140,($B$4*0/10))^3-B140^3)-(MIN(C140,($B$4*0/10))^4-B140^4)/4,0)+IF(C140&gt;($B$4*0/10),($B$4*0/10)^2*(1.5*(C140^2-MAX(B140,($B$4*0/10))^2)-($B$4*0/10)*(C140-MAX(B140,($B$4*0/10)))),0))*1000,0)</f>
        <v>0</v>
      </c>
      <c r="AB140" s="120">
        <f>IF(AND(J140="OK",ISNUMBER($B$5),$B$5&gt;0,ISNUMBER($B$3),$B$3&gt;0),F140/(6*$B$3*1000000*$B$5)*(IF(B140&lt;($B$4*1/10),($B$4*1/10)*(MIN(C140,($B$4*1/10))^3-B140^3)-(MIN(C140,($B$4*1/10))^4-B140^4)/4,0)+IF(C140&gt;($B$4*1/10),($B$4*1/10)^2*(1.5*(C140^2-MAX(B140,($B$4*1/10))^2)-($B$4*1/10)*(C140-MAX(B140,($B$4*1/10)))),0))*1000,0)</f>
        <v>0</v>
      </c>
      <c r="AC140" s="120">
        <f>IF(AND(J140="OK",ISNUMBER($B$5),$B$5&gt;0,ISNUMBER($B$3),$B$3&gt;0),F140/(6*$B$3*1000000*$B$5)*(IF(B140&lt;($B$4*2/10),($B$4*2/10)*(MIN(C140,($B$4*2/10))^3-B140^3)-(MIN(C140,($B$4*2/10))^4-B140^4)/4,0)+IF(C140&gt;($B$4*2/10),($B$4*2/10)^2*(1.5*(C140^2-MAX(B140,($B$4*2/10))^2)-($B$4*2/10)*(C140-MAX(B140,($B$4*2/10)))),0))*1000,0)</f>
        <v>0</v>
      </c>
      <c r="AD140" s="120">
        <f>IF(AND(J140="OK",ISNUMBER($B$5),$B$5&gt;0,ISNUMBER($B$3),$B$3&gt;0),F140/(6*$B$3*1000000*$B$5)*(IF(B140&lt;($B$4*3/10),($B$4*3/10)*(MIN(C140,($B$4*3/10))^3-B140^3)-(MIN(C140,($B$4*3/10))^4-B140^4)/4,0)+IF(C140&gt;($B$4*3/10),($B$4*3/10)^2*(1.5*(C140^2-MAX(B140,($B$4*3/10))^2)-($B$4*3/10)*(C140-MAX(B140,($B$4*3/10)))),0))*1000,0)</f>
        <v>0</v>
      </c>
      <c r="AE140" s="120">
        <f>IF(AND(J140="OK",ISNUMBER($B$5),$B$5&gt;0,ISNUMBER($B$3),$B$3&gt;0),F140/(6*$B$3*1000000*$B$5)*(IF(B140&lt;($B$4*4/10),($B$4*4/10)*(MIN(C140,($B$4*4/10))^3-B140^3)-(MIN(C140,($B$4*4/10))^4-B140^4)/4,0)+IF(C140&gt;($B$4*4/10),($B$4*4/10)^2*(1.5*(C140^2-MAX(B140,($B$4*4/10))^2)-($B$4*4/10)*(C140-MAX(B140,($B$4*4/10)))),0))*1000,0)</f>
        <v>0</v>
      </c>
      <c r="AF140" s="120">
        <f>IF(AND(J140="OK",ISNUMBER($B$5),$B$5&gt;0,ISNUMBER($B$3),$B$3&gt;0),F140/(6*$B$3*1000000*$B$5)*(IF(B140&lt;($B$4*5/10),($B$4*5/10)*(MIN(C140,($B$4*5/10))^3-B140^3)-(MIN(C140,($B$4*5/10))^4-B140^4)/4,0)+IF(C140&gt;($B$4*5/10),($B$4*5/10)^2*(1.5*(C140^2-MAX(B140,($B$4*5/10))^2)-($B$4*5/10)*(C140-MAX(B140,($B$4*5/10)))),0))*1000,0)</f>
        <v>0</v>
      </c>
      <c r="AG140" s="120">
        <f>IF(AND(J140="OK",ISNUMBER($B$5),$B$5&gt;0,ISNUMBER($B$3),$B$3&gt;0),F140/(6*$B$3*1000000*$B$5)*(IF(B140&lt;($B$4*6/10),($B$4*6/10)*(MIN(C140,($B$4*6/10))^3-B140^3)-(MIN(C140,($B$4*6/10))^4-B140^4)/4,0)+IF(C140&gt;($B$4*6/10),($B$4*6/10)^2*(1.5*(C140^2-MAX(B140,($B$4*6/10))^2)-($B$4*6/10)*(C140-MAX(B140,($B$4*6/10)))),0))*1000,0)</f>
        <v>0</v>
      </c>
      <c r="AH140" s="120">
        <f>IF(AND(J140="OK",ISNUMBER($B$5),$B$5&gt;0,ISNUMBER($B$3),$B$3&gt;0),F140/(6*$B$3*1000000*$B$5)*(IF(B140&lt;($B$4*7/10),($B$4*7/10)*(MIN(C140,($B$4*7/10))^3-B140^3)-(MIN(C140,($B$4*7/10))^4-B140^4)/4,0)+IF(C140&gt;($B$4*7/10),($B$4*7/10)^2*(1.5*(C140^2-MAX(B140,($B$4*7/10))^2)-($B$4*7/10)*(C140-MAX(B140,($B$4*7/10)))),0))*1000,0)</f>
        <v>0</v>
      </c>
      <c r="AI140" s="120">
        <f>IF(AND(J140="OK",ISNUMBER($B$5),$B$5&gt;0,ISNUMBER($B$3),$B$3&gt;0),F140/(6*$B$3*1000000*$B$5)*(IF(B140&lt;($B$4*8/10),($B$4*8/10)*(MIN(C140,($B$4*8/10))^3-B140^3)-(MIN(C140,($B$4*8/10))^4-B140^4)/4,0)+IF(C140&gt;($B$4*8/10),($B$4*8/10)^2*(1.5*(C140^2-MAX(B140,($B$4*8/10))^2)-($B$4*8/10)*(C140-MAX(B140,($B$4*8/10)))),0))*1000,0)</f>
        <v>0</v>
      </c>
      <c r="AJ140" s="120">
        <f>IF(AND(J140="OK",ISNUMBER($B$5),$B$5&gt;0,ISNUMBER($B$3),$B$3&gt;0),F140/(6*$B$3*1000000*$B$5)*(IF(B140&lt;($B$4*9/10),($B$4*9/10)*(MIN(C140,($B$4*9/10))^3-B140^3)-(MIN(C140,($B$4*9/10))^4-B140^4)/4,0)+IF(C140&gt;($B$4*9/10),($B$4*9/10)^2*(1.5*(C140^2-MAX(B140,($B$4*9/10))^2)-($B$4*9/10)*(C140-MAX(B140,($B$4*9/10)))),0))*1000,0)</f>
        <v>0</v>
      </c>
      <c r="AK140" s="120">
        <f>IF(AND(J140="OK",ISNUMBER($B$5),$B$5&gt;0,ISNUMBER($B$3),$B$3&gt;0),F140/(6*$B$3*1000000*$B$5)*(IF(B140&lt;($B$4*10/10),($B$4*10/10)*(MIN(C140,($B$4*10/10))^3-B140^3)-(MIN(C140,($B$4*10/10))^4-B140^4)/4,0)+IF(C140&gt;($B$4*10/10),($B$4*10/10)^2*(1.5*(C140^2-MAX(B140,($B$4*10/10))^2)-($B$4*10/10)*(C140-MAX(B140,($B$4*10/10)))),0))*1000,0)</f>
        <v>0</v>
      </c>
      <c r="AM140" s="120">
        <f>IF(AND(V140="OK",ISNUMBER($N$5),$N$5&gt;0,ISNUMBER($N$3),$N$3&gt;0),R140/(6*$N$3*1000000*$N$5)*(IF(N140&lt;($N$4*0/10),($N$4*0/10)*(MIN(O140,($N$4*0/10))^3-N140^3)-(MIN(O140,($N$4*0/10))^4-N140^4)/4,0)+IF(O140&gt;($N$4*0/10),($N$4*0/10)^2*(1.5*(O140^2-MAX(N140,($N$4*0/10))^2)-($N$4*0/10)*(O140-MAX(N140,($N$4*0/10)))),0))*1000,0)</f>
        <v>0</v>
      </c>
      <c r="AN140" s="120">
        <f>IF(AND(V140="OK",ISNUMBER($N$5),$N$5&gt;0,ISNUMBER($N$3),$N$3&gt;0),R140/(6*$N$3*1000000*$N$5)*(IF(N140&lt;($N$4*1/10),($N$4*1/10)*(MIN(O140,($N$4*1/10))^3-N140^3)-(MIN(O140,($N$4*1/10))^4-N140^4)/4,0)+IF(O140&gt;($N$4*1/10),($N$4*1/10)^2*(1.5*(O140^2-MAX(N140,($N$4*1/10))^2)-($N$4*1/10)*(O140-MAX(N140,($N$4*1/10)))),0))*1000,0)</f>
        <v>0</v>
      </c>
      <c r="AO140" s="120">
        <f>IF(AND(V140="OK",ISNUMBER($N$5),$N$5&gt;0,ISNUMBER($N$3),$N$3&gt;0),R140/(6*$N$3*1000000*$N$5)*(IF(N140&lt;($N$4*2/10),($N$4*2/10)*(MIN(O140,($N$4*2/10))^3-N140^3)-(MIN(O140,($N$4*2/10))^4-N140^4)/4,0)+IF(O140&gt;($N$4*2/10),($N$4*2/10)^2*(1.5*(O140^2-MAX(N140,($N$4*2/10))^2)-($N$4*2/10)*(O140-MAX(N140,($N$4*2/10)))),0))*1000,0)</f>
        <v>0</v>
      </c>
      <c r="AP140" s="120">
        <f>IF(AND(V140="OK",ISNUMBER($N$5),$N$5&gt;0,ISNUMBER($N$3),$N$3&gt;0),R140/(6*$N$3*1000000*$N$5)*(IF(N140&lt;($N$4*3/10),($N$4*3/10)*(MIN(O140,($N$4*3/10))^3-N140^3)-(MIN(O140,($N$4*3/10))^4-N140^4)/4,0)+IF(O140&gt;($N$4*3/10),($N$4*3/10)^2*(1.5*(O140^2-MAX(N140,($N$4*3/10))^2)-($N$4*3/10)*(O140-MAX(N140,($N$4*3/10)))),0))*1000,0)</f>
        <v>0</v>
      </c>
      <c r="AQ140" s="120">
        <f>IF(AND(V140="OK",ISNUMBER($N$5),$N$5&gt;0,ISNUMBER($N$3),$N$3&gt;0),R140/(6*$N$3*1000000*$N$5)*(IF(N140&lt;($N$4*4/10),($N$4*4/10)*(MIN(O140,($N$4*4/10))^3-N140^3)-(MIN(O140,($N$4*4/10))^4-N140^4)/4,0)+IF(O140&gt;($N$4*4/10),($N$4*4/10)^2*(1.5*(O140^2-MAX(N140,($N$4*4/10))^2)-($N$4*4/10)*(O140-MAX(N140,($N$4*4/10)))),0))*1000,0)</f>
        <v>0</v>
      </c>
      <c r="AR140" s="120">
        <f>IF(AND(V140="OK",ISNUMBER($N$5),$N$5&gt;0,ISNUMBER($N$3),$N$3&gt;0),R140/(6*$N$3*1000000*$N$5)*(IF(N140&lt;($N$4*5/10),($N$4*5/10)*(MIN(O140,($N$4*5/10))^3-N140^3)-(MIN(O140,($N$4*5/10))^4-N140^4)/4,0)+IF(O140&gt;($N$4*5/10),($N$4*5/10)^2*(1.5*(O140^2-MAX(N140,($N$4*5/10))^2)-($N$4*5/10)*(O140-MAX(N140,($N$4*5/10)))),0))*1000,0)</f>
        <v>0</v>
      </c>
      <c r="AS140" s="120">
        <f>IF(AND(V140="OK",ISNUMBER($N$5),$N$5&gt;0,ISNUMBER($N$3),$N$3&gt;0),R140/(6*$N$3*1000000*$N$5)*(IF(N140&lt;($N$4*6/10),($N$4*6/10)*(MIN(O140,($N$4*6/10))^3-N140^3)-(MIN(O140,($N$4*6/10))^4-N140^4)/4,0)+IF(O140&gt;($N$4*6/10),($N$4*6/10)^2*(1.5*(O140^2-MAX(N140,($N$4*6/10))^2)-($N$4*6/10)*(O140-MAX(N140,($N$4*6/10)))),0))*1000,0)</f>
        <v>0</v>
      </c>
      <c r="AT140" s="120">
        <f>IF(AND(V140="OK",ISNUMBER($N$5),$N$5&gt;0,ISNUMBER($N$3),$N$3&gt;0),R140/(6*$N$3*1000000*$N$5)*(IF(N140&lt;($N$4*7/10),($N$4*7/10)*(MIN(O140,($N$4*7/10))^3-N140^3)-(MIN(O140,($N$4*7/10))^4-N140^4)/4,0)+IF(O140&gt;($N$4*7/10),($N$4*7/10)^2*(1.5*(O140^2-MAX(N140,($N$4*7/10))^2)-($N$4*7/10)*(O140-MAX(N140,($N$4*7/10)))),0))*1000,0)</f>
        <v>0</v>
      </c>
      <c r="AU140" s="120">
        <f>IF(AND(V140="OK",ISNUMBER($N$5),$N$5&gt;0,ISNUMBER($N$3),$N$3&gt;0),R140/(6*$N$3*1000000*$N$5)*(IF(N140&lt;($N$4*8/10),($N$4*8/10)*(MIN(O140,($N$4*8/10))^3-N140^3)-(MIN(O140,($N$4*8/10))^4-N140^4)/4,0)+IF(O140&gt;($N$4*8/10),($N$4*8/10)^2*(1.5*(O140^2-MAX(N140,($N$4*8/10))^2)-($N$4*8/10)*(O140-MAX(N140,($N$4*8/10)))),0))*1000,0)</f>
        <v>0</v>
      </c>
      <c r="AV140" s="120">
        <f>IF(AND(V140="OK",ISNUMBER($N$5),$N$5&gt;0,ISNUMBER($N$3),$N$3&gt;0),R140/(6*$N$3*1000000*$N$5)*(IF(N140&lt;($N$4*9/10),($N$4*9/10)*(MIN(O140,($N$4*9/10))^3-N140^3)-(MIN(O140,($N$4*9/10))^4-N140^4)/4,0)+IF(O140&gt;($N$4*9/10),($N$4*9/10)^2*(1.5*(O140^2-MAX(N140,($N$4*9/10))^2)-($N$4*9/10)*(O140-MAX(N140,($N$4*9/10)))),0))*1000,0)</f>
        <v>0</v>
      </c>
      <c r="AW140" s="120">
        <f>IF(AND(V140="OK",ISNUMBER($N$5),$N$5&gt;0,ISNUMBER($N$3),$N$3&gt;0),R140/(6*$N$3*1000000*$N$5)*(IF(N140&lt;($N$4*10/10),($N$4*10/10)*(MIN(O140,($N$4*10/10))^3-N140^3)-(MIN(O140,($N$4*10/10))^4-N140^4)/4,0)+IF(O140&gt;($N$4*10/10),($N$4*10/10)^2*(1.5*(O140^2-MAX(N140,($N$4*10/10))^2)-($N$4*10/10)*(O140-MAX(N140,($N$4*10/10)))),0))*1000,0)</f>
        <v>0</v>
      </c>
    </row>
    <row r="141" spans="1:49">
      <c r="A141" s="124"/>
      <c r="B141" s="125"/>
      <c r="C141" s="125"/>
      <c r="D141" s="125"/>
      <c r="E141" s="125"/>
      <c r="F141" s="126" t="str">
        <f>IF(J141="OK",D141*E141,"")</f>
        <v/>
      </c>
      <c r="G141" s="126" t="str">
        <f>IF(J141="OK",F141*(C141-B141),"")</f>
        <v/>
      </c>
      <c r="H141" s="126" t="str">
        <f>IF(J141="OK",G141*(C141+B141)/2,"")</f>
        <v/>
      </c>
      <c r="I141" s="126" t="str">
        <f>IF(AND(J141="OK",ISNUMBER($B$5),$B$5&gt;0,ISNUMBER($B$3),$B$3&gt;0),F141*(4*$B$4*(C141^3-B141^3)-(C141^4-B141^4))/(24*$B$3*1000000*$B$5)*1000,"")</f>
        <v/>
      </c>
      <c r="J141" s="120" t="str">
        <f>IF(COUNTA(A141:E141)=0,"",IF(AND(COUNT(B141:E141)=4,B141&gt;=0,C141&gt;B141,C141&lt;=$B$4,D141&gt;=0,E141&gt;0),IF(COUNTIFS($B$13:$B$140,"&lt;"&amp;C141,$C$13:$C$140,"&gt;"&amp;B141)&gt;0,"OVERLAP","OK"),"CHECK INPUTS"))</f>
        <v/>
      </c>
      <c r="M141" s="124"/>
      <c r="N141" s="125"/>
      <c r="O141" s="125"/>
      <c r="P141" s="125"/>
      <c r="Q141" s="125"/>
      <c r="R141" s="126" t="str">
        <f>IF(V141="OK",P141*Q141,"")</f>
        <v/>
      </c>
      <c r="S141" s="126" t="str">
        <f>IF(V141="OK",R141*(O141-N141),"")</f>
        <v/>
      </c>
      <c r="T141" s="126" t="str">
        <f>IF(V141="OK",S141*(O141+N141)/2,"")</f>
        <v/>
      </c>
      <c r="U141" s="126" t="str">
        <f>IF(AND(V141="OK",ISNUMBER($N$5),$N$5&gt;0,ISNUMBER($N$3),$N$3&gt;0),R141*(4*$N$4*(O141^3-N141^3)-(O141^4-N141^4))/(24*$N$3*1000000*$N$5)*1000,"")</f>
        <v/>
      </c>
      <c r="V141" s="120" t="str">
        <f>IF(COUNTA(M141:Q141)=0,"",IF(AND(COUNT(N141:Q141)=4,N141&gt;=0,O141&gt;N141,O141&lt;=$N$4,P141&gt;=0,Q141&gt;0),IF(COUNTIFS($N$13:$N$140,"&lt;"&amp;O141,$O$13:$O$140,"&gt;"&amp;N141)&gt;0,"OVERLAP","OK"),"CHECK INPUTS"))</f>
        <v/>
      </c>
      <c r="AA141" s="120">
        <f>IF(AND(J141="OK",ISNUMBER($B$5),$B$5&gt;0,ISNUMBER($B$3),$B$3&gt;0),F141/(6*$B$3*1000000*$B$5)*(IF(B141&lt;($B$4*0/10),($B$4*0/10)*(MIN(C141,($B$4*0/10))^3-B141^3)-(MIN(C141,($B$4*0/10))^4-B141^4)/4,0)+IF(C141&gt;($B$4*0/10),($B$4*0/10)^2*(1.5*(C141^2-MAX(B141,($B$4*0/10))^2)-($B$4*0/10)*(C141-MAX(B141,($B$4*0/10)))),0))*1000,0)</f>
        <v>0</v>
      </c>
      <c r="AB141" s="120">
        <f>IF(AND(J141="OK",ISNUMBER($B$5),$B$5&gt;0,ISNUMBER($B$3),$B$3&gt;0),F141/(6*$B$3*1000000*$B$5)*(IF(B141&lt;($B$4*1/10),($B$4*1/10)*(MIN(C141,($B$4*1/10))^3-B141^3)-(MIN(C141,($B$4*1/10))^4-B141^4)/4,0)+IF(C141&gt;($B$4*1/10),($B$4*1/10)^2*(1.5*(C141^2-MAX(B141,($B$4*1/10))^2)-($B$4*1/10)*(C141-MAX(B141,($B$4*1/10)))),0))*1000,0)</f>
        <v>0</v>
      </c>
      <c r="AC141" s="120">
        <f>IF(AND(J141="OK",ISNUMBER($B$5),$B$5&gt;0,ISNUMBER($B$3),$B$3&gt;0),F141/(6*$B$3*1000000*$B$5)*(IF(B141&lt;($B$4*2/10),($B$4*2/10)*(MIN(C141,($B$4*2/10))^3-B141^3)-(MIN(C141,($B$4*2/10))^4-B141^4)/4,0)+IF(C141&gt;($B$4*2/10),($B$4*2/10)^2*(1.5*(C141^2-MAX(B141,($B$4*2/10))^2)-($B$4*2/10)*(C141-MAX(B141,($B$4*2/10)))),0))*1000,0)</f>
        <v>0</v>
      </c>
      <c r="AD141" s="120">
        <f>IF(AND(J141="OK",ISNUMBER($B$5),$B$5&gt;0,ISNUMBER($B$3),$B$3&gt;0),F141/(6*$B$3*1000000*$B$5)*(IF(B141&lt;($B$4*3/10),($B$4*3/10)*(MIN(C141,($B$4*3/10))^3-B141^3)-(MIN(C141,($B$4*3/10))^4-B141^4)/4,0)+IF(C141&gt;($B$4*3/10),($B$4*3/10)^2*(1.5*(C141^2-MAX(B141,($B$4*3/10))^2)-($B$4*3/10)*(C141-MAX(B141,($B$4*3/10)))),0))*1000,0)</f>
        <v>0</v>
      </c>
      <c r="AE141" s="120">
        <f>IF(AND(J141="OK",ISNUMBER($B$5),$B$5&gt;0,ISNUMBER($B$3),$B$3&gt;0),F141/(6*$B$3*1000000*$B$5)*(IF(B141&lt;($B$4*4/10),($B$4*4/10)*(MIN(C141,($B$4*4/10))^3-B141^3)-(MIN(C141,($B$4*4/10))^4-B141^4)/4,0)+IF(C141&gt;($B$4*4/10),($B$4*4/10)^2*(1.5*(C141^2-MAX(B141,($B$4*4/10))^2)-($B$4*4/10)*(C141-MAX(B141,($B$4*4/10)))),0))*1000,0)</f>
        <v>0</v>
      </c>
      <c r="AF141" s="120">
        <f>IF(AND(J141="OK",ISNUMBER($B$5),$B$5&gt;0,ISNUMBER($B$3),$B$3&gt;0),F141/(6*$B$3*1000000*$B$5)*(IF(B141&lt;($B$4*5/10),($B$4*5/10)*(MIN(C141,($B$4*5/10))^3-B141^3)-(MIN(C141,($B$4*5/10))^4-B141^4)/4,0)+IF(C141&gt;($B$4*5/10),($B$4*5/10)^2*(1.5*(C141^2-MAX(B141,($B$4*5/10))^2)-($B$4*5/10)*(C141-MAX(B141,($B$4*5/10)))),0))*1000,0)</f>
        <v>0</v>
      </c>
      <c r="AG141" s="120">
        <f>IF(AND(J141="OK",ISNUMBER($B$5),$B$5&gt;0,ISNUMBER($B$3),$B$3&gt;0),F141/(6*$B$3*1000000*$B$5)*(IF(B141&lt;($B$4*6/10),($B$4*6/10)*(MIN(C141,($B$4*6/10))^3-B141^3)-(MIN(C141,($B$4*6/10))^4-B141^4)/4,0)+IF(C141&gt;($B$4*6/10),($B$4*6/10)^2*(1.5*(C141^2-MAX(B141,($B$4*6/10))^2)-($B$4*6/10)*(C141-MAX(B141,($B$4*6/10)))),0))*1000,0)</f>
        <v>0</v>
      </c>
      <c r="AH141" s="120">
        <f>IF(AND(J141="OK",ISNUMBER($B$5),$B$5&gt;0,ISNUMBER($B$3),$B$3&gt;0),F141/(6*$B$3*1000000*$B$5)*(IF(B141&lt;($B$4*7/10),($B$4*7/10)*(MIN(C141,($B$4*7/10))^3-B141^3)-(MIN(C141,($B$4*7/10))^4-B141^4)/4,0)+IF(C141&gt;($B$4*7/10),($B$4*7/10)^2*(1.5*(C141^2-MAX(B141,($B$4*7/10))^2)-($B$4*7/10)*(C141-MAX(B141,($B$4*7/10)))),0))*1000,0)</f>
        <v>0</v>
      </c>
      <c r="AI141" s="120">
        <f>IF(AND(J141="OK",ISNUMBER($B$5),$B$5&gt;0,ISNUMBER($B$3),$B$3&gt;0),F141/(6*$B$3*1000000*$B$5)*(IF(B141&lt;($B$4*8/10),($B$4*8/10)*(MIN(C141,($B$4*8/10))^3-B141^3)-(MIN(C141,($B$4*8/10))^4-B141^4)/4,0)+IF(C141&gt;($B$4*8/10),($B$4*8/10)^2*(1.5*(C141^2-MAX(B141,($B$4*8/10))^2)-($B$4*8/10)*(C141-MAX(B141,($B$4*8/10)))),0))*1000,0)</f>
        <v>0</v>
      </c>
      <c r="AJ141" s="120">
        <f>IF(AND(J141="OK",ISNUMBER($B$5),$B$5&gt;0,ISNUMBER($B$3),$B$3&gt;0),F141/(6*$B$3*1000000*$B$5)*(IF(B141&lt;($B$4*9/10),($B$4*9/10)*(MIN(C141,($B$4*9/10))^3-B141^3)-(MIN(C141,($B$4*9/10))^4-B141^4)/4,0)+IF(C141&gt;($B$4*9/10),($B$4*9/10)^2*(1.5*(C141^2-MAX(B141,($B$4*9/10))^2)-($B$4*9/10)*(C141-MAX(B141,($B$4*9/10)))),0))*1000,0)</f>
        <v>0</v>
      </c>
      <c r="AK141" s="120">
        <f>IF(AND(J141="OK",ISNUMBER($B$5),$B$5&gt;0,ISNUMBER($B$3),$B$3&gt;0),F141/(6*$B$3*1000000*$B$5)*(IF(B141&lt;($B$4*10/10),($B$4*10/10)*(MIN(C141,($B$4*10/10))^3-B141^3)-(MIN(C141,($B$4*10/10))^4-B141^4)/4,0)+IF(C141&gt;($B$4*10/10),($B$4*10/10)^2*(1.5*(C141^2-MAX(B141,($B$4*10/10))^2)-($B$4*10/10)*(C141-MAX(B141,($B$4*10/10)))),0))*1000,0)</f>
        <v>0</v>
      </c>
      <c r="AM141" s="120">
        <f>IF(AND(V141="OK",ISNUMBER($N$5),$N$5&gt;0,ISNUMBER($N$3),$N$3&gt;0),R141/(6*$N$3*1000000*$N$5)*(IF(N141&lt;($N$4*0/10),($N$4*0/10)*(MIN(O141,($N$4*0/10))^3-N141^3)-(MIN(O141,($N$4*0/10))^4-N141^4)/4,0)+IF(O141&gt;($N$4*0/10),($N$4*0/10)^2*(1.5*(O141^2-MAX(N141,($N$4*0/10))^2)-($N$4*0/10)*(O141-MAX(N141,($N$4*0/10)))),0))*1000,0)</f>
        <v>0</v>
      </c>
      <c r="AN141" s="120">
        <f>IF(AND(V141="OK",ISNUMBER($N$5),$N$5&gt;0,ISNUMBER($N$3),$N$3&gt;0),R141/(6*$N$3*1000000*$N$5)*(IF(N141&lt;($N$4*1/10),($N$4*1/10)*(MIN(O141,($N$4*1/10))^3-N141^3)-(MIN(O141,($N$4*1/10))^4-N141^4)/4,0)+IF(O141&gt;($N$4*1/10),($N$4*1/10)^2*(1.5*(O141^2-MAX(N141,($N$4*1/10))^2)-($N$4*1/10)*(O141-MAX(N141,($N$4*1/10)))),0))*1000,0)</f>
        <v>0</v>
      </c>
      <c r="AO141" s="120">
        <f>IF(AND(V141="OK",ISNUMBER($N$5),$N$5&gt;0,ISNUMBER($N$3),$N$3&gt;0),R141/(6*$N$3*1000000*$N$5)*(IF(N141&lt;($N$4*2/10),($N$4*2/10)*(MIN(O141,($N$4*2/10))^3-N141^3)-(MIN(O141,($N$4*2/10))^4-N141^4)/4,0)+IF(O141&gt;($N$4*2/10),($N$4*2/10)^2*(1.5*(O141^2-MAX(N141,($N$4*2/10))^2)-($N$4*2/10)*(O141-MAX(N141,($N$4*2/10)))),0))*1000,0)</f>
        <v>0</v>
      </c>
      <c r="AP141" s="120">
        <f>IF(AND(V141="OK",ISNUMBER($N$5),$N$5&gt;0,ISNUMBER($N$3),$N$3&gt;0),R141/(6*$N$3*1000000*$N$5)*(IF(N141&lt;($N$4*3/10),($N$4*3/10)*(MIN(O141,($N$4*3/10))^3-N141^3)-(MIN(O141,($N$4*3/10))^4-N141^4)/4,0)+IF(O141&gt;($N$4*3/10),($N$4*3/10)^2*(1.5*(O141^2-MAX(N141,($N$4*3/10))^2)-($N$4*3/10)*(O141-MAX(N141,($N$4*3/10)))),0))*1000,0)</f>
        <v>0</v>
      </c>
      <c r="AQ141" s="120">
        <f>IF(AND(V141="OK",ISNUMBER($N$5),$N$5&gt;0,ISNUMBER($N$3),$N$3&gt;0),R141/(6*$N$3*1000000*$N$5)*(IF(N141&lt;($N$4*4/10),($N$4*4/10)*(MIN(O141,($N$4*4/10))^3-N141^3)-(MIN(O141,($N$4*4/10))^4-N141^4)/4,0)+IF(O141&gt;($N$4*4/10),($N$4*4/10)^2*(1.5*(O141^2-MAX(N141,($N$4*4/10))^2)-($N$4*4/10)*(O141-MAX(N141,($N$4*4/10)))),0))*1000,0)</f>
        <v>0</v>
      </c>
      <c r="AR141" s="120">
        <f>IF(AND(V141="OK",ISNUMBER($N$5),$N$5&gt;0,ISNUMBER($N$3),$N$3&gt;0),R141/(6*$N$3*1000000*$N$5)*(IF(N141&lt;($N$4*5/10),($N$4*5/10)*(MIN(O141,($N$4*5/10))^3-N141^3)-(MIN(O141,($N$4*5/10))^4-N141^4)/4,0)+IF(O141&gt;($N$4*5/10),($N$4*5/10)^2*(1.5*(O141^2-MAX(N141,($N$4*5/10))^2)-($N$4*5/10)*(O141-MAX(N141,($N$4*5/10)))),0))*1000,0)</f>
        <v>0</v>
      </c>
      <c r="AS141" s="120">
        <f>IF(AND(V141="OK",ISNUMBER($N$5),$N$5&gt;0,ISNUMBER($N$3),$N$3&gt;0),R141/(6*$N$3*1000000*$N$5)*(IF(N141&lt;($N$4*6/10),($N$4*6/10)*(MIN(O141,($N$4*6/10))^3-N141^3)-(MIN(O141,($N$4*6/10))^4-N141^4)/4,0)+IF(O141&gt;($N$4*6/10),($N$4*6/10)^2*(1.5*(O141^2-MAX(N141,($N$4*6/10))^2)-($N$4*6/10)*(O141-MAX(N141,($N$4*6/10)))),0))*1000,0)</f>
        <v>0</v>
      </c>
      <c r="AT141" s="120">
        <f>IF(AND(V141="OK",ISNUMBER($N$5),$N$5&gt;0,ISNUMBER($N$3),$N$3&gt;0),R141/(6*$N$3*1000000*$N$5)*(IF(N141&lt;($N$4*7/10),($N$4*7/10)*(MIN(O141,($N$4*7/10))^3-N141^3)-(MIN(O141,($N$4*7/10))^4-N141^4)/4,0)+IF(O141&gt;($N$4*7/10),($N$4*7/10)^2*(1.5*(O141^2-MAX(N141,($N$4*7/10))^2)-($N$4*7/10)*(O141-MAX(N141,($N$4*7/10)))),0))*1000,0)</f>
        <v>0</v>
      </c>
      <c r="AU141" s="120">
        <f>IF(AND(V141="OK",ISNUMBER($N$5),$N$5&gt;0,ISNUMBER($N$3),$N$3&gt;0),R141/(6*$N$3*1000000*$N$5)*(IF(N141&lt;($N$4*8/10),($N$4*8/10)*(MIN(O141,($N$4*8/10))^3-N141^3)-(MIN(O141,($N$4*8/10))^4-N141^4)/4,0)+IF(O141&gt;($N$4*8/10),($N$4*8/10)^2*(1.5*(O141^2-MAX(N141,($N$4*8/10))^2)-($N$4*8/10)*(O141-MAX(N141,($N$4*8/10)))),0))*1000,0)</f>
        <v>0</v>
      </c>
      <c r="AV141" s="120">
        <f>IF(AND(V141="OK",ISNUMBER($N$5),$N$5&gt;0,ISNUMBER($N$3),$N$3&gt;0),R141/(6*$N$3*1000000*$N$5)*(IF(N141&lt;($N$4*9/10),($N$4*9/10)*(MIN(O141,($N$4*9/10))^3-N141^3)-(MIN(O141,($N$4*9/10))^4-N141^4)/4,0)+IF(O141&gt;($N$4*9/10),($N$4*9/10)^2*(1.5*(O141^2-MAX(N141,($N$4*9/10))^2)-($N$4*9/10)*(O141-MAX(N141,($N$4*9/10)))),0))*1000,0)</f>
        <v>0</v>
      </c>
      <c r="AW141" s="120">
        <f>IF(AND(V141="OK",ISNUMBER($N$5),$N$5&gt;0,ISNUMBER($N$3),$N$3&gt;0),R141/(6*$N$3*1000000*$N$5)*(IF(N141&lt;($N$4*10/10),($N$4*10/10)*(MIN(O141,($N$4*10/10))^3-N141^3)-(MIN(O141,($N$4*10/10))^4-N141^4)/4,0)+IF(O141&gt;($N$4*10/10),($N$4*10/10)^2*(1.5*(O141^2-MAX(N141,($N$4*10/10))^2)-($N$4*10/10)*(O141-MAX(N141,($N$4*10/10)))),0))*1000,0)</f>
        <v>0</v>
      </c>
    </row>
    <row r="142" spans="1:49">
      <c r="A142" s="124"/>
      <c r="B142" s="125"/>
      <c r="C142" s="125"/>
      <c r="D142" s="125"/>
      <c r="E142" s="125"/>
      <c r="F142" s="126" t="str">
        <f>IF(J142="OK",D142*E142,"")</f>
        <v/>
      </c>
      <c r="G142" s="126" t="str">
        <f>IF(J142="OK",F142*(C142-B142),"")</f>
        <v/>
      </c>
      <c r="H142" s="126" t="str">
        <f>IF(J142="OK",G142*(C142+B142)/2,"")</f>
        <v/>
      </c>
      <c r="I142" s="126" t="str">
        <f>IF(AND(J142="OK",ISNUMBER($B$5),$B$5&gt;0,ISNUMBER($B$3),$B$3&gt;0),F142*(4*$B$4*(C142^3-B142^3)-(C142^4-B142^4))/(24*$B$3*1000000*$B$5)*1000,"")</f>
        <v/>
      </c>
      <c r="J142" s="120" t="str">
        <f>IF(COUNTA(A142:E142)=0,"",IF(AND(COUNT(B142:E142)=4,B142&gt;=0,C142&gt;B142,C142&lt;=$B$4,D142&gt;=0,E142&gt;0),IF(COUNTIFS($B$13:$B$141,"&lt;"&amp;C142,$C$13:$C$141,"&gt;"&amp;B142)&gt;0,"OVERLAP","OK"),"CHECK INPUTS"))</f>
        <v/>
      </c>
      <c r="M142" s="124"/>
      <c r="N142" s="125"/>
      <c r="O142" s="125"/>
      <c r="P142" s="125"/>
      <c r="Q142" s="125"/>
      <c r="R142" s="126" t="str">
        <f>IF(V142="OK",P142*Q142,"")</f>
        <v/>
      </c>
      <c r="S142" s="126" t="str">
        <f>IF(V142="OK",R142*(O142-N142),"")</f>
        <v/>
      </c>
      <c r="T142" s="126" t="str">
        <f>IF(V142="OK",S142*(O142+N142)/2,"")</f>
        <v/>
      </c>
      <c r="U142" s="126" t="str">
        <f>IF(AND(V142="OK",ISNUMBER($N$5),$N$5&gt;0,ISNUMBER($N$3),$N$3&gt;0),R142*(4*$N$4*(O142^3-N142^3)-(O142^4-N142^4))/(24*$N$3*1000000*$N$5)*1000,"")</f>
        <v/>
      </c>
      <c r="V142" s="120" t="str">
        <f>IF(COUNTA(M142:Q142)=0,"",IF(AND(COUNT(N142:Q142)=4,N142&gt;=0,O142&gt;N142,O142&lt;=$N$4,P142&gt;=0,Q142&gt;0),IF(COUNTIFS($N$13:$N$141,"&lt;"&amp;O142,$O$13:$O$141,"&gt;"&amp;N142)&gt;0,"OVERLAP","OK"),"CHECK INPUTS"))</f>
        <v/>
      </c>
      <c r="AA142" s="120">
        <f>IF(AND(J142="OK",ISNUMBER($B$5),$B$5&gt;0,ISNUMBER($B$3),$B$3&gt;0),F142/(6*$B$3*1000000*$B$5)*(IF(B142&lt;($B$4*0/10),($B$4*0/10)*(MIN(C142,($B$4*0/10))^3-B142^3)-(MIN(C142,($B$4*0/10))^4-B142^4)/4,0)+IF(C142&gt;($B$4*0/10),($B$4*0/10)^2*(1.5*(C142^2-MAX(B142,($B$4*0/10))^2)-($B$4*0/10)*(C142-MAX(B142,($B$4*0/10)))),0))*1000,0)</f>
        <v>0</v>
      </c>
      <c r="AB142" s="120">
        <f>IF(AND(J142="OK",ISNUMBER($B$5),$B$5&gt;0,ISNUMBER($B$3),$B$3&gt;0),F142/(6*$B$3*1000000*$B$5)*(IF(B142&lt;($B$4*1/10),($B$4*1/10)*(MIN(C142,($B$4*1/10))^3-B142^3)-(MIN(C142,($B$4*1/10))^4-B142^4)/4,0)+IF(C142&gt;($B$4*1/10),($B$4*1/10)^2*(1.5*(C142^2-MAX(B142,($B$4*1/10))^2)-($B$4*1/10)*(C142-MAX(B142,($B$4*1/10)))),0))*1000,0)</f>
        <v>0</v>
      </c>
      <c r="AC142" s="120">
        <f>IF(AND(J142="OK",ISNUMBER($B$5),$B$5&gt;0,ISNUMBER($B$3),$B$3&gt;0),F142/(6*$B$3*1000000*$B$5)*(IF(B142&lt;($B$4*2/10),($B$4*2/10)*(MIN(C142,($B$4*2/10))^3-B142^3)-(MIN(C142,($B$4*2/10))^4-B142^4)/4,0)+IF(C142&gt;($B$4*2/10),($B$4*2/10)^2*(1.5*(C142^2-MAX(B142,($B$4*2/10))^2)-($B$4*2/10)*(C142-MAX(B142,($B$4*2/10)))),0))*1000,0)</f>
        <v>0</v>
      </c>
      <c r="AD142" s="120">
        <f>IF(AND(J142="OK",ISNUMBER($B$5),$B$5&gt;0,ISNUMBER($B$3),$B$3&gt;0),F142/(6*$B$3*1000000*$B$5)*(IF(B142&lt;($B$4*3/10),($B$4*3/10)*(MIN(C142,($B$4*3/10))^3-B142^3)-(MIN(C142,($B$4*3/10))^4-B142^4)/4,0)+IF(C142&gt;($B$4*3/10),($B$4*3/10)^2*(1.5*(C142^2-MAX(B142,($B$4*3/10))^2)-($B$4*3/10)*(C142-MAX(B142,($B$4*3/10)))),0))*1000,0)</f>
        <v>0</v>
      </c>
      <c r="AE142" s="120">
        <f>IF(AND(J142="OK",ISNUMBER($B$5),$B$5&gt;0,ISNUMBER($B$3),$B$3&gt;0),F142/(6*$B$3*1000000*$B$5)*(IF(B142&lt;($B$4*4/10),($B$4*4/10)*(MIN(C142,($B$4*4/10))^3-B142^3)-(MIN(C142,($B$4*4/10))^4-B142^4)/4,0)+IF(C142&gt;($B$4*4/10),($B$4*4/10)^2*(1.5*(C142^2-MAX(B142,($B$4*4/10))^2)-($B$4*4/10)*(C142-MAX(B142,($B$4*4/10)))),0))*1000,0)</f>
        <v>0</v>
      </c>
      <c r="AF142" s="120">
        <f>IF(AND(J142="OK",ISNUMBER($B$5),$B$5&gt;0,ISNUMBER($B$3),$B$3&gt;0),F142/(6*$B$3*1000000*$B$5)*(IF(B142&lt;($B$4*5/10),($B$4*5/10)*(MIN(C142,($B$4*5/10))^3-B142^3)-(MIN(C142,($B$4*5/10))^4-B142^4)/4,0)+IF(C142&gt;($B$4*5/10),($B$4*5/10)^2*(1.5*(C142^2-MAX(B142,($B$4*5/10))^2)-($B$4*5/10)*(C142-MAX(B142,($B$4*5/10)))),0))*1000,0)</f>
        <v>0</v>
      </c>
      <c r="AG142" s="120">
        <f>IF(AND(J142="OK",ISNUMBER($B$5),$B$5&gt;0,ISNUMBER($B$3),$B$3&gt;0),F142/(6*$B$3*1000000*$B$5)*(IF(B142&lt;($B$4*6/10),($B$4*6/10)*(MIN(C142,($B$4*6/10))^3-B142^3)-(MIN(C142,($B$4*6/10))^4-B142^4)/4,0)+IF(C142&gt;($B$4*6/10),($B$4*6/10)^2*(1.5*(C142^2-MAX(B142,($B$4*6/10))^2)-($B$4*6/10)*(C142-MAX(B142,($B$4*6/10)))),0))*1000,0)</f>
        <v>0</v>
      </c>
      <c r="AH142" s="120">
        <f>IF(AND(J142="OK",ISNUMBER($B$5),$B$5&gt;0,ISNUMBER($B$3),$B$3&gt;0),F142/(6*$B$3*1000000*$B$5)*(IF(B142&lt;($B$4*7/10),($B$4*7/10)*(MIN(C142,($B$4*7/10))^3-B142^3)-(MIN(C142,($B$4*7/10))^4-B142^4)/4,0)+IF(C142&gt;($B$4*7/10),($B$4*7/10)^2*(1.5*(C142^2-MAX(B142,($B$4*7/10))^2)-($B$4*7/10)*(C142-MAX(B142,($B$4*7/10)))),0))*1000,0)</f>
        <v>0</v>
      </c>
      <c r="AI142" s="120">
        <f>IF(AND(J142="OK",ISNUMBER($B$5),$B$5&gt;0,ISNUMBER($B$3),$B$3&gt;0),F142/(6*$B$3*1000000*$B$5)*(IF(B142&lt;($B$4*8/10),($B$4*8/10)*(MIN(C142,($B$4*8/10))^3-B142^3)-(MIN(C142,($B$4*8/10))^4-B142^4)/4,0)+IF(C142&gt;($B$4*8/10),($B$4*8/10)^2*(1.5*(C142^2-MAX(B142,($B$4*8/10))^2)-($B$4*8/10)*(C142-MAX(B142,($B$4*8/10)))),0))*1000,0)</f>
        <v>0</v>
      </c>
      <c r="AJ142" s="120">
        <f>IF(AND(J142="OK",ISNUMBER($B$5),$B$5&gt;0,ISNUMBER($B$3),$B$3&gt;0),F142/(6*$B$3*1000000*$B$5)*(IF(B142&lt;($B$4*9/10),($B$4*9/10)*(MIN(C142,($B$4*9/10))^3-B142^3)-(MIN(C142,($B$4*9/10))^4-B142^4)/4,0)+IF(C142&gt;($B$4*9/10),($B$4*9/10)^2*(1.5*(C142^2-MAX(B142,($B$4*9/10))^2)-($B$4*9/10)*(C142-MAX(B142,($B$4*9/10)))),0))*1000,0)</f>
        <v>0</v>
      </c>
      <c r="AK142" s="120">
        <f>IF(AND(J142="OK",ISNUMBER($B$5),$B$5&gt;0,ISNUMBER($B$3),$B$3&gt;0),F142/(6*$B$3*1000000*$B$5)*(IF(B142&lt;($B$4*10/10),($B$4*10/10)*(MIN(C142,($B$4*10/10))^3-B142^3)-(MIN(C142,($B$4*10/10))^4-B142^4)/4,0)+IF(C142&gt;($B$4*10/10),($B$4*10/10)^2*(1.5*(C142^2-MAX(B142,($B$4*10/10))^2)-($B$4*10/10)*(C142-MAX(B142,($B$4*10/10)))),0))*1000,0)</f>
        <v>0</v>
      </c>
      <c r="AM142" s="120">
        <f>IF(AND(V142="OK",ISNUMBER($N$5),$N$5&gt;0,ISNUMBER($N$3),$N$3&gt;0),R142/(6*$N$3*1000000*$N$5)*(IF(N142&lt;($N$4*0/10),($N$4*0/10)*(MIN(O142,($N$4*0/10))^3-N142^3)-(MIN(O142,($N$4*0/10))^4-N142^4)/4,0)+IF(O142&gt;($N$4*0/10),($N$4*0/10)^2*(1.5*(O142^2-MAX(N142,($N$4*0/10))^2)-($N$4*0/10)*(O142-MAX(N142,($N$4*0/10)))),0))*1000,0)</f>
        <v>0</v>
      </c>
      <c r="AN142" s="120">
        <f>IF(AND(V142="OK",ISNUMBER($N$5),$N$5&gt;0,ISNUMBER($N$3),$N$3&gt;0),R142/(6*$N$3*1000000*$N$5)*(IF(N142&lt;($N$4*1/10),($N$4*1/10)*(MIN(O142,($N$4*1/10))^3-N142^3)-(MIN(O142,($N$4*1/10))^4-N142^4)/4,0)+IF(O142&gt;($N$4*1/10),($N$4*1/10)^2*(1.5*(O142^2-MAX(N142,($N$4*1/10))^2)-($N$4*1/10)*(O142-MAX(N142,($N$4*1/10)))),0))*1000,0)</f>
        <v>0</v>
      </c>
      <c r="AO142" s="120">
        <f>IF(AND(V142="OK",ISNUMBER($N$5),$N$5&gt;0,ISNUMBER($N$3),$N$3&gt;0),R142/(6*$N$3*1000000*$N$5)*(IF(N142&lt;($N$4*2/10),($N$4*2/10)*(MIN(O142,($N$4*2/10))^3-N142^3)-(MIN(O142,($N$4*2/10))^4-N142^4)/4,0)+IF(O142&gt;($N$4*2/10),($N$4*2/10)^2*(1.5*(O142^2-MAX(N142,($N$4*2/10))^2)-($N$4*2/10)*(O142-MAX(N142,($N$4*2/10)))),0))*1000,0)</f>
        <v>0</v>
      </c>
      <c r="AP142" s="120">
        <f>IF(AND(V142="OK",ISNUMBER($N$5),$N$5&gt;0,ISNUMBER($N$3),$N$3&gt;0),R142/(6*$N$3*1000000*$N$5)*(IF(N142&lt;($N$4*3/10),($N$4*3/10)*(MIN(O142,($N$4*3/10))^3-N142^3)-(MIN(O142,($N$4*3/10))^4-N142^4)/4,0)+IF(O142&gt;($N$4*3/10),($N$4*3/10)^2*(1.5*(O142^2-MAX(N142,($N$4*3/10))^2)-($N$4*3/10)*(O142-MAX(N142,($N$4*3/10)))),0))*1000,0)</f>
        <v>0</v>
      </c>
      <c r="AQ142" s="120">
        <f>IF(AND(V142="OK",ISNUMBER($N$5),$N$5&gt;0,ISNUMBER($N$3),$N$3&gt;0),R142/(6*$N$3*1000000*$N$5)*(IF(N142&lt;($N$4*4/10),($N$4*4/10)*(MIN(O142,($N$4*4/10))^3-N142^3)-(MIN(O142,($N$4*4/10))^4-N142^4)/4,0)+IF(O142&gt;($N$4*4/10),($N$4*4/10)^2*(1.5*(O142^2-MAX(N142,($N$4*4/10))^2)-($N$4*4/10)*(O142-MAX(N142,($N$4*4/10)))),0))*1000,0)</f>
        <v>0</v>
      </c>
      <c r="AR142" s="120">
        <f>IF(AND(V142="OK",ISNUMBER($N$5),$N$5&gt;0,ISNUMBER($N$3),$N$3&gt;0),R142/(6*$N$3*1000000*$N$5)*(IF(N142&lt;($N$4*5/10),($N$4*5/10)*(MIN(O142,($N$4*5/10))^3-N142^3)-(MIN(O142,($N$4*5/10))^4-N142^4)/4,0)+IF(O142&gt;($N$4*5/10),($N$4*5/10)^2*(1.5*(O142^2-MAX(N142,($N$4*5/10))^2)-($N$4*5/10)*(O142-MAX(N142,($N$4*5/10)))),0))*1000,0)</f>
        <v>0</v>
      </c>
      <c r="AS142" s="120">
        <f>IF(AND(V142="OK",ISNUMBER($N$5),$N$5&gt;0,ISNUMBER($N$3),$N$3&gt;0),R142/(6*$N$3*1000000*$N$5)*(IF(N142&lt;($N$4*6/10),($N$4*6/10)*(MIN(O142,($N$4*6/10))^3-N142^3)-(MIN(O142,($N$4*6/10))^4-N142^4)/4,0)+IF(O142&gt;($N$4*6/10),($N$4*6/10)^2*(1.5*(O142^2-MAX(N142,($N$4*6/10))^2)-($N$4*6/10)*(O142-MAX(N142,($N$4*6/10)))),0))*1000,0)</f>
        <v>0</v>
      </c>
      <c r="AT142" s="120">
        <f>IF(AND(V142="OK",ISNUMBER($N$5),$N$5&gt;0,ISNUMBER($N$3),$N$3&gt;0),R142/(6*$N$3*1000000*$N$5)*(IF(N142&lt;($N$4*7/10),($N$4*7/10)*(MIN(O142,($N$4*7/10))^3-N142^3)-(MIN(O142,($N$4*7/10))^4-N142^4)/4,0)+IF(O142&gt;($N$4*7/10),($N$4*7/10)^2*(1.5*(O142^2-MAX(N142,($N$4*7/10))^2)-($N$4*7/10)*(O142-MAX(N142,($N$4*7/10)))),0))*1000,0)</f>
        <v>0</v>
      </c>
      <c r="AU142" s="120">
        <f>IF(AND(V142="OK",ISNUMBER($N$5),$N$5&gt;0,ISNUMBER($N$3),$N$3&gt;0),R142/(6*$N$3*1000000*$N$5)*(IF(N142&lt;($N$4*8/10),($N$4*8/10)*(MIN(O142,($N$4*8/10))^3-N142^3)-(MIN(O142,($N$4*8/10))^4-N142^4)/4,0)+IF(O142&gt;($N$4*8/10),($N$4*8/10)^2*(1.5*(O142^2-MAX(N142,($N$4*8/10))^2)-($N$4*8/10)*(O142-MAX(N142,($N$4*8/10)))),0))*1000,0)</f>
        <v>0</v>
      </c>
      <c r="AV142" s="120">
        <f>IF(AND(V142="OK",ISNUMBER($N$5),$N$5&gt;0,ISNUMBER($N$3),$N$3&gt;0),R142/(6*$N$3*1000000*$N$5)*(IF(N142&lt;($N$4*9/10),($N$4*9/10)*(MIN(O142,($N$4*9/10))^3-N142^3)-(MIN(O142,($N$4*9/10))^4-N142^4)/4,0)+IF(O142&gt;($N$4*9/10),($N$4*9/10)^2*(1.5*(O142^2-MAX(N142,($N$4*9/10))^2)-($N$4*9/10)*(O142-MAX(N142,($N$4*9/10)))),0))*1000,0)</f>
        <v>0</v>
      </c>
      <c r="AW142" s="120">
        <f>IF(AND(V142="OK",ISNUMBER($N$5),$N$5&gt;0,ISNUMBER($N$3),$N$3&gt;0),R142/(6*$N$3*1000000*$N$5)*(IF(N142&lt;($N$4*10/10),($N$4*10/10)*(MIN(O142,($N$4*10/10))^3-N142^3)-(MIN(O142,($N$4*10/10))^4-N142^4)/4,0)+IF(O142&gt;($N$4*10/10),($N$4*10/10)^2*(1.5*(O142^2-MAX(N142,($N$4*10/10))^2)-($N$4*10/10)*(O142-MAX(N142,($N$4*10/10)))),0))*1000,0)</f>
        <v>0</v>
      </c>
    </row>
    <row r="143" spans="1:49">
      <c r="A143" s="124"/>
      <c r="B143" s="125"/>
      <c r="C143" s="125"/>
      <c r="D143" s="125"/>
      <c r="E143" s="125"/>
      <c r="F143" s="126" t="str">
        <f>IF(J143="OK",D143*E143,"")</f>
        <v/>
      </c>
      <c r="G143" s="126" t="str">
        <f>IF(J143="OK",F143*(C143-B143),"")</f>
        <v/>
      </c>
      <c r="H143" s="126" t="str">
        <f>IF(J143="OK",G143*(C143+B143)/2,"")</f>
        <v/>
      </c>
      <c r="I143" s="126" t="str">
        <f>IF(AND(J143="OK",ISNUMBER($B$5),$B$5&gt;0,ISNUMBER($B$3),$B$3&gt;0),F143*(4*$B$4*(C143^3-B143^3)-(C143^4-B143^4))/(24*$B$3*1000000*$B$5)*1000,"")</f>
        <v/>
      </c>
      <c r="J143" s="120" t="str">
        <f>IF(COUNTA(A143:E143)=0,"",IF(AND(COUNT(B143:E143)=4,B143&gt;=0,C143&gt;B143,C143&lt;=$B$4,D143&gt;=0,E143&gt;0),IF(COUNTIFS($B$13:$B$142,"&lt;"&amp;C143,$C$13:$C$142,"&gt;"&amp;B143)&gt;0,"OVERLAP","OK"),"CHECK INPUTS"))</f>
        <v/>
      </c>
      <c r="M143" s="124"/>
      <c r="N143" s="125"/>
      <c r="O143" s="125"/>
      <c r="P143" s="125"/>
      <c r="Q143" s="125"/>
      <c r="R143" s="126" t="str">
        <f>IF(V143="OK",P143*Q143,"")</f>
        <v/>
      </c>
      <c r="S143" s="126" t="str">
        <f>IF(V143="OK",R143*(O143-N143),"")</f>
        <v/>
      </c>
      <c r="T143" s="126" t="str">
        <f>IF(V143="OK",S143*(O143+N143)/2,"")</f>
        <v/>
      </c>
      <c r="U143" s="126" t="str">
        <f>IF(AND(V143="OK",ISNUMBER($N$5),$N$5&gt;0,ISNUMBER($N$3),$N$3&gt;0),R143*(4*$N$4*(O143^3-N143^3)-(O143^4-N143^4))/(24*$N$3*1000000*$N$5)*1000,"")</f>
        <v/>
      </c>
      <c r="V143" s="120" t="str">
        <f>IF(COUNTA(M143:Q143)=0,"",IF(AND(COUNT(N143:Q143)=4,N143&gt;=0,O143&gt;N143,O143&lt;=$N$4,P143&gt;=0,Q143&gt;0),IF(COUNTIFS($N$13:$N$142,"&lt;"&amp;O143,$O$13:$O$142,"&gt;"&amp;N143)&gt;0,"OVERLAP","OK"),"CHECK INPUTS"))</f>
        <v/>
      </c>
      <c r="AA143" s="120">
        <f>IF(AND(J143="OK",ISNUMBER($B$5),$B$5&gt;0,ISNUMBER($B$3),$B$3&gt;0),F143/(6*$B$3*1000000*$B$5)*(IF(B143&lt;($B$4*0/10),($B$4*0/10)*(MIN(C143,($B$4*0/10))^3-B143^3)-(MIN(C143,($B$4*0/10))^4-B143^4)/4,0)+IF(C143&gt;($B$4*0/10),($B$4*0/10)^2*(1.5*(C143^2-MAX(B143,($B$4*0/10))^2)-($B$4*0/10)*(C143-MAX(B143,($B$4*0/10)))),0))*1000,0)</f>
        <v>0</v>
      </c>
      <c r="AB143" s="120">
        <f>IF(AND(J143="OK",ISNUMBER($B$5),$B$5&gt;0,ISNUMBER($B$3),$B$3&gt;0),F143/(6*$B$3*1000000*$B$5)*(IF(B143&lt;($B$4*1/10),($B$4*1/10)*(MIN(C143,($B$4*1/10))^3-B143^3)-(MIN(C143,($B$4*1/10))^4-B143^4)/4,0)+IF(C143&gt;($B$4*1/10),($B$4*1/10)^2*(1.5*(C143^2-MAX(B143,($B$4*1/10))^2)-($B$4*1/10)*(C143-MAX(B143,($B$4*1/10)))),0))*1000,0)</f>
        <v>0</v>
      </c>
      <c r="AC143" s="120">
        <f>IF(AND(J143="OK",ISNUMBER($B$5),$B$5&gt;0,ISNUMBER($B$3),$B$3&gt;0),F143/(6*$B$3*1000000*$B$5)*(IF(B143&lt;($B$4*2/10),($B$4*2/10)*(MIN(C143,($B$4*2/10))^3-B143^3)-(MIN(C143,($B$4*2/10))^4-B143^4)/4,0)+IF(C143&gt;($B$4*2/10),($B$4*2/10)^2*(1.5*(C143^2-MAX(B143,($B$4*2/10))^2)-($B$4*2/10)*(C143-MAX(B143,($B$4*2/10)))),0))*1000,0)</f>
        <v>0</v>
      </c>
      <c r="AD143" s="120">
        <f>IF(AND(J143="OK",ISNUMBER($B$5),$B$5&gt;0,ISNUMBER($B$3),$B$3&gt;0),F143/(6*$B$3*1000000*$B$5)*(IF(B143&lt;($B$4*3/10),($B$4*3/10)*(MIN(C143,($B$4*3/10))^3-B143^3)-(MIN(C143,($B$4*3/10))^4-B143^4)/4,0)+IF(C143&gt;($B$4*3/10),($B$4*3/10)^2*(1.5*(C143^2-MAX(B143,($B$4*3/10))^2)-($B$4*3/10)*(C143-MAX(B143,($B$4*3/10)))),0))*1000,0)</f>
        <v>0</v>
      </c>
      <c r="AE143" s="120">
        <f>IF(AND(J143="OK",ISNUMBER($B$5),$B$5&gt;0,ISNUMBER($B$3),$B$3&gt;0),F143/(6*$B$3*1000000*$B$5)*(IF(B143&lt;($B$4*4/10),($B$4*4/10)*(MIN(C143,($B$4*4/10))^3-B143^3)-(MIN(C143,($B$4*4/10))^4-B143^4)/4,0)+IF(C143&gt;($B$4*4/10),($B$4*4/10)^2*(1.5*(C143^2-MAX(B143,($B$4*4/10))^2)-($B$4*4/10)*(C143-MAX(B143,($B$4*4/10)))),0))*1000,0)</f>
        <v>0</v>
      </c>
      <c r="AF143" s="120">
        <f>IF(AND(J143="OK",ISNUMBER($B$5),$B$5&gt;0,ISNUMBER($B$3),$B$3&gt;0),F143/(6*$B$3*1000000*$B$5)*(IF(B143&lt;($B$4*5/10),($B$4*5/10)*(MIN(C143,($B$4*5/10))^3-B143^3)-(MIN(C143,($B$4*5/10))^4-B143^4)/4,0)+IF(C143&gt;($B$4*5/10),($B$4*5/10)^2*(1.5*(C143^2-MAX(B143,($B$4*5/10))^2)-($B$4*5/10)*(C143-MAX(B143,($B$4*5/10)))),0))*1000,0)</f>
        <v>0</v>
      </c>
      <c r="AG143" s="120">
        <f>IF(AND(J143="OK",ISNUMBER($B$5),$B$5&gt;0,ISNUMBER($B$3),$B$3&gt;0),F143/(6*$B$3*1000000*$B$5)*(IF(B143&lt;($B$4*6/10),($B$4*6/10)*(MIN(C143,($B$4*6/10))^3-B143^3)-(MIN(C143,($B$4*6/10))^4-B143^4)/4,0)+IF(C143&gt;($B$4*6/10),($B$4*6/10)^2*(1.5*(C143^2-MAX(B143,($B$4*6/10))^2)-($B$4*6/10)*(C143-MAX(B143,($B$4*6/10)))),0))*1000,0)</f>
        <v>0</v>
      </c>
      <c r="AH143" s="120">
        <f>IF(AND(J143="OK",ISNUMBER($B$5),$B$5&gt;0,ISNUMBER($B$3),$B$3&gt;0),F143/(6*$B$3*1000000*$B$5)*(IF(B143&lt;($B$4*7/10),($B$4*7/10)*(MIN(C143,($B$4*7/10))^3-B143^3)-(MIN(C143,($B$4*7/10))^4-B143^4)/4,0)+IF(C143&gt;($B$4*7/10),($B$4*7/10)^2*(1.5*(C143^2-MAX(B143,($B$4*7/10))^2)-($B$4*7/10)*(C143-MAX(B143,($B$4*7/10)))),0))*1000,0)</f>
        <v>0</v>
      </c>
      <c r="AI143" s="120">
        <f>IF(AND(J143="OK",ISNUMBER($B$5),$B$5&gt;0,ISNUMBER($B$3),$B$3&gt;0),F143/(6*$B$3*1000000*$B$5)*(IF(B143&lt;($B$4*8/10),($B$4*8/10)*(MIN(C143,($B$4*8/10))^3-B143^3)-(MIN(C143,($B$4*8/10))^4-B143^4)/4,0)+IF(C143&gt;($B$4*8/10),($B$4*8/10)^2*(1.5*(C143^2-MAX(B143,($B$4*8/10))^2)-($B$4*8/10)*(C143-MAX(B143,($B$4*8/10)))),0))*1000,0)</f>
        <v>0</v>
      </c>
      <c r="AJ143" s="120">
        <f>IF(AND(J143="OK",ISNUMBER($B$5),$B$5&gt;0,ISNUMBER($B$3),$B$3&gt;0),F143/(6*$B$3*1000000*$B$5)*(IF(B143&lt;($B$4*9/10),($B$4*9/10)*(MIN(C143,($B$4*9/10))^3-B143^3)-(MIN(C143,($B$4*9/10))^4-B143^4)/4,0)+IF(C143&gt;($B$4*9/10),($B$4*9/10)^2*(1.5*(C143^2-MAX(B143,($B$4*9/10))^2)-($B$4*9/10)*(C143-MAX(B143,($B$4*9/10)))),0))*1000,0)</f>
        <v>0</v>
      </c>
      <c r="AK143" s="120">
        <f>IF(AND(J143="OK",ISNUMBER($B$5),$B$5&gt;0,ISNUMBER($B$3),$B$3&gt;0),F143/(6*$B$3*1000000*$B$5)*(IF(B143&lt;($B$4*10/10),($B$4*10/10)*(MIN(C143,($B$4*10/10))^3-B143^3)-(MIN(C143,($B$4*10/10))^4-B143^4)/4,0)+IF(C143&gt;($B$4*10/10),($B$4*10/10)^2*(1.5*(C143^2-MAX(B143,($B$4*10/10))^2)-($B$4*10/10)*(C143-MAX(B143,($B$4*10/10)))),0))*1000,0)</f>
        <v>0</v>
      </c>
      <c r="AM143" s="120">
        <f>IF(AND(V143="OK",ISNUMBER($N$5),$N$5&gt;0,ISNUMBER($N$3),$N$3&gt;0),R143/(6*$N$3*1000000*$N$5)*(IF(N143&lt;($N$4*0/10),($N$4*0/10)*(MIN(O143,($N$4*0/10))^3-N143^3)-(MIN(O143,($N$4*0/10))^4-N143^4)/4,0)+IF(O143&gt;($N$4*0/10),($N$4*0/10)^2*(1.5*(O143^2-MAX(N143,($N$4*0/10))^2)-($N$4*0/10)*(O143-MAX(N143,($N$4*0/10)))),0))*1000,0)</f>
        <v>0</v>
      </c>
      <c r="AN143" s="120">
        <f>IF(AND(V143="OK",ISNUMBER($N$5),$N$5&gt;0,ISNUMBER($N$3),$N$3&gt;0),R143/(6*$N$3*1000000*$N$5)*(IF(N143&lt;($N$4*1/10),($N$4*1/10)*(MIN(O143,($N$4*1/10))^3-N143^3)-(MIN(O143,($N$4*1/10))^4-N143^4)/4,0)+IF(O143&gt;($N$4*1/10),($N$4*1/10)^2*(1.5*(O143^2-MAX(N143,($N$4*1/10))^2)-($N$4*1/10)*(O143-MAX(N143,($N$4*1/10)))),0))*1000,0)</f>
        <v>0</v>
      </c>
      <c r="AO143" s="120">
        <f>IF(AND(V143="OK",ISNUMBER($N$5),$N$5&gt;0,ISNUMBER($N$3),$N$3&gt;0),R143/(6*$N$3*1000000*$N$5)*(IF(N143&lt;($N$4*2/10),($N$4*2/10)*(MIN(O143,($N$4*2/10))^3-N143^3)-(MIN(O143,($N$4*2/10))^4-N143^4)/4,0)+IF(O143&gt;($N$4*2/10),($N$4*2/10)^2*(1.5*(O143^2-MAX(N143,($N$4*2/10))^2)-($N$4*2/10)*(O143-MAX(N143,($N$4*2/10)))),0))*1000,0)</f>
        <v>0</v>
      </c>
      <c r="AP143" s="120">
        <f>IF(AND(V143="OK",ISNUMBER($N$5),$N$5&gt;0,ISNUMBER($N$3),$N$3&gt;0),R143/(6*$N$3*1000000*$N$5)*(IF(N143&lt;($N$4*3/10),($N$4*3/10)*(MIN(O143,($N$4*3/10))^3-N143^3)-(MIN(O143,($N$4*3/10))^4-N143^4)/4,0)+IF(O143&gt;($N$4*3/10),($N$4*3/10)^2*(1.5*(O143^2-MAX(N143,($N$4*3/10))^2)-($N$4*3/10)*(O143-MAX(N143,($N$4*3/10)))),0))*1000,0)</f>
        <v>0</v>
      </c>
      <c r="AQ143" s="120">
        <f>IF(AND(V143="OK",ISNUMBER($N$5),$N$5&gt;0,ISNUMBER($N$3),$N$3&gt;0),R143/(6*$N$3*1000000*$N$5)*(IF(N143&lt;($N$4*4/10),($N$4*4/10)*(MIN(O143,($N$4*4/10))^3-N143^3)-(MIN(O143,($N$4*4/10))^4-N143^4)/4,0)+IF(O143&gt;($N$4*4/10),($N$4*4/10)^2*(1.5*(O143^2-MAX(N143,($N$4*4/10))^2)-($N$4*4/10)*(O143-MAX(N143,($N$4*4/10)))),0))*1000,0)</f>
        <v>0</v>
      </c>
      <c r="AR143" s="120">
        <f>IF(AND(V143="OK",ISNUMBER($N$5),$N$5&gt;0,ISNUMBER($N$3),$N$3&gt;0),R143/(6*$N$3*1000000*$N$5)*(IF(N143&lt;($N$4*5/10),($N$4*5/10)*(MIN(O143,($N$4*5/10))^3-N143^3)-(MIN(O143,($N$4*5/10))^4-N143^4)/4,0)+IF(O143&gt;($N$4*5/10),($N$4*5/10)^2*(1.5*(O143^2-MAX(N143,($N$4*5/10))^2)-($N$4*5/10)*(O143-MAX(N143,($N$4*5/10)))),0))*1000,0)</f>
        <v>0</v>
      </c>
      <c r="AS143" s="120">
        <f>IF(AND(V143="OK",ISNUMBER($N$5),$N$5&gt;0,ISNUMBER($N$3),$N$3&gt;0),R143/(6*$N$3*1000000*$N$5)*(IF(N143&lt;($N$4*6/10),($N$4*6/10)*(MIN(O143,($N$4*6/10))^3-N143^3)-(MIN(O143,($N$4*6/10))^4-N143^4)/4,0)+IF(O143&gt;($N$4*6/10),($N$4*6/10)^2*(1.5*(O143^2-MAX(N143,($N$4*6/10))^2)-($N$4*6/10)*(O143-MAX(N143,($N$4*6/10)))),0))*1000,0)</f>
        <v>0</v>
      </c>
      <c r="AT143" s="120">
        <f>IF(AND(V143="OK",ISNUMBER($N$5),$N$5&gt;0,ISNUMBER($N$3),$N$3&gt;0),R143/(6*$N$3*1000000*$N$5)*(IF(N143&lt;($N$4*7/10),($N$4*7/10)*(MIN(O143,($N$4*7/10))^3-N143^3)-(MIN(O143,($N$4*7/10))^4-N143^4)/4,0)+IF(O143&gt;($N$4*7/10),($N$4*7/10)^2*(1.5*(O143^2-MAX(N143,($N$4*7/10))^2)-($N$4*7/10)*(O143-MAX(N143,($N$4*7/10)))),0))*1000,0)</f>
        <v>0</v>
      </c>
      <c r="AU143" s="120">
        <f>IF(AND(V143="OK",ISNUMBER($N$5),$N$5&gt;0,ISNUMBER($N$3),$N$3&gt;0),R143/(6*$N$3*1000000*$N$5)*(IF(N143&lt;($N$4*8/10),($N$4*8/10)*(MIN(O143,($N$4*8/10))^3-N143^3)-(MIN(O143,($N$4*8/10))^4-N143^4)/4,0)+IF(O143&gt;($N$4*8/10),($N$4*8/10)^2*(1.5*(O143^2-MAX(N143,($N$4*8/10))^2)-($N$4*8/10)*(O143-MAX(N143,($N$4*8/10)))),0))*1000,0)</f>
        <v>0</v>
      </c>
      <c r="AV143" s="120">
        <f>IF(AND(V143="OK",ISNUMBER($N$5),$N$5&gt;0,ISNUMBER($N$3),$N$3&gt;0),R143/(6*$N$3*1000000*$N$5)*(IF(N143&lt;($N$4*9/10),($N$4*9/10)*(MIN(O143,($N$4*9/10))^3-N143^3)-(MIN(O143,($N$4*9/10))^4-N143^4)/4,0)+IF(O143&gt;($N$4*9/10),($N$4*9/10)^2*(1.5*(O143^2-MAX(N143,($N$4*9/10))^2)-($N$4*9/10)*(O143-MAX(N143,($N$4*9/10)))),0))*1000,0)</f>
        <v>0</v>
      </c>
      <c r="AW143" s="120">
        <f>IF(AND(V143="OK",ISNUMBER($N$5),$N$5&gt;0,ISNUMBER($N$3),$N$3&gt;0),R143/(6*$N$3*1000000*$N$5)*(IF(N143&lt;($N$4*10/10),($N$4*10/10)*(MIN(O143,($N$4*10/10))^3-N143^3)-(MIN(O143,($N$4*10/10))^4-N143^4)/4,0)+IF(O143&gt;($N$4*10/10),($N$4*10/10)^2*(1.5*(O143^2-MAX(N143,($N$4*10/10))^2)-($N$4*10/10)*(O143-MAX(N143,($N$4*10/10)))),0))*1000,0)</f>
        <v>0</v>
      </c>
    </row>
    <row r="144" spans="1:49">
      <c r="A144" s="124"/>
      <c r="B144" s="125"/>
      <c r="C144" s="125"/>
      <c r="D144" s="125"/>
      <c r="E144" s="125"/>
      <c r="F144" s="126" t="str">
        <f>IF(J144="OK",D144*E144,"")</f>
        <v/>
      </c>
      <c r="G144" s="126" t="str">
        <f>IF(J144="OK",F144*(C144-B144),"")</f>
        <v/>
      </c>
      <c r="H144" s="126" t="str">
        <f>IF(J144="OK",G144*(C144+B144)/2,"")</f>
        <v/>
      </c>
      <c r="I144" s="126" t="str">
        <f>IF(AND(J144="OK",ISNUMBER($B$5),$B$5&gt;0,ISNUMBER($B$3),$B$3&gt;0),F144*(4*$B$4*(C144^3-B144^3)-(C144^4-B144^4))/(24*$B$3*1000000*$B$5)*1000,"")</f>
        <v/>
      </c>
      <c r="J144" s="120" t="str">
        <f>IF(COUNTA(A144:E144)=0,"",IF(AND(COUNT(B144:E144)=4,B144&gt;=0,C144&gt;B144,C144&lt;=$B$4,D144&gt;=0,E144&gt;0),IF(COUNTIFS($B$13:$B$143,"&lt;"&amp;C144,$C$13:$C$143,"&gt;"&amp;B144)&gt;0,"OVERLAP","OK"),"CHECK INPUTS"))</f>
        <v/>
      </c>
      <c r="M144" s="124"/>
      <c r="N144" s="125"/>
      <c r="O144" s="125"/>
      <c r="P144" s="125"/>
      <c r="Q144" s="125"/>
      <c r="R144" s="126" t="str">
        <f>IF(V144="OK",P144*Q144,"")</f>
        <v/>
      </c>
      <c r="S144" s="126" t="str">
        <f>IF(V144="OK",R144*(O144-N144),"")</f>
        <v/>
      </c>
      <c r="T144" s="126" t="str">
        <f>IF(V144="OK",S144*(O144+N144)/2,"")</f>
        <v/>
      </c>
      <c r="U144" s="126" t="str">
        <f>IF(AND(V144="OK",ISNUMBER($N$5),$N$5&gt;0,ISNUMBER($N$3),$N$3&gt;0),R144*(4*$N$4*(O144^3-N144^3)-(O144^4-N144^4))/(24*$N$3*1000000*$N$5)*1000,"")</f>
        <v/>
      </c>
      <c r="V144" s="120" t="str">
        <f>IF(COUNTA(M144:Q144)=0,"",IF(AND(COUNT(N144:Q144)=4,N144&gt;=0,O144&gt;N144,O144&lt;=$N$4,P144&gt;=0,Q144&gt;0),IF(COUNTIFS($N$13:$N$143,"&lt;"&amp;O144,$O$13:$O$143,"&gt;"&amp;N144)&gt;0,"OVERLAP","OK"),"CHECK INPUTS"))</f>
        <v/>
      </c>
      <c r="AA144" s="120">
        <f>IF(AND(J144="OK",ISNUMBER($B$5),$B$5&gt;0,ISNUMBER($B$3),$B$3&gt;0),F144/(6*$B$3*1000000*$B$5)*(IF(B144&lt;($B$4*0/10),($B$4*0/10)*(MIN(C144,($B$4*0/10))^3-B144^3)-(MIN(C144,($B$4*0/10))^4-B144^4)/4,0)+IF(C144&gt;($B$4*0/10),($B$4*0/10)^2*(1.5*(C144^2-MAX(B144,($B$4*0/10))^2)-($B$4*0/10)*(C144-MAX(B144,($B$4*0/10)))),0))*1000,0)</f>
        <v>0</v>
      </c>
      <c r="AB144" s="120">
        <f>IF(AND(J144="OK",ISNUMBER($B$5),$B$5&gt;0,ISNUMBER($B$3),$B$3&gt;0),F144/(6*$B$3*1000000*$B$5)*(IF(B144&lt;($B$4*1/10),($B$4*1/10)*(MIN(C144,($B$4*1/10))^3-B144^3)-(MIN(C144,($B$4*1/10))^4-B144^4)/4,0)+IF(C144&gt;($B$4*1/10),($B$4*1/10)^2*(1.5*(C144^2-MAX(B144,($B$4*1/10))^2)-($B$4*1/10)*(C144-MAX(B144,($B$4*1/10)))),0))*1000,0)</f>
        <v>0</v>
      </c>
      <c r="AC144" s="120">
        <f>IF(AND(J144="OK",ISNUMBER($B$5),$B$5&gt;0,ISNUMBER($B$3),$B$3&gt;0),F144/(6*$B$3*1000000*$B$5)*(IF(B144&lt;($B$4*2/10),($B$4*2/10)*(MIN(C144,($B$4*2/10))^3-B144^3)-(MIN(C144,($B$4*2/10))^4-B144^4)/4,0)+IF(C144&gt;($B$4*2/10),($B$4*2/10)^2*(1.5*(C144^2-MAX(B144,($B$4*2/10))^2)-($B$4*2/10)*(C144-MAX(B144,($B$4*2/10)))),0))*1000,0)</f>
        <v>0</v>
      </c>
      <c r="AD144" s="120">
        <f>IF(AND(J144="OK",ISNUMBER($B$5),$B$5&gt;0,ISNUMBER($B$3),$B$3&gt;0),F144/(6*$B$3*1000000*$B$5)*(IF(B144&lt;($B$4*3/10),($B$4*3/10)*(MIN(C144,($B$4*3/10))^3-B144^3)-(MIN(C144,($B$4*3/10))^4-B144^4)/4,0)+IF(C144&gt;($B$4*3/10),($B$4*3/10)^2*(1.5*(C144^2-MAX(B144,($B$4*3/10))^2)-($B$4*3/10)*(C144-MAX(B144,($B$4*3/10)))),0))*1000,0)</f>
        <v>0</v>
      </c>
      <c r="AE144" s="120">
        <f>IF(AND(J144="OK",ISNUMBER($B$5),$B$5&gt;0,ISNUMBER($B$3),$B$3&gt;0),F144/(6*$B$3*1000000*$B$5)*(IF(B144&lt;($B$4*4/10),($B$4*4/10)*(MIN(C144,($B$4*4/10))^3-B144^3)-(MIN(C144,($B$4*4/10))^4-B144^4)/4,0)+IF(C144&gt;($B$4*4/10),($B$4*4/10)^2*(1.5*(C144^2-MAX(B144,($B$4*4/10))^2)-($B$4*4/10)*(C144-MAX(B144,($B$4*4/10)))),0))*1000,0)</f>
        <v>0</v>
      </c>
      <c r="AF144" s="120">
        <f>IF(AND(J144="OK",ISNUMBER($B$5),$B$5&gt;0,ISNUMBER($B$3),$B$3&gt;0),F144/(6*$B$3*1000000*$B$5)*(IF(B144&lt;($B$4*5/10),($B$4*5/10)*(MIN(C144,($B$4*5/10))^3-B144^3)-(MIN(C144,($B$4*5/10))^4-B144^4)/4,0)+IF(C144&gt;($B$4*5/10),($B$4*5/10)^2*(1.5*(C144^2-MAX(B144,($B$4*5/10))^2)-($B$4*5/10)*(C144-MAX(B144,($B$4*5/10)))),0))*1000,0)</f>
        <v>0</v>
      </c>
      <c r="AG144" s="120">
        <f>IF(AND(J144="OK",ISNUMBER($B$5),$B$5&gt;0,ISNUMBER($B$3),$B$3&gt;0),F144/(6*$B$3*1000000*$B$5)*(IF(B144&lt;($B$4*6/10),($B$4*6/10)*(MIN(C144,($B$4*6/10))^3-B144^3)-(MIN(C144,($B$4*6/10))^4-B144^4)/4,0)+IF(C144&gt;($B$4*6/10),($B$4*6/10)^2*(1.5*(C144^2-MAX(B144,($B$4*6/10))^2)-($B$4*6/10)*(C144-MAX(B144,($B$4*6/10)))),0))*1000,0)</f>
        <v>0</v>
      </c>
      <c r="AH144" s="120">
        <f>IF(AND(J144="OK",ISNUMBER($B$5),$B$5&gt;0,ISNUMBER($B$3),$B$3&gt;0),F144/(6*$B$3*1000000*$B$5)*(IF(B144&lt;($B$4*7/10),($B$4*7/10)*(MIN(C144,($B$4*7/10))^3-B144^3)-(MIN(C144,($B$4*7/10))^4-B144^4)/4,0)+IF(C144&gt;($B$4*7/10),($B$4*7/10)^2*(1.5*(C144^2-MAX(B144,($B$4*7/10))^2)-($B$4*7/10)*(C144-MAX(B144,($B$4*7/10)))),0))*1000,0)</f>
        <v>0</v>
      </c>
      <c r="AI144" s="120">
        <f>IF(AND(J144="OK",ISNUMBER($B$5),$B$5&gt;0,ISNUMBER($B$3),$B$3&gt;0),F144/(6*$B$3*1000000*$B$5)*(IF(B144&lt;($B$4*8/10),($B$4*8/10)*(MIN(C144,($B$4*8/10))^3-B144^3)-(MIN(C144,($B$4*8/10))^4-B144^4)/4,0)+IF(C144&gt;($B$4*8/10),($B$4*8/10)^2*(1.5*(C144^2-MAX(B144,($B$4*8/10))^2)-($B$4*8/10)*(C144-MAX(B144,($B$4*8/10)))),0))*1000,0)</f>
        <v>0</v>
      </c>
      <c r="AJ144" s="120">
        <f>IF(AND(J144="OK",ISNUMBER($B$5),$B$5&gt;0,ISNUMBER($B$3),$B$3&gt;0),F144/(6*$B$3*1000000*$B$5)*(IF(B144&lt;($B$4*9/10),($B$4*9/10)*(MIN(C144,($B$4*9/10))^3-B144^3)-(MIN(C144,($B$4*9/10))^4-B144^4)/4,0)+IF(C144&gt;($B$4*9/10),($B$4*9/10)^2*(1.5*(C144^2-MAX(B144,($B$4*9/10))^2)-($B$4*9/10)*(C144-MAX(B144,($B$4*9/10)))),0))*1000,0)</f>
        <v>0</v>
      </c>
      <c r="AK144" s="120">
        <f>IF(AND(J144="OK",ISNUMBER($B$5),$B$5&gt;0,ISNUMBER($B$3),$B$3&gt;0),F144/(6*$B$3*1000000*$B$5)*(IF(B144&lt;($B$4*10/10),($B$4*10/10)*(MIN(C144,($B$4*10/10))^3-B144^3)-(MIN(C144,($B$4*10/10))^4-B144^4)/4,0)+IF(C144&gt;($B$4*10/10),($B$4*10/10)^2*(1.5*(C144^2-MAX(B144,($B$4*10/10))^2)-($B$4*10/10)*(C144-MAX(B144,($B$4*10/10)))),0))*1000,0)</f>
        <v>0</v>
      </c>
      <c r="AM144" s="120">
        <f>IF(AND(V144="OK",ISNUMBER($N$5),$N$5&gt;0,ISNUMBER($N$3),$N$3&gt;0),R144/(6*$N$3*1000000*$N$5)*(IF(N144&lt;($N$4*0/10),($N$4*0/10)*(MIN(O144,($N$4*0/10))^3-N144^3)-(MIN(O144,($N$4*0/10))^4-N144^4)/4,0)+IF(O144&gt;($N$4*0/10),($N$4*0/10)^2*(1.5*(O144^2-MAX(N144,($N$4*0/10))^2)-($N$4*0/10)*(O144-MAX(N144,($N$4*0/10)))),0))*1000,0)</f>
        <v>0</v>
      </c>
      <c r="AN144" s="120">
        <f>IF(AND(V144="OK",ISNUMBER($N$5),$N$5&gt;0,ISNUMBER($N$3),$N$3&gt;0),R144/(6*$N$3*1000000*$N$5)*(IF(N144&lt;($N$4*1/10),($N$4*1/10)*(MIN(O144,($N$4*1/10))^3-N144^3)-(MIN(O144,($N$4*1/10))^4-N144^4)/4,0)+IF(O144&gt;($N$4*1/10),($N$4*1/10)^2*(1.5*(O144^2-MAX(N144,($N$4*1/10))^2)-($N$4*1/10)*(O144-MAX(N144,($N$4*1/10)))),0))*1000,0)</f>
        <v>0</v>
      </c>
      <c r="AO144" s="120">
        <f>IF(AND(V144="OK",ISNUMBER($N$5),$N$5&gt;0,ISNUMBER($N$3),$N$3&gt;0),R144/(6*$N$3*1000000*$N$5)*(IF(N144&lt;($N$4*2/10),($N$4*2/10)*(MIN(O144,($N$4*2/10))^3-N144^3)-(MIN(O144,($N$4*2/10))^4-N144^4)/4,0)+IF(O144&gt;($N$4*2/10),($N$4*2/10)^2*(1.5*(O144^2-MAX(N144,($N$4*2/10))^2)-($N$4*2/10)*(O144-MAX(N144,($N$4*2/10)))),0))*1000,0)</f>
        <v>0</v>
      </c>
      <c r="AP144" s="120">
        <f>IF(AND(V144="OK",ISNUMBER($N$5),$N$5&gt;0,ISNUMBER($N$3),$N$3&gt;0),R144/(6*$N$3*1000000*$N$5)*(IF(N144&lt;($N$4*3/10),($N$4*3/10)*(MIN(O144,($N$4*3/10))^3-N144^3)-(MIN(O144,($N$4*3/10))^4-N144^4)/4,0)+IF(O144&gt;($N$4*3/10),($N$4*3/10)^2*(1.5*(O144^2-MAX(N144,($N$4*3/10))^2)-($N$4*3/10)*(O144-MAX(N144,($N$4*3/10)))),0))*1000,0)</f>
        <v>0</v>
      </c>
      <c r="AQ144" s="120">
        <f>IF(AND(V144="OK",ISNUMBER($N$5),$N$5&gt;0,ISNUMBER($N$3),$N$3&gt;0),R144/(6*$N$3*1000000*$N$5)*(IF(N144&lt;($N$4*4/10),($N$4*4/10)*(MIN(O144,($N$4*4/10))^3-N144^3)-(MIN(O144,($N$4*4/10))^4-N144^4)/4,0)+IF(O144&gt;($N$4*4/10),($N$4*4/10)^2*(1.5*(O144^2-MAX(N144,($N$4*4/10))^2)-($N$4*4/10)*(O144-MAX(N144,($N$4*4/10)))),0))*1000,0)</f>
        <v>0</v>
      </c>
      <c r="AR144" s="120">
        <f>IF(AND(V144="OK",ISNUMBER($N$5),$N$5&gt;0,ISNUMBER($N$3),$N$3&gt;0),R144/(6*$N$3*1000000*$N$5)*(IF(N144&lt;($N$4*5/10),($N$4*5/10)*(MIN(O144,($N$4*5/10))^3-N144^3)-(MIN(O144,($N$4*5/10))^4-N144^4)/4,0)+IF(O144&gt;($N$4*5/10),($N$4*5/10)^2*(1.5*(O144^2-MAX(N144,($N$4*5/10))^2)-($N$4*5/10)*(O144-MAX(N144,($N$4*5/10)))),0))*1000,0)</f>
        <v>0</v>
      </c>
      <c r="AS144" s="120">
        <f>IF(AND(V144="OK",ISNUMBER($N$5),$N$5&gt;0,ISNUMBER($N$3),$N$3&gt;0),R144/(6*$N$3*1000000*$N$5)*(IF(N144&lt;($N$4*6/10),($N$4*6/10)*(MIN(O144,($N$4*6/10))^3-N144^3)-(MIN(O144,($N$4*6/10))^4-N144^4)/4,0)+IF(O144&gt;($N$4*6/10),($N$4*6/10)^2*(1.5*(O144^2-MAX(N144,($N$4*6/10))^2)-($N$4*6/10)*(O144-MAX(N144,($N$4*6/10)))),0))*1000,0)</f>
        <v>0</v>
      </c>
      <c r="AT144" s="120">
        <f>IF(AND(V144="OK",ISNUMBER($N$5),$N$5&gt;0,ISNUMBER($N$3),$N$3&gt;0),R144/(6*$N$3*1000000*$N$5)*(IF(N144&lt;($N$4*7/10),($N$4*7/10)*(MIN(O144,($N$4*7/10))^3-N144^3)-(MIN(O144,($N$4*7/10))^4-N144^4)/4,0)+IF(O144&gt;($N$4*7/10),($N$4*7/10)^2*(1.5*(O144^2-MAX(N144,($N$4*7/10))^2)-($N$4*7/10)*(O144-MAX(N144,($N$4*7/10)))),0))*1000,0)</f>
        <v>0</v>
      </c>
      <c r="AU144" s="120">
        <f>IF(AND(V144="OK",ISNUMBER($N$5),$N$5&gt;0,ISNUMBER($N$3),$N$3&gt;0),R144/(6*$N$3*1000000*$N$5)*(IF(N144&lt;($N$4*8/10),($N$4*8/10)*(MIN(O144,($N$4*8/10))^3-N144^3)-(MIN(O144,($N$4*8/10))^4-N144^4)/4,0)+IF(O144&gt;($N$4*8/10),($N$4*8/10)^2*(1.5*(O144^2-MAX(N144,($N$4*8/10))^2)-($N$4*8/10)*(O144-MAX(N144,($N$4*8/10)))),0))*1000,0)</f>
        <v>0</v>
      </c>
      <c r="AV144" s="120">
        <f>IF(AND(V144="OK",ISNUMBER($N$5),$N$5&gt;0,ISNUMBER($N$3),$N$3&gt;0),R144/(6*$N$3*1000000*$N$5)*(IF(N144&lt;($N$4*9/10),($N$4*9/10)*(MIN(O144,($N$4*9/10))^3-N144^3)-(MIN(O144,($N$4*9/10))^4-N144^4)/4,0)+IF(O144&gt;($N$4*9/10),($N$4*9/10)^2*(1.5*(O144^2-MAX(N144,($N$4*9/10))^2)-($N$4*9/10)*(O144-MAX(N144,($N$4*9/10)))),0))*1000,0)</f>
        <v>0</v>
      </c>
      <c r="AW144" s="120">
        <f>IF(AND(V144="OK",ISNUMBER($N$5),$N$5&gt;0,ISNUMBER($N$3),$N$3&gt;0),R144/(6*$N$3*1000000*$N$5)*(IF(N144&lt;($N$4*10/10),($N$4*10/10)*(MIN(O144,($N$4*10/10))^3-N144^3)-(MIN(O144,($N$4*10/10))^4-N144^4)/4,0)+IF(O144&gt;($N$4*10/10),($N$4*10/10)^2*(1.5*(O144^2-MAX(N144,($N$4*10/10))^2)-($N$4*10/10)*(O144-MAX(N144,($N$4*10/10)))),0))*1000,0)</f>
        <v>0</v>
      </c>
    </row>
    <row r="145" spans="1:49">
      <c r="A145" s="124"/>
      <c r="B145" s="125"/>
      <c r="C145" s="125"/>
      <c r="D145" s="125"/>
      <c r="E145" s="125"/>
      <c r="F145" s="126" t="str">
        <f>IF(J145="OK",D145*E145,"")</f>
        <v/>
      </c>
      <c r="G145" s="126" t="str">
        <f>IF(J145="OK",F145*(C145-B145),"")</f>
        <v/>
      </c>
      <c r="H145" s="126" t="str">
        <f>IF(J145="OK",G145*(C145+B145)/2,"")</f>
        <v/>
      </c>
      <c r="I145" s="126" t="str">
        <f>IF(AND(J145="OK",ISNUMBER($B$5),$B$5&gt;0,ISNUMBER($B$3),$B$3&gt;0),F145*(4*$B$4*(C145^3-B145^3)-(C145^4-B145^4))/(24*$B$3*1000000*$B$5)*1000,"")</f>
        <v/>
      </c>
      <c r="J145" s="120" t="str">
        <f>IF(COUNTA(A145:E145)=0,"",IF(AND(COUNT(B145:E145)=4,B145&gt;=0,C145&gt;B145,C145&lt;=$B$4,D145&gt;=0,E145&gt;0),IF(COUNTIFS($B$13:$B$144,"&lt;"&amp;C145,$C$13:$C$144,"&gt;"&amp;B145)&gt;0,"OVERLAP","OK"),"CHECK INPUTS"))</f>
        <v/>
      </c>
      <c r="M145" s="124"/>
      <c r="N145" s="125"/>
      <c r="O145" s="125"/>
      <c r="P145" s="125"/>
      <c r="Q145" s="125"/>
      <c r="R145" s="126" t="str">
        <f>IF(V145="OK",P145*Q145,"")</f>
        <v/>
      </c>
      <c r="S145" s="126" t="str">
        <f>IF(V145="OK",R145*(O145-N145),"")</f>
        <v/>
      </c>
      <c r="T145" s="126" t="str">
        <f>IF(V145="OK",S145*(O145+N145)/2,"")</f>
        <v/>
      </c>
      <c r="U145" s="126" t="str">
        <f>IF(AND(V145="OK",ISNUMBER($N$5),$N$5&gt;0,ISNUMBER($N$3),$N$3&gt;0),R145*(4*$N$4*(O145^3-N145^3)-(O145^4-N145^4))/(24*$N$3*1000000*$N$5)*1000,"")</f>
        <v/>
      </c>
      <c r="V145" s="120" t="str">
        <f>IF(COUNTA(M145:Q145)=0,"",IF(AND(COUNT(N145:Q145)=4,N145&gt;=0,O145&gt;N145,O145&lt;=$N$4,P145&gt;=0,Q145&gt;0),IF(COUNTIFS($N$13:$N$144,"&lt;"&amp;O145,$O$13:$O$144,"&gt;"&amp;N145)&gt;0,"OVERLAP","OK"),"CHECK INPUTS"))</f>
        <v/>
      </c>
      <c r="AA145" s="120">
        <f>IF(AND(J145="OK",ISNUMBER($B$5),$B$5&gt;0,ISNUMBER($B$3),$B$3&gt;0),F145/(6*$B$3*1000000*$B$5)*(IF(B145&lt;($B$4*0/10),($B$4*0/10)*(MIN(C145,($B$4*0/10))^3-B145^3)-(MIN(C145,($B$4*0/10))^4-B145^4)/4,0)+IF(C145&gt;($B$4*0/10),($B$4*0/10)^2*(1.5*(C145^2-MAX(B145,($B$4*0/10))^2)-($B$4*0/10)*(C145-MAX(B145,($B$4*0/10)))),0))*1000,0)</f>
        <v>0</v>
      </c>
      <c r="AB145" s="120">
        <f>IF(AND(J145="OK",ISNUMBER($B$5),$B$5&gt;0,ISNUMBER($B$3),$B$3&gt;0),F145/(6*$B$3*1000000*$B$5)*(IF(B145&lt;($B$4*1/10),($B$4*1/10)*(MIN(C145,($B$4*1/10))^3-B145^3)-(MIN(C145,($B$4*1/10))^4-B145^4)/4,0)+IF(C145&gt;($B$4*1/10),($B$4*1/10)^2*(1.5*(C145^2-MAX(B145,($B$4*1/10))^2)-($B$4*1/10)*(C145-MAX(B145,($B$4*1/10)))),0))*1000,0)</f>
        <v>0</v>
      </c>
      <c r="AC145" s="120">
        <f>IF(AND(J145="OK",ISNUMBER($B$5),$B$5&gt;0,ISNUMBER($B$3),$B$3&gt;0),F145/(6*$B$3*1000000*$B$5)*(IF(B145&lt;($B$4*2/10),($B$4*2/10)*(MIN(C145,($B$4*2/10))^3-B145^3)-(MIN(C145,($B$4*2/10))^4-B145^4)/4,0)+IF(C145&gt;($B$4*2/10),($B$4*2/10)^2*(1.5*(C145^2-MAX(B145,($B$4*2/10))^2)-($B$4*2/10)*(C145-MAX(B145,($B$4*2/10)))),0))*1000,0)</f>
        <v>0</v>
      </c>
      <c r="AD145" s="120">
        <f>IF(AND(J145="OK",ISNUMBER($B$5),$B$5&gt;0,ISNUMBER($B$3),$B$3&gt;0),F145/(6*$B$3*1000000*$B$5)*(IF(B145&lt;($B$4*3/10),($B$4*3/10)*(MIN(C145,($B$4*3/10))^3-B145^3)-(MIN(C145,($B$4*3/10))^4-B145^4)/4,0)+IF(C145&gt;($B$4*3/10),($B$4*3/10)^2*(1.5*(C145^2-MAX(B145,($B$4*3/10))^2)-($B$4*3/10)*(C145-MAX(B145,($B$4*3/10)))),0))*1000,0)</f>
        <v>0</v>
      </c>
      <c r="AE145" s="120">
        <f>IF(AND(J145="OK",ISNUMBER($B$5),$B$5&gt;0,ISNUMBER($B$3),$B$3&gt;0),F145/(6*$B$3*1000000*$B$5)*(IF(B145&lt;($B$4*4/10),($B$4*4/10)*(MIN(C145,($B$4*4/10))^3-B145^3)-(MIN(C145,($B$4*4/10))^4-B145^4)/4,0)+IF(C145&gt;($B$4*4/10),($B$4*4/10)^2*(1.5*(C145^2-MAX(B145,($B$4*4/10))^2)-($B$4*4/10)*(C145-MAX(B145,($B$4*4/10)))),0))*1000,0)</f>
        <v>0</v>
      </c>
      <c r="AF145" s="120">
        <f>IF(AND(J145="OK",ISNUMBER($B$5),$B$5&gt;0,ISNUMBER($B$3),$B$3&gt;0),F145/(6*$B$3*1000000*$B$5)*(IF(B145&lt;($B$4*5/10),($B$4*5/10)*(MIN(C145,($B$4*5/10))^3-B145^3)-(MIN(C145,($B$4*5/10))^4-B145^4)/4,0)+IF(C145&gt;($B$4*5/10),($B$4*5/10)^2*(1.5*(C145^2-MAX(B145,($B$4*5/10))^2)-($B$4*5/10)*(C145-MAX(B145,($B$4*5/10)))),0))*1000,0)</f>
        <v>0</v>
      </c>
      <c r="AG145" s="120">
        <f>IF(AND(J145="OK",ISNUMBER($B$5),$B$5&gt;0,ISNUMBER($B$3),$B$3&gt;0),F145/(6*$B$3*1000000*$B$5)*(IF(B145&lt;($B$4*6/10),($B$4*6/10)*(MIN(C145,($B$4*6/10))^3-B145^3)-(MIN(C145,($B$4*6/10))^4-B145^4)/4,0)+IF(C145&gt;($B$4*6/10),($B$4*6/10)^2*(1.5*(C145^2-MAX(B145,($B$4*6/10))^2)-($B$4*6/10)*(C145-MAX(B145,($B$4*6/10)))),0))*1000,0)</f>
        <v>0</v>
      </c>
      <c r="AH145" s="120">
        <f>IF(AND(J145="OK",ISNUMBER($B$5),$B$5&gt;0,ISNUMBER($B$3),$B$3&gt;0),F145/(6*$B$3*1000000*$B$5)*(IF(B145&lt;($B$4*7/10),($B$4*7/10)*(MIN(C145,($B$4*7/10))^3-B145^3)-(MIN(C145,($B$4*7/10))^4-B145^4)/4,0)+IF(C145&gt;($B$4*7/10),($B$4*7/10)^2*(1.5*(C145^2-MAX(B145,($B$4*7/10))^2)-($B$4*7/10)*(C145-MAX(B145,($B$4*7/10)))),0))*1000,0)</f>
        <v>0</v>
      </c>
      <c r="AI145" s="120">
        <f>IF(AND(J145="OK",ISNUMBER($B$5),$B$5&gt;0,ISNUMBER($B$3),$B$3&gt;0),F145/(6*$B$3*1000000*$B$5)*(IF(B145&lt;($B$4*8/10),($B$4*8/10)*(MIN(C145,($B$4*8/10))^3-B145^3)-(MIN(C145,($B$4*8/10))^4-B145^4)/4,0)+IF(C145&gt;($B$4*8/10),($B$4*8/10)^2*(1.5*(C145^2-MAX(B145,($B$4*8/10))^2)-($B$4*8/10)*(C145-MAX(B145,($B$4*8/10)))),0))*1000,0)</f>
        <v>0</v>
      </c>
      <c r="AJ145" s="120">
        <f>IF(AND(J145="OK",ISNUMBER($B$5),$B$5&gt;0,ISNUMBER($B$3),$B$3&gt;0),F145/(6*$B$3*1000000*$B$5)*(IF(B145&lt;($B$4*9/10),($B$4*9/10)*(MIN(C145,($B$4*9/10))^3-B145^3)-(MIN(C145,($B$4*9/10))^4-B145^4)/4,0)+IF(C145&gt;($B$4*9/10),($B$4*9/10)^2*(1.5*(C145^2-MAX(B145,($B$4*9/10))^2)-($B$4*9/10)*(C145-MAX(B145,($B$4*9/10)))),0))*1000,0)</f>
        <v>0</v>
      </c>
      <c r="AK145" s="120">
        <f>IF(AND(J145="OK",ISNUMBER($B$5),$B$5&gt;0,ISNUMBER($B$3),$B$3&gt;0),F145/(6*$B$3*1000000*$B$5)*(IF(B145&lt;($B$4*10/10),($B$4*10/10)*(MIN(C145,($B$4*10/10))^3-B145^3)-(MIN(C145,($B$4*10/10))^4-B145^4)/4,0)+IF(C145&gt;($B$4*10/10),($B$4*10/10)^2*(1.5*(C145^2-MAX(B145,($B$4*10/10))^2)-($B$4*10/10)*(C145-MAX(B145,($B$4*10/10)))),0))*1000,0)</f>
        <v>0</v>
      </c>
      <c r="AM145" s="120">
        <f>IF(AND(V145="OK",ISNUMBER($N$5),$N$5&gt;0,ISNUMBER($N$3),$N$3&gt;0),R145/(6*$N$3*1000000*$N$5)*(IF(N145&lt;($N$4*0/10),($N$4*0/10)*(MIN(O145,($N$4*0/10))^3-N145^3)-(MIN(O145,($N$4*0/10))^4-N145^4)/4,0)+IF(O145&gt;($N$4*0/10),($N$4*0/10)^2*(1.5*(O145^2-MAX(N145,($N$4*0/10))^2)-($N$4*0/10)*(O145-MAX(N145,($N$4*0/10)))),0))*1000,0)</f>
        <v>0</v>
      </c>
      <c r="AN145" s="120">
        <f>IF(AND(V145="OK",ISNUMBER($N$5),$N$5&gt;0,ISNUMBER($N$3),$N$3&gt;0),R145/(6*$N$3*1000000*$N$5)*(IF(N145&lt;($N$4*1/10),($N$4*1/10)*(MIN(O145,($N$4*1/10))^3-N145^3)-(MIN(O145,($N$4*1/10))^4-N145^4)/4,0)+IF(O145&gt;($N$4*1/10),($N$4*1/10)^2*(1.5*(O145^2-MAX(N145,($N$4*1/10))^2)-($N$4*1/10)*(O145-MAX(N145,($N$4*1/10)))),0))*1000,0)</f>
        <v>0</v>
      </c>
      <c r="AO145" s="120">
        <f>IF(AND(V145="OK",ISNUMBER($N$5),$N$5&gt;0,ISNUMBER($N$3),$N$3&gt;0),R145/(6*$N$3*1000000*$N$5)*(IF(N145&lt;($N$4*2/10),($N$4*2/10)*(MIN(O145,($N$4*2/10))^3-N145^3)-(MIN(O145,($N$4*2/10))^4-N145^4)/4,0)+IF(O145&gt;($N$4*2/10),($N$4*2/10)^2*(1.5*(O145^2-MAX(N145,($N$4*2/10))^2)-($N$4*2/10)*(O145-MAX(N145,($N$4*2/10)))),0))*1000,0)</f>
        <v>0</v>
      </c>
      <c r="AP145" s="120">
        <f>IF(AND(V145="OK",ISNUMBER($N$5),$N$5&gt;0,ISNUMBER($N$3),$N$3&gt;0),R145/(6*$N$3*1000000*$N$5)*(IF(N145&lt;($N$4*3/10),($N$4*3/10)*(MIN(O145,($N$4*3/10))^3-N145^3)-(MIN(O145,($N$4*3/10))^4-N145^4)/4,0)+IF(O145&gt;($N$4*3/10),($N$4*3/10)^2*(1.5*(O145^2-MAX(N145,($N$4*3/10))^2)-($N$4*3/10)*(O145-MAX(N145,($N$4*3/10)))),0))*1000,0)</f>
        <v>0</v>
      </c>
      <c r="AQ145" s="120">
        <f>IF(AND(V145="OK",ISNUMBER($N$5),$N$5&gt;0,ISNUMBER($N$3),$N$3&gt;0),R145/(6*$N$3*1000000*$N$5)*(IF(N145&lt;($N$4*4/10),($N$4*4/10)*(MIN(O145,($N$4*4/10))^3-N145^3)-(MIN(O145,($N$4*4/10))^4-N145^4)/4,0)+IF(O145&gt;($N$4*4/10),($N$4*4/10)^2*(1.5*(O145^2-MAX(N145,($N$4*4/10))^2)-($N$4*4/10)*(O145-MAX(N145,($N$4*4/10)))),0))*1000,0)</f>
        <v>0</v>
      </c>
      <c r="AR145" s="120">
        <f>IF(AND(V145="OK",ISNUMBER($N$5),$N$5&gt;0,ISNUMBER($N$3),$N$3&gt;0),R145/(6*$N$3*1000000*$N$5)*(IF(N145&lt;($N$4*5/10),($N$4*5/10)*(MIN(O145,($N$4*5/10))^3-N145^3)-(MIN(O145,($N$4*5/10))^4-N145^4)/4,0)+IF(O145&gt;($N$4*5/10),($N$4*5/10)^2*(1.5*(O145^2-MAX(N145,($N$4*5/10))^2)-($N$4*5/10)*(O145-MAX(N145,($N$4*5/10)))),0))*1000,0)</f>
        <v>0</v>
      </c>
      <c r="AS145" s="120">
        <f>IF(AND(V145="OK",ISNUMBER($N$5),$N$5&gt;0,ISNUMBER($N$3),$N$3&gt;0),R145/(6*$N$3*1000000*$N$5)*(IF(N145&lt;($N$4*6/10),($N$4*6/10)*(MIN(O145,($N$4*6/10))^3-N145^3)-(MIN(O145,($N$4*6/10))^4-N145^4)/4,0)+IF(O145&gt;($N$4*6/10),($N$4*6/10)^2*(1.5*(O145^2-MAX(N145,($N$4*6/10))^2)-($N$4*6/10)*(O145-MAX(N145,($N$4*6/10)))),0))*1000,0)</f>
        <v>0</v>
      </c>
      <c r="AT145" s="120">
        <f>IF(AND(V145="OK",ISNUMBER($N$5),$N$5&gt;0,ISNUMBER($N$3),$N$3&gt;0),R145/(6*$N$3*1000000*$N$5)*(IF(N145&lt;($N$4*7/10),($N$4*7/10)*(MIN(O145,($N$4*7/10))^3-N145^3)-(MIN(O145,($N$4*7/10))^4-N145^4)/4,0)+IF(O145&gt;($N$4*7/10),($N$4*7/10)^2*(1.5*(O145^2-MAX(N145,($N$4*7/10))^2)-($N$4*7/10)*(O145-MAX(N145,($N$4*7/10)))),0))*1000,0)</f>
        <v>0</v>
      </c>
      <c r="AU145" s="120">
        <f>IF(AND(V145="OK",ISNUMBER($N$5),$N$5&gt;0,ISNUMBER($N$3),$N$3&gt;0),R145/(6*$N$3*1000000*$N$5)*(IF(N145&lt;($N$4*8/10),($N$4*8/10)*(MIN(O145,($N$4*8/10))^3-N145^3)-(MIN(O145,($N$4*8/10))^4-N145^4)/4,0)+IF(O145&gt;($N$4*8/10),($N$4*8/10)^2*(1.5*(O145^2-MAX(N145,($N$4*8/10))^2)-($N$4*8/10)*(O145-MAX(N145,($N$4*8/10)))),0))*1000,0)</f>
        <v>0</v>
      </c>
      <c r="AV145" s="120">
        <f>IF(AND(V145="OK",ISNUMBER($N$5),$N$5&gt;0,ISNUMBER($N$3),$N$3&gt;0),R145/(6*$N$3*1000000*$N$5)*(IF(N145&lt;($N$4*9/10),($N$4*9/10)*(MIN(O145,($N$4*9/10))^3-N145^3)-(MIN(O145,($N$4*9/10))^4-N145^4)/4,0)+IF(O145&gt;($N$4*9/10),($N$4*9/10)^2*(1.5*(O145^2-MAX(N145,($N$4*9/10))^2)-($N$4*9/10)*(O145-MAX(N145,($N$4*9/10)))),0))*1000,0)</f>
        <v>0</v>
      </c>
      <c r="AW145" s="120">
        <f>IF(AND(V145="OK",ISNUMBER($N$5),$N$5&gt;0,ISNUMBER($N$3),$N$3&gt;0),R145/(6*$N$3*1000000*$N$5)*(IF(N145&lt;($N$4*10/10),($N$4*10/10)*(MIN(O145,($N$4*10/10))^3-N145^3)-(MIN(O145,($N$4*10/10))^4-N145^4)/4,0)+IF(O145&gt;($N$4*10/10),($N$4*10/10)^2*(1.5*(O145^2-MAX(N145,($N$4*10/10))^2)-($N$4*10/10)*(O145-MAX(N145,($N$4*10/10)))),0))*1000,0)</f>
        <v>0</v>
      </c>
    </row>
    <row r="146" spans="1:49">
      <c r="A146" s="124"/>
      <c r="B146" s="125"/>
      <c r="C146" s="125"/>
      <c r="D146" s="125"/>
      <c r="E146" s="125"/>
      <c r="F146" s="126" t="str">
        <f>IF(J146="OK",D146*E146,"")</f>
        <v/>
      </c>
      <c r="G146" s="126" t="str">
        <f>IF(J146="OK",F146*(C146-B146),"")</f>
        <v/>
      </c>
      <c r="H146" s="126" t="str">
        <f>IF(J146="OK",G146*(C146+B146)/2,"")</f>
        <v/>
      </c>
      <c r="I146" s="126" t="str">
        <f>IF(AND(J146="OK",ISNUMBER($B$5),$B$5&gt;0,ISNUMBER($B$3),$B$3&gt;0),F146*(4*$B$4*(C146^3-B146^3)-(C146^4-B146^4))/(24*$B$3*1000000*$B$5)*1000,"")</f>
        <v/>
      </c>
      <c r="J146" s="120" t="str">
        <f>IF(COUNTA(A146:E146)=0,"",IF(AND(COUNT(B146:E146)=4,B146&gt;=0,C146&gt;B146,C146&lt;=$B$4,D146&gt;=0,E146&gt;0),IF(COUNTIFS($B$13:$B$145,"&lt;"&amp;C146,$C$13:$C$145,"&gt;"&amp;B146)&gt;0,"OVERLAP","OK"),"CHECK INPUTS"))</f>
        <v/>
      </c>
      <c r="M146" s="124"/>
      <c r="N146" s="125"/>
      <c r="O146" s="125"/>
      <c r="P146" s="125"/>
      <c r="Q146" s="125"/>
      <c r="R146" s="126" t="str">
        <f>IF(V146="OK",P146*Q146,"")</f>
        <v/>
      </c>
      <c r="S146" s="126" t="str">
        <f>IF(V146="OK",R146*(O146-N146),"")</f>
        <v/>
      </c>
      <c r="T146" s="126" t="str">
        <f>IF(V146="OK",S146*(O146+N146)/2,"")</f>
        <v/>
      </c>
      <c r="U146" s="126" t="str">
        <f>IF(AND(V146="OK",ISNUMBER($N$5),$N$5&gt;0,ISNUMBER($N$3),$N$3&gt;0),R146*(4*$N$4*(O146^3-N146^3)-(O146^4-N146^4))/(24*$N$3*1000000*$N$5)*1000,"")</f>
        <v/>
      </c>
      <c r="V146" s="120" t="str">
        <f>IF(COUNTA(M146:Q146)=0,"",IF(AND(COUNT(N146:Q146)=4,N146&gt;=0,O146&gt;N146,O146&lt;=$N$4,P146&gt;=0,Q146&gt;0),IF(COUNTIFS($N$13:$N$145,"&lt;"&amp;O146,$O$13:$O$145,"&gt;"&amp;N146)&gt;0,"OVERLAP","OK"),"CHECK INPUTS"))</f>
        <v/>
      </c>
      <c r="AA146" s="120">
        <f>IF(AND(J146="OK",ISNUMBER($B$5),$B$5&gt;0,ISNUMBER($B$3),$B$3&gt;0),F146/(6*$B$3*1000000*$B$5)*(IF(B146&lt;($B$4*0/10),($B$4*0/10)*(MIN(C146,($B$4*0/10))^3-B146^3)-(MIN(C146,($B$4*0/10))^4-B146^4)/4,0)+IF(C146&gt;($B$4*0/10),($B$4*0/10)^2*(1.5*(C146^2-MAX(B146,($B$4*0/10))^2)-($B$4*0/10)*(C146-MAX(B146,($B$4*0/10)))),0))*1000,0)</f>
        <v>0</v>
      </c>
      <c r="AB146" s="120">
        <f>IF(AND(J146="OK",ISNUMBER($B$5),$B$5&gt;0,ISNUMBER($B$3),$B$3&gt;0),F146/(6*$B$3*1000000*$B$5)*(IF(B146&lt;($B$4*1/10),($B$4*1/10)*(MIN(C146,($B$4*1/10))^3-B146^3)-(MIN(C146,($B$4*1/10))^4-B146^4)/4,0)+IF(C146&gt;($B$4*1/10),($B$4*1/10)^2*(1.5*(C146^2-MAX(B146,($B$4*1/10))^2)-($B$4*1/10)*(C146-MAX(B146,($B$4*1/10)))),0))*1000,0)</f>
        <v>0</v>
      </c>
      <c r="AC146" s="120">
        <f>IF(AND(J146="OK",ISNUMBER($B$5),$B$5&gt;0,ISNUMBER($B$3),$B$3&gt;0),F146/(6*$B$3*1000000*$B$5)*(IF(B146&lt;($B$4*2/10),($B$4*2/10)*(MIN(C146,($B$4*2/10))^3-B146^3)-(MIN(C146,($B$4*2/10))^4-B146^4)/4,0)+IF(C146&gt;($B$4*2/10),($B$4*2/10)^2*(1.5*(C146^2-MAX(B146,($B$4*2/10))^2)-($B$4*2/10)*(C146-MAX(B146,($B$4*2/10)))),0))*1000,0)</f>
        <v>0</v>
      </c>
      <c r="AD146" s="120">
        <f>IF(AND(J146="OK",ISNUMBER($B$5),$B$5&gt;0,ISNUMBER($B$3),$B$3&gt;0),F146/(6*$B$3*1000000*$B$5)*(IF(B146&lt;($B$4*3/10),($B$4*3/10)*(MIN(C146,($B$4*3/10))^3-B146^3)-(MIN(C146,($B$4*3/10))^4-B146^4)/4,0)+IF(C146&gt;($B$4*3/10),($B$4*3/10)^2*(1.5*(C146^2-MAX(B146,($B$4*3/10))^2)-($B$4*3/10)*(C146-MAX(B146,($B$4*3/10)))),0))*1000,0)</f>
        <v>0</v>
      </c>
      <c r="AE146" s="120">
        <f>IF(AND(J146="OK",ISNUMBER($B$5),$B$5&gt;0,ISNUMBER($B$3),$B$3&gt;0),F146/(6*$B$3*1000000*$B$5)*(IF(B146&lt;($B$4*4/10),($B$4*4/10)*(MIN(C146,($B$4*4/10))^3-B146^3)-(MIN(C146,($B$4*4/10))^4-B146^4)/4,0)+IF(C146&gt;($B$4*4/10),($B$4*4/10)^2*(1.5*(C146^2-MAX(B146,($B$4*4/10))^2)-($B$4*4/10)*(C146-MAX(B146,($B$4*4/10)))),0))*1000,0)</f>
        <v>0</v>
      </c>
      <c r="AF146" s="120">
        <f>IF(AND(J146="OK",ISNUMBER($B$5),$B$5&gt;0,ISNUMBER($B$3),$B$3&gt;0),F146/(6*$B$3*1000000*$B$5)*(IF(B146&lt;($B$4*5/10),($B$4*5/10)*(MIN(C146,($B$4*5/10))^3-B146^3)-(MIN(C146,($B$4*5/10))^4-B146^4)/4,0)+IF(C146&gt;($B$4*5/10),($B$4*5/10)^2*(1.5*(C146^2-MAX(B146,($B$4*5/10))^2)-($B$4*5/10)*(C146-MAX(B146,($B$4*5/10)))),0))*1000,0)</f>
        <v>0</v>
      </c>
      <c r="AG146" s="120">
        <f>IF(AND(J146="OK",ISNUMBER($B$5),$B$5&gt;0,ISNUMBER($B$3),$B$3&gt;0),F146/(6*$B$3*1000000*$B$5)*(IF(B146&lt;($B$4*6/10),($B$4*6/10)*(MIN(C146,($B$4*6/10))^3-B146^3)-(MIN(C146,($B$4*6/10))^4-B146^4)/4,0)+IF(C146&gt;($B$4*6/10),($B$4*6/10)^2*(1.5*(C146^2-MAX(B146,($B$4*6/10))^2)-($B$4*6/10)*(C146-MAX(B146,($B$4*6/10)))),0))*1000,0)</f>
        <v>0</v>
      </c>
      <c r="AH146" s="120">
        <f>IF(AND(J146="OK",ISNUMBER($B$5),$B$5&gt;0,ISNUMBER($B$3),$B$3&gt;0),F146/(6*$B$3*1000000*$B$5)*(IF(B146&lt;($B$4*7/10),($B$4*7/10)*(MIN(C146,($B$4*7/10))^3-B146^3)-(MIN(C146,($B$4*7/10))^4-B146^4)/4,0)+IF(C146&gt;($B$4*7/10),($B$4*7/10)^2*(1.5*(C146^2-MAX(B146,($B$4*7/10))^2)-($B$4*7/10)*(C146-MAX(B146,($B$4*7/10)))),0))*1000,0)</f>
        <v>0</v>
      </c>
      <c r="AI146" s="120">
        <f>IF(AND(J146="OK",ISNUMBER($B$5),$B$5&gt;0,ISNUMBER($B$3),$B$3&gt;0),F146/(6*$B$3*1000000*$B$5)*(IF(B146&lt;($B$4*8/10),($B$4*8/10)*(MIN(C146,($B$4*8/10))^3-B146^3)-(MIN(C146,($B$4*8/10))^4-B146^4)/4,0)+IF(C146&gt;($B$4*8/10),($B$4*8/10)^2*(1.5*(C146^2-MAX(B146,($B$4*8/10))^2)-($B$4*8/10)*(C146-MAX(B146,($B$4*8/10)))),0))*1000,0)</f>
        <v>0</v>
      </c>
      <c r="AJ146" s="120">
        <f>IF(AND(J146="OK",ISNUMBER($B$5),$B$5&gt;0,ISNUMBER($B$3),$B$3&gt;0),F146/(6*$B$3*1000000*$B$5)*(IF(B146&lt;($B$4*9/10),($B$4*9/10)*(MIN(C146,($B$4*9/10))^3-B146^3)-(MIN(C146,($B$4*9/10))^4-B146^4)/4,0)+IF(C146&gt;($B$4*9/10),($B$4*9/10)^2*(1.5*(C146^2-MAX(B146,($B$4*9/10))^2)-($B$4*9/10)*(C146-MAX(B146,($B$4*9/10)))),0))*1000,0)</f>
        <v>0</v>
      </c>
      <c r="AK146" s="120">
        <f>IF(AND(J146="OK",ISNUMBER($B$5),$B$5&gt;0,ISNUMBER($B$3),$B$3&gt;0),F146/(6*$B$3*1000000*$B$5)*(IF(B146&lt;($B$4*10/10),($B$4*10/10)*(MIN(C146,($B$4*10/10))^3-B146^3)-(MIN(C146,($B$4*10/10))^4-B146^4)/4,0)+IF(C146&gt;($B$4*10/10),($B$4*10/10)^2*(1.5*(C146^2-MAX(B146,($B$4*10/10))^2)-($B$4*10/10)*(C146-MAX(B146,($B$4*10/10)))),0))*1000,0)</f>
        <v>0</v>
      </c>
      <c r="AM146" s="120">
        <f>IF(AND(V146="OK",ISNUMBER($N$5),$N$5&gt;0,ISNUMBER($N$3),$N$3&gt;0),R146/(6*$N$3*1000000*$N$5)*(IF(N146&lt;($N$4*0/10),($N$4*0/10)*(MIN(O146,($N$4*0/10))^3-N146^3)-(MIN(O146,($N$4*0/10))^4-N146^4)/4,0)+IF(O146&gt;($N$4*0/10),($N$4*0/10)^2*(1.5*(O146^2-MAX(N146,($N$4*0/10))^2)-($N$4*0/10)*(O146-MAX(N146,($N$4*0/10)))),0))*1000,0)</f>
        <v>0</v>
      </c>
      <c r="AN146" s="120">
        <f>IF(AND(V146="OK",ISNUMBER($N$5),$N$5&gt;0,ISNUMBER($N$3),$N$3&gt;0),R146/(6*$N$3*1000000*$N$5)*(IF(N146&lt;($N$4*1/10),($N$4*1/10)*(MIN(O146,($N$4*1/10))^3-N146^3)-(MIN(O146,($N$4*1/10))^4-N146^4)/4,0)+IF(O146&gt;($N$4*1/10),($N$4*1/10)^2*(1.5*(O146^2-MAX(N146,($N$4*1/10))^2)-($N$4*1/10)*(O146-MAX(N146,($N$4*1/10)))),0))*1000,0)</f>
        <v>0</v>
      </c>
      <c r="AO146" s="120">
        <f>IF(AND(V146="OK",ISNUMBER($N$5),$N$5&gt;0,ISNUMBER($N$3),$N$3&gt;0),R146/(6*$N$3*1000000*$N$5)*(IF(N146&lt;($N$4*2/10),($N$4*2/10)*(MIN(O146,($N$4*2/10))^3-N146^3)-(MIN(O146,($N$4*2/10))^4-N146^4)/4,0)+IF(O146&gt;($N$4*2/10),($N$4*2/10)^2*(1.5*(O146^2-MAX(N146,($N$4*2/10))^2)-($N$4*2/10)*(O146-MAX(N146,($N$4*2/10)))),0))*1000,0)</f>
        <v>0</v>
      </c>
      <c r="AP146" s="120">
        <f>IF(AND(V146="OK",ISNUMBER($N$5),$N$5&gt;0,ISNUMBER($N$3),$N$3&gt;0),R146/(6*$N$3*1000000*$N$5)*(IF(N146&lt;($N$4*3/10),($N$4*3/10)*(MIN(O146,($N$4*3/10))^3-N146^3)-(MIN(O146,($N$4*3/10))^4-N146^4)/4,0)+IF(O146&gt;($N$4*3/10),($N$4*3/10)^2*(1.5*(O146^2-MAX(N146,($N$4*3/10))^2)-($N$4*3/10)*(O146-MAX(N146,($N$4*3/10)))),0))*1000,0)</f>
        <v>0</v>
      </c>
      <c r="AQ146" s="120">
        <f>IF(AND(V146="OK",ISNUMBER($N$5),$N$5&gt;0,ISNUMBER($N$3),$N$3&gt;0),R146/(6*$N$3*1000000*$N$5)*(IF(N146&lt;($N$4*4/10),($N$4*4/10)*(MIN(O146,($N$4*4/10))^3-N146^3)-(MIN(O146,($N$4*4/10))^4-N146^4)/4,0)+IF(O146&gt;($N$4*4/10),($N$4*4/10)^2*(1.5*(O146^2-MAX(N146,($N$4*4/10))^2)-($N$4*4/10)*(O146-MAX(N146,($N$4*4/10)))),0))*1000,0)</f>
        <v>0</v>
      </c>
      <c r="AR146" s="120">
        <f>IF(AND(V146="OK",ISNUMBER($N$5),$N$5&gt;0,ISNUMBER($N$3),$N$3&gt;0),R146/(6*$N$3*1000000*$N$5)*(IF(N146&lt;($N$4*5/10),($N$4*5/10)*(MIN(O146,($N$4*5/10))^3-N146^3)-(MIN(O146,($N$4*5/10))^4-N146^4)/4,0)+IF(O146&gt;($N$4*5/10),($N$4*5/10)^2*(1.5*(O146^2-MAX(N146,($N$4*5/10))^2)-($N$4*5/10)*(O146-MAX(N146,($N$4*5/10)))),0))*1000,0)</f>
        <v>0</v>
      </c>
      <c r="AS146" s="120">
        <f>IF(AND(V146="OK",ISNUMBER($N$5),$N$5&gt;0,ISNUMBER($N$3),$N$3&gt;0),R146/(6*$N$3*1000000*$N$5)*(IF(N146&lt;($N$4*6/10),($N$4*6/10)*(MIN(O146,($N$4*6/10))^3-N146^3)-(MIN(O146,($N$4*6/10))^4-N146^4)/4,0)+IF(O146&gt;($N$4*6/10),($N$4*6/10)^2*(1.5*(O146^2-MAX(N146,($N$4*6/10))^2)-($N$4*6/10)*(O146-MAX(N146,($N$4*6/10)))),0))*1000,0)</f>
        <v>0</v>
      </c>
      <c r="AT146" s="120">
        <f>IF(AND(V146="OK",ISNUMBER($N$5),$N$5&gt;0,ISNUMBER($N$3),$N$3&gt;0),R146/(6*$N$3*1000000*$N$5)*(IF(N146&lt;($N$4*7/10),($N$4*7/10)*(MIN(O146,($N$4*7/10))^3-N146^3)-(MIN(O146,($N$4*7/10))^4-N146^4)/4,0)+IF(O146&gt;($N$4*7/10),($N$4*7/10)^2*(1.5*(O146^2-MAX(N146,($N$4*7/10))^2)-($N$4*7/10)*(O146-MAX(N146,($N$4*7/10)))),0))*1000,0)</f>
        <v>0</v>
      </c>
      <c r="AU146" s="120">
        <f>IF(AND(V146="OK",ISNUMBER($N$5),$N$5&gt;0,ISNUMBER($N$3),$N$3&gt;0),R146/(6*$N$3*1000000*$N$5)*(IF(N146&lt;($N$4*8/10),($N$4*8/10)*(MIN(O146,($N$4*8/10))^3-N146^3)-(MIN(O146,($N$4*8/10))^4-N146^4)/4,0)+IF(O146&gt;($N$4*8/10),($N$4*8/10)^2*(1.5*(O146^2-MAX(N146,($N$4*8/10))^2)-($N$4*8/10)*(O146-MAX(N146,($N$4*8/10)))),0))*1000,0)</f>
        <v>0</v>
      </c>
      <c r="AV146" s="120">
        <f>IF(AND(V146="OK",ISNUMBER($N$5),$N$5&gt;0,ISNUMBER($N$3),$N$3&gt;0),R146/(6*$N$3*1000000*$N$5)*(IF(N146&lt;($N$4*9/10),($N$4*9/10)*(MIN(O146,($N$4*9/10))^3-N146^3)-(MIN(O146,($N$4*9/10))^4-N146^4)/4,0)+IF(O146&gt;($N$4*9/10),($N$4*9/10)^2*(1.5*(O146^2-MAX(N146,($N$4*9/10))^2)-($N$4*9/10)*(O146-MAX(N146,($N$4*9/10)))),0))*1000,0)</f>
        <v>0</v>
      </c>
      <c r="AW146" s="120">
        <f>IF(AND(V146="OK",ISNUMBER($N$5),$N$5&gt;0,ISNUMBER($N$3),$N$3&gt;0),R146/(6*$N$3*1000000*$N$5)*(IF(N146&lt;($N$4*10/10),($N$4*10/10)*(MIN(O146,($N$4*10/10))^3-N146^3)-(MIN(O146,($N$4*10/10))^4-N146^4)/4,0)+IF(O146&gt;($N$4*10/10),($N$4*10/10)^2*(1.5*(O146^2-MAX(N146,($N$4*10/10))^2)-($N$4*10/10)*(O146-MAX(N146,($N$4*10/10)))),0))*1000,0)</f>
        <v>0</v>
      </c>
    </row>
    <row r="147" spans="1:49">
      <c r="A147" s="124"/>
      <c r="B147" s="125"/>
      <c r="C147" s="125"/>
      <c r="D147" s="125"/>
      <c r="E147" s="125"/>
      <c r="F147" s="126" t="str">
        <f>IF(J147="OK",D147*E147,"")</f>
        <v/>
      </c>
      <c r="G147" s="126" t="str">
        <f>IF(J147="OK",F147*(C147-B147),"")</f>
        <v/>
      </c>
      <c r="H147" s="126" t="str">
        <f>IF(J147="OK",G147*(C147+B147)/2,"")</f>
        <v/>
      </c>
      <c r="I147" s="126" t="str">
        <f>IF(AND(J147="OK",ISNUMBER($B$5),$B$5&gt;0,ISNUMBER($B$3),$B$3&gt;0),F147*(4*$B$4*(C147^3-B147^3)-(C147^4-B147^4))/(24*$B$3*1000000*$B$5)*1000,"")</f>
        <v/>
      </c>
      <c r="J147" s="120" t="str">
        <f>IF(COUNTA(A147:E147)=0,"",IF(AND(COUNT(B147:E147)=4,B147&gt;=0,C147&gt;B147,C147&lt;=$B$4,D147&gt;=0,E147&gt;0),IF(COUNTIFS($B$13:$B$146,"&lt;"&amp;C147,$C$13:$C$146,"&gt;"&amp;B147)&gt;0,"OVERLAP","OK"),"CHECK INPUTS"))</f>
        <v/>
      </c>
      <c r="M147" s="124"/>
      <c r="N147" s="125"/>
      <c r="O147" s="125"/>
      <c r="P147" s="125"/>
      <c r="Q147" s="125"/>
      <c r="R147" s="126" t="str">
        <f>IF(V147="OK",P147*Q147,"")</f>
        <v/>
      </c>
      <c r="S147" s="126" t="str">
        <f>IF(V147="OK",R147*(O147-N147),"")</f>
        <v/>
      </c>
      <c r="T147" s="126" t="str">
        <f>IF(V147="OK",S147*(O147+N147)/2,"")</f>
        <v/>
      </c>
      <c r="U147" s="126" t="str">
        <f>IF(AND(V147="OK",ISNUMBER($N$5),$N$5&gt;0,ISNUMBER($N$3),$N$3&gt;0),R147*(4*$N$4*(O147^3-N147^3)-(O147^4-N147^4))/(24*$N$3*1000000*$N$5)*1000,"")</f>
        <v/>
      </c>
      <c r="V147" s="120" t="str">
        <f>IF(COUNTA(M147:Q147)=0,"",IF(AND(COUNT(N147:Q147)=4,N147&gt;=0,O147&gt;N147,O147&lt;=$N$4,P147&gt;=0,Q147&gt;0),IF(COUNTIFS($N$13:$N$146,"&lt;"&amp;O147,$O$13:$O$146,"&gt;"&amp;N147)&gt;0,"OVERLAP","OK"),"CHECK INPUTS"))</f>
        <v/>
      </c>
      <c r="AA147" s="120">
        <f>IF(AND(J147="OK",ISNUMBER($B$5),$B$5&gt;0,ISNUMBER($B$3),$B$3&gt;0),F147/(6*$B$3*1000000*$B$5)*(IF(B147&lt;($B$4*0/10),($B$4*0/10)*(MIN(C147,($B$4*0/10))^3-B147^3)-(MIN(C147,($B$4*0/10))^4-B147^4)/4,0)+IF(C147&gt;($B$4*0/10),($B$4*0/10)^2*(1.5*(C147^2-MAX(B147,($B$4*0/10))^2)-($B$4*0/10)*(C147-MAX(B147,($B$4*0/10)))),0))*1000,0)</f>
        <v>0</v>
      </c>
      <c r="AB147" s="120">
        <f>IF(AND(J147="OK",ISNUMBER($B$5),$B$5&gt;0,ISNUMBER($B$3),$B$3&gt;0),F147/(6*$B$3*1000000*$B$5)*(IF(B147&lt;($B$4*1/10),($B$4*1/10)*(MIN(C147,($B$4*1/10))^3-B147^3)-(MIN(C147,($B$4*1/10))^4-B147^4)/4,0)+IF(C147&gt;($B$4*1/10),($B$4*1/10)^2*(1.5*(C147^2-MAX(B147,($B$4*1/10))^2)-($B$4*1/10)*(C147-MAX(B147,($B$4*1/10)))),0))*1000,0)</f>
        <v>0</v>
      </c>
      <c r="AC147" s="120">
        <f>IF(AND(J147="OK",ISNUMBER($B$5),$B$5&gt;0,ISNUMBER($B$3),$B$3&gt;0),F147/(6*$B$3*1000000*$B$5)*(IF(B147&lt;($B$4*2/10),($B$4*2/10)*(MIN(C147,($B$4*2/10))^3-B147^3)-(MIN(C147,($B$4*2/10))^4-B147^4)/4,0)+IF(C147&gt;($B$4*2/10),($B$4*2/10)^2*(1.5*(C147^2-MAX(B147,($B$4*2/10))^2)-($B$4*2/10)*(C147-MAX(B147,($B$4*2/10)))),0))*1000,0)</f>
        <v>0</v>
      </c>
      <c r="AD147" s="120">
        <f>IF(AND(J147="OK",ISNUMBER($B$5),$B$5&gt;0,ISNUMBER($B$3),$B$3&gt;0),F147/(6*$B$3*1000000*$B$5)*(IF(B147&lt;($B$4*3/10),($B$4*3/10)*(MIN(C147,($B$4*3/10))^3-B147^3)-(MIN(C147,($B$4*3/10))^4-B147^4)/4,0)+IF(C147&gt;($B$4*3/10),($B$4*3/10)^2*(1.5*(C147^2-MAX(B147,($B$4*3/10))^2)-($B$4*3/10)*(C147-MAX(B147,($B$4*3/10)))),0))*1000,0)</f>
        <v>0</v>
      </c>
      <c r="AE147" s="120">
        <f>IF(AND(J147="OK",ISNUMBER($B$5),$B$5&gt;0,ISNUMBER($B$3),$B$3&gt;0),F147/(6*$B$3*1000000*$B$5)*(IF(B147&lt;($B$4*4/10),($B$4*4/10)*(MIN(C147,($B$4*4/10))^3-B147^3)-(MIN(C147,($B$4*4/10))^4-B147^4)/4,0)+IF(C147&gt;($B$4*4/10),($B$4*4/10)^2*(1.5*(C147^2-MAX(B147,($B$4*4/10))^2)-($B$4*4/10)*(C147-MAX(B147,($B$4*4/10)))),0))*1000,0)</f>
        <v>0</v>
      </c>
      <c r="AF147" s="120">
        <f>IF(AND(J147="OK",ISNUMBER($B$5),$B$5&gt;0,ISNUMBER($B$3),$B$3&gt;0),F147/(6*$B$3*1000000*$B$5)*(IF(B147&lt;($B$4*5/10),($B$4*5/10)*(MIN(C147,($B$4*5/10))^3-B147^3)-(MIN(C147,($B$4*5/10))^4-B147^4)/4,0)+IF(C147&gt;($B$4*5/10),($B$4*5/10)^2*(1.5*(C147^2-MAX(B147,($B$4*5/10))^2)-($B$4*5/10)*(C147-MAX(B147,($B$4*5/10)))),0))*1000,0)</f>
        <v>0</v>
      </c>
      <c r="AG147" s="120">
        <f>IF(AND(J147="OK",ISNUMBER($B$5),$B$5&gt;0,ISNUMBER($B$3),$B$3&gt;0),F147/(6*$B$3*1000000*$B$5)*(IF(B147&lt;($B$4*6/10),($B$4*6/10)*(MIN(C147,($B$4*6/10))^3-B147^3)-(MIN(C147,($B$4*6/10))^4-B147^4)/4,0)+IF(C147&gt;($B$4*6/10),($B$4*6/10)^2*(1.5*(C147^2-MAX(B147,($B$4*6/10))^2)-($B$4*6/10)*(C147-MAX(B147,($B$4*6/10)))),0))*1000,0)</f>
        <v>0</v>
      </c>
      <c r="AH147" s="120">
        <f>IF(AND(J147="OK",ISNUMBER($B$5),$B$5&gt;0,ISNUMBER($B$3),$B$3&gt;0),F147/(6*$B$3*1000000*$B$5)*(IF(B147&lt;($B$4*7/10),($B$4*7/10)*(MIN(C147,($B$4*7/10))^3-B147^3)-(MIN(C147,($B$4*7/10))^4-B147^4)/4,0)+IF(C147&gt;($B$4*7/10),($B$4*7/10)^2*(1.5*(C147^2-MAX(B147,($B$4*7/10))^2)-($B$4*7/10)*(C147-MAX(B147,($B$4*7/10)))),0))*1000,0)</f>
        <v>0</v>
      </c>
      <c r="AI147" s="120">
        <f>IF(AND(J147="OK",ISNUMBER($B$5),$B$5&gt;0,ISNUMBER($B$3),$B$3&gt;0),F147/(6*$B$3*1000000*$B$5)*(IF(B147&lt;($B$4*8/10),($B$4*8/10)*(MIN(C147,($B$4*8/10))^3-B147^3)-(MIN(C147,($B$4*8/10))^4-B147^4)/4,0)+IF(C147&gt;($B$4*8/10),($B$4*8/10)^2*(1.5*(C147^2-MAX(B147,($B$4*8/10))^2)-($B$4*8/10)*(C147-MAX(B147,($B$4*8/10)))),0))*1000,0)</f>
        <v>0</v>
      </c>
      <c r="AJ147" s="120">
        <f>IF(AND(J147="OK",ISNUMBER($B$5),$B$5&gt;0,ISNUMBER($B$3),$B$3&gt;0),F147/(6*$B$3*1000000*$B$5)*(IF(B147&lt;($B$4*9/10),($B$4*9/10)*(MIN(C147,($B$4*9/10))^3-B147^3)-(MIN(C147,($B$4*9/10))^4-B147^4)/4,0)+IF(C147&gt;($B$4*9/10),($B$4*9/10)^2*(1.5*(C147^2-MAX(B147,($B$4*9/10))^2)-($B$4*9/10)*(C147-MAX(B147,($B$4*9/10)))),0))*1000,0)</f>
        <v>0</v>
      </c>
      <c r="AK147" s="120">
        <f>IF(AND(J147="OK",ISNUMBER($B$5),$B$5&gt;0,ISNUMBER($B$3),$B$3&gt;0),F147/(6*$B$3*1000000*$B$5)*(IF(B147&lt;($B$4*10/10),($B$4*10/10)*(MIN(C147,($B$4*10/10))^3-B147^3)-(MIN(C147,($B$4*10/10))^4-B147^4)/4,0)+IF(C147&gt;($B$4*10/10),($B$4*10/10)^2*(1.5*(C147^2-MAX(B147,($B$4*10/10))^2)-($B$4*10/10)*(C147-MAX(B147,($B$4*10/10)))),0))*1000,0)</f>
        <v>0</v>
      </c>
      <c r="AM147" s="120">
        <f>IF(AND(V147="OK",ISNUMBER($N$5),$N$5&gt;0,ISNUMBER($N$3),$N$3&gt;0),R147/(6*$N$3*1000000*$N$5)*(IF(N147&lt;($N$4*0/10),($N$4*0/10)*(MIN(O147,($N$4*0/10))^3-N147^3)-(MIN(O147,($N$4*0/10))^4-N147^4)/4,0)+IF(O147&gt;($N$4*0/10),($N$4*0/10)^2*(1.5*(O147^2-MAX(N147,($N$4*0/10))^2)-($N$4*0/10)*(O147-MAX(N147,($N$4*0/10)))),0))*1000,0)</f>
        <v>0</v>
      </c>
      <c r="AN147" s="120">
        <f>IF(AND(V147="OK",ISNUMBER($N$5),$N$5&gt;0,ISNUMBER($N$3),$N$3&gt;0),R147/(6*$N$3*1000000*$N$5)*(IF(N147&lt;($N$4*1/10),($N$4*1/10)*(MIN(O147,($N$4*1/10))^3-N147^3)-(MIN(O147,($N$4*1/10))^4-N147^4)/4,0)+IF(O147&gt;($N$4*1/10),($N$4*1/10)^2*(1.5*(O147^2-MAX(N147,($N$4*1/10))^2)-($N$4*1/10)*(O147-MAX(N147,($N$4*1/10)))),0))*1000,0)</f>
        <v>0</v>
      </c>
      <c r="AO147" s="120">
        <f>IF(AND(V147="OK",ISNUMBER($N$5),$N$5&gt;0,ISNUMBER($N$3),$N$3&gt;0),R147/(6*$N$3*1000000*$N$5)*(IF(N147&lt;($N$4*2/10),($N$4*2/10)*(MIN(O147,($N$4*2/10))^3-N147^3)-(MIN(O147,($N$4*2/10))^4-N147^4)/4,0)+IF(O147&gt;($N$4*2/10),($N$4*2/10)^2*(1.5*(O147^2-MAX(N147,($N$4*2/10))^2)-($N$4*2/10)*(O147-MAX(N147,($N$4*2/10)))),0))*1000,0)</f>
        <v>0</v>
      </c>
      <c r="AP147" s="120">
        <f>IF(AND(V147="OK",ISNUMBER($N$5),$N$5&gt;0,ISNUMBER($N$3),$N$3&gt;0),R147/(6*$N$3*1000000*$N$5)*(IF(N147&lt;($N$4*3/10),($N$4*3/10)*(MIN(O147,($N$4*3/10))^3-N147^3)-(MIN(O147,($N$4*3/10))^4-N147^4)/4,0)+IF(O147&gt;($N$4*3/10),($N$4*3/10)^2*(1.5*(O147^2-MAX(N147,($N$4*3/10))^2)-($N$4*3/10)*(O147-MAX(N147,($N$4*3/10)))),0))*1000,0)</f>
        <v>0</v>
      </c>
      <c r="AQ147" s="120">
        <f>IF(AND(V147="OK",ISNUMBER($N$5),$N$5&gt;0,ISNUMBER($N$3),$N$3&gt;0),R147/(6*$N$3*1000000*$N$5)*(IF(N147&lt;($N$4*4/10),($N$4*4/10)*(MIN(O147,($N$4*4/10))^3-N147^3)-(MIN(O147,($N$4*4/10))^4-N147^4)/4,0)+IF(O147&gt;($N$4*4/10),($N$4*4/10)^2*(1.5*(O147^2-MAX(N147,($N$4*4/10))^2)-($N$4*4/10)*(O147-MAX(N147,($N$4*4/10)))),0))*1000,0)</f>
        <v>0</v>
      </c>
      <c r="AR147" s="120">
        <f>IF(AND(V147="OK",ISNUMBER($N$5),$N$5&gt;0,ISNUMBER($N$3),$N$3&gt;0),R147/(6*$N$3*1000000*$N$5)*(IF(N147&lt;($N$4*5/10),($N$4*5/10)*(MIN(O147,($N$4*5/10))^3-N147^3)-(MIN(O147,($N$4*5/10))^4-N147^4)/4,0)+IF(O147&gt;($N$4*5/10),($N$4*5/10)^2*(1.5*(O147^2-MAX(N147,($N$4*5/10))^2)-($N$4*5/10)*(O147-MAX(N147,($N$4*5/10)))),0))*1000,0)</f>
        <v>0</v>
      </c>
      <c r="AS147" s="120">
        <f>IF(AND(V147="OK",ISNUMBER($N$5),$N$5&gt;0,ISNUMBER($N$3),$N$3&gt;0),R147/(6*$N$3*1000000*$N$5)*(IF(N147&lt;($N$4*6/10),($N$4*6/10)*(MIN(O147,($N$4*6/10))^3-N147^3)-(MIN(O147,($N$4*6/10))^4-N147^4)/4,0)+IF(O147&gt;($N$4*6/10),($N$4*6/10)^2*(1.5*(O147^2-MAX(N147,($N$4*6/10))^2)-($N$4*6/10)*(O147-MAX(N147,($N$4*6/10)))),0))*1000,0)</f>
        <v>0</v>
      </c>
      <c r="AT147" s="120">
        <f>IF(AND(V147="OK",ISNUMBER($N$5),$N$5&gt;0,ISNUMBER($N$3),$N$3&gt;0),R147/(6*$N$3*1000000*$N$5)*(IF(N147&lt;($N$4*7/10),($N$4*7/10)*(MIN(O147,($N$4*7/10))^3-N147^3)-(MIN(O147,($N$4*7/10))^4-N147^4)/4,0)+IF(O147&gt;($N$4*7/10),($N$4*7/10)^2*(1.5*(O147^2-MAX(N147,($N$4*7/10))^2)-($N$4*7/10)*(O147-MAX(N147,($N$4*7/10)))),0))*1000,0)</f>
        <v>0</v>
      </c>
      <c r="AU147" s="120">
        <f>IF(AND(V147="OK",ISNUMBER($N$5),$N$5&gt;0,ISNUMBER($N$3),$N$3&gt;0),R147/(6*$N$3*1000000*$N$5)*(IF(N147&lt;($N$4*8/10),($N$4*8/10)*(MIN(O147,($N$4*8/10))^3-N147^3)-(MIN(O147,($N$4*8/10))^4-N147^4)/4,0)+IF(O147&gt;($N$4*8/10),($N$4*8/10)^2*(1.5*(O147^2-MAX(N147,($N$4*8/10))^2)-($N$4*8/10)*(O147-MAX(N147,($N$4*8/10)))),0))*1000,0)</f>
        <v>0</v>
      </c>
      <c r="AV147" s="120">
        <f>IF(AND(V147="OK",ISNUMBER($N$5),$N$5&gt;0,ISNUMBER($N$3),$N$3&gt;0),R147/(6*$N$3*1000000*$N$5)*(IF(N147&lt;($N$4*9/10),($N$4*9/10)*(MIN(O147,($N$4*9/10))^3-N147^3)-(MIN(O147,($N$4*9/10))^4-N147^4)/4,0)+IF(O147&gt;($N$4*9/10),($N$4*9/10)^2*(1.5*(O147^2-MAX(N147,($N$4*9/10))^2)-($N$4*9/10)*(O147-MAX(N147,($N$4*9/10)))),0))*1000,0)</f>
        <v>0</v>
      </c>
      <c r="AW147" s="120">
        <f>IF(AND(V147="OK",ISNUMBER($N$5),$N$5&gt;0,ISNUMBER($N$3),$N$3&gt;0),R147/(6*$N$3*1000000*$N$5)*(IF(N147&lt;($N$4*10/10),($N$4*10/10)*(MIN(O147,($N$4*10/10))^3-N147^3)-(MIN(O147,($N$4*10/10))^4-N147^4)/4,0)+IF(O147&gt;($N$4*10/10),($N$4*10/10)^2*(1.5*(O147^2-MAX(N147,($N$4*10/10))^2)-($N$4*10/10)*(O147-MAX(N147,($N$4*10/10)))),0))*1000,0)</f>
        <v>0</v>
      </c>
    </row>
    <row r="148" spans="1:49">
      <c r="A148" s="124"/>
      <c r="B148" s="125"/>
      <c r="C148" s="125"/>
      <c r="D148" s="125"/>
      <c r="E148" s="125"/>
      <c r="F148" s="126" t="str">
        <f>IF(J148="OK",D148*E148,"")</f>
        <v/>
      </c>
      <c r="G148" s="126" t="str">
        <f>IF(J148="OK",F148*(C148-B148),"")</f>
        <v/>
      </c>
      <c r="H148" s="126" t="str">
        <f>IF(J148="OK",G148*(C148+B148)/2,"")</f>
        <v/>
      </c>
      <c r="I148" s="126" t="str">
        <f>IF(AND(J148="OK",ISNUMBER($B$5),$B$5&gt;0,ISNUMBER($B$3),$B$3&gt;0),F148*(4*$B$4*(C148^3-B148^3)-(C148^4-B148^4))/(24*$B$3*1000000*$B$5)*1000,"")</f>
        <v/>
      </c>
      <c r="J148" s="120" t="str">
        <f>IF(COUNTA(A148:E148)=0,"",IF(AND(COUNT(B148:E148)=4,B148&gt;=0,C148&gt;B148,C148&lt;=$B$4,D148&gt;=0,E148&gt;0),IF(COUNTIFS($B$13:$B$147,"&lt;"&amp;C148,$C$13:$C$147,"&gt;"&amp;B148)&gt;0,"OVERLAP","OK"),"CHECK INPUTS"))</f>
        <v/>
      </c>
      <c r="M148" s="124"/>
      <c r="N148" s="125"/>
      <c r="O148" s="125"/>
      <c r="P148" s="125"/>
      <c r="Q148" s="125"/>
      <c r="R148" s="126" t="str">
        <f>IF(V148="OK",P148*Q148,"")</f>
        <v/>
      </c>
      <c r="S148" s="126" t="str">
        <f>IF(V148="OK",R148*(O148-N148),"")</f>
        <v/>
      </c>
      <c r="T148" s="126" t="str">
        <f>IF(V148="OK",S148*(O148+N148)/2,"")</f>
        <v/>
      </c>
      <c r="U148" s="126" t="str">
        <f>IF(AND(V148="OK",ISNUMBER($N$5),$N$5&gt;0,ISNUMBER($N$3),$N$3&gt;0),R148*(4*$N$4*(O148^3-N148^3)-(O148^4-N148^4))/(24*$N$3*1000000*$N$5)*1000,"")</f>
        <v/>
      </c>
      <c r="V148" s="120" t="str">
        <f>IF(COUNTA(M148:Q148)=0,"",IF(AND(COUNT(N148:Q148)=4,N148&gt;=0,O148&gt;N148,O148&lt;=$N$4,P148&gt;=0,Q148&gt;0),IF(COUNTIFS($N$13:$N$147,"&lt;"&amp;O148,$O$13:$O$147,"&gt;"&amp;N148)&gt;0,"OVERLAP","OK"),"CHECK INPUTS"))</f>
        <v/>
      </c>
      <c r="AA148" s="120">
        <f>IF(AND(J148="OK",ISNUMBER($B$5),$B$5&gt;0,ISNUMBER($B$3),$B$3&gt;0),F148/(6*$B$3*1000000*$B$5)*(IF(B148&lt;($B$4*0/10),($B$4*0/10)*(MIN(C148,($B$4*0/10))^3-B148^3)-(MIN(C148,($B$4*0/10))^4-B148^4)/4,0)+IF(C148&gt;($B$4*0/10),($B$4*0/10)^2*(1.5*(C148^2-MAX(B148,($B$4*0/10))^2)-($B$4*0/10)*(C148-MAX(B148,($B$4*0/10)))),0))*1000,0)</f>
        <v>0</v>
      </c>
      <c r="AB148" s="120">
        <f>IF(AND(J148="OK",ISNUMBER($B$5),$B$5&gt;0,ISNUMBER($B$3),$B$3&gt;0),F148/(6*$B$3*1000000*$B$5)*(IF(B148&lt;($B$4*1/10),($B$4*1/10)*(MIN(C148,($B$4*1/10))^3-B148^3)-(MIN(C148,($B$4*1/10))^4-B148^4)/4,0)+IF(C148&gt;($B$4*1/10),($B$4*1/10)^2*(1.5*(C148^2-MAX(B148,($B$4*1/10))^2)-($B$4*1/10)*(C148-MAX(B148,($B$4*1/10)))),0))*1000,0)</f>
        <v>0</v>
      </c>
      <c r="AC148" s="120">
        <f>IF(AND(J148="OK",ISNUMBER($B$5),$B$5&gt;0,ISNUMBER($B$3),$B$3&gt;0),F148/(6*$B$3*1000000*$B$5)*(IF(B148&lt;($B$4*2/10),($B$4*2/10)*(MIN(C148,($B$4*2/10))^3-B148^3)-(MIN(C148,($B$4*2/10))^4-B148^4)/4,0)+IF(C148&gt;($B$4*2/10),($B$4*2/10)^2*(1.5*(C148^2-MAX(B148,($B$4*2/10))^2)-($B$4*2/10)*(C148-MAX(B148,($B$4*2/10)))),0))*1000,0)</f>
        <v>0</v>
      </c>
      <c r="AD148" s="120">
        <f>IF(AND(J148="OK",ISNUMBER($B$5),$B$5&gt;0,ISNUMBER($B$3),$B$3&gt;0),F148/(6*$B$3*1000000*$B$5)*(IF(B148&lt;($B$4*3/10),($B$4*3/10)*(MIN(C148,($B$4*3/10))^3-B148^3)-(MIN(C148,($B$4*3/10))^4-B148^4)/4,0)+IF(C148&gt;($B$4*3/10),($B$4*3/10)^2*(1.5*(C148^2-MAX(B148,($B$4*3/10))^2)-($B$4*3/10)*(C148-MAX(B148,($B$4*3/10)))),0))*1000,0)</f>
        <v>0</v>
      </c>
      <c r="AE148" s="120">
        <f>IF(AND(J148="OK",ISNUMBER($B$5),$B$5&gt;0,ISNUMBER($B$3),$B$3&gt;0),F148/(6*$B$3*1000000*$B$5)*(IF(B148&lt;($B$4*4/10),($B$4*4/10)*(MIN(C148,($B$4*4/10))^3-B148^3)-(MIN(C148,($B$4*4/10))^4-B148^4)/4,0)+IF(C148&gt;($B$4*4/10),($B$4*4/10)^2*(1.5*(C148^2-MAX(B148,($B$4*4/10))^2)-($B$4*4/10)*(C148-MAX(B148,($B$4*4/10)))),0))*1000,0)</f>
        <v>0</v>
      </c>
      <c r="AF148" s="120">
        <f>IF(AND(J148="OK",ISNUMBER($B$5),$B$5&gt;0,ISNUMBER($B$3),$B$3&gt;0),F148/(6*$B$3*1000000*$B$5)*(IF(B148&lt;($B$4*5/10),($B$4*5/10)*(MIN(C148,($B$4*5/10))^3-B148^3)-(MIN(C148,($B$4*5/10))^4-B148^4)/4,0)+IF(C148&gt;($B$4*5/10),($B$4*5/10)^2*(1.5*(C148^2-MAX(B148,($B$4*5/10))^2)-($B$4*5/10)*(C148-MAX(B148,($B$4*5/10)))),0))*1000,0)</f>
        <v>0</v>
      </c>
      <c r="AG148" s="120">
        <f>IF(AND(J148="OK",ISNUMBER($B$5),$B$5&gt;0,ISNUMBER($B$3),$B$3&gt;0),F148/(6*$B$3*1000000*$B$5)*(IF(B148&lt;($B$4*6/10),($B$4*6/10)*(MIN(C148,($B$4*6/10))^3-B148^3)-(MIN(C148,($B$4*6/10))^4-B148^4)/4,0)+IF(C148&gt;($B$4*6/10),($B$4*6/10)^2*(1.5*(C148^2-MAX(B148,($B$4*6/10))^2)-($B$4*6/10)*(C148-MAX(B148,($B$4*6/10)))),0))*1000,0)</f>
        <v>0</v>
      </c>
      <c r="AH148" s="120">
        <f>IF(AND(J148="OK",ISNUMBER($B$5),$B$5&gt;0,ISNUMBER($B$3),$B$3&gt;0),F148/(6*$B$3*1000000*$B$5)*(IF(B148&lt;($B$4*7/10),($B$4*7/10)*(MIN(C148,($B$4*7/10))^3-B148^3)-(MIN(C148,($B$4*7/10))^4-B148^4)/4,0)+IF(C148&gt;($B$4*7/10),($B$4*7/10)^2*(1.5*(C148^2-MAX(B148,($B$4*7/10))^2)-($B$4*7/10)*(C148-MAX(B148,($B$4*7/10)))),0))*1000,0)</f>
        <v>0</v>
      </c>
      <c r="AI148" s="120">
        <f>IF(AND(J148="OK",ISNUMBER($B$5),$B$5&gt;0,ISNUMBER($B$3),$B$3&gt;0),F148/(6*$B$3*1000000*$B$5)*(IF(B148&lt;($B$4*8/10),($B$4*8/10)*(MIN(C148,($B$4*8/10))^3-B148^3)-(MIN(C148,($B$4*8/10))^4-B148^4)/4,0)+IF(C148&gt;($B$4*8/10),($B$4*8/10)^2*(1.5*(C148^2-MAX(B148,($B$4*8/10))^2)-($B$4*8/10)*(C148-MAX(B148,($B$4*8/10)))),0))*1000,0)</f>
        <v>0</v>
      </c>
      <c r="AJ148" s="120">
        <f>IF(AND(J148="OK",ISNUMBER($B$5),$B$5&gt;0,ISNUMBER($B$3),$B$3&gt;0),F148/(6*$B$3*1000000*$B$5)*(IF(B148&lt;($B$4*9/10),($B$4*9/10)*(MIN(C148,($B$4*9/10))^3-B148^3)-(MIN(C148,($B$4*9/10))^4-B148^4)/4,0)+IF(C148&gt;($B$4*9/10),($B$4*9/10)^2*(1.5*(C148^2-MAX(B148,($B$4*9/10))^2)-($B$4*9/10)*(C148-MAX(B148,($B$4*9/10)))),0))*1000,0)</f>
        <v>0</v>
      </c>
      <c r="AK148" s="120">
        <f>IF(AND(J148="OK",ISNUMBER($B$5),$B$5&gt;0,ISNUMBER($B$3),$B$3&gt;0),F148/(6*$B$3*1000000*$B$5)*(IF(B148&lt;($B$4*10/10),($B$4*10/10)*(MIN(C148,($B$4*10/10))^3-B148^3)-(MIN(C148,($B$4*10/10))^4-B148^4)/4,0)+IF(C148&gt;($B$4*10/10),($B$4*10/10)^2*(1.5*(C148^2-MAX(B148,($B$4*10/10))^2)-($B$4*10/10)*(C148-MAX(B148,($B$4*10/10)))),0))*1000,0)</f>
        <v>0</v>
      </c>
      <c r="AM148" s="120">
        <f>IF(AND(V148="OK",ISNUMBER($N$5),$N$5&gt;0,ISNUMBER($N$3),$N$3&gt;0),R148/(6*$N$3*1000000*$N$5)*(IF(N148&lt;($N$4*0/10),($N$4*0/10)*(MIN(O148,($N$4*0/10))^3-N148^3)-(MIN(O148,($N$4*0/10))^4-N148^4)/4,0)+IF(O148&gt;($N$4*0/10),($N$4*0/10)^2*(1.5*(O148^2-MAX(N148,($N$4*0/10))^2)-($N$4*0/10)*(O148-MAX(N148,($N$4*0/10)))),0))*1000,0)</f>
        <v>0</v>
      </c>
      <c r="AN148" s="120">
        <f>IF(AND(V148="OK",ISNUMBER($N$5),$N$5&gt;0,ISNUMBER($N$3),$N$3&gt;0),R148/(6*$N$3*1000000*$N$5)*(IF(N148&lt;($N$4*1/10),($N$4*1/10)*(MIN(O148,($N$4*1/10))^3-N148^3)-(MIN(O148,($N$4*1/10))^4-N148^4)/4,0)+IF(O148&gt;($N$4*1/10),($N$4*1/10)^2*(1.5*(O148^2-MAX(N148,($N$4*1/10))^2)-($N$4*1/10)*(O148-MAX(N148,($N$4*1/10)))),0))*1000,0)</f>
        <v>0</v>
      </c>
      <c r="AO148" s="120">
        <f>IF(AND(V148="OK",ISNUMBER($N$5),$N$5&gt;0,ISNUMBER($N$3),$N$3&gt;0),R148/(6*$N$3*1000000*$N$5)*(IF(N148&lt;($N$4*2/10),($N$4*2/10)*(MIN(O148,($N$4*2/10))^3-N148^3)-(MIN(O148,($N$4*2/10))^4-N148^4)/4,0)+IF(O148&gt;($N$4*2/10),($N$4*2/10)^2*(1.5*(O148^2-MAX(N148,($N$4*2/10))^2)-($N$4*2/10)*(O148-MAX(N148,($N$4*2/10)))),0))*1000,0)</f>
        <v>0</v>
      </c>
      <c r="AP148" s="120">
        <f>IF(AND(V148="OK",ISNUMBER($N$5),$N$5&gt;0,ISNUMBER($N$3),$N$3&gt;0),R148/(6*$N$3*1000000*$N$5)*(IF(N148&lt;($N$4*3/10),($N$4*3/10)*(MIN(O148,($N$4*3/10))^3-N148^3)-(MIN(O148,($N$4*3/10))^4-N148^4)/4,0)+IF(O148&gt;($N$4*3/10),($N$4*3/10)^2*(1.5*(O148^2-MAX(N148,($N$4*3/10))^2)-($N$4*3/10)*(O148-MAX(N148,($N$4*3/10)))),0))*1000,0)</f>
        <v>0</v>
      </c>
      <c r="AQ148" s="120">
        <f>IF(AND(V148="OK",ISNUMBER($N$5),$N$5&gt;0,ISNUMBER($N$3),$N$3&gt;0),R148/(6*$N$3*1000000*$N$5)*(IF(N148&lt;($N$4*4/10),($N$4*4/10)*(MIN(O148,($N$4*4/10))^3-N148^3)-(MIN(O148,($N$4*4/10))^4-N148^4)/4,0)+IF(O148&gt;($N$4*4/10),($N$4*4/10)^2*(1.5*(O148^2-MAX(N148,($N$4*4/10))^2)-($N$4*4/10)*(O148-MAX(N148,($N$4*4/10)))),0))*1000,0)</f>
        <v>0</v>
      </c>
      <c r="AR148" s="120">
        <f>IF(AND(V148="OK",ISNUMBER($N$5),$N$5&gt;0,ISNUMBER($N$3),$N$3&gt;0),R148/(6*$N$3*1000000*$N$5)*(IF(N148&lt;($N$4*5/10),($N$4*5/10)*(MIN(O148,($N$4*5/10))^3-N148^3)-(MIN(O148,($N$4*5/10))^4-N148^4)/4,0)+IF(O148&gt;($N$4*5/10),($N$4*5/10)^2*(1.5*(O148^2-MAX(N148,($N$4*5/10))^2)-($N$4*5/10)*(O148-MAX(N148,($N$4*5/10)))),0))*1000,0)</f>
        <v>0</v>
      </c>
      <c r="AS148" s="120">
        <f>IF(AND(V148="OK",ISNUMBER($N$5),$N$5&gt;0,ISNUMBER($N$3),$N$3&gt;0),R148/(6*$N$3*1000000*$N$5)*(IF(N148&lt;($N$4*6/10),($N$4*6/10)*(MIN(O148,($N$4*6/10))^3-N148^3)-(MIN(O148,($N$4*6/10))^4-N148^4)/4,0)+IF(O148&gt;($N$4*6/10),($N$4*6/10)^2*(1.5*(O148^2-MAX(N148,($N$4*6/10))^2)-($N$4*6/10)*(O148-MAX(N148,($N$4*6/10)))),0))*1000,0)</f>
        <v>0</v>
      </c>
      <c r="AT148" s="120">
        <f>IF(AND(V148="OK",ISNUMBER($N$5),$N$5&gt;0,ISNUMBER($N$3),$N$3&gt;0),R148/(6*$N$3*1000000*$N$5)*(IF(N148&lt;($N$4*7/10),($N$4*7/10)*(MIN(O148,($N$4*7/10))^3-N148^3)-(MIN(O148,($N$4*7/10))^4-N148^4)/4,0)+IF(O148&gt;($N$4*7/10),($N$4*7/10)^2*(1.5*(O148^2-MAX(N148,($N$4*7/10))^2)-($N$4*7/10)*(O148-MAX(N148,($N$4*7/10)))),0))*1000,0)</f>
        <v>0</v>
      </c>
      <c r="AU148" s="120">
        <f>IF(AND(V148="OK",ISNUMBER($N$5),$N$5&gt;0,ISNUMBER($N$3),$N$3&gt;0),R148/(6*$N$3*1000000*$N$5)*(IF(N148&lt;($N$4*8/10),($N$4*8/10)*(MIN(O148,($N$4*8/10))^3-N148^3)-(MIN(O148,($N$4*8/10))^4-N148^4)/4,0)+IF(O148&gt;($N$4*8/10),($N$4*8/10)^2*(1.5*(O148^2-MAX(N148,($N$4*8/10))^2)-($N$4*8/10)*(O148-MAX(N148,($N$4*8/10)))),0))*1000,0)</f>
        <v>0</v>
      </c>
      <c r="AV148" s="120">
        <f>IF(AND(V148="OK",ISNUMBER($N$5),$N$5&gt;0,ISNUMBER($N$3),$N$3&gt;0),R148/(6*$N$3*1000000*$N$5)*(IF(N148&lt;($N$4*9/10),($N$4*9/10)*(MIN(O148,($N$4*9/10))^3-N148^3)-(MIN(O148,($N$4*9/10))^4-N148^4)/4,0)+IF(O148&gt;($N$4*9/10),($N$4*9/10)^2*(1.5*(O148^2-MAX(N148,($N$4*9/10))^2)-($N$4*9/10)*(O148-MAX(N148,($N$4*9/10)))),0))*1000,0)</f>
        <v>0</v>
      </c>
      <c r="AW148" s="120">
        <f>IF(AND(V148="OK",ISNUMBER($N$5),$N$5&gt;0,ISNUMBER($N$3),$N$3&gt;0),R148/(6*$N$3*1000000*$N$5)*(IF(N148&lt;($N$4*10/10),($N$4*10/10)*(MIN(O148,($N$4*10/10))^3-N148^3)-(MIN(O148,($N$4*10/10))^4-N148^4)/4,0)+IF(O148&gt;($N$4*10/10),($N$4*10/10)^2*(1.5*(O148^2-MAX(N148,($N$4*10/10))^2)-($N$4*10/10)*(O148-MAX(N148,($N$4*10/10)))),0))*1000,0)</f>
        <v>0</v>
      </c>
    </row>
    <row r="149" spans="1:49">
      <c r="A149" s="124"/>
      <c r="B149" s="125"/>
      <c r="C149" s="125"/>
      <c r="D149" s="125"/>
      <c r="E149" s="125"/>
      <c r="F149" s="126" t="str">
        <f>IF(J149="OK",D149*E149,"")</f>
        <v/>
      </c>
      <c r="G149" s="126" t="str">
        <f>IF(J149="OK",F149*(C149-B149),"")</f>
        <v/>
      </c>
      <c r="H149" s="126" t="str">
        <f>IF(J149="OK",G149*(C149+B149)/2,"")</f>
        <v/>
      </c>
      <c r="I149" s="126" t="str">
        <f>IF(AND(J149="OK",ISNUMBER($B$5),$B$5&gt;0,ISNUMBER($B$3),$B$3&gt;0),F149*(4*$B$4*(C149^3-B149^3)-(C149^4-B149^4))/(24*$B$3*1000000*$B$5)*1000,"")</f>
        <v/>
      </c>
      <c r="J149" s="120" t="str">
        <f>IF(COUNTA(A149:E149)=0,"",IF(AND(COUNT(B149:E149)=4,B149&gt;=0,C149&gt;B149,C149&lt;=$B$4,D149&gt;=0,E149&gt;0),IF(COUNTIFS($B$13:$B$148,"&lt;"&amp;C149,$C$13:$C$148,"&gt;"&amp;B149)&gt;0,"OVERLAP","OK"),"CHECK INPUTS"))</f>
        <v/>
      </c>
      <c r="M149" s="124"/>
      <c r="N149" s="125"/>
      <c r="O149" s="125"/>
      <c r="P149" s="125"/>
      <c r="Q149" s="125"/>
      <c r="R149" s="126" t="str">
        <f>IF(V149="OK",P149*Q149,"")</f>
        <v/>
      </c>
      <c r="S149" s="126" t="str">
        <f>IF(V149="OK",R149*(O149-N149),"")</f>
        <v/>
      </c>
      <c r="T149" s="126" t="str">
        <f>IF(V149="OK",S149*(O149+N149)/2,"")</f>
        <v/>
      </c>
      <c r="U149" s="126" t="str">
        <f>IF(AND(V149="OK",ISNUMBER($N$5),$N$5&gt;0,ISNUMBER($N$3),$N$3&gt;0),R149*(4*$N$4*(O149^3-N149^3)-(O149^4-N149^4))/(24*$N$3*1000000*$N$5)*1000,"")</f>
        <v/>
      </c>
      <c r="V149" s="120" t="str">
        <f>IF(COUNTA(M149:Q149)=0,"",IF(AND(COUNT(N149:Q149)=4,N149&gt;=0,O149&gt;N149,O149&lt;=$N$4,P149&gt;=0,Q149&gt;0),IF(COUNTIFS($N$13:$N$148,"&lt;"&amp;O149,$O$13:$O$148,"&gt;"&amp;N149)&gt;0,"OVERLAP","OK"),"CHECK INPUTS"))</f>
        <v/>
      </c>
      <c r="AA149" s="120">
        <f>IF(AND(J149="OK",ISNUMBER($B$5),$B$5&gt;0,ISNUMBER($B$3),$B$3&gt;0),F149/(6*$B$3*1000000*$B$5)*(IF(B149&lt;($B$4*0/10),($B$4*0/10)*(MIN(C149,($B$4*0/10))^3-B149^3)-(MIN(C149,($B$4*0/10))^4-B149^4)/4,0)+IF(C149&gt;($B$4*0/10),($B$4*0/10)^2*(1.5*(C149^2-MAX(B149,($B$4*0/10))^2)-($B$4*0/10)*(C149-MAX(B149,($B$4*0/10)))),0))*1000,0)</f>
        <v>0</v>
      </c>
      <c r="AB149" s="120">
        <f>IF(AND(J149="OK",ISNUMBER($B$5),$B$5&gt;0,ISNUMBER($B$3),$B$3&gt;0),F149/(6*$B$3*1000000*$B$5)*(IF(B149&lt;($B$4*1/10),($B$4*1/10)*(MIN(C149,($B$4*1/10))^3-B149^3)-(MIN(C149,($B$4*1/10))^4-B149^4)/4,0)+IF(C149&gt;($B$4*1/10),($B$4*1/10)^2*(1.5*(C149^2-MAX(B149,($B$4*1/10))^2)-($B$4*1/10)*(C149-MAX(B149,($B$4*1/10)))),0))*1000,0)</f>
        <v>0</v>
      </c>
      <c r="AC149" s="120">
        <f>IF(AND(J149="OK",ISNUMBER($B$5),$B$5&gt;0,ISNUMBER($B$3),$B$3&gt;0),F149/(6*$B$3*1000000*$B$5)*(IF(B149&lt;($B$4*2/10),($B$4*2/10)*(MIN(C149,($B$4*2/10))^3-B149^3)-(MIN(C149,($B$4*2/10))^4-B149^4)/4,0)+IF(C149&gt;($B$4*2/10),($B$4*2/10)^2*(1.5*(C149^2-MAX(B149,($B$4*2/10))^2)-($B$4*2/10)*(C149-MAX(B149,($B$4*2/10)))),0))*1000,0)</f>
        <v>0</v>
      </c>
      <c r="AD149" s="120">
        <f>IF(AND(J149="OK",ISNUMBER($B$5),$B$5&gt;0,ISNUMBER($B$3),$B$3&gt;0),F149/(6*$B$3*1000000*$B$5)*(IF(B149&lt;($B$4*3/10),($B$4*3/10)*(MIN(C149,($B$4*3/10))^3-B149^3)-(MIN(C149,($B$4*3/10))^4-B149^4)/4,0)+IF(C149&gt;($B$4*3/10),($B$4*3/10)^2*(1.5*(C149^2-MAX(B149,($B$4*3/10))^2)-($B$4*3/10)*(C149-MAX(B149,($B$4*3/10)))),0))*1000,0)</f>
        <v>0</v>
      </c>
      <c r="AE149" s="120">
        <f>IF(AND(J149="OK",ISNUMBER($B$5),$B$5&gt;0,ISNUMBER($B$3),$B$3&gt;0),F149/(6*$B$3*1000000*$B$5)*(IF(B149&lt;($B$4*4/10),($B$4*4/10)*(MIN(C149,($B$4*4/10))^3-B149^3)-(MIN(C149,($B$4*4/10))^4-B149^4)/4,0)+IF(C149&gt;($B$4*4/10),($B$4*4/10)^2*(1.5*(C149^2-MAX(B149,($B$4*4/10))^2)-($B$4*4/10)*(C149-MAX(B149,($B$4*4/10)))),0))*1000,0)</f>
        <v>0</v>
      </c>
      <c r="AF149" s="120">
        <f>IF(AND(J149="OK",ISNUMBER($B$5),$B$5&gt;0,ISNUMBER($B$3),$B$3&gt;0),F149/(6*$B$3*1000000*$B$5)*(IF(B149&lt;($B$4*5/10),($B$4*5/10)*(MIN(C149,($B$4*5/10))^3-B149^3)-(MIN(C149,($B$4*5/10))^4-B149^4)/4,0)+IF(C149&gt;($B$4*5/10),($B$4*5/10)^2*(1.5*(C149^2-MAX(B149,($B$4*5/10))^2)-($B$4*5/10)*(C149-MAX(B149,($B$4*5/10)))),0))*1000,0)</f>
        <v>0</v>
      </c>
      <c r="AG149" s="120">
        <f>IF(AND(J149="OK",ISNUMBER($B$5),$B$5&gt;0,ISNUMBER($B$3),$B$3&gt;0),F149/(6*$B$3*1000000*$B$5)*(IF(B149&lt;($B$4*6/10),($B$4*6/10)*(MIN(C149,($B$4*6/10))^3-B149^3)-(MIN(C149,($B$4*6/10))^4-B149^4)/4,0)+IF(C149&gt;($B$4*6/10),($B$4*6/10)^2*(1.5*(C149^2-MAX(B149,($B$4*6/10))^2)-($B$4*6/10)*(C149-MAX(B149,($B$4*6/10)))),0))*1000,0)</f>
        <v>0</v>
      </c>
      <c r="AH149" s="120">
        <f>IF(AND(J149="OK",ISNUMBER($B$5),$B$5&gt;0,ISNUMBER($B$3),$B$3&gt;0),F149/(6*$B$3*1000000*$B$5)*(IF(B149&lt;($B$4*7/10),($B$4*7/10)*(MIN(C149,($B$4*7/10))^3-B149^3)-(MIN(C149,($B$4*7/10))^4-B149^4)/4,0)+IF(C149&gt;($B$4*7/10),($B$4*7/10)^2*(1.5*(C149^2-MAX(B149,($B$4*7/10))^2)-($B$4*7/10)*(C149-MAX(B149,($B$4*7/10)))),0))*1000,0)</f>
        <v>0</v>
      </c>
      <c r="AI149" s="120">
        <f>IF(AND(J149="OK",ISNUMBER($B$5),$B$5&gt;0,ISNUMBER($B$3),$B$3&gt;0),F149/(6*$B$3*1000000*$B$5)*(IF(B149&lt;($B$4*8/10),($B$4*8/10)*(MIN(C149,($B$4*8/10))^3-B149^3)-(MIN(C149,($B$4*8/10))^4-B149^4)/4,0)+IF(C149&gt;($B$4*8/10),($B$4*8/10)^2*(1.5*(C149^2-MAX(B149,($B$4*8/10))^2)-($B$4*8/10)*(C149-MAX(B149,($B$4*8/10)))),0))*1000,0)</f>
        <v>0</v>
      </c>
      <c r="AJ149" s="120">
        <f>IF(AND(J149="OK",ISNUMBER($B$5),$B$5&gt;0,ISNUMBER($B$3),$B$3&gt;0),F149/(6*$B$3*1000000*$B$5)*(IF(B149&lt;($B$4*9/10),($B$4*9/10)*(MIN(C149,($B$4*9/10))^3-B149^3)-(MIN(C149,($B$4*9/10))^4-B149^4)/4,0)+IF(C149&gt;($B$4*9/10),($B$4*9/10)^2*(1.5*(C149^2-MAX(B149,($B$4*9/10))^2)-($B$4*9/10)*(C149-MAX(B149,($B$4*9/10)))),0))*1000,0)</f>
        <v>0</v>
      </c>
      <c r="AK149" s="120">
        <f>IF(AND(J149="OK",ISNUMBER($B$5),$B$5&gt;0,ISNUMBER($B$3),$B$3&gt;0),F149/(6*$B$3*1000000*$B$5)*(IF(B149&lt;($B$4*10/10),($B$4*10/10)*(MIN(C149,($B$4*10/10))^3-B149^3)-(MIN(C149,($B$4*10/10))^4-B149^4)/4,0)+IF(C149&gt;($B$4*10/10),($B$4*10/10)^2*(1.5*(C149^2-MAX(B149,($B$4*10/10))^2)-($B$4*10/10)*(C149-MAX(B149,($B$4*10/10)))),0))*1000,0)</f>
        <v>0</v>
      </c>
      <c r="AM149" s="120">
        <f>IF(AND(V149="OK",ISNUMBER($N$5),$N$5&gt;0,ISNUMBER($N$3),$N$3&gt;0),R149/(6*$N$3*1000000*$N$5)*(IF(N149&lt;($N$4*0/10),($N$4*0/10)*(MIN(O149,($N$4*0/10))^3-N149^3)-(MIN(O149,($N$4*0/10))^4-N149^4)/4,0)+IF(O149&gt;($N$4*0/10),($N$4*0/10)^2*(1.5*(O149^2-MAX(N149,($N$4*0/10))^2)-($N$4*0/10)*(O149-MAX(N149,($N$4*0/10)))),0))*1000,0)</f>
        <v>0</v>
      </c>
      <c r="AN149" s="120">
        <f>IF(AND(V149="OK",ISNUMBER($N$5),$N$5&gt;0,ISNUMBER($N$3),$N$3&gt;0),R149/(6*$N$3*1000000*$N$5)*(IF(N149&lt;($N$4*1/10),($N$4*1/10)*(MIN(O149,($N$4*1/10))^3-N149^3)-(MIN(O149,($N$4*1/10))^4-N149^4)/4,0)+IF(O149&gt;($N$4*1/10),($N$4*1/10)^2*(1.5*(O149^2-MAX(N149,($N$4*1/10))^2)-($N$4*1/10)*(O149-MAX(N149,($N$4*1/10)))),0))*1000,0)</f>
        <v>0</v>
      </c>
      <c r="AO149" s="120">
        <f>IF(AND(V149="OK",ISNUMBER($N$5),$N$5&gt;0,ISNUMBER($N$3),$N$3&gt;0),R149/(6*$N$3*1000000*$N$5)*(IF(N149&lt;($N$4*2/10),($N$4*2/10)*(MIN(O149,($N$4*2/10))^3-N149^3)-(MIN(O149,($N$4*2/10))^4-N149^4)/4,0)+IF(O149&gt;($N$4*2/10),($N$4*2/10)^2*(1.5*(O149^2-MAX(N149,($N$4*2/10))^2)-($N$4*2/10)*(O149-MAX(N149,($N$4*2/10)))),0))*1000,0)</f>
        <v>0</v>
      </c>
      <c r="AP149" s="120">
        <f>IF(AND(V149="OK",ISNUMBER($N$5),$N$5&gt;0,ISNUMBER($N$3),$N$3&gt;0),R149/(6*$N$3*1000000*$N$5)*(IF(N149&lt;($N$4*3/10),($N$4*3/10)*(MIN(O149,($N$4*3/10))^3-N149^3)-(MIN(O149,($N$4*3/10))^4-N149^4)/4,0)+IF(O149&gt;($N$4*3/10),($N$4*3/10)^2*(1.5*(O149^2-MAX(N149,($N$4*3/10))^2)-($N$4*3/10)*(O149-MAX(N149,($N$4*3/10)))),0))*1000,0)</f>
        <v>0</v>
      </c>
      <c r="AQ149" s="120">
        <f>IF(AND(V149="OK",ISNUMBER($N$5),$N$5&gt;0,ISNUMBER($N$3),$N$3&gt;0),R149/(6*$N$3*1000000*$N$5)*(IF(N149&lt;($N$4*4/10),($N$4*4/10)*(MIN(O149,($N$4*4/10))^3-N149^3)-(MIN(O149,($N$4*4/10))^4-N149^4)/4,0)+IF(O149&gt;($N$4*4/10),($N$4*4/10)^2*(1.5*(O149^2-MAX(N149,($N$4*4/10))^2)-($N$4*4/10)*(O149-MAX(N149,($N$4*4/10)))),0))*1000,0)</f>
        <v>0</v>
      </c>
      <c r="AR149" s="120">
        <f>IF(AND(V149="OK",ISNUMBER($N$5),$N$5&gt;0,ISNUMBER($N$3),$N$3&gt;0),R149/(6*$N$3*1000000*$N$5)*(IF(N149&lt;($N$4*5/10),($N$4*5/10)*(MIN(O149,($N$4*5/10))^3-N149^3)-(MIN(O149,($N$4*5/10))^4-N149^4)/4,0)+IF(O149&gt;($N$4*5/10),($N$4*5/10)^2*(1.5*(O149^2-MAX(N149,($N$4*5/10))^2)-($N$4*5/10)*(O149-MAX(N149,($N$4*5/10)))),0))*1000,0)</f>
        <v>0</v>
      </c>
      <c r="AS149" s="120">
        <f>IF(AND(V149="OK",ISNUMBER($N$5),$N$5&gt;0,ISNUMBER($N$3),$N$3&gt;0),R149/(6*$N$3*1000000*$N$5)*(IF(N149&lt;($N$4*6/10),($N$4*6/10)*(MIN(O149,($N$4*6/10))^3-N149^3)-(MIN(O149,($N$4*6/10))^4-N149^4)/4,0)+IF(O149&gt;($N$4*6/10),($N$4*6/10)^2*(1.5*(O149^2-MAX(N149,($N$4*6/10))^2)-($N$4*6/10)*(O149-MAX(N149,($N$4*6/10)))),0))*1000,0)</f>
        <v>0</v>
      </c>
      <c r="AT149" s="120">
        <f>IF(AND(V149="OK",ISNUMBER($N$5),$N$5&gt;0,ISNUMBER($N$3),$N$3&gt;0),R149/(6*$N$3*1000000*$N$5)*(IF(N149&lt;($N$4*7/10),($N$4*7/10)*(MIN(O149,($N$4*7/10))^3-N149^3)-(MIN(O149,($N$4*7/10))^4-N149^4)/4,0)+IF(O149&gt;($N$4*7/10),($N$4*7/10)^2*(1.5*(O149^2-MAX(N149,($N$4*7/10))^2)-($N$4*7/10)*(O149-MAX(N149,($N$4*7/10)))),0))*1000,0)</f>
        <v>0</v>
      </c>
      <c r="AU149" s="120">
        <f>IF(AND(V149="OK",ISNUMBER($N$5),$N$5&gt;0,ISNUMBER($N$3),$N$3&gt;0),R149/(6*$N$3*1000000*$N$5)*(IF(N149&lt;($N$4*8/10),($N$4*8/10)*(MIN(O149,($N$4*8/10))^3-N149^3)-(MIN(O149,($N$4*8/10))^4-N149^4)/4,0)+IF(O149&gt;($N$4*8/10),($N$4*8/10)^2*(1.5*(O149^2-MAX(N149,($N$4*8/10))^2)-($N$4*8/10)*(O149-MAX(N149,($N$4*8/10)))),0))*1000,0)</f>
        <v>0</v>
      </c>
      <c r="AV149" s="120">
        <f>IF(AND(V149="OK",ISNUMBER($N$5),$N$5&gt;0,ISNUMBER($N$3),$N$3&gt;0),R149/(6*$N$3*1000000*$N$5)*(IF(N149&lt;($N$4*9/10),($N$4*9/10)*(MIN(O149,($N$4*9/10))^3-N149^3)-(MIN(O149,($N$4*9/10))^4-N149^4)/4,0)+IF(O149&gt;($N$4*9/10),($N$4*9/10)^2*(1.5*(O149^2-MAX(N149,($N$4*9/10))^2)-($N$4*9/10)*(O149-MAX(N149,($N$4*9/10)))),0))*1000,0)</f>
        <v>0</v>
      </c>
      <c r="AW149" s="120">
        <f>IF(AND(V149="OK",ISNUMBER($N$5),$N$5&gt;0,ISNUMBER($N$3),$N$3&gt;0),R149/(6*$N$3*1000000*$N$5)*(IF(N149&lt;($N$4*10/10),($N$4*10/10)*(MIN(O149,($N$4*10/10))^3-N149^3)-(MIN(O149,($N$4*10/10))^4-N149^4)/4,0)+IF(O149&gt;($N$4*10/10),($N$4*10/10)^2*(1.5*(O149^2-MAX(N149,($N$4*10/10))^2)-($N$4*10/10)*(O149-MAX(N149,($N$4*10/10)))),0))*1000,0)</f>
        <v>0</v>
      </c>
    </row>
    <row r="150" spans="1:49">
      <c r="A150" s="124"/>
      <c r="B150" s="125"/>
      <c r="C150" s="125"/>
      <c r="D150" s="125"/>
      <c r="E150" s="125"/>
      <c r="F150" s="126" t="str">
        <f>IF(J150="OK",D150*E150,"")</f>
        <v/>
      </c>
      <c r="G150" s="126" t="str">
        <f>IF(J150="OK",F150*(C150-B150),"")</f>
        <v/>
      </c>
      <c r="H150" s="126" t="str">
        <f>IF(J150="OK",G150*(C150+B150)/2,"")</f>
        <v/>
      </c>
      <c r="I150" s="126" t="str">
        <f>IF(AND(J150="OK",ISNUMBER($B$5),$B$5&gt;0,ISNUMBER($B$3),$B$3&gt;0),F150*(4*$B$4*(C150^3-B150^3)-(C150^4-B150^4))/(24*$B$3*1000000*$B$5)*1000,"")</f>
        <v/>
      </c>
      <c r="J150" s="120" t="str">
        <f>IF(COUNTA(A150:E150)=0,"",IF(AND(COUNT(B150:E150)=4,B150&gt;=0,C150&gt;B150,C150&lt;=$B$4,D150&gt;=0,E150&gt;0),IF(COUNTIFS($B$13:$B$149,"&lt;"&amp;C150,$C$13:$C$149,"&gt;"&amp;B150)&gt;0,"OVERLAP","OK"),"CHECK INPUTS"))</f>
        <v/>
      </c>
      <c r="M150" s="124"/>
      <c r="N150" s="125"/>
      <c r="O150" s="125"/>
      <c r="P150" s="125"/>
      <c r="Q150" s="125"/>
      <c r="R150" s="126" t="str">
        <f>IF(V150="OK",P150*Q150,"")</f>
        <v/>
      </c>
      <c r="S150" s="126" t="str">
        <f>IF(V150="OK",R150*(O150-N150),"")</f>
        <v/>
      </c>
      <c r="T150" s="126" t="str">
        <f>IF(V150="OK",S150*(O150+N150)/2,"")</f>
        <v/>
      </c>
      <c r="U150" s="126" t="str">
        <f>IF(AND(V150="OK",ISNUMBER($N$5),$N$5&gt;0,ISNUMBER($N$3),$N$3&gt;0),R150*(4*$N$4*(O150^3-N150^3)-(O150^4-N150^4))/(24*$N$3*1000000*$N$5)*1000,"")</f>
        <v/>
      </c>
      <c r="V150" s="120" t="str">
        <f>IF(COUNTA(M150:Q150)=0,"",IF(AND(COUNT(N150:Q150)=4,N150&gt;=0,O150&gt;N150,O150&lt;=$N$4,P150&gt;=0,Q150&gt;0),IF(COUNTIFS($N$13:$N$149,"&lt;"&amp;O150,$O$13:$O$149,"&gt;"&amp;N150)&gt;0,"OVERLAP","OK"),"CHECK INPUTS"))</f>
        <v/>
      </c>
      <c r="AA150" s="120">
        <f>IF(AND(J150="OK",ISNUMBER($B$5),$B$5&gt;0,ISNUMBER($B$3),$B$3&gt;0),F150/(6*$B$3*1000000*$B$5)*(IF(B150&lt;($B$4*0/10),($B$4*0/10)*(MIN(C150,($B$4*0/10))^3-B150^3)-(MIN(C150,($B$4*0/10))^4-B150^4)/4,0)+IF(C150&gt;($B$4*0/10),($B$4*0/10)^2*(1.5*(C150^2-MAX(B150,($B$4*0/10))^2)-($B$4*0/10)*(C150-MAX(B150,($B$4*0/10)))),0))*1000,0)</f>
        <v>0</v>
      </c>
      <c r="AB150" s="120">
        <f>IF(AND(J150="OK",ISNUMBER($B$5),$B$5&gt;0,ISNUMBER($B$3),$B$3&gt;0),F150/(6*$B$3*1000000*$B$5)*(IF(B150&lt;($B$4*1/10),($B$4*1/10)*(MIN(C150,($B$4*1/10))^3-B150^3)-(MIN(C150,($B$4*1/10))^4-B150^4)/4,0)+IF(C150&gt;($B$4*1/10),($B$4*1/10)^2*(1.5*(C150^2-MAX(B150,($B$4*1/10))^2)-($B$4*1/10)*(C150-MAX(B150,($B$4*1/10)))),0))*1000,0)</f>
        <v>0</v>
      </c>
      <c r="AC150" s="120">
        <f>IF(AND(J150="OK",ISNUMBER($B$5),$B$5&gt;0,ISNUMBER($B$3),$B$3&gt;0),F150/(6*$B$3*1000000*$B$5)*(IF(B150&lt;($B$4*2/10),($B$4*2/10)*(MIN(C150,($B$4*2/10))^3-B150^3)-(MIN(C150,($B$4*2/10))^4-B150^4)/4,0)+IF(C150&gt;($B$4*2/10),($B$4*2/10)^2*(1.5*(C150^2-MAX(B150,($B$4*2/10))^2)-($B$4*2/10)*(C150-MAX(B150,($B$4*2/10)))),0))*1000,0)</f>
        <v>0</v>
      </c>
      <c r="AD150" s="120">
        <f>IF(AND(J150="OK",ISNUMBER($B$5),$B$5&gt;0,ISNUMBER($B$3),$B$3&gt;0),F150/(6*$B$3*1000000*$B$5)*(IF(B150&lt;($B$4*3/10),($B$4*3/10)*(MIN(C150,($B$4*3/10))^3-B150^3)-(MIN(C150,($B$4*3/10))^4-B150^4)/4,0)+IF(C150&gt;($B$4*3/10),($B$4*3/10)^2*(1.5*(C150^2-MAX(B150,($B$4*3/10))^2)-($B$4*3/10)*(C150-MAX(B150,($B$4*3/10)))),0))*1000,0)</f>
        <v>0</v>
      </c>
      <c r="AE150" s="120">
        <f>IF(AND(J150="OK",ISNUMBER($B$5),$B$5&gt;0,ISNUMBER($B$3),$B$3&gt;0),F150/(6*$B$3*1000000*$B$5)*(IF(B150&lt;($B$4*4/10),($B$4*4/10)*(MIN(C150,($B$4*4/10))^3-B150^3)-(MIN(C150,($B$4*4/10))^4-B150^4)/4,0)+IF(C150&gt;($B$4*4/10),($B$4*4/10)^2*(1.5*(C150^2-MAX(B150,($B$4*4/10))^2)-($B$4*4/10)*(C150-MAX(B150,($B$4*4/10)))),0))*1000,0)</f>
        <v>0</v>
      </c>
      <c r="AF150" s="120">
        <f>IF(AND(J150="OK",ISNUMBER($B$5),$B$5&gt;0,ISNUMBER($B$3),$B$3&gt;0),F150/(6*$B$3*1000000*$B$5)*(IF(B150&lt;($B$4*5/10),($B$4*5/10)*(MIN(C150,($B$4*5/10))^3-B150^3)-(MIN(C150,($B$4*5/10))^4-B150^4)/4,0)+IF(C150&gt;($B$4*5/10),($B$4*5/10)^2*(1.5*(C150^2-MAX(B150,($B$4*5/10))^2)-($B$4*5/10)*(C150-MAX(B150,($B$4*5/10)))),0))*1000,0)</f>
        <v>0</v>
      </c>
      <c r="AG150" s="120">
        <f>IF(AND(J150="OK",ISNUMBER($B$5),$B$5&gt;0,ISNUMBER($B$3),$B$3&gt;0),F150/(6*$B$3*1000000*$B$5)*(IF(B150&lt;($B$4*6/10),($B$4*6/10)*(MIN(C150,($B$4*6/10))^3-B150^3)-(MIN(C150,($B$4*6/10))^4-B150^4)/4,0)+IF(C150&gt;($B$4*6/10),($B$4*6/10)^2*(1.5*(C150^2-MAX(B150,($B$4*6/10))^2)-($B$4*6/10)*(C150-MAX(B150,($B$4*6/10)))),0))*1000,0)</f>
        <v>0</v>
      </c>
      <c r="AH150" s="120">
        <f>IF(AND(J150="OK",ISNUMBER($B$5),$B$5&gt;0,ISNUMBER($B$3),$B$3&gt;0),F150/(6*$B$3*1000000*$B$5)*(IF(B150&lt;($B$4*7/10),($B$4*7/10)*(MIN(C150,($B$4*7/10))^3-B150^3)-(MIN(C150,($B$4*7/10))^4-B150^4)/4,0)+IF(C150&gt;($B$4*7/10),($B$4*7/10)^2*(1.5*(C150^2-MAX(B150,($B$4*7/10))^2)-($B$4*7/10)*(C150-MAX(B150,($B$4*7/10)))),0))*1000,0)</f>
        <v>0</v>
      </c>
      <c r="AI150" s="120">
        <f>IF(AND(J150="OK",ISNUMBER($B$5),$B$5&gt;0,ISNUMBER($B$3),$B$3&gt;0),F150/(6*$B$3*1000000*$B$5)*(IF(B150&lt;($B$4*8/10),($B$4*8/10)*(MIN(C150,($B$4*8/10))^3-B150^3)-(MIN(C150,($B$4*8/10))^4-B150^4)/4,0)+IF(C150&gt;($B$4*8/10),($B$4*8/10)^2*(1.5*(C150^2-MAX(B150,($B$4*8/10))^2)-($B$4*8/10)*(C150-MAX(B150,($B$4*8/10)))),0))*1000,0)</f>
        <v>0</v>
      </c>
      <c r="AJ150" s="120">
        <f>IF(AND(J150="OK",ISNUMBER($B$5),$B$5&gt;0,ISNUMBER($B$3),$B$3&gt;0),F150/(6*$B$3*1000000*$B$5)*(IF(B150&lt;($B$4*9/10),($B$4*9/10)*(MIN(C150,($B$4*9/10))^3-B150^3)-(MIN(C150,($B$4*9/10))^4-B150^4)/4,0)+IF(C150&gt;($B$4*9/10),($B$4*9/10)^2*(1.5*(C150^2-MAX(B150,($B$4*9/10))^2)-($B$4*9/10)*(C150-MAX(B150,($B$4*9/10)))),0))*1000,0)</f>
        <v>0</v>
      </c>
      <c r="AK150" s="120">
        <f>IF(AND(J150="OK",ISNUMBER($B$5),$B$5&gt;0,ISNUMBER($B$3),$B$3&gt;0),F150/(6*$B$3*1000000*$B$5)*(IF(B150&lt;($B$4*10/10),($B$4*10/10)*(MIN(C150,($B$4*10/10))^3-B150^3)-(MIN(C150,($B$4*10/10))^4-B150^4)/4,0)+IF(C150&gt;($B$4*10/10),($B$4*10/10)^2*(1.5*(C150^2-MAX(B150,($B$4*10/10))^2)-($B$4*10/10)*(C150-MAX(B150,($B$4*10/10)))),0))*1000,0)</f>
        <v>0</v>
      </c>
      <c r="AM150" s="120">
        <f>IF(AND(V150="OK",ISNUMBER($N$5),$N$5&gt;0,ISNUMBER($N$3),$N$3&gt;0),R150/(6*$N$3*1000000*$N$5)*(IF(N150&lt;($N$4*0/10),($N$4*0/10)*(MIN(O150,($N$4*0/10))^3-N150^3)-(MIN(O150,($N$4*0/10))^4-N150^4)/4,0)+IF(O150&gt;($N$4*0/10),($N$4*0/10)^2*(1.5*(O150^2-MAX(N150,($N$4*0/10))^2)-($N$4*0/10)*(O150-MAX(N150,($N$4*0/10)))),0))*1000,0)</f>
        <v>0</v>
      </c>
      <c r="AN150" s="120">
        <f>IF(AND(V150="OK",ISNUMBER($N$5),$N$5&gt;0,ISNUMBER($N$3),$N$3&gt;0),R150/(6*$N$3*1000000*$N$5)*(IF(N150&lt;($N$4*1/10),($N$4*1/10)*(MIN(O150,($N$4*1/10))^3-N150^3)-(MIN(O150,($N$4*1/10))^4-N150^4)/4,0)+IF(O150&gt;($N$4*1/10),($N$4*1/10)^2*(1.5*(O150^2-MAX(N150,($N$4*1/10))^2)-($N$4*1/10)*(O150-MAX(N150,($N$4*1/10)))),0))*1000,0)</f>
        <v>0</v>
      </c>
      <c r="AO150" s="120">
        <f>IF(AND(V150="OK",ISNUMBER($N$5),$N$5&gt;0,ISNUMBER($N$3),$N$3&gt;0),R150/(6*$N$3*1000000*$N$5)*(IF(N150&lt;($N$4*2/10),($N$4*2/10)*(MIN(O150,($N$4*2/10))^3-N150^3)-(MIN(O150,($N$4*2/10))^4-N150^4)/4,0)+IF(O150&gt;($N$4*2/10),($N$4*2/10)^2*(1.5*(O150^2-MAX(N150,($N$4*2/10))^2)-($N$4*2/10)*(O150-MAX(N150,($N$4*2/10)))),0))*1000,0)</f>
        <v>0</v>
      </c>
      <c r="AP150" s="120">
        <f>IF(AND(V150="OK",ISNUMBER($N$5),$N$5&gt;0,ISNUMBER($N$3),$N$3&gt;0),R150/(6*$N$3*1000000*$N$5)*(IF(N150&lt;($N$4*3/10),($N$4*3/10)*(MIN(O150,($N$4*3/10))^3-N150^3)-(MIN(O150,($N$4*3/10))^4-N150^4)/4,0)+IF(O150&gt;($N$4*3/10),($N$4*3/10)^2*(1.5*(O150^2-MAX(N150,($N$4*3/10))^2)-($N$4*3/10)*(O150-MAX(N150,($N$4*3/10)))),0))*1000,0)</f>
        <v>0</v>
      </c>
      <c r="AQ150" s="120">
        <f>IF(AND(V150="OK",ISNUMBER($N$5),$N$5&gt;0,ISNUMBER($N$3),$N$3&gt;0),R150/(6*$N$3*1000000*$N$5)*(IF(N150&lt;($N$4*4/10),($N$4*4/10)*(MIN(O150,($N$4*4/10))^3-N150^3)-(MIN(O150,($N$4*4/10))^4-N150^4)/4,0)+IF(O150&gt;($N$4*4/10),($N$4*4/10)^2*(1.5*(O150^2-MAX(N150,($N$4*4/10))^2)-($N$4*4/10)*(O150-MAX(N150,($N$4*4/10)))),0))*1000,0)</f>
        <v>0</v>
      </c>
      <c r="AR150" s="120">
        <f>IF(AND(V150="OK",ISNUMBER($N$5),$N$5&gt;0,ISNUMBER($N$3),$N$3&gt;0),R150/(6*$N$3*1000000*$N$5)*(IF(N150&lt;($N$4*5/10),($N$4*5/10)*(MIN(O150,($N$4*5/10))^3-N150^3)-(MIN(O150,($N$4*5/10))^4-N150^4)/4,0)+IF(O150&gt;($N$4*5/10),($N$4*5/10)^2*(1.5*(O150^2-MAX(N150,($N$4*5/10))^2)-($N$4*5/10)*(O150-MAX(N150,($N$4*5/10)))),0))*1000,0)</f>
        <v>0</v>
      </c>
      <c r="AS150" s="120">
        <f>IF(AND(V150="OK",ISNUMBER($N$5),$N$5&gt;0,ISNUMBER($N$3),$N$3&gt;0),R150/(6*$N$3*1000000*$N$5)*(IF(N150&lt;($N$4*6/10),($N$4*6/10)*(MIN(O150,($N$4*6/10))^3-N150^3)-(MIN(O150,($N$4*6/10))^4-N150^4)/4,0)+IF(O150&gt;($N$4*6/10),($N$4*6/10)^2*(1.5*(O150^2-MAX(N150,($N$4*6/10))^2)-($N$4*6/10)*(O150-MAX(N150,($N$4*6/10)))),0))*1000,0)</f>
        <v>0</v>
      </c>
      <c r="AT150" s="120">
        <f>IF(AND(V150="OK",ISNUMBER($N$5),$N$5&gt;0,ISNUMBER($N$3),$N$3&gt;0),R150/(6*$N$3*1000000*$N$5)*(IF(N150&lt;($N$4*7/10),($N$4*7/10)*(MIN(O150,($N$4*7/10))^3-N150^3)-(MIN(O150,($N$4*7/10))^4-N150^4)/4,0)+IF(O150&gt;($N$4*7/10),($N$4*7/10)^2*(1.5*(O150^2-MAX(N150,($N$4*7/10))^2)-($N$4*7/10)*(O150-MAX(N150,($N$4*7/10)))),0))*1000,0)</f>
        <v>0</v>
      </c>
      <c r="AU150" s="120">
        <f>IF(AND(V150="OK",ISNUMBER($N$5),$N$5&gt;0,ISNUMBER($N$3),$N$3&gt;0),R150/(6*$N$3*1000000*$N$5)*(IF(N150&lt;($N$4*8/10),($N$4*8/10)*(MIN(O150,($N$4*8/10))^3-N150^3)-(MIN(O150,($N$4*8/10))^4-N150^4)/4,0)+IF(O150&gt;($N$4*8/10),($N$4*8/10)^2*(1.5*(O150^2-MAX(N150,($N$4*8/10))^2)-($N$4*8/10)*(O150-MAX(N150,($N$4*8/10)))),0))*1000,0)</f>
        <v>0</v>
      </c>
      <c r="AV150" s="120">
        <f>IF(AND(V150="OK",ISNUMBER($N$5),$N$5&gt;0,ISNUMBER($N$3),$N$3&gt;0),R150/(6*$N$3*1000000*$N$5)*(IF(N150&lt;($N$4*9/10),($N$4*9/10)*(MIN(O150,($N$4*9/10))^3-N150^3)-(MIN(O150,($N$4*9/10))^4-N150^4)/4,0)+IF(O150&gt;($N$4*9/10),($N$4*9/10)^2*(1.5*(O150^2-MAX(N150,($N$4*9/10))^2)-($N$4*9/10)*(O150-MAX(N150,($N$4*9/10)))),0))*1000,0)</f>
        <v>0</v>
      </c>
      <c r="AW150" s="120">
        <f>IF(AND(V150="OK",ISNUMBER($N$5),$N$5&gt;0,ISNUMBER($N$3),$N$3&gt;0),R150/(6*$N$3*1000000*$N$5)*(IF(N150&lt;($N$4*10/10),($N$4*10/10)*(MIN(O150,($N$4*10/10))^3-N150^3)-(MIN(O150,($N$4*10/10))^4-N150^4)/4,0)+IF(O150&gt;($N$4*10/10),($N$4*10/10)^2*(1.5*(O150^2-MAX(N150,($N$4*10/10))^2)-($N$4*10/10)*(O150-MAX(N150,($N$4*10/10)))),0))*1000,0)</f>
        <v>0</v>
      </c>
    </row>
    <row r="151" spans="1:49">
      <c r="A151" s="124"/>
      <c r="B151" s="125"/>
      <c r="C151" s="125"/>
      <c r="D151" s="125"/>
      <c r="E151" s="125"/>
      <c r="F151" s="126" t="str">
        <f>IF(J151="OK",D151*E151,"")</f>
        <v/>
      </c>
      <c r="G151" s="126" t="str">
        <f>IF(J151="OK",F151*(C151-B151),"")</f>
        <v/>
      </c>
      <c r="H151" s="126" t="str">
        <f>IF(J151="OK",G151*(C151+B151)/2,"")</f>
        <v/>
      </c>
      <c r="I151" s="126" t="str">
        <f>IF(AND(J151="OK",ISNUMBER($B$5),$B$5&gt;0,ISNUMBER($B$3),$B$3&gt;0),F151*(4*$B$4*(C151^3-B151^3)-(C151^4-B151^4))/(24*$B$3*1000000*$B$5)*1000,"")</f>
        <v/>
      </c>
      <c r="J151" s="120" t="str">
        <f>IF(COUNTA(A151:E151)=0,"",IF(AND(COUNT(B151:E151)=4,B151&gt;=0,C151&gt;B151,C151&lt;=$B$4,D151&gt;=0,E151&gt;0),IF(COUNTIFS($B$13:$B$150,"&lt;"&amp;C151,$C$13:$C$150,"&gt;"&amp;B151)&gt;0,"OVERLAP","OK"),"CHECK INPUTS"))</f>
        <v/>
      </c>
      <c r="M151" s="124"/>
      <c r="N151" s="125"/>
      <c r="O151" s="125"/>
      <c r="P151" s="125"/>
      <c r="Q151" s="125"/>
      <c r="R151" s="126" t="str">
        <f>IF(V151="OK",P151*Q151,"")</f>
        <v/>
      </c>
      <c r="S151" s="126" t="str">
        <f>IF(V151="OK",R151*(O151-N151),"")</f>
        <v/>
      </c>
      <c r="T151" s="126" t="str">
        <f>IF(V151="OK",S151*(O151+N151)/2,"")</f>
        <v/>
      </c>
      <c r="U151" s="126" t="str">
        <f>IF(AND(V151="OK",ISNUMBER($N$5),$N$5&gt;0,ISNUMBER($N$3),$N$3&gt;0),R151*(4*$N$4*(O151^3-N151^3)-(O151^4-N151^4))/(24*$N$3*1000000*$N$5)*1000,"")</f>
        <v/>
      </c>
      <c r="V151" s="120" t="str">
        <f>IF(COUNTA(M151:Q151)=0,"",IF(AND(COUNT(N151:Q151)=4,N151&gt;=0,O151&gt;N151,O151&lt;=$N$4,P151&gt;=0,Q151&gt;0),IF(COUNTIFS($N$13:$N$150,"&lt;"&amp;O151,$O$13:$O$150,"&gt;"&amp;N151)&gt;0,"OVERLAP","OK"),"CHECK INPUTS"))</f>
        <v/>
      </c>
      <c r="AA151" s="120">
        <f>IF(AND(J151="OK",ISNUMBER($B$5),$B$5&gt;0,ISNUMBER($B$3),$B$3&gt;0),F151/(6*$B$3*1000000*$B$5)*(IF(B151&lt;($B$4*0/10),($B$4*0/10)*(MIN(C151,($B$4*0/10))^3-B151^3)-(MIN(C151,($B$4*0/10))^4-B151^4)/4,0)+IF(C151&gt;($B$4*0/10),($B$4*0/10)^2*(1.5*(C151^2-MAX(B151,($B$4*0/10))^2)-($B$4*0/10)*(C151-MAX(B151,($B$4*0/10)))),0))*1000,0)</f>
        <v>0</v>
      </c>
      <c r="AB151" s="120">
        <f>IF(AND(J151="OK",ISNUMBER($B$5),$B$5&gt;0,ISNUMBER($B$3),$B$3&gt;0),F151/(6*$B$3*1000000*$B$5)*(IF(B151&lt;($B$4*1/10),($B$4*1/10)*(MIN(C151,($B$4*1/10))^3-B151^3)-(MIN(C151,($B$4*1/10))^4-B151^4)/4,0)+IF(C151&gt;($B$4*1/10),($B$4*1/10)^2*(1.5*(C151^2-MAX(B151,($B$4*1/10))^2)-($B$4*1/10)*(C151-MAX(B151,($B$4*1/10)))),0))*1000,0)</f>
        <v>0</v>
      </c>
      <c r="AC151" s="120">
        <f>IF(AND(J151="OK",ISNUMBER($B$5),$B$5&gt;0,ISNUMBER($B$3),$B$3&gt;0),F151/(6*$B$3*1000000*$B$5)*(IF(B151&lt;($B$4*2/10),($B$4*2/10)*(MIN(C151,($B$4*2/10))^3-B151^3)-(MIN(C151,($B$4*2/10))^4-B151^4)/4,0)+IF(C151&gt;($B$4*2/10),($B$4*2/10)^2*(1.5*(C151^2-MAX(B151,($B$4*2/10))^2)-($B$4*2/10)*(C151-MAX(B151,($B$4*2/10)))),0))*1000,0)</f>
        <v>0</v>
      </c>
      <c r="AD151" s="120">
        <f>IF(AND(J151="OK",ISNUMBER($B$5),$B$5&gt;0,ISNUMBER($B$3),$B$3&gt;0),F151/(6*$B$3*1000000*$B$5)*(IF(B151&lt;($B$4*3/10),($B$4*3/10)*(MIN(C151,($B$4*3/10))^3-B151^3)-(MIN(C151,($B$4*3/10))^4-B151^4)/4,0)+IF(C151&gt;($B$4*3/10),($B$4*3/10)^2*(1.5*(C151^2-MAX(B151,($B$4*3/10))^2)-($B$4*3/10)*(C151-MAX(B151,($B$4*3/10)))),0))*1000,0)</f>
        <v>0</v>
      </c>
      <c r="AE151" s="120">
        <f>IF(AND(J151="OK",ISNUMBER($B$5),$B$5&gt;0,ISNUMBER($B$3),$B$3&gt;0),F151/(6*$B$3*1000000*$B$5)*(IF(B151&lt;($B$4*4/10),($B$4*4/10)*(MIN(C151,($B$4*4/10))^3-B151^3)-(MIN(C151,($B$4*4/10))^4-B151^4)/4,0)+IF(C151&gt;($B$4*4/10),($B$4*4/10)^2*(1.5*(C151^2-MAX(B151,($B$4*4/10))^2)-($B$4*4/10)*(C151-MAX(B151,($B$4*4/10)))),0))*1000,0)</f>
        <v>0</v>
      </c>
      <c r="AF151" s="120">
        <f>IF(AND(J151="OK",ISNUMBER($B$5),$B$5&gt;0,ISNUMBER($B$3),$B$3&gt;0),F151/(6*$B$3*1000000*$B$5)*(IF(B151&lt;($B$4*5/10),($B$4*5/10)*(MIN(C151,($B$4*5/10))^3-B151^3)-(MIN(C151,($B$4*5/10))^4-B151^4)/4,0)+IF(C151&gt;($B$4*5/10),($B$4*5/10)^2*(1.5*(C151^2-MAX(B151,($B$4*5/10))^2)-($B$4*5/10)*(C151-MAX(B151,($B$4*5/10)))),0))*1000,0)</f>
        <v>0</v>
      </c>
      <c r="AG151" s="120">
        <f>IF(AND(J151="OK",ISNUMBER($B$5),$B$5&gt;0,ISNUMBER($B$3),$B$3&gt;0),F151/(6*$B$3*1000000*$B$5)*(IF(B151&lt;($B$4*6/10),($B$4*6/10)*(MIN(C151,($B$4*6/10))^3-B151^3)-(MIN(C151,($B$4*6/10))^4-B151^4)/4,0)+IF(C151&gt;($B$4*6/10),($B$4*6/10)^2*(1.5*(C151^2-MAX(B151,($B$4*6/10))^2)-($B$4*6/10)*(C151-MAX(B151,($B$4*6/10)))),0))*1000,0)</f>
        <v>0</v>
      </c>
      <c r="AH151" s="120">
        <f>IF(AND(J151="OK",ISNUMBER($B$5),$B$5&gt;0,ISNUMBER($B$3),$B$3&gt;0),F151/(6*$B$3*1000000*$B$5)*(IF(B151&lt;($B$4*7/10),($B$4*7/10)*(MIN(C151,($B$4*7/10))^3-B151^3)-(MIN(C151,($B$4*7/10))^4-B151^4)/4,0)+IF(C151&gt;($B$4*7/10),($B$4*7/10)^2*(1.5*(C151^2-MAX(B151,($B$4*7/10))^2)-($B$4*7/10)*(C151-MAX(B151,($B$4*7/10)))),0))*1000,0)</f>
        <v>0</v>
      </c>
      <c r="AI151" s="120">
        <f>IF(AND(J151="OK",ISNUMBER($B$5),$B$5&gt;0,ISNUMBER($B$3),$B$3&gt;0),F151/(6*$B$3*1000000*$B$5)*(IF(B151&lt;($B$4*8/10),($B$4*8/10)*(MIN(C151,($B$4*8/10))^3-B151^3)-(MIN(C151,($B$4*8/10))^4-B151^4)/4,0)+IF(C151&gt;($B$4*8/10),($B$4*8/10)^2*(1.5*(C151^2-MAX(B151,($B$4*8/10))^2)-($B$4*8/10)*(C151-MAX(B151,($B$4*8/10)))),0))*1000,0)</f>
        <v>0</v>
      </c>
      <c r="AJ151" s="120">
        <f>IF(AND(J151="OK",ISNUMBER($B$5),$B$5&gt;0,ISNUMBER($B$3),$B$3&gt;0),F151/(6*$B$3*1000000*$B$5)*(IF(B151&lt;($B$4*9/10),($B$4*9/10)*(MIN(C151,($B$4*9/10))^3-B151^3)-(MIN(C151,($B$4*9/10))^4-B151^4)/4,0)+IF(C151&gt;($B$4*9/10),($B$4*9/10)^2*(1.5*(C151^2-MAX(B151,($B$4*9/10))^2)-($B$4*9/10)*(C151-MAX(B151,($B$4*9/10)))),0))*1000,0)</f>
        <v>0</v>
      </c>
      <c r="AK151" s="120">
        <f>IF(AND(J151="OK",ISNUMBER($B$5),$B$5&gt;0,ISNUMBER($B$3),$B$3&gt;0),F151/(6*$B$3*1000000*$B$5)*(IF(B151&lt;($B$4*10/10),($B$4*10/10)*(MIN(C151,($B$4*10/10))^3-B151^3)-(MIN(C151,($B$4*10/10))^4-B151^4)/4,0)+IF(C151&gt;($B$4*10/10),($B$4*10/10)^2*(1.5*(C151^2-MAX(B151,($B$4*10/10))^2)-($B$4*10/10)*(C151-MAX(B151,($B$4*10/10)))),0))*1000,0)</f>
        <v>0</v>
      </c>
      <c r="AM151" s="120">
        <f>IF(AND(V151="OK",ISNUMBER($N$5),$N$5&gt;0,ISNUMBER($N$3),$N$3&gt;0),R151/(6*$N$3*1000000*$N$5)*(IF(N151&lt;($N$4*0/10),($N$4*0/10)*(MIN(O151,($N$4*0/10))^3-N151^3)-(MIN(O151,($N$4*0/10))^4-N151^4)/4,0)+IF(O151&gt;($N$4*0/10),($N$4*0/10)^2*(1.5*(O151^2-MAX(N151,($N$4*0/10))^2)-($N$4*0/10)*(O151-MAX(N151,($N$4*0/10)))),0))*1000,0)</f>
        <v>0</v>
      </c>
      <c r="AN151" s="120">
        <f>IF(AND(V151="OK",ISNUMBER($N$5),$N$5&gt;0,ISNUMBER($N$3),$N$3&gt;0),R151/(6*$N$3*1000000*$N$5)*(IF(N151&lt;($N$4*1/10),($N$4*1/10)*(MIN(O151,($N$4*1/10))^3-N151^3)-(MIN(O151,($N$4*1/10))^4-N151^4)/4,0)+IF(O151&gt;($N$4*1/10),($N$4*1/10)^2*(1.5*(O151^2-MAX(N151,($N$4*1/10))^2)-($N$4*1/10)*(O151-MAX(N151,($N$4*1/10)))),0))*1000,0)</f>
        <v>0</v>
      </c>
      <c r="AO151" s="120">
        <f>IF(AND(V151="OK",ISNUMBER($N$5),$N$5&gt;0,ISNUMBER($N$3),$N$3&gt;0),R151/(6*$N$3*1000000*$N$5)*(IF(N151&lt;($N$4*2/10),($N$4*2/10)*(MIN(O151,($N$4*2/10))^3-N151^3)-(MIN(O151,($N$4*2/10))^4-N151^4)/4,0)+IF(O151&gt;($N$4*2/10),($N$4*2/10)^2*(1.5*(O151^2-MAX(N151,($N$4*2/10))^2)-($N$4*2/10)*(O151-MAX(N151,($N$4*2/10)))),0))*1000,0)</f>
        <v>0</v>
      </c>
      <c r="AP151" s="120">
        <f>IF(AND(V151="OK",ISNUMBER($N$5),$N$5&gt;0,ISNUMBER($N$3),$N$3&gt;0),R151/(6*$N$3*1000000*$N$5)*(IF(N151&lt;($N$4*3/10),($N$4*3/10)*(MIN(O151,($N$4*3/10))^3-N151^3)-(MIN(O151,($N$4*3/10))^4-N151^4)/4,0)+IF(O151&gt;($N$4*3/10),($N$4*3/10)^2*(1.5*(O151^2-MAX(N151,($N$4*3/10))^2)-($N$4*3/10)*(O151-MAX(N151,($N$4*3/10)))),0))*1000,0)</f>
        <v>0</v>
      </c>
      <c r="AQ151" s="120">
        <f>IF(AND(V151="OK",ISNUMBER($N$5),$N$5&gt;0,ISNUMBER($N$3),$N$3&gt;0),R151/(6*$N$3*1000000*$N$5)*(IF(N151&lt;($N$4*4/10),($N$4*4/10)*(MIN(O151,($N$4*4/10))^3-N151^3)-(MIN(O151,($N$4*4/10))^4-N151^4)/4,0)+IF(O151&gt;($N$4*4/10),($N$4*4/10)^2*(1.5*(O151^2-MAX(N151,($N$4*4/10))^2)-($N$4*4/10)*(O151-MAX(N151,($N$4*4/10)))),0))*1000,0)</f>
        <v>0</v>
      </c>
      <c r="AR151" s="120">
        <f>IF(AND(V151="OK",ISNUMBER($N$5),$N$5&gt;0,ISNUMBER($N$3),$N$3&gt;0),R151/(6*$N$3*1000000*$N$5)*(IF(N151&lt;($N$4*5/10),($N$4*5/10)*(MIN(O151,($N$4*5/10))^3-N151^3)-(MIN(O151,($N$4*5/10))^4-N151^4)/4,0)+IF(O151&gt;($N$4*5/10),($N$4*5/10)^2*(1.5*(O151^2-MAX(N151,($N$4*5/10))^2)-($N$4*5/10)*(O151-MAX(N151,($N$4*5/10)))),0))*1000,0)</f>
        <v>0</v>
      </c>
      <c r="AS151" s="120">
        <f>IF(AND(V151="OK",ISNUMBER($N$5),$N$5&gt;0,ISNUMBER($N$3),$N$3&gt;0),R151/(6*$N$3*1000000*$N$5)*(IF(N151&lt;($N$4*6/10),($N$4*6/10)*(MIN(O151,($N$4*6/10))^3-N151^3)-(MIN(O151,($N$4*6/10))^4-N151^4)/4,0)+IF(O151&gt;($N$4*6/10),($N$4*6/10)^2*(1.5*(O151^2-MAX(N151,($N$4*6/10))^2)-($N$4*6/10)*(O151-MAX(N151,($N$4*6/10)))),0))*1000,0)</f>
        <v>0</v>
      </c>
      <c r="AT151" s="120">
        <f>IF(AND(V151="OK",ISNUMBER($N$5),$N$5&gt;0,ISNUMBER($N$3),$N$3&gt;0),R151/(6*$N$3*1000000*$N$5)*(IF(N151&lt;($N$4*7/10),($N$4*7/10)*(MIN(O151,($N$4*7/10))^3-N151^3)-(MIN(O151,($N$4*7/10))^4-N151^4)/4,0)+IF(O151&gt;($N$4*7/10),($N$4*7/10)^2*(1.5*(O151^2-MAX(N151,($N$4*7/10))^2)-($N$4*7/10)*(O151-MAX(N151,($N$4*7/10)))),0))*1000,0)</f>
        <v>0</v>
      </c>
      <c r="AU151" s="120">
        <f>IF(AND(V151="OK",ISNUMBER($N$5),$N$5&gt;0,ISNUMBER($N$3),$N$3&gt;0),R151/(6*$N$3*1000000*$N$5)*(IF(N151&lt;($N$4*8/10),($N$4*8/10)*(MIN(O151,($N$4*8/10))^3-N151^3)-(MIN(O151,($N$4*8/10))^4-N151^4)/4,0)+IF(O151&gt;($N$4*8/10),($N$4*8/10)^2*(1.5*(O151^2-MAX(N151,($N$4*8/10))^2)-($N$4*8/10)*(O151-MAX(N151,($N$4*8/10)))),0))*1000,0)</f>
        <v>0</v>
      </c>
      <c r="AV151" s="120">
        <f>IF(AND(V151="OK",ISNUMBER($N$5),$N$5&gt;0,ISNUMBER($N$3),$N$3&gt;0),R151/(6*$N$3*1000000*$N$5)*(IF(N151&lt;($N$4*9/10),($N$4*9/10)*(MIN(O151,($N$4*9/10))^3-N151^3)-(MIN(O151,($N$4*9/10))^4-N151^4)/4,0)+IF(O151&gt;($N$4*9/10),($N$4*9/10)^2*(1.5*(O151^2-MAX(N151,($N$4*9/10))^2)-($N$4*9/10)*(O151-MAX(N151,($N$4*9/10)))),0))*1000,0)</f>
        <v>0</v>
      </c>
      <c r="AW151" s="120">
        <f>IF(AND(V151="OK",ISNUMBER($N$5),$N$5&gt;0,ISNUMBER($N$3),$N$3&gt;0),R151/(6*$N$3*1000000*$N$5)*(IF(N151&lt;($N$4*10/10),($N$4*10/10)*(MIN(O151,($N$4*10/10))^3-N151^3)-(MIN(O151,($N$4*10/10))^4-N151^4)/4,0)+IF(O151&gt;($N$4*10/10),($N$4*10/10)^2*(1.5*(O151^2-MAX(N151,($N$4*10/10))^2)-($N$4*10/10)*(O151-MAX(N151,($N$4*10/10)))),0))*1000,0)</f>
        <v>0</v>
      </c>
    </row>
    <row r="152" spans="1:49">
      <c r="A152" s="124"/>
      <c r="B152" s="125"/>
      <c r="C152" s="125"/>
      <c r="D152" s="125"/>
      <c r="E152" s="125"/>
      <c r="F152" s="126" t="str">
        <f>IF(J152="OK",D152*E152,"")</f>
        <v/>
      </c>
      <c r="G152" s="126" t="str">
        <f>IF(J152="OK",F152*(C152-B152),"")</f>
        <v/>
      </c>
      <c r="H152" s="126" t="str">
        <f>IF(J152="OK",G152*(C152+B152)/2,"")</f>
        <v/>
      </c>
      <c r="I152" s="126" t="str">
        <f>IF(AND(J152="OK",ISNUMBER($B$5),$B$5&gt;0,ISNUMBER($B$3),$B$3&gt;0),F152*(4*$B$4*(C152^3-B152^3)-(C152^4-B152^4))/(24*$B$3*1000000*$B$5)*1000,"")</f>
        <v/>
      </c>
      <c r="J152" s="120" t="str">
        <f>IF(COUNTA(A152:E152)=0,"",IF(AND(COUNT(B152:E152)=4,B152&gt;=0,C152&gt;B152,C152&lt;=$B$4,D152&gt;=0,E152&gt;0),IF(COUNTIFS($B$13:$B$151,"&lt;"&amp;C152,$C$13:$C$151,"&gt;"&amp;B152)&gt;0,"OVERLAP","OK"),"CHECK INPUTS"))</f>
        <v/>
      </c>
      <c r="M152" s="124"/>
      <c r="N152" s="125"/>
      <c r="O152" s="125"/>
      <c r="P152" s="125"/>
      <c r="Q152" s="125"/>
      <c r="R152" s="126" t="str">
        <f>IF(V152="OK",P152*Q152,"")</f>
        <v/>
      </c>
      <c r="S152" s="126" t="str">
        <f>IF(V152="OK",R152*(O152-N152),"")</f>
        <v/>
      </c>
      <c r="T152" s="126" t="str">
        <f>IF(V152="OK",S152*(O152+N152)/2,"")</f>
        <v/>
      </c>
      <c r="U152" s="126" t="str">
        <f>IF(AND(V152="OK",ISNUMBER($N$5),$N$5&gt;0,ISNUMBER($N$3),$N$3&gt;0),R152*(4*$N$4*(O152^3-N152^3)-(O152^4-N152^4))/(24*$N$3*1000000*$N$5)*1000,"")</f>
        <v/>
      </c>
      <c r="V152" s="120" t="str">
        <f>IF(COUNTA(M152:Q152)=0,"",IF(AND(COUNT(N152:Q152)=4,N152&gt;=0,O152&gt;N152,O152&lt;=$N$4,P152&gt;=0,Q152&gt;0),IF(COUNTIFS($N$13:$N$151,"&lt;"&amp;O152,$O$13:$O$151,"&gt;"&amp;N152)&gt;0,"OVERLAP","OK"),"CHECK INPUTS"))</f>
        <v/>
      </c>
      <c r="AA152" s="120">
        <f>IF(AND(J152="OK",ISNUMBER($B$5),$B$5&gt;0,ISNUMBER($B$3),$B$3&gt;0),F152/(6*$B$3*1000000*$B$5)*(IF(B152&lt;($B$4*0/10),($B$4*0/10)*(MIN(C152,($B$4*0/10))^3-B152^3)-(MIN(C152,($B$4*0/10))^4-B152^4)/4,0)+IF(C152&gt;($B$4*0/10),($B$4*0/10)^2*(1.5*(C152^2-MAX(B152,($B$4*0/10))^2)-($B$4*0/10)*(C152-MAX(B152,($B$4*0/10)))),0))*1000,0)</f>
        <v>0</v>
      </c>
      <c r="AB152" s="120">
        <f>IF(AND(J152="OK",ISNUMBER($B$5),$B$5&gt;0,ISNUMBER($B$3),$B$3&gt;0),F152/(6*$B$3*1000000*$B$5)*(IF(B152&lt;($B$4*1/10),($B$4*1/10)*(MIN(C152,($B$4*1/10))^3-B152^3)-(MIN(C152,($B$4*1/10))^4-B152^4)/4,0)+IF(C152&gt;($B$4*1/10),($B$4*1/10)^2*(1.5*(C152^2-MAX(B152,($B$4*1/10))^2)-($B$4*1/10)*(C152-MAX(B152,($B$4*1/10)))),0))*1000,0)</f>
        <v>0</v>
      </c>
      <c r="AC152" s="120">
        <f>IF(AND(J152="OK",ISNUMBER($B$5),$B$5&gt;0,ISNUMBER($B$3),$B$3&gt;0),F152/(6*$B$3*1000000*$B$5)*(IF(B152&lt;($B$4*2/10),($B$4*2/10)*(MIN(C152,($B$4*2/10))^3-B152^3)-(MIN(C152,($B$4*2/10))^4-B152^4)/4,0)+IF(C152&gt;($B$4*2/10),($B$4*2/10)^2*(1.5*(C152^2-MAX(B152,($B$4*2/10))^2)-($B$4*2/10)*(C152-MAX(B152,($B$4*2/10)))),0))*1000,0)</f>
        <v>0</v>
      </c>
      <c r="AD152" s="120">
        <f>IF(AND(J152="OK",ISNUMBER($B$5),$B$5&gt;0,ISNUMBER($B$3),$B$3&gt;0),F152/(6*$B$3*1000000*$B$5)*(IF(B152&lt;($B$4*3/10),($B$4*3/10)*(MIN(C152,($B$4*3/10))^3-B152^3)-(MIN(C152,($B$4*3/10))^4-B152^4)/4,0)+IF(C152&gt;($B$4*3/10),($B$4*3/10)^2*(1.5*(C152^2-MAX(B152,($B$4*3/10))^2)-($B$4*3/10)*(C152-MAX(B152,($B$4*3/10)))),0))*1000,0)</f>
        <v>0</v>
      </c>
      <c r="AE152" s="120">
        <f>IF(AND(J152="OK",ISNUMBER($B$5),$B$5&gt;0,ISNUMBER($B$3),$B$3&gt;0),F152/(6*$B$3*1000000*$B$5)*(IF(B152&lt;($B$4*4/10),($B$4*4/10)*(MIN(C152,($B$4*4/10))^3-B152^3)-(MIN(C152,($B$4*4/10))^4-B152^4)/4,0)+IF(C152&gt;($B$4*4/10),($B$4*4/10)^2*(1.5*(C152^2-MAX(B152,($B$4*4/10))^2)-($B$4*4/10)*(C152-MAX(B152,($B$4*4/10)))),0))*1000,0)</f>
        <v>0</v>
      </c>
      <c r="AF152" s="120">
        <f>IF(AND(J152="OK",ISNUMBER($B$5),$B$5&gt;0,ISNUMBER($B$3),$B$3&gt;0),F152/(6*$B$3*1000000*$B$5)*(IF(B152&lt;($B$4*5/10),($B$4*5/10)*(MIN(C152,($B$4*5/10))^3-B152^3)-(MIN(C152,($B$4*5/10))^4-B152^4)/4,0)+IF(C152&gt;($B$4*5/10),($B$4*5/10)^2*(1.5*(C152^2-MAX(B152,($B$4*5/10))^2)-($B$4*5/10)*(C152-MAX(B152,($B$4*5/10)))),0))*1000,0)</f>
        <v>0</v>
      </c>
      <c r="AG152" s="120">
        <f>IF(AND(J152="OK",ISNUMBER($B$5),$B$5&gt;0,ISNUMBER($B$3),$B$3&gt;0),F152/(6*$B$3*1000000*$B$5)*(IF(B152&lt;($B$4*6/10),($B$4*6/10)*(MIN(C152,($B$4*6/10))^3-B152^3)-(MIN(C152,($B$4*6/10))^4-B152^4)/4,0)+IF(C152&gt;($B$4*6/10),($B$4*6/10)^2*(1.5*(C152^2-MAX(B152,($B$4*6/10))^2)-($B$4*6/10)*(C152-MAX(B152,($B$4*6/10)))),0))*1000,0)</f>
        <v>0</v>
      </c>
      <c r="AH152" s="120">
        <f>IF(AND(J152="OK",ISNUMBER($B$5),$B$5&gt;0,ISNUMBER($B$3),$B$3&gt;0),F152/(6*$B$3*1000000*$B$5)*(IF(B152&lt;($B$4*7/10),($B$4*7/10)*(MIN(C152,($B$4*7/10))^3-B152^3)-(MIN(C152,($B$4*7/10))^4-B152^4)/4,0)+IF(C152&gt;($B$4*7/10),($B$4*7/10)^2*(1.5*(C152^2-MAX(B152,($B$4*7/10))^2)-($B$4*7/10)*(C152-MAX(B152,($B$4*7/10)))),0))*1000,0)</f>
        <v>0</v>
      </c>
      <c r="AI152" s="120">
        <f>IF(AND(J152="OK",ISNUMBER($B$5),$B$5&gt;0,ISNUMBER($B$3),$B$3&gt;0),F152/(6*$B$3*1000000*$B$5)*(IF(B152&lt;($B$4*8/10),($B$4*8/10)*(MIN(C152,($B$4*8/10))^3-B152^3)-(MIN(C152,($B$4*8/10))^4-B152^4)/4,0)+IF(C152&gt;($B$4*8/10),($B$4*8/10)^2*(1.5*(C152^2-MAX(B152,($B$4*8/10))^2)-($B$4*8/10)*(C152-MAX(B152,($B$4*8/10)))),0))*1000,0)</f>
        <v>0</v>
      </c>
      <c r="AJ152" s="120">
        <f>IF(AND(J152="OK",ISNUMBER($B$5),$B$5&gt;0,ISNUMBER($B$3),$B$3&gt;0),F152/(6*$B$3*1000000*$B$5)*(IF(B152&lt;($B$4*9/10),($B$4*9/10)*(MIN(C152,($B$4*9/10))^3-B152^3)-(MIN(C152,($B$4*9/10))^4-B152^4)/4,0)+IF(C152&gt;($B$4*9/10),($B$4*9/10)^2*(1.5*(C152^2-MAX(B152,($B$4*9/10))^2)-($B$4*9/10)*(C152-MAX(B152,($B$4*9/10)))),0))*1000,0)</f>
        <v>0</v>
      </c>
      <c r="AK152" s="120">
        <f>IF(AND(J152="OK",ISNUMBER($B$5),$B$5&gt;0,ISNUMBER($B$3),$B$3&gt;0),F152/(6*$B$3*1000000*$B$5)*(IF(B152&lt;($B$4*10/10),($B$4*10/10)*(MIN(C152,($B$4*10/10))^3-B152^3)-(MIN(C152,($B$4*10/10))^4-B152^4)/4,0)+IF(C152&gt;($B$4*10/10),($B$4*10/10)^2*(1.5*(C152^2-MAX(B152,($B$4*10/10))^2)-($B$4*10/10)*(C152-MAX(B152,($B$4*10/10)))),0))*1000,0)</f>
        <v>0</v>
      </c>
      <c r="AM152" s="120">
        <f>IF(AND(V152="OK",ISNUMBER($N$5),$N$5&gt;0,ISNUMBER($N$3),$N$3&gt;0),R152/(6*$N$3*1000000*$N$5)*(IF(N152&lt;($N$4*0/10),($N$4*0/10)*(MIN(O152,($N$4*0/10))^3-N152^3)-(MIN(O152,($N$4*0/10))^4-N152^4)/4,0)+IF(O152&gt;($N$4*0/10),($N$4*0/10)^2*(1.5*(O152^2-MAX(N152,($N$4*0/10))^2)-($N$4*0/10)*(O152-MAX(N152,($N$4*0/10)))),0))*1000,0)</f>
        <v>0</v>
      </c>
      <c r="AN152" s="120">
        <f>IF(AND(V152="OK",ISNUMBER($N$5),$N$5&gt;0,ISNUMBER($N$3),$N$3&gt;0),R152/(6*$N$3*1000000*$N$5)*(IF(N152&lt;($N$4*1/10),($N$4*1/10)*(MIN(O152,($N$4*1/10))^3-N152^3)-(MIN(O152,($N$4*1/10))^4-N152^4)/4,0)+IF(O152&gt;($N$4*1/10),($N$4*1/10)^2*(1.5*(O152^2-MAX(N152,($N$4*1/10))^2)-($N$4*1/10)*(O152-MAX(N152,($N$4*1/10)))),0))*1000,0)</f>
        <v>0</v>
      </c>
      <c r="AO152" s="120">
        <f>IF(AND(V152="OK",ISNUMBER($N$5),$N$5&gt;0,ISNUMBER($N$3),$N$3&gt;0),R152/(6*$N$3*1000000*$N$5)*(IF(N152&lt;($N$4*2/10),($N$4*2/10)*(MIN(O152,($N$4*2/10))^3-N152^3)-(MIN(O152,($N$4*2/10))^4-N152^4)/4,0)+IF(O152&gt;($N$4*2/10),($N$4*2/10)^2*(1.5*(O152^2-MAX(N152,($N$4*2/10))^2)-($N$4*2/10)*(O152-MAX(N152,($N$4*2/10)))),0))*1000,0)</f>
        <v>0</v>
      </c>
      <c r="AP152" s="120">
        <f>IF(AND(V152="OK",ISNUMBER($N$5),$N$5&gt;0,ISNUMBER($N$3),$N$3&gt;0),R152/(6*$N$3*1000000*$N$5)*(IF(N152&lt;($N$4*3/10),($N$4*3/10)*(MIN(O152,($N$4*3/10))^3-N152^3)-(MIN(O152,($N$4*3/10))^4-N152^4)/4,0)+IF(O152&gt;($N$4*3/10),($N$4*3/10)^2*(1.5*(O152^2-MAX(N152,($N$4*3/10))^2)-($N$4*3/10)*(O152-MAX(N152,($N$4*3/10)))),0))*1000,0)</f>
        <v>0</v>
      </c>
      <c r="AQ152" s="120">
        <f>IF(AND(V152="OK",ISNUMBER($N$5),$N$5&gt;0,ISNUMBER($N$3),$N$3&gt;0),R152/(6*$N$3*1000000*$N$5)*(IF(N152&lt;($N$4*4/10),($N$4*4/10)*(MIN(O152,($N$4*4/10))^3-N152^3)-(MIN(O152,($N$4*4/10))^4-N152^4)/4,0)+IF(O152&gt;($N$4*4/10),($N$4*4/10)^2*(1.5*(O152^2-MAX(N152,($N$4*4/10))^2)-($N$4*4/10)*(O152-MAX(N152,($N$4*4/10)))),0))*1000,0)</f>
        <v>0</v>
      </c>
      <c r="AR152" s="120">
        <f>IF(AND(V152="OK",ISNUMBER($N$5),$N$5&gt;0,ISNUMBER($N$3),$N$3&gt;0),R152/(6*$N$3*1000000*$N$5)*(IF(N152&lt;($N$4*5/10),($N$4*5/10)*(MIN(O152,($N$4*5/10))^3-N152^3)-(MIN(O152,($N$4*5/10))^4-N152^4)/4,0)+IF(O152&gt;($N$4*5/10),($N$4*5/10)^2*(1.5*(O152^2-MAX(N152,($N$4*5/10))^2)-($N$4*5/10)*(O152-MAX(N152,($N$4*5/10)))),0))*1000,0)</f>
        <v>0</v>
      </c>
      <c r="AS152" s="120">
        <f>IF(AND(V152="OK",ISNUMBER($N$5),$N$5&gt;0,ISNUMBER($N$3),$N$3&gt;0),R152/(6*$N$3*1000000*$N$5)*(IF(N152&lt;($N$4*6/10),($N$4*6/10)*(MIN(O152,($N$4*6/10))^3-N152^3)-(MIN(O152,($N$4*6/10))^4-N152^4)/4,0)+IF(O152&gt;($N$4*6/10),($N$4*6/10)^2*(1.5*(O152^2-MAX(N152,($N$4*6/10))^2)-($N$4*6/10)*(O152-MAX(N152,($N$4*6/10)))),0))*1000,0)</f>
        <v>0</v>
      </c>
      <c r="AT152" s="120">
        <f>IF(AND(V152="OK",ISNUMBER($N$5),$N$5&gt;0,ISNUMBER($N$3),$N$3&gt;0),R152/(6*$N$3*1000000*$N$5)*(IF(N152&lt;($N$4*7/10),($N$4*7/10)*(MIN(O152,($N$4*7/10))^3-N152^3)-(MIN(O152,($N$4*7/10))^4-N152^4)/4,0)+IF(O152&gt;($N$4*7/10),($N$4*7/10)^2*(1.5*(O152^2-MAX(N152,($N$4*7/10))^2)-($N$4*7/10)*(O152-MAX(N152,($N$4*7/10)))),0))*1000,0)</f>
        <v>0</v>
      </c>
      <c r="AU152" s="120">
        <f>IF(AND(V152="OK",ISNUMBER($N$5),$N$5&gt;0,ISNUMBER($N$3),$N$3&gt;0),R152/(6*$N$3*1000000*$N$5)*(IF(N152&lt;($N$4*8/10),($N$4*8/10)*(MIN(O152,($N$4*8/10))^3-N152^3)-(MIN(O152,($N$4*8/10))^4-N152^4)/4,0)+IF(O152&gt;($N$4*8/10),($N$4*8/10)^2*(1.5*(O152^2-MAX(N152,($N$4*8/10))^2)-($N$4*8/10)*(O152-MAX(N152,($N$4*8/10)))),0))*1000,0)</f>
        <v>0</v>
      </c>
      <c r="AV152" s="120">
        <f>IF(AND(V152="OK",ISNUMBER($N$5),$N$5&gt;0,ISNUMBER($N$3),$N$3&gt;0),R152/(6*$N$3*1000000*$N$5)*(IF(N152&lt;($N$4*9/10),($N$4*9/10)*(MIN(O152,($N$4*9/10))^3-N152^3)-(MIN(O152,($N$4*9/10))^4-N152^4)/4,0)+IF(O152&gt;($N$4*9/10),($N$4*9/10)^2*(1.5*(O152^2-MAX(N152,($N$4*9/10))^2)-($N$4*9/10)*(O152-MAX(N152,($N$4*9/10)))),0))*1000,0)</f>
        <v>0</v>
      </c>
      <c r="AW152" s="120">
        <f>IF(AND(V152="OK",ISNUMBER($N$5),$N$5&gt;0,ISNUMBER($N$3),$N$3&gt;0),R152/(6*$N$3*1000000*$N$5)*(IF(N152&lt;($N$4*10/10),($N$4*10/10)*(MIN(O152,($N$4*10/10))^3-N152^3)-(MIN(O152,($N$4*10/10))^4-N152^4)/4,0)+IF(O152&gt;($N$4*10/10),($N$4*10/10)^2*(1.5*(O152^2-MAX(N152,($N$4*10/10))^2)-($N$4*10/10)*(O152-MAX(N152,($N$4*10/10)))),0))*1000,0)</f>
        <v>0</v>
      </c>
    </row>
    <row r="153" spans="1:49">
      <c r="A153" s="124"/>
      <c r="B153" s="125"/>
      <c r="C153" s="125"/>
      <c r="D153" s="125"/>
      <c r="E153" s="125"/>
      <c r="F153" s="126" t="str">
        <f>IF(J153="OK",D153*E153,"")</f>
        <v/>
      </c>
      <c r="G153" s="126" t="str">
        <f>IF(J153="OK",F153*(C153-B153),"")</f>
        <v/>
      </c>
      <c r="H153" s="126" t="str">
        <f>IF(J153="OK",G153*(C153+B153)/2,"")</f>
        <v/>
      </c>
      <c r="I153" s="126" t="str">
        <f>IF(AND(J153="OK",ISNUMBER($B$5),$B$5&gt;0,ISNUMBER($B$3),$B$3&gt;0),F153*(4*$B$4*(C153^3-B153^3)-(C153^4-B153^4))/(24*$B$3*1000000*$B$5)*1000,"")</f>
        <v/>
      </c>
      <c r="J153" s="120" t="str">
        <f>IF(COUNTA(A153:E153)=0,"",IF(AND(COUNT(B153:E153)=4,B153&gt;=0,C153&gt;B153,C153&lt;=$B$4,D153&gt;=0,E153&gt;0),IF(COUNTIFS($B$13:$B$152,"&lt;"&amp;C153,$C$13:$C$152,"&gt;"&amp;B153)&gt;0,"OVERLAP","OK"),"CHECK INPUTS"))</f>
        <v/>
      </c>
      <c r="M153" s="124"/>
      <c r="N153" s="125"/>
      <c r="O153" s="125"/>
      <c r="P153" s="125"/>
      <c r="Q153" s="125"/>
      <c r="R153" s="126" t="str">
        <f>IF(V153="OK",P153*Q153,"")</f>
        <v/>
      </c>
      <c r="S153" s="126" t="str">
        <f>IF(V153="OK",R153*(O153-N153),"")</f>
        <v/>
      </c>
      <c r="T153" s="126" t="str">
        <f>IF(V153="OK",S153*(O153+N153)/2,"")</f>
        <v/>
      </c>
      <c r="U153" s="126" t="str">
        <f>IF(AND(V153="OK",ISNUMBER($N$5),$N$5&gt;0,ISNUMBER($N$3),$N$3&gt;0),R153*(4*$N$4*(O153^3-N153^3)-(O153^4-N153^4))/(24*$N$3*1000000*$N$5)*1000,"")</f>
        <v/>
      </c>
      <c r="V153" s="120" t="str">
        <f>IF(COUNTA(M153:Q153)=0,"",IF(AND(COUNT(N153:Q153)=4,N153&gt;=0,O153&gt;N153,O153&lt;=$N$4,P153&gt;=0,Q153&gt;0),IF(COUNTIFS($N$13:$N$152,"&lt;"&amp;O153,$O$13:$O$152,"&gt;"&amp;N153)&gt;0,"OVERLAP","OK"),"CHECK INPUTS"))</f>
        <v/>
      </c>
      <c r="AA153" s="120">
        <f>IF(AND(J153="OK",ISNUMBER($B$5),$B$5&gt;0,ISNUMBER($B$3),$B$3&gt;0),F153/(6*$B$3*1000000*$B$5)*(IF(B153&lt;($B$4*0/10),($B$4*0/10)*(MIN(C153,($B$4*0/10))^3-B153^3)-(MIN(C153,($B$4*0/10))^4-B153^4)/4,0)+IF(C153&gt;($B$4*0/10),($B$4*0/10)^2*(1.5*(C153^2-MAX(B153,($B$4*0/10))^2)-($B$4*0/10)*(C153-MAX(B153,($B$4*0/10)))),0))*1000,0)</f>
        <v>0</v>
      </c>
      <c r="AB153" s="120">
        <f>IF(AND(J153="OK",ISNUMBER($B$5),$B$5&gt;0,ISNUMBER($B$3),$B$3&gt;0),F153/(6*$B$3*1000000*$B$5)*(IF(B153&lt;($B$4*1/10),($B$4*1/10)*(MIN(C153,($B$4*1/10))^3-B153^3)-(MIN(C153,($B$4*1/10))^4-B153^4)/4,0)+IF(C153&gt;($B$4*1/10),($B$4*1/10)^2*(1.5*(C153^2-MAX(B153,($B$4*1/10))^2)-($B$4*1/10)*(C153-MAX(B153,($B$4*1/10)))),0))*1000,0)</f>
        <v>0</v>
      </c>
      <c r="AC153" s="120">
        <f>IF(AND(J153="OK",ISNUMBER($B$5),$B$5&gt;0,ISNUMBER($B$3),$B$3&gt;0),F153/(6*$B$3*1000000*$B$5)*(IF(B153&lt;($B$4*2/10),($B$4*2/10)*(MIN(C153,($B$4*2/10))^3-B153^3)-(MIN(C153,($B$4*2/10))^4-B153^4)/4,0)+IF(C153&gt;($B$4*2/10),($B$4*2/10)^2*(1.5*(C153^2-MAX(B153,($B$4*2/10))^2)-($B$4*2/10)*(C153-MAX(B153,($B$4*2/10)))),0))*1000,0)</f>
        <v>0</v>
      </c>
      <c r="AD153" s="120">
        <f>IF(AND(J153="OK",ISNUMBER($B$5),$B$5&gt;0,ISNUMBER($B$3),$B$3&gt;0),F153/(6*$B$3*1000000*$B$5)*(IF(B153&lt;($B$4*3/10),($B$4*3/10)*(MIN(C153,($B$4*3/10))^3-B153^3)-(MIN(C153,($B$4*3/10))^4-B153^4)/4,0)+IF(C153&gt;($B$4*3/10),($B$4*3/10)^2*(1.5*(C153^2-MAX(B153,($B$4*3/10))^2)-($B$4*3/10)*(C153-MAX(B153,($B$4*3/10)))),0))*1000,0)</f>
        <v>0</v>
      </c>
      <c r="AE153" s="120">
        <f>IF(AND(J153="OK",ISNUMBER($B$5),$B$5&gt;0,ISNUMBER($B$3),$B$3&gt;0),F153/(6*$B$3*1000000*$B$5)*(IF(B153&lt;($B$4*4/10),($B$4*4/10)*(MIN(C153,($B$4*4/10))^3-B153^3)-(MIN(C153,($B$4*4/10))^4-B153^4)/4,0)+IF(C153&gt;($B$4*4/10),($B$4*4/10)^2*(1.5*(C153^2-MAX(B153,($B$4*4/10))^2)-($B$4*4/10)*(C153-MAX(B153,($B$4*4/10)))),0))*1000,0)</f>
        <v>0</v>
      </c>
      <c r="AF153" s="120">
        <f>IF(AND(J153="OK",ISNUMBER($B$5),$B$5&gt;0,ISNUMBER($B$3),$B$3&gt;0),F153/(6*$B$3*1000000*$B$5)*(IF(B153&lt;($B$4*5/10),($B$4*5/10)*(MIN(C153,($B$4*5/10))^3-B153^3)-(MIN(C153,($B$4*5/10))^4-B153^4)/4,0)+IF(C153&gt;($B$4*5/10),($B$4*5/10)^2*(1.5*(C153^2-MAX(B153,($B$4*5/10))^2)-($B$4*5/10)*(C153-MAX(B153,($B$4*5/10)))),0))*1000,0)</f>
        <v>0</v>
      </c>
      <c r="AG153" s="120">
        <f>IF(AND(J153="OK",ISNUMBER($B$5),$B$5&gt;0,ISNUMBER($B$3),$B$3&gt;0),F153/(6*$B$3*1000000*$B$5)*(IF(B153&lt;($B$4*6/10),($B$4*6/10)*(MIN(C153,($B$4*6/10))^3-B153^3)-(MIN(C153,($B$4*6/10))^4-B153^4)/4,0)+IF(C153&gt;($B$4*6/10),($B$4*6/10)^2*(1.5*(C153^2-MAX(B153,($B$4*6/10))^2)-($B$4*6/10)*(C153-MAX(B153,($B$4*6/10)))),0))*1000,0)</f>
        <v>0</v>
      </c>
      <c r="AH153" s="120">
        <f>IF(AND(J153="OK",ISNUMBER($B$5),$B$5&gt;0,ISNUMBER($B$3),$B$3&gt;0),F153/(6*$B$3*1000000*$B$5)*(IF(B153&lt;($B$4*7/10),($B$4*7/10)*(MIN(C153,($B$4*7/10))^3-B153^3)-(MIN(C153,($B$4*7/10))^4-B153^4)/4,0)+IF(C153&gt;($B$4*7/10),($B$4*7/10)^2*(1.5*(C153^2-MAX(B153,($B$4*7/10))^2)-($B$4*7/10)*(C153-MAX(B153,($B$4*7/10)))),0))*1000,0)</f>
        <v>0</v>
      </c>
      <c r="AI153" s="120">
        <f>IF(AND(J153="OK",ISNUMBER($B$5),$B$5&gt;0,ISNUMBER($B$3),$B$3&gt;0),F153/(6*$B$3*1000000*$B$5)*(IF(B153&lt;($B$4*8/10),($B$4*8/10)*(MIN(C153,($B$4*8/10))^3-B153^3)-(MIN(C153,($B$4*8/10))^4-B153^4)/4,0)+IF(C153&gt;($B$4*8/10),($B$4*8/10)^2*(1.5*(C153^2-MAX(B153,($B$4*8/10))^2)-($B$4*8/10)*(C153-MAX(B153,($B$4*8/10)))),0))*1000,0)</f>
        <v>0</v>
      </c>
      <c r="AJ153" s="120">
        <f>IF(AND(J153="OK",ISNUMBER($B$5),$B$5&gt;0,ISNUMBER($B$3),$B$3&gt;0),F153/(6*$B$3*1000000*$B$5)*(IF(B153&lt;($B$4*9/10),($B$4*9/10)*(MIN(C153,($B$4*9/10))^3-B153^3)-(MIN(C153,($B$4*9/10))^4-B153^4)/4,0)+IF(C153&gt;($B$4*9/10),($B$4*9/10)^2*(1.5*(C153^2-MAX(B153,($B$4*9/10))^2)-($B$4*9/10)*(C153-MAX(B153,($B$4*9/10)))),0))*1000,0)</f>
        <v>0</v>
      </c>
      <c r="AK153" s="120">
        <f>IF(AND(J153="OK",ISNUMBER($B$5),$B$5&gt;0,ISNUMBER($B$3),$B$3&gt;0),F153/(6*$B$3*1000000*$B$5)*(IF(B153&lt;($B$4*10/10),($B$4*10/10)*(MIN(C153,($B$4*10/10))^3-B153^3)-(MIN(C153,($B$4*10/10))^4-B153^4)/4,0)+IF(C153&gt;($B$4*10/10),($B$4*10/10)^2*(1.5*(C153^2-MAX(B153,($B$4*10/10))^2)-($B$4*10/10)*(C153-MAX(B153,($B$4*10/10)))),0))*1000,0)</f>
        <v>0</v>
      </c>
      <c r="AM153" s="120">
        <f>IF(AND(V153="OK",ISNUMBER($N$5),$N$5&gt;0,ISNUMBER($N$3),$N$3&gt;0),R153/(6*$N$3*1000000*$N$5)*(IF(N153&lt;($N$4*0/10),($N$4*0/10)*(MIN(O153,($N$4*0/10))^3-N153^3)-(MIN(O153,($N$4*0/10))^4-N153^4)/4,0)+IF(O153&gt;($N$4*0/10),($N$4*0/10)^2*(1.5*(O153^2-MAX(N153,($N$4*0/10))^2)-($N$4*0/10)*(O153-MAX(N153,($N$4*0/10)))),0))*1000,0)</f>
        <v>0</v>
      </c>
      <c r="AN153" s="120">
        <f>IF(AND(V153="OK",ISNUMBER($N$5),$N$5&gt;0,ISNUMBER($N$3),$N$3&gt;0),R153/(6*$N$3*1000000*$N$5)*(IF(N153&lt;($N$4*1/10),($N$4*1/10)*(MIN(O153,($N$4*1/10))^3-N153^3)-(MIN(O153,($N$4*1/10))^4-N153^4)/4,0)+IF(O153&gt;($N$4*1/10),($N$4*1/10)^2*(1.5*(O153^2-MAX(N153,($N$4*1/10))^2)-($N$4*1/10)*(O153-MAX(N153,($N$4*1/10)))),0))*1000,0)</f>
        <v>0</v>
      </c>
      <c r="AO153" s="120">
        <f>IF(AND(V153="OK",ISNUMBER($N$5),$N$5&gt;0,ISNUMBER($N$3),$N$3&gt;0),R153/(6*$N$3*1000000*$N$5)*(IF(N153&lt;($N$4*2/10),($N$4*2/10)*(MIN(O153,($N$4*2/10))^3-N153^3)-(MIN(O153,($N$4*2/10))^4-N153^4)/4,0)+IF(O153&gt;($N$4*2/10),($N$4*2/10)^2*(1.5*(O153^2-MAX(N153,($N$4*2/10))^2)-($N$4*2/10)*(O153-MAX(N153,($N$4*2/10)))),0))*1000,0)</f>
        <v>0</v>
      </c>
      <c r="AP153" s="120">
        <f>IF(AND(V153="OK",ISNUMBER($N$5),$N$5&gt;0,ISNUMBER($N$3),$N$3&gt;0),R153/(6*$N$3*1000000*$N$5)*(IF(N153&lt;($N$4*3/10),($N$4*3/10)*(MIN(O153,($N$4*3/10))^3-N153^3)-(MIN(O153,($N$4*3/10))^4-N153^4)/4,0)+IF(O153&gt;($N$4*3/10),($N$4*3/10)^2*(1.5*(O153^2-MAX(N153,($N$4*3/10))^2)-($N$4*3/10)*(O153-MAX(N153,($N$4*3/10)))),0))*1000,0)</f>
        <v>0</v>
      </c>
      <c r="AQ153" s="120">
        <f>IF(AND(V153="OK",ISNUMBER($N$5),$N$5&gt;0,ISNUMBER($N$3),$N$3&gt;0),R153/(6*$N$3*1000000*$N$5)*(IF(N153&lt;($N$4*4/10),($N$4*4/10)*(MIN(O153,($N$4*4/10))^3-N153^3)-(MIN(O153,($N$4*4/10))^4-N153^4)/4,0)+IF(O153&gt;($N$4*4/10),($N$4*4/10)^2*(1.5*(O153^2-MAX(N153,($N$4*4/10))^2)-($N$4*4/10)*(O153-MAX(N153,($N$4*4/10)))),0))*1000,0)</f>
        <v>0</v>
      </c>
      <c r="AR153" s="120">
        <f>IF(AND(V153="OK",ISNUMBER($N$5),$N$5&gt;0,ISNUMBER($N$3),$N$3&gt;0),R153/(6*$N$3*1000000*$N$5)*(IF(N153&lt;($N$4*5/10),($N$4*5/10)*(MIN(O153,($N$4*5/10))^3-N153^3)-(MIN(O153,($N$4*5/10))^4-N153^4)/4,0)+IF(O153&gt;($N$4*5/10),($N$4*5/10)^2*(1.5*(O153^2-MAX(N153,($N$4*5/10))^2)-($N$4*5/10)*(O153-MAX(N153,($N$4*5/10)))),0))*1000,0)</f>
        <v>0</v>
      </c>
      <c r="AS153" s="120">
        <f>IF(AND(V153="OK",ISNUMBER($N$5),$N$5&gt;0,ISNUMBER($N$3),$N$3&gt;0),R153/(6*$N$3*1000000*$N$5)*(IF(N153&lt;($N$4*6/10),($N$4*6/10)*(MIN(O153,($N$4*6/10))^3-N153^3)-(MIN(O153,($N$4*6/10))^4-N153^4)/4,0)+IF(O153&gt;($N$4*6/10),($N$4*6/10)^2*(1.5*(O153^2-MAX(N153,($N$4*6/10))^2)-($N$4*6/10)*(O153-MAX(N153,($N$4*6/10)))),0))*1000,0)</f>
        <v>0</v>
      </c>
      <c r="AT153" s="120">
        <f>IF(AND(V153="OK",ISNUMBER($N$5),$N$5&gt;0,ISNUMBER($N$3),$N$3&gt;0),R153/(6*$N$3*1000000*$N$5)*(IF(N153&lt;($N$4*7/10),($N$4*7/10)*(MIN(O153,($N$4*7/10))^3-N153^3)-(MIN(O153,($N$4*7/10))^4-N153^4)/4,0)+IF(O153&gt;($N$4*7/10),($N$4*7/10)^2*(1.5*(O153^2-MAX(N153,($N$4*7/10))^2)-($N$4*7/10)*(O153-MAX(N153,($N$4*7/10)))),0))*1000,0)</f>
        <v>0</v>
      </c>
      <c r="AU153" s="120">
        <f>IF(AND(V153="OK",ISNUMBER($N$5),$N$5&gt;0,ISNUMBER($N$3),$N$3&gt;0),R153/(6*$N$3*1000000*$N$5)*(IF(N153&lt;($N$4*8/10),($N$4*8/10)*(MIN(O153,($N$4*8/10))^3-N153^3)-(MIN(O153,($N$4*8/10))^4-N153^4)/4,0)+IF(O153&gt;($N$4*8/10),($N$4*8/10)^2*(1.5*(O153^2-MAX(N153,($N$4*8/10))^2)-($N$4*8/10)*(O153-MAX(N153,($N$4*8/10)))),0))*1000,0)</f>
        <v>0</v>
      </c>
      <c r="AV153" s="120">
        <f>IF(AND(V153="OK",ISNUMBER($N$5),$N$5&gt;0,ISNUMBER($N$3),$N$3&gt;0),R153/(6*$N$3*1000000*$N$5)*(IF(N153&lt;($N$4*9/10),($N$4*9/10)*(MIN(O153,($N$4*9/10))^3-N153^3)-(MIN(O153,($N$4*9/10))^4-N153^4)/4,0)+IF(O153&gt;($N$4*9/10),($N$4*9/10)^2*(1.5*(O153^2-MAX(N153,($N$4*9/10))^2)-($N$4*9/10)*(O153-MAX(N153,($N$4*9/10)))),0))*1000,0)</f>
        <v>0</v>
      </c>
      <c r="AW153" s="120">
        <f>IF(AND(V153="OK",ISNUMBER($N$5),$N$5&gt;0,ISNUMBER($N$3),$N$3&gt;0),R153/(6*$N$3*1000000*$N$5)*(IF(N153&lt;($N$4*10/10),($N$4*10/10)*(MIN(O153,($N$4*10/10))^3-N153^3)-(MIN(O153,($N$4*10/10))^4-N153^4)/4,0)+IF(O153&gt;($N$4*10/10),($N$4*10/10)^2*(1.5*(O153^2-MAX(N153,($N$4*10/10))^2)-($N$4*10/10)*(O153-MAX(N153,($N$4*10/10)))),0))*1000,0)</f>
        <v>0</v>
      </c>
    </row>
    <row r="154" spans="1:49">
      <c r="A154" s="124"/>
      <c r="B154" s="125"/>
      <c r="C154" s="125"/>
      <c r="D154" s="125"/>
      <c r="E154" s="125"/>
      <c r="F154" s="126" t="str">
        <f>IF(J154="OK",D154*E154,"")</f>
        <v/>
      </c>
      <c r="G154" s="126" t="str">
        <f>IF(J154="OK",F154*(C154-B154),"")</f>
        <v/>
      </c>
      <c r="H154" s="126" t="str">
        <f>IF(J154="OK",G154*(C154+B154)/2,"")</f>
        <v/>
      </c>
      <c r="I154" s="126" t="str">
        <f>IF(AND(J154="OK",ISNUMBER($B$5),$B$5&gt;0,ISNUMBER($B$3),$B$3&gt;0),F154*(4*$B$4*(C154^3-B154^3)-(C154^4-B154^4))/(24*$B$3*1000000*$B$5)*1000,"")</f>
        <v/>
      </c>
      <c r="J154" s="120" t="str">
        <f>IF(COUNTA(A154:E154)=0,"",IF(AND(COUNT(B154:E154)=4,B154&gt;=0,C154&gt;B154,C154&lt;=$B$4,D154&gt;=0,E154&gt;0),IF(COUNTIFS($B$13:$B$153,"&lt;"&amp;C154,$C$13:$C$153,"&gt;"&amp;B154)&gt;0,"OVERLAP","OK"),"CHECK INPUTS"))</f>
        <v/>
      </c>
      <c r="M154" s="124"/>
      <c r="N154" s="125"/>
      <c r="O154" s="125"/>
      <c r="P154" s="125"/>
      <c r="Q154" s="125"/>
      <c r="R154" s="126" t="str">
        <f>IF(V154="OK",P154*Q154,"")</f>
        <v/>
      </c>
      <c r="S154" s="126" t="str">
        <f>IF(V154="OK",R154*(O154-N154),"")</f>
        <v/>
      </c>
      <c r="T154" s="126" t="str">
        <f>IF(V154="OK",S154*(O154+N154)/2,"")</f>
        <v/>
      </c>
      <c r="U154" s="126" t="str">
        <f>IF(AND(V154="OK",ISNUMBER($N$5),$N$5&gt;0,ISNUMBER($N$3),$N$3&gt;0),R154*(4*$N$4*(O154^3-N154^3)-(O154^4-N154^4))/(24*$N$3*1000000*$N$5)*1000,"")</f>
        <v/>
      </c>
      <c r="V154" s="120" t="str">
        <f>IF(COUNTA(M154:Q154)=0,"",IF(AND(COUNT(N154:Q154)=4,N154&gt;=0,O154&gt;N154,O154&lt;=$N$4,P154&gt;=0,Q154&gt;0),IF(COUNTIFS($N$13:$N$153,"&lt;"&amp;O154,$O$13:$O$153,"&gt;"&amp;N154)&gt;0,"OVERLAP","OK"),"CHECK INPUTS"))</f>
        <v/>
      </c>
      <c r="AA154" s="120">
        <f>IF(AND(J154="OK",ISNUMBER($B$5),$B$5&gt;0,ISNUMBER($B$3),$B$3&gt;0),F154/(6*$B$3*1000000*$B$5)*(IF(B154&lt;($B$4*0/10),($B$4*0/10)*(MIN(C154,($B$4*0/10))^3-B154^3)-(MIN(C154,($B$4*0/10))^4-B154^4)/4,0)+IF(C154&gt;($B$4*0/10),($B$4*0/10)^2*(1.5*(C154^2-MAX(B154,($B$4*0/10))^2)-($B$4*0/10)*(C154-MAX(B154,($B$4*0/10)))),0))*1000,0)</f>
        <v>0</v>
      </c>
      <c r="AB154" s="120">
        <f>IF(AND(J154="OK",ISNUMBER($B$5),$B$5&gt;0,ISNUMBER($B$3),$B$3&gt;0),F154/(6*$B$3*1000000*$B$5)*(IF(B154&lt;($B$4*1/10),($B$4*1/10)*(MIN(C154,($B$4*1/10))^3-B154^3)-(MIN(C154,($B$4*1/10))^4-B154^4)/4,0)+IF(C154&gt;($B$4*1/10),($B$4*1/10)^2*(1.5*(C154^2-MAX(B154,($B$4*1/10))^2)-($B$4*1/10)*(C154-MAX(B154,($B$4*1/10)))),0))*1000,0)</f>
        <v>0</v>
      </c>
      <c r="AC154" s="120">
        <f>IF(AND(J154="OK",ISNUMBER($B$5),$B$5&gt;0,ISNUMBER($B$3),$B$3&gt;0),F154/(6*$B$3*1000000*$B$5)*(IF(B154&lt;($B$4*2/10),($B$4*2/10)*(MIN(C154,($B$4*2/10))^3-B154^3)-(MIN(C154,($B$4*2/10))^4-B154^4)/4,0)+IF(C154&gt;($B$4*2/10),($B$4*2/10)^2*(1.5*(C154^2-MAX(B154,($B$4*2/10))^2)-($B$4*2/10)*(C154-MAX(B154,($B$4*2/10)))),0))*1000,0)</f>
        <v>0</v>
      </c>
      <c r="AD154" s="120">
        <f>IF(AND(J154="OK",ISNUMBER($B$5),$B$5&gt;0,ISNUMBER($B$3),$B$3&gt;0),F154/(6*$B$3*1000000*$B$5)*(IF(B154&lt;($B$4*3/10),($B$4*3/10)*(MIN(C154,($B$4*3/10))^3-B154^3)-(MIN(C154,($B$4*3/10))^4-B154^4)/4,0)+IF(C154&gt;($B$4*3/10),($B$4*3/10)^2*(1.5*(C154^2-MAX(B154,($B$4*3/10))^2)-($B$4*3/10)*(C154-MAX(B154,($B$4*3/10)))),0))*1000,0)</f>
        <v>0</v>
      </c>
      <c r="AE154" s="120">
        <f>IF(AND(J154="OK",ISNUMBER($B$5),$B$5&gt;0,ISNUMBER($B$3),$B$3&gt;0),F154/(6*$B$3*1000000*$B$5)*(IF(B154&lt;($B$4*4/10),($B$4*4/10)*(MIN(C154,($B$4*4/10))^3-B154^3)-(MIN(C154,($B$4*4/10))^4-B154^4)/4,0)+IF(C154&gt;($B$4*4/10),($B$4*4/10)^2*(1.5*(C154^2-MAX(B154,($B$4*4/10))^2)-($B$4*4/10)*(C154-MAX(B154,($B$4*4/10)))),0))*1000,0)</f>
        <v>0</v>
      </c>
      <c r="AF154" s="120">
        <f>IF(AND(J154="OK",ISNUMBER($B$5),$B$5&gt;0,ISNUMBER($B$3),$B$3&gt;0),F154/(6*$B$3*1000000*$B$5)*(IF(B154&lt;($B$4*5/10),($B$4*5/10)*(MIN(C154,($B$4*5/10))^3-B154^3)-(MIN(C154,($B$4*5/10))^4-B154^4)/4,0)+IF(C154&gt;($B$4*5/10),($B$4*5/10)^2*(1.5*(C154^2-MAX(B154,($B$4*5/10))^2)-($B$4*5/10)*(C154-MAX(B154,($B$4*5/10)))),0))*1000,0)</f>
        <v>0</v>
      </c>
      <c r="AG154" s="120">
        <f>IF(AND(J154="OK",ISNUMBER($B$5),$B$5&gt;0,ISNUMBER($B$3),$B$3&gt;0),F154/(6*$B$3*1000000*$B$5)*(IF(B154&lt;($B$4*6/10),($B$4*6/10)*(MIN(C154,($B$4*6/10))^3-B154^3)-(MIN(C154,($B$4*6/10))^4-B154^4)/4,0)+IF(C154&gt;($B$4*6/10),($B$4*6/10)^2*(1.5*(C154^2-MAX(B154,($B$4*6/10))^2)-($B$4*6/10)*(C154-MAX(B154,($B$4*6/10)))),0))*1000,0)</f>
        <v>0</v>
      </c>
      <c r="AH154" s="120">
        <f>IF(AND(J154="OK",ISNUMBER($B$5),$B$5&gt;0,ISNUMBER($B$3),$B$3&gt;0),F154/(6*$B$3*1000000*$B$5)*(IF(B154&lt;($B$4*7/10),($B$4*7/10)*(MIN(C154,($B$4*7/10))^3-B154^3)-(MIN(C154,($B$4*7/10))^4-B154^4)/4,0)+IF(C154&gt;($B$4*7/10),($B$4*7/10)^2*(1.5*(C154^2-MAX(B154,($B$4*7/10))^2)-($B$4*7/10)*(C154-MAX(B154,($B$4*7/10)))),0))*1000,0)</f>
        <v>0</v>
      </c>
      <c r="AI154" s="120">
        <f>IF(AND(J154="OK",ISNUMBER($B$5),$B$5&gt;0,ISNUMBER($B$3),$B$3&gt;0),F154/(6*$B$3*1000000*$B$5)*(IF(B154&lt;($B$4*8/10),($B$4*8/10)*(MIN(C154,($B$4*8/10))^3-B154^3)-(MIN(C154,($B$4*8/10))^4-B154^4)/4,0)+IF(C154&gt;($B$4*8/10),($B$4*8/10)^2*(1.5*(C154^2-MAX(B154,($B$4*8/10))^2)-($B$4*8/10)*(C154-MAX(B154,($B$4*8/10)))),0))*1000,0)</f>
        <v>0</v>
      </c>
      <c r="AJ154" s="120">
        <f>IF(AND(J154="OK",ISNUMBER($B$5),$B$5&gt;0,ISNUMBER($B$3),$B$3&gt;0),F154/(6*$B$3*1000000*$B$5)*(IF(B154&lt;($B$4*9/10),($B$4*9/10)*(MIN(C154,($B$4*9/10))^3-B154^3)-(MIN(C154,($B$4*9/10))^4-B154^4)/4,0)+IF(C154&gt;($B$4*9/10),($B$4*9/10)^2*(1.5*(C154^2-MAX(B154,($B$4*9/10))^2)-($B$4*9/10)*(C154-MAX(B154,($B$4*9/10)))),0))*1000,0)</f>
        <v>0</v>
      </c>
      <c r="AK154" s="120">
        <f>IF(AND(J154="OK",ISNUMBER($B$5),$B$5&gt;0,ISNUMBER($B$3),$B$3&gt;0),F154/(6*$B$3*1000000*$B$5)*(IF(B154&lt;($B$4*10/10),($B$4*10/10)*(MIN(C154,($B$4*10/10))^3-B154^3)-(MIN(C154,($B$4*10/10))^4-B154^4)/4,0)+IF(C154&gt;($B$4*10/10),($B$4*10/10)^2*(1.5*(C154^2-MAX(B154,($B$4*10/10))^2)-($B$4*10/10)*(C154-MAX(B154,($B$4*10/10)))),0))*1000,0)</f>
        <v>0</v>
      </c>
      <c r="AM154" s="120">
        <f>IF(AND(V154="OK",ISNUMBER($N$5),$N$5&gt;0,ISNUMBER($N$3),$N$3&gt;0),R154/(6*$N$3*1000000*$N$5)*(IF(N154&lt;($N$4*0/10),($N$4*0/10)*(MIN(O154,($N$4*0/10))^3-N154^3)-(MIN(O154,($N$4*0/10))^4-N154^4)/4,0)+IF(O154&gt;($N$4*0/10),($N$4*0/10)^2*(1.5*(O154^2-MAX(N154,($N$4*0/10))^2)-($N$4*0/10)*(O154-MAX(N154,($N$4*0/10)))),0))*1000,0)</f>
        <v>0</v>
      </c>
      <c r="AN154" s="120">
        <f>IF(AND(V154="OK",ISNUMBER($N$5),$N$5&gt;0,ISNUMBER($N$3),$N$3&gt;0),R154/(6*$N$3*1000000*$N$5)*(IF(N154&lt;($N$4*1/10),($N$4*1/10)*(MIN(O154,($N$4*1/10))^3-N154^3)-(MIN(O154,($N$4*1/10))^4-N154^4)/4,0)+IF(O154&gt;($N$4*1/10),($N$4*1/10)^2*(1.5*(O154^2-MAX(N154,($N$4*1/10))^2)-($N$4*1/10)*(O154-MAX(N154,($N$4*1/10)))),0))*1000,0)</f>
        <v>0</v>
      </c>
      <c r="AO154" s="120">
        <f>IF(AND(V154="OK",ISNUMBER($N$5),$N$5&gt;0,ISNUMBER($N$3),$N$3&gt;0),R154/(6*$N$3*1000000*$N$5)*(IF(N154&lt;($N$4*2/10),($N$4*2/10)*(MIN(O154,($N$4*2/10))^3-N154^3)-(MIN(O154,($N$4*2/10))^4-N154^4)/4,0)+IF(O154&gt;($N$4*2/10),($N$4*2/10)^2*(1.5*(O154^2-MAX(N154,($N$4*2/10))^2)-($N$4*2/10)*(O154-MAX(N154,($N$4*2/10)))),0))*1000,0)</f>
        <v>0</v>
      </c>
      <c r="AP154" s="120">
        <f>IF(AND(V154="OK",ISNUMBER($N$5),$N$5&gt;0,ISNUMBER($N$3),$N$3&gt;0),R154/(6*$N$3*1000000*$N$5)*(IF(N154&lt;($N$4*3/10),($N$4*3/10)*(MIN(O154,($N$4*3/10))^3-N154^3)-(MIN(O154,($N$4*3/10))^4-N154^4)/4,0)+IF(O154&gt;($N$4*3/10),($N$4*3/10)^2*(1.5*(O154^2-MAX(N154,($N$4*3/10))^2)-($N$4*3/10)*(O154-MAX(N154,($N$4*3/10)))),0))*1000,0)</f>
        <v>0</v>
      </c>
      <c r="AQ154" s="120">
        <f>IF(AND(V154="OK",ISNUMBER($N$5),$N$5&gt;0,ISNUMBER($N$3),$N$3&gt;0),R154/(6*$N$3*1000000*$N$5)*(IF(N154&lt;($N$4*4/10),($N$4*4/10)*(MIN(O154,($N$4*4/10))^3-N154^3)-(MIN(O154,($N$4*4/10))^4-N154^4)/4,0)+IF(O154&gt;($N$4*4/10),($N$4*4/10)^2*(1.5*(O154^2-MAX(N154,($N$4*4/10))^2)-($N$4*4/10)*(O154-MAX(N154,($N$4*4/10)))),0))*1000,0)</f>
        <v>0</v>
      </c>
      <c r="AR154" s="120">
        <f>IF(AND(V154="OK",ISNUMBER($N$5),$N$5&gt;0,ISNUMBER($N$3),$N$3&gt;0),R154/(6*$N$3*1000000*$N$5)*(IF(N154&lt;($N$4*5/10),($N$4*5/10)*(MIN(O154,($N$4*5/10))^3-N154^3)-(MIN(O154,($N$4*5/10))^4-N154^4)/4,0)+IF(O154&gt;($N$4*5/10),($N$4*5/10)^2*(1.5*(O154^2-MAX(N154,($N$4*5/10))^2)-($N$4*5/10)*(O154-MAX(N154,($N$4*5/10)))),0))*1000,0)</f>
        <v>0</v>
      </c>
      <c r="AS154" s="120">
        <f>IF(AND(V154="OK",ISNUMBER($N$5),$N$5&gt;0,ISNUMBER($N$3),$N$3&gt;0),R154/(6*$N$3*1000000*$N$5)*(IF(N154&lt;($N$4*6/10),($N$4*6/10)*(MIN(O154,($N$4*6/10))^3-N154^3)-(MIN(O154,($N$4*6/10))^4-N154^4)/4,0)+IF(O154&gt;($N$4*6/10),($N$4*6/10)^2*(1.5*(O154^2-MAX(N154,($N$4*6/10))^2)-($N$4*6/10)*(O154-MAX(N154,($N$4*6/10)))),0))*1000,0)</f>
        <v>0</v>
      </c>
      <c r="AT154" s="120">
        <f>IF(AND(V154="OK",ISNUMBER($N$5),$N$5&gt;0,ISNUMBER($N$3),$N$3&gt;0),R154/(6*$N$3*1000000*$N$5)*(IF(N154&lt;($N$4*7/10),($N$4*7/10)*(MIN(O154,($N$4*7/10))^3-N154^3)-(MIN(O154,($N$4*7/10))^4-N154^4)/4,0)+IF(O154&gt;($N$4*7/10),($N$4*7/10)^2*(1.5*(O154^2-MAX(N154,($N$4*7/10))^2)-($N$4*7/10)*(O154-MAX(N154,($N$4*7/10)))),0))*1000,0)</f>
        <v>0</v>
      </c>
      <c r="AU154" s="120">
        <f>IF(AND(V154="OK",ISNUMBER($N$5),$N$5&gt;0,ISNUMBER($N$3),$N$3&gt;0),R154/(6*$N$3*1000000*$N$5)*(IF(N154&lt;($N$4*8/10),($N$4*8/10)*(MIN(O154,($N$4*8/10))^3-N154^3)-(MIN(O154,($N$4*8/10))^4-N154^4)/4,0)+IF(O154&gt;($N$4*8/10),($N$4*8/10)^2*(1.5*(O154^2-MAX(N154,($N$4*8/10))^2)-($N$4*8/10)*(O154-MAX(N154,($N$4*8/10)))),0))*1000,0)</f>
        <v>0</v>
      </c>
      <c r="AV154" s="120">
        <f>IF(AND(V154="OK",ISNUMBER($N$5),$N$5&gt;0,ISNUMBER($N$3),$N$3&gt;0),R154/(6*$N$3*1000000*$N$5)*(IF(N154&lt;($N$4*9/10),($N$4*9/10)*(MIN(O154,($N$4*9/10))^3-N154^3)-(MIN(O154,($N$4*9/10))^4-N154^4)/4,0)+IF(O154&gt;($N$4*9/10),($N$4*9/10)^2*(1.5*(O154^2-MAX(N154,($N$4*9/10))^2)-($N$4*9/10)*(O154-MAX(N154,($N$4*9/10)))),0))*1000,0)</f>
        <v>0</v>
      </c>
      <c r="AW154" s="120">
        <f>IF(AND(V154="OK",ISNUMBER($N$5),$N$5&gt;0,ISNUMBER($N$3),$N$3&gt;0),R154/(6*$N$3*1000000*$N$5)*(IF(N154&lt;($N$4*10/10),($N$4*10/10)*(MIN(O154,($N$4*10/10))^3-N154^3)-(MIN(O154,($N$4*10/10))^4-N154^4)/4,0)+IF(O154&gt;($N$4*10/10),($N$4*10/10)^2*(1.5*(O154^2-MAX(N154,($N$4*10/10))^2)-($N$4*10/10)*(O154-MAX(N154,($N$4*10/10)))),0))*1000,0)</f>
        <v>0</v>
      </c>
    </row>
    <row r="155" spans="1:49">
      <c r="A155" s="124"/>
      <c r="B155" s="125"/>
      <c r="C155" s="125"/>
      <c r="D155" s="125"/>
      <c r="E155" s="125"/>
      <c r="F155" s="126" t="str">
        <f>IF(J155="OK",D155*E155,"")</f>
        <v/>
      </c>
      <c r="G155" s="126" t="str">
        <f>IF(J155="OK",F155*(C155-B155),"")</f>
        <v/>
      </c>
      <c r="H155" s="126" t="str">
        <f>IF(J155="OK",G155*(C155+B155)/2,"")</f>
        <v/>
      </c>
      <c r="I155" s="126" t="str">
        <f>IF(AND(J155="OK",ISNUMBER($B$5),$B$5&gt;0,ISNUMBER($B$3),$B$3&gt;0),F155*(4*$B$4*(C155^3-B155^3)-(C155^4-B155^4))/(24*$B$3*1000000*$B$5)*1000,"")</f>
        <v/>
      </c>
      <c r="J155" s="120" t="str">
        <f>IF(COUNTA(A155:E155)=0,"",IF(AND(COUNT(B155:E155)=4,B155&gt;=0,C155&gt;B155,C155&lt;=$B$4,D155&gt;=0,E155&gt;0),IF(COUNTIFS($B$13:$B$154,"&lt;"&amp;C155,$C$13:$C$154,"&gt;"&amp;B155)&gt;0,"OVERLAP","OK"),"CHECK INPUTS"))</f>
        <v/>
      </c>
      <c r="M155" s="124"/>
      <c r="N155" s="125"/>
      <c r="O155" s="125"/>
      <c r="P155" s="125"/>
      <c r="Q155" s="125"/>
      <c r="R155" s="126" t="str">
        <f>IF(V155="OK",P155*Q155,"")</f>
        <v/>
      </c>
      <c r="S155" s="126" t="str">
        <f>IF(V155="OK",R155*(O155-N155),"")</f>
        <v/>
      </c>
      <c r="T155" s="126" t="str">
        <f>IF(V155="OK",S155*(O155+N155)/2,"")</f>
        <v/>
      </c>
      <c r="U155" s="126" t="str">
        <f>IF(AND(V155="OK",ISNUMBER($N$5),$N$5&gt;0,ISNUMBER($N$3),$N$3&gt;0),R155*(4*$N$4*(O155^3-N155^3)-(O155^4-N155^4))/(24*$N$3*1000000*$N$5)*1000,"")</f>
        <v/>
      </c>
      <c r="V155" s="120" t="str">
        <f>IF(COUNTA(M155:Q155)=0,"",IF(AND(COUNT(N155:Q155)=4,N155&gt;=0,O155&gt;N155,O155&lt;=$N$4,P155&gt;=0,Q155&gt;0),IF(COUNTIFS($N$13:$N$154,"&lt;"&amp;O155,$O$13:$O$154,"&gt;"&amp;N155)&gt;0,"OVERLAP","OK"),"CHECK INPUTS"))</f>
        <v/>
      </c>
      <c r="AA155" s="120">
        <f>IF(AND(J155="OK",ISNUMBER($B$5),$B$5&gt;0,ISNUMBER($B$3),$B$3&gt;0),F155/(6*$B$3*1000000*$B$5)*(IF(B155&lt;($B$4*0/10),($B$4*0/10)*(MIN(C155,($B$4*0/10))^3-B155^3)-(MIN(C155,($B$4*0/10))^4-B155^4)/4,0)+IF(C155&gt;($B$4*0/10),($B$4*0/10)^2*(1.5*(C155^2-MAX(B155,($B$4*0/10))^2)-($B$4*0/10)*(C155-MAX(B155,($B$4*0/10)))),0))*1000,0)</f>
        <v>0</v>
      </c>
      <c r="AB155" s="120">
        <f>IF(AND(J155="OK",ISNUMBER($B$5),$B$5&gt;0,ISNUMBER($B$3),$B$3&gt;0),F155/(6*$B$3*1000000*$B$5)*(IF(B155&lt;($B$4*1/10),($B$4*1/10)*(MIN(C155,($B$4*1/10))^3-B155^3)-(MIN(C155,($B$4*1/10))^4-B155^4)/4,0)+IF(C155&gt;($B$4*1/10),($B$4*1/10)^2*(1.5*(C155^2-MAX(B155,($B$4*1/10))^2)-($B$4*1/10)*(C155-MAX(B155,($B$4*1/10)))),0))*1000,0)</f>
        <v>0</v>
      </c>
      <c r="AC155" s="120">
        <f>IF(AND(J155="OK",ISNUMBER($B$5),$B$5&gt;0,ISNUMBER($B$3),$B$3&gt;0),F155/(6*$B$3*1000000*$B$5)*(IF(B155&lt;($B$4*2/10),($B$4*2/10)*(MIN(C155,($B$4*2/10))^3-B155^3)-(MIN(C155,($B$4*2/10))^4-B155^4)/4,0)+IF(C155&gt;($B$4*2/10),($B$4*2/10)^2*(1.5*(C155^2-MAX(B155,($B$4*2/10))^2)-($B$4*2/10)*(C155-MAX(B155,($B$4*2/10)))),0))*1000,0)</f>
        <v>0</v>
      </c>
      <c r="AD155" s="120">
        <f>IF(AND(J155="OK",ISNUMBER($B$5),$B$5&gt;0,ISNUMBER($B$3),$B$3&gt;0),F155/(6*$B$3*1000000*$B$5)*(IF(B155&lt;($B$4*3/10),($B$4*3/10)*(MIN(C155,($B$4*3/10))^3-B155^3)-(MIN(C155,($B$4*3/10))^4-B155^4)/4,0)+IF(C155&gt;($B$4*3/10),($B$4*3/10)^2*(1.5*(C155^2-MAX(B155,($B$4*3/10))^2)-($B$4*3/10)*(C155-MAX(B155,($B$4*3/10)))),0))*1000,0)</f>
        <v>0</v>
      </c>
      <c r="AE155" s="120">
        <f>IF(AND(J155="OK",ISNUMBER($B$5),$B$5&gt;0,ISNUMBER($B$3),$B$3&gt;0),F155/(6*$B$3*1000000*$B$5)*(IF(B155&lt;($B$4*4/10),($B$4*4/10)*(MIN(C155,($B$4*4/10))^3-B155^3)-(MIN(C155,($B$4*4/10))^4-B155^4)/4,0)+IF(C155&gt;($B$4*4/10),($B$4*4/10)^2*(1.5*(C155^2-MAX(B155,($B$4*4/10))^2)-($B$4*4/10)*(C155-MAX(B155,($B$4*4/10)))),0))*1000,0)</f>
        <v>0</v>
      </c>
      <c r="AF155" s="120">
        <f>IF(AND(J155="OK",ISNUMBER($B$5),$B$5&gt;0,ISNUMBER($B$3),$B$3&gt;0),F155/(6*$B$3*1000000*$B$5)*(IF(B155&lt;($B$4*5/10),($B$4*5/10)*(MIN(C155,($B$4*5/10))^3-B155^3)-(MIN(C155,($B$4*5/10))^4-B155^4)/4,0)+IF(C155&gt;($B$4*5/10),($B$4*5/10)^2*(1.5*(C155^2-MAX(B155,($B$4*5/10))^2)-($B$4*5/10)*(C155-MAX(B155,($B$4*5/10)))),0))*1000,0)</f>
        <v>0</v>
      </c>
      <c r="AG155" s="120">
        <f>IF(AND(J155="OK",ISNUMBER($B$5),$B$5&gt;0,ISNUMBER($B$3),$B$3&gt;0),F155/(6*$B$3*1000000*$B$5)*(IF(B155&lt;($B$4*6/10),($B$4*6/10)*(MIN(C155,($B$4*6/10))^3-B155^3)-(MIN(C155,($B$4*6/10))^4-B155^4)/4,0)+IF(C155&gt;($B$4*6/10),($B$4*6/10)^2*(1.5*(C155^2-MAX(B155,($B$4*6/10))^2)-($B$4*6/10)*(C155-MAX(B155,($B$4*6/10)))),0))*1000,0)</f>
        <v>0</v>
      </c>
      <c r="AH155" s="120">
        <f>IF(AND(J155="OK",ISNUMBER($B$5),$B$5&gt;0,ISNUMBER($B$3),$B$3&gt;0),F155/(6*$B$3*1000000*$B$5)*(IF(B155&lt;($B$4*7/10),($B$4*7/10)*(MIN(C155,($B$4*7/10))^3-B155^3)-(MIN(C155,($B$4*7/10))^4-B155^4)/4,0)+IF(C155&gt;($B$4*7/10),($B$4*7/10)^2*(1.5*(C155^2-MAX(B155,($B$4*7/10))^2)-($B$4*7/10)*(C155-MAX(B155,($B$4*7/10)))),0))*1000,0)</f>
        <v>0</v>
      </c>
      <c r="AI155" s="120">
        <f>IF(AND(J155="OK",ISNUMBER($B$5),$B$5&gt;0,ISNUMBER($B$3),$B$3&gt;0),F155/(6*$B$3*1000000*$B$5)*(IF(B155&lt;($B$4*8/10),($B$4*8/10)*(MIN(C155,($B$4*8/10))^3-B155^3)-(MIN(C155,($B$4*8/10))^4-B155^4)/4,0)+IF(C155&gt;($B$4*8/10),($B$4*8/10)^2*(1.5*(C155^2-MAX(B155,($B$4*8/10))^2)-($B$4*8/10)*(C155-MAX(B155,($B$4*8/10)))),0))*1000,0)</f>
        <v>0</v>
      </c>
      <c r="AJ155" s="120">
        <f>IF(AND(J155="OK",ISNUMBER($B$5),$B$5&gt;0,ISNUMBER($B$3),$B$3&gt;0),F155/(6*$B$3*1000000*$B$5)*(IF(B155&lt;($B$4*9/10),($B$4*9/10)*(MIN(C155,($B$4*9/10))^3-B155^3)-(MIN(C155,($B$4*9/10))^4-B155^4)/4,0)+IF(C155&gt;($B$4*9/10),($B$4*9/10)^2*(1.5*(C155^2-MAX(B155,($B$4*9/10))^2)-($B$4*9/10)*(C155-MAX(B155,($B$4*9/10)))),0))*1000,0)</f>
        <v>0</v>
      </c>
      <c r="AK155" s="120">
        <f>IF(AND(J155="OK",ISNUMBER($B$5),$B$5&gt;0,ISNUMBER($B$3),$B$3&gt;0),F155/(6*$B$3*1000000*$B$5)*(IF(B155&lt;($B$4*10/10),($B$4*10/10)*(MIN(C155,($B$4*10/10))^3-B155^3)-(MIN(C155,($B$4*10/10))^4-B155^4)/4,0)+IF(C155&gt;($B$4*10/10),($B$4*10/10)^2*(1.5*(C155^2-MAX(B155,($B$4*10/10))^2)-($B$4*10/10)*(C155-MAX(B155,($B$4*10/10)))),0))*1000,0)</f>
        <v>0</v>
      </c>
      <c r="AM155" s="120">
        <f>IF(AND(V155="OK",ISNUMBER($N$5),$N$5&gt;0,ISNUMBER($N$3),$N$3&gt;0),R155/(6*$N$3*1000000*$N$5)*(IF(N155&lt;($N$4*0/10),($N$4*0/10)*(MIN(O155,($N$4*0/10))^3-N155^3)-(MIN(O155,($N$4*0/10))^4-N155^4)/4,0)+IF(O155&gt;($N$4*0/10),($N$4*0/10)^2*(1.5*(O155^2-MAX(N155,($N$4*0/10))^2)-($N$4*0/10)*(O155-MAX(N155,($N$4*0/10)))),0))*1000,0)</f>
        <v>0</v>
      </c>
      <c r="AN155" s="120">
        <f>IF(AND(V155="OK",ISNUMBER($N$5),$N$5&gt;0,ISNUMBER($N$3),$N$3&gt;0),R155/(6*$N$3*1000000*$N$5)*(IF(N155&lt;($N$4*1/10),($N$4*1/10)*(MIN(O155,($N$4*1/10))^3-N155^3)-(MIN(O155,($N$4*1/10))^4-N155^4)/4,0)+IF(O155&gt;($N$4*1/10),($N$4*1/10)^2*(1.5*(O155^2-MAX(N155,($N$4*1/10))^2)-($N$4*1/10)*(O155-MAX(N155,($N$4*1/10)))),0))*1000,0)</f>
        <v>0</v>
      </c>
      <c r="AO155" s="120">
        <f>IF(AND(V155="OK",ISNUMBER($N$5),$N$5&gt;0,ISNUMBER($N$3),$N$3&gt;0),R155/(6*$N$3*1000000*$N$5)*(IF(N155&lt;($N$4*2/10),($N$4*2/10)*(MIN(O155,($N$4*2/10))^3-N155^3)-(MIN(O155,($N$4*2/10))^4-N155^4)/4,0)+IF(O155&gt;($N$4*2/10),($N$4*2/10)^2*(1.5*(O155^2-MAX(N155,($N$4*2/10))^2)-($N$4*2/10)*(O155-MAX(N155,($N$4*2/10)))),0))*1000,0)</f>
        <v>0</v>
      </c>
      <c r="AP155" s="120">
        <f>IF(AND(V155="OK",ISNUMBER($N$5),$N$5&gt;0,ISNUMBER($N$3),$N$3&gt;0),R155/(6*$N$3*1000000*$N$5)*(IF(N155&lt;($N$4*3/10),($N$4*3/10)*(MIN(O155,($N$4*3/10))^3-N155^3)-(MIN(O155,($N$4*3/10))^4-N155^4)/4,0)+IF(O155&gt;($N$4*3/10),($N$4*3/10)^2*(1.5*(O155^2-MAX(N155,($N$4*3/10))^2)-($N$4*3/10)*(O155-MAX(N155,($N$4*3/10)))),0))*1000,0)</f>
        <v>0</v>
      </c>
      <c r="AQ155" s="120">
        <f>IF(AND(V155="OK",ISNUMBER($N$5),$N$5&gt;0,ISNUMBER($N$3),$N$3&gt;0),R155/(6*$N$3*1000000*$N$5)*(IF(N155&lt;($N$4*4/10),($N$4*4/10)*(MIN(O155,($N$4*4/10))^3-N155^3)-(MIN(O155,($N$4*4/10))^4-N155^4)/4,0)+IF(O155&gt;($N$4*4/10),($N$4*4/10)^2*(1.5*(O155^2-MAX(N155,($N$4*4/10))^2)-($N$4*4/10)*(O155-MAX(N155,($N$4*4/10)))),0))*1000,0)</f>
        <v>0</v>
      </c>
      <c r="AR155" s="120">
        <f>IF(AND(V155="OK",ISNUMBER($N$5),$N$5&gt;0,ISNUMBER($N$3),$N$3&gt;0),R155/(6*$N$3*1000000*$N$5)*(IF(N155&lt;($N$4*5/10),($N$4*5/10)*(MIN(O155,($N$4*5/10))^3-N155^3)-(MIN(O155,($N$4*5/10))^4-N155^4)/4,0)+IF(O155&gt;($N$4*5/10),($N$4*5/10)^2*(1.5*(O155^2-MAX(N155,($N$4*5/10))^2)-($N$4*5/10)*(O155-MAX(N155,($N$4*5/10)))),0))*1000,0)</f>
        <v>0</v>
      </c>
      <c r="AS155" s="120">
        <f>IF(AND(V155="OK",ISNUMBER($N$5),$N$5&gt;0,ISNUMBER($N$3),$N$3&gt;0),R155/(6*$N$3*1000000*$N$5)*(IF(N155&lt;($N$4*6/10),($N$4*6/10)*(MIN(O155,($N$4*6/10))^3-N155^3)-(MIN(O155,($N$4*6/10))^4-N155^4)/4,0)+IF(O155&gt;($N$4*6/10),($N$4*6/10)^2*(1.5*(O155^2-MAX(N155,($N$4*6/10))^2)-($N$4*6/10)*(O155-MAX(N155,($N$4*6/10)))),0))*1000,0)</f>
        <v>0</v>
      </c>
      <c r="AT155" s="120">
        <f>IF(AND(V155="OK",ISNUMBER($N$5),$N$5&gt;0,ISNUMBER($N$3),$N$3&gt;0),R155/(6*$N$3*1000000*$N$5)*(IF(N155&lt;($N$4*7/10),($N$4*7/10)*(MIN(O155,($N$4*7/10))^3-N155^3)-(MIN(O155,($N$4*7/10))^4-N155^4)/4,0)+IF(O155&gt;($N$4*7/10),($N$4*7/10)^2*(1.5*(O155^2-MAX(N155,($N$4*7/10))^2)-($N$4*7/10)*(O155-MAX(N155,($N$4*7/10)))),0))*1000,0)</f>
        <v>0</v>
      </c>
      <c r="AU155" s="120">
        <f>IF(AND(V155="OK",ISNUMBER($N$5),$N$5&gt;0,ISNUMBER($N$3),$N$3&gt;0),R155/(6*$N$3*1000000*$N$5)*(IF(N155&lt;($N$4*8/10),($N$4*8/10)*(MIN(O155,($N$4*8/10))^3-N155^3)-(MIN(O155,($N$4*8/10))^4-N155^4)/4,0)+IF(O155&gt;($N$4*8/10),($N$4*8/10)^2*(1.5*(O155^2-MAX(N155,($N$4*8/10))^2)-($N$4*8/10)*(O155-MAX(N155,($N$4*8/10)))),0))*1000,0)</f>
        <v>0</v>
      </c>
      <c r="AV155" s="120">
        <f>IF(AND(V155="OK",ISNUMBER($N$5),$N$5&gt;0,ISNUMBER($N$3),$N$3&gt;0),R155/(6*$N$3*1000000*$N$5)*(IF(N155&lt;($N$4*9/10),($N$4*9/10)*(MIN(O155,($N$4*9/10))^3-N155^3)-(MIN(O155,($N$4*9/10))^4-N155^4)/4,0)+IF(O155&gt;($N$4*9/10),($N$4*9/10)^2*(1.5*(O155^2-MAX(N155,($N$4*9/10))^2)-($N$4*9/10)*(O155-MAX(N155,($N$4*9/10)))),0))*1000,0)</f>
        <v>0</v>
      </c>
      <c r="AW155" s="120">
        <f>IF(AND(V155="OK",ISNUMBER($N$5),$N$5&gt;0,ISNUMBER($N$3),$N$3&gt;0),R155/(6*$N$3*1000000*$N$5)*(IF(N155&lt;($N$4*10/10),($N$4*10/10)*(MIN(O155,($N$4*10/10))^3-N155^3)-(MIN(O155,($N$4*10/10))^4-N155^4)/4,0)+IF(O155&gt;($N$4*10/10),($N$4*10/10)^2*(1.5*(O155^2-MAX(N155,($N$4*10/10))^2)-($N$4*10/10)*(O155-MAX(N155,($N$4*10/10)))),0))*1000,0)</f>
        <v>0</v>
      </c>
    </row>
    <row r="156" spans="1:49">
      <c r="A156" s="124"/>
      <c r="B156" s="125"/>
      <c r="C156" s="125"/>
      <c r="D156" s="125"/>
      <c r="E156" s="125"/>
      <c r="F156" s="126" t="str">
        <f>IF(J156="OK",D156*E156,"")</f>
        <v/>
      </c>
      <c r="G156" s="126" t="str">
        <f>IF(J156="OK",F156*(C156-B156),"")</f>
        <v/>
      </c>
      <c r="H156" s="126" t="str">
        <f>IF(J156="OK",G156*(C156+B156)/2,"")</f>
        <v/>
      </c>
      <c r="I156" s="126" t="str">
        <f>IF(AND(J156="OK",ISNUMBER($B$5),$B$5&gt;0,ISNUMBER($B$3),$B$3&gt;0),F156*(4*$B$4*(C156^3-B156^3)-(C156^4-B156^4))/(24*$B$3*1000000*$B$5)*1000,"")</f>
        <v/>
      </c>
      <c r="J156" s="120" t="str">
        <f>IF(COUNTA(A156:E156)=0,"",IF(AND(COUNT(B156:E156)=4,B156&gt;=0,C156&gt;B156,C156&lt;=$B$4,D156&gt;=0,E156&gt;0),IF(COUNTIFS($B$13:$B$155,"&lt;"&amp;C156,$C$13:$C$155,"&gt;"&amp;B156)&gt;0,"OVERLAP","OK"),"CHECK INPUTS"))</f>
        <v/>
      </c>
      <c r="M156" s="124"/>
      <c r="N156" s="125"/>
      <c r="O156" s="125"/>
      <c r="P156" s="125"/>
      <c r="Q156" s="125"/>
      <c r="R156" s="126" t="str">
        <f>IF(V156="OK",P156*Q156,"")</f>
        <v/>
      </c>
      <c r="S156" s="126" t="str">
        <f>IF(V156="OK",R156*(O156-N156),"")</f>
        <v/>
      </c>
      <c r="T156" s="126" t="str">
        <f>IF(V156="OK",S156*(O156+N156)/2,"")</f>
        <v/>
      </c>
      <c r="U156" s="126" t="str">
        <f>IF(AND(V156="OK",ISNUMBER($N$5),$N$5&gt;0,ISNUMBER($N$3),$N$3&gt;0),R156*(4*$N$4*(O156^3-N156^3)-(O156^4-N156^4))/(24*$N$3*1000000*$N$5)*1000,"")</f>
        <v/>
      </c>
      <c r="V156" s="120" t="str">
        <f>IF(COUNTA(M156:Q156)=0,"",IF(AND(COUNT(N156:Q156)=4,N156&gt;=0,O156&gt;N156,O156&lt;=$N$4,P156&gt;=0,Q156&gt;0),IF(COUNTIFS($N$13:$N$155,"&lt;"&amp;O156,$O$13:$O$155,"&gt;"&amp;N156)&gt;0,"OVERLAP","OK"),"CHECK INPUTS"))</f>
        <v/>
      </c>
      <c r="AA156" s="120">
        <f>IF(AND(J156="OK",ISNUMBER($B$5),$B$5&gt;0,ISNUMBER($B$3),$B$3&gt;0),F156/(6*$B$3*1000000*$B$5)*(IF(B156&lt;($B$4*0/10),($B$4*0/10)*(MIN(C156,($B$4*0/10))^3-B156^3)-(MIN(C156,($B$4*0/10))^4-B156^4)/4,0)+IF(C156&gt;($B$4*0/10),($B$4*0/10)^2*(1.5*(C156^2-MAX(B156,($B$4*0/10))^2)-($B$4*0/10)*(C156-MAX(B156,($B$4*0/10)))),0))*1000,0)</f>
        <v>0</v>
      </c>
      <c r="AB156" s="120">
        <f>IF(AND(J156="OK",ISNUMBER($B$5),$B$5&gt;0,ISNUMBER($B$3),$B$3&gt;0),F156/(6*$B$3*1000000*$B$5)*(IF(B156&lt;($B$4*1/10),($B$4*1/10)*(MIN(C156,($B$4*1/10))^3-B156^3)-(MIN(C156,($B$4*1/10))^4-B156^4)/4,0)+IF(C156&gt;($B$4*1/10),($B$4*1/10)^2*(1.5*(C156^2-MAX(B156,($B$4*1/10))^2)-($B$4*1/10)*(C156-MAX(B156,($B$4*1/10)))),0))*1000,0)</f>
        <v>0</v>
      </c>
      <c r="AC156" s="120">
        <f>IF(AND(J156="OK",ISNUMBER($B$5),$B$5&gt;0,ISNUMBER($B$3),$B$3&gt;0),F156/(6*$B$3*1000000*$B$5)*(IF(B156&lt;($B$4*2/10),($B$4*2/10)*(MIN(C156,($B$4*2/10))^3-B156^3)-(MIN(C156,($B$4*2/10))^4-B156^4)/4,0)+IF(C156&gt;($B$4*2/10),($B$4*2/10)^2*(1.5*(C156^2-MAX(B156,($B$4*2/10))^2)-($B$4*2/10)*(C156-MAX(B156,($B$4*2/10)))),0))*1000,0)</f>
        <v>0</v>
      </c>
      <c r="AD156" s="120">
        <f>IF(AND(J156="OK",ISNUMBER($B$5),$B$5&gt;0,ISNUMBER($B$3),$B$3&gt;0),F156/(6*$B$3*1000000*$B$5)*(IF(B156&lt;($B$4*3/10),($B$4*3/10)*(MIN(C156,($B$4*3/10))^3-B156^3)-(MIN(C156,($B$4*3/10))^4-B156^4)/4,0)+IF(C156&gt;($B$4*3/10),($B$4*3/10)^2*(1.5*(C156^2-MAX(B156,($B$4*3/10))^2)-($B$4*3/10)*(C156-MAX(B156,($B$4*3/10)))),0))*1000,0)</f>
        <v>0</v>
      </c>
      <c r="AE156" s="120">
        <f>IF(AND(J156="OK",ISNUMBER($B$5),$B$5&gt;0,ISNUMBER($B$3),$B$3&gt;0),F156/(6*$B$3*1000000*$B$5)*(IF(B156&lt;($B$4*4/10),($B$4*4/10)*(MIN(C156,($B$4*4/10))^3-B156^3)-(MIN(C156,($B$4*4/10))^4-B156^4)/4,0)+IF(C156&gt;($B$4*4/10),($B$4*4/10)^2*(1.5*(C156^2-MAX(B156,($B$4*4/10))^2)-($B$4*4/10)*(C156-MAX(B156,($B$4*4/10)))),0))*1000,0)</f>
        <v>0</v>
      </c>
      <c r="AF156" s="120">
        <f>IF(AND(J156="OK",ISNUMBER($B$5),$B$5&gt;0,ISNUMBER($B$3),$B$3&gt;0),F156/(6*$B$3*1000000*$B$5)*(IF(B156&lt;($B$4*5/10),($B$4*5/10)*(MIN(C156,($B$4*5/10))^3-B156^3)-(MIN(C156,($B$4*5/10))^4-B156^4)/4,0)+IF(C156&gt;($B$4*5/10),($B$4*5/10)^2*(1.5*(C156^2-MAX(B156,($B$4*5/10))^2)-($B$4*5/10)*(C156-MAX(B156,($B$4*5/10)))),0))*1000,0)</f>
        <v>0</v>
      </c>
      <c r="AG156" s="120">
        <f>IF(AND(J156="OK",ISNUMBER($B$5),$B$5&gt;0,ISNUMBER($B$3),$B$3&gt;0),F156/(6*$B$3*1000000*$B$5)*(IF(B156&lt;($B$4*6/10),($B$4*6/10)*(MIN(C156,($B$4*6/10))^3-B156^3)-(MIN(C156,($B$4*6/10))^4-B156^4)/4,0)+IF(C156&gt;($B$4*6/10),($B$4*6/10)^2*(1.5*(C156^2-MAX(B156,($B$4*6/10))^2)-($B$4*6/10)*(C156-MAX(B156,($B$4*6/10)))),0))*1000,0)</f>
        <v>0</v>
      </c>
      <c r="AH156" s="120">
        <f>IF(AND(J156="OK",ISNUMBER($B$5),$B$5&gt;0,ISNUMBER($B$3),$B$3&gt;0),F156/(6*$B$3*1000000*$B$5)*(IF(B156&lt;($B$4*7/10),($B$4*7/10)*(MIN(C156,($B$4*7/10))^3-B156^3)-(MIN(C156,($B$4*7/10))^4-B156^4)/4,0)+IF(C156&gt;($B$4*7/10),($B$4*7/10)^2*(1.5*(C156^2-MAX(B156,($B$4*7/10))^2)-($B$4*7/10)*(C156-MAX(B156,($B$4*7/10)))),0))*1000,0)</f>
        <v>0</v>
      </c>
      <c r="AI156" s="120">
        <f>IF(AND(J156="OK",ISNUMBER($B$5),$B$5&gt;0,ISNUMBER($B$3),$B$3&gt;0),F156/(6*$B$3*1000000*$B$5)*(IF(B156&lt;($B$4*8/10),($B$4*8/10)*(MIN(C156,($B$4*8/10))^3-B156^3)-(MIN(C156,($B$4*8/10))^4-B156^4)/4,0)+IF(C156&gt;($B$4*8/10),($B$4*8/10)^2*(1.5*(C156^2-MAX(B156,($B$4*8/10))^2)-($B$4*8/10)*(C156-MAX(B156,($B$4*8/10)))),0))*1000,0)</f>
        <v>0</v>
      </c>
      <c r="AJ156" s="120">
        <f>IF(AND(J156="OK",ISNUMBER($B$5),$B$5&gt;0,ISNUMBER($B$3),$B$3&gt;0),F156/(6*$B$3*1000000*$B$5)*(IF(B156&lt;($B$4*9/10),($B$4*9/10)*(MIN(C156,($B$4*9/10))^3-B156^3)-(MIN(C156,($B$4*9/10))^4-B156^4)/4,0)+IF(C156&gt;($B$4*9/10),($B$4*9/10)^2*(1.5*(C156^2-MAX(B156,($B$4*9/10))^2)-($B$4*9/10)*(C156-MAX(B156,($B$4*9/10)))),0))*1000,0)</f>
        <v>0</v>
      </c>
      <c r="AK156" s="120">
        <f>IF(AND(J156="OK",ISNUMBER($B$5),$B$5&gt;0,ISNUMBER($B$3),$B$3&gt;0),F156/(6*$B$3*1000000*$B$5)*(IF(B156&lt;($B$4*10/10),($B$4*10/10)*(MIN(C156,($B$4*10/10))^3-B156^3)-(MIN(C156,($B$4*10/10))^4-B156^4)/4,0)+IF(C156&gt;($B$4*10/10),($B$4*10/10)^2*(1.5*(C156^2-MAX(B156,($B$4*10/10))^2)-($B$4*10/10)*(C156-MAX(B156,($B$4*10/10)))),0))*1000,0)</f>
        <v>0</v>
      </c>
      <c r="AM156" s="120">
        <f>IF(AND(V156="OK",ISNUMBER($N$5),$N$5&gt;0,ISNUMBER($N$3),$N$3&gt;0),R156/(6*$N$3*1000000*$N$5)*(IF(N156&lt;($N$4*0/10),($N$4*0/10)*(MIN(O156,($N$4*0/10))^3-N156^3)-(MIN(O156,($N$4*0/10))^4-N156^4)/4,0)+IF(O156&gt;($N$4*0/10),($N$4*0/10)^2*(1.5*(O156^2-MAX(N156,($N$4*0/10))^2)-($N$4*0/10)*(O156-MAX(N156,($N$4*0/10)))),0))*1000,0)</f>
        <v>0</v>
      </c>
      <c r="AN156" s="120">
        <f>IF(AND(V156="OK",ISNUMBER($N$5),$N$5&gt;0,ISNUMBER($N$3),$N$3&gt;0),R156/(6*$N$3*1000000*$N$5)*(IF(N156&lt;($N$4*1/10),($N$4*1/10)*(MIN(O156,($N$4*1/10))^3-N156^3)-(MIN(O156,($N$4*1/10))^4-N156^4)/4,0)+IF(O156&gt;($N$4*1/10),($N$4*1/10)^2*(1.5*(O156^2-MAX(N156,($N$4*1/10))^2)-($N$4*1/10)*(O156-MAX(N156,($N$4*1/10)))),0))*1000,0)</f>
        <v>0</v>
      </c>
      <c r="AO156" s="120">
        <f>IF(AND(V156="OK",ISNUMBER($N$5),$N$5&gt;0,ISNUMBER($N$3),$N$3&gt;0),R156/(6*$N$3*1000000*$N$5)*(IF(N156&lt;($N$4*2/10),($N$4*2/10)*(MIN(O156,($N$4*2/10))^3-N156^3)-(MIN(O156,($N$4*2/10))^4-N156^4)/4,0)+IF(O156&gt;($N$4*2/10),($N$4*2/10)^2*(1.5*(O156^2-MAX(N156,($N$4*2/10))^2)-($N$4*2/10)*(O156-MAX(N156,($N$4*2/10)))),0))*1000,0)</f>
        <v>0</v>
      </c>
      <c r="AP156" s="120">
        <f>IF(AND(V156="OK",ISNUMBER($N$5),$N$5&gt;0,ISNUMBER($N$3),$N$3&gt;0),R156/(6*$N$3*1000000*$N$5)*(IF(N156&lt;($N$4*3/10),($N$4*3/10)*(MIN(O156,($N$4*3/10))^3-N156^3)-(MIN(O156,($N$4*3/10))^4-N156^4)/4,0)+IF(O156&gt;($N$4*3/10),($N$4*3/10)^2*(1.5*(O156^2-MAX(N156,($N$4*3/10))^2)-($N$4*3/10)*(O156-MAX(N156,($N$4*3/10)))),0))*1000,0)</f>
        <v>0</v>
      </c>
      <c r="AQ156" s="120">
        <f>IF(AND(V156="OK",ISNUMBER($N$5),$N$5&gt;0,ISNUMBER($N$3),$N$3&gt;0),R156/(6*$N$3*1000000*$N$5)*(IF(N156&lt;($N$4*4/10),($N$4*4/10)*(MIN(O156,($N$4*4/10))^3-N156^3)-(MIN(O156,($N$4*4/10))^4-N156^4)/4,0)+IF(O156&gt;($N$4*4/10),($N$4*4/10)^2*(1.5*(O156^2-MAX(N156,($N$4*4/10))^2)-($N$4*4/10)*(O156-MAX(N156,($N$4*4/10)))),0))*1000,0)</f>
        <v>0</v>
      </c>
      <c r="AR156" s="120">
        <f>IF(AND(V156="OK",ISNUMBER($N$5),$N$5&gt;0,ISNUMBER($N$3),$N$3&gt;0),R156/(6*$N$3*1000000*$N$5)*(IF(N156&lt;($N$4*5/10),($N$4*5/10)*(MIN(O156,($N$4*5/10))^3-N156^3)-(MIN(O156,($N$4*5/10))^4-N156^4)/4,0)+IF(O156&gt;($N$4*5/10),($N$4*5/10)^2*(1.5*(O156^2-MAX(N156,($N$4*5/10))^2)-($N$4*5/10)*(O156-MAX(N156,($N$4*5/10)))),0))*1000,0)</f>
        <v>0</v>
      </c>
      <c r="AS156" s="120">
        <f>IF(AND(V156="OK",ISNUMBER($N$5),$N$5&gt;0,ISNUMBER($N$3),$N$3&gt;0),R156/(6*$N$3*1000000*$N$5)*(IF(N156&lt;($N$4*6/10),($N$4*6/10)*(MIN(O156,($N$4*6/10))^3-N156^3)-(MIN(O156,($N$4*6/10))^4-N156^4)/4,0)+IF(O156&gt;($N$4*6/10),($N$4*6/10)^2*(1.5*(O156^2-MAX(N156,($N$4*6/10))^2)-($N$4*6/10)*(O156-MAX(N156,($N$4*6/10)))),0))*1000,0)</f>
        <v>0</v>
      </c>
      <c r="AT156" s="120">
        <f>IF(AND(V156="OK",ISNUMBER($N$5),$N$5&gt;0,ISNUMBER($N$3),$N$3&gt;0),R156/(6*$N$3*1000000*$N$5)*(IF(N156&lt;($N$4*7/10),($N$4*7/10)*(MIN(O156,($N$4*7/10))^3-N156^3)-(MIN(O156,($N$4*7/10))^4-N156^4)/4,0)+IF(O156&gt;($N$4*7/10),($N$4*7/10)^2*(1.5*(O156^2-MAX(N156,($N$4*7/10))^2)-($N$4*7/10)*(O156-MAX(N156,($N$4*7/10)))),0))*1000,0)</f>
        <v>0</v>
      </c>
      <c r="AU156" s="120">
        <f>IF(AND(V156="OK",ISNUMBER($N$5),$N$5&gt;0,ISNUMBER($N$3),$N$3&gt;0),R156/(6*$N$3*1000000*$N$5)*(IF(N156&lt;($N$4*8/10),($N$4*8/10)*(MIN(O156,($N$4*8/10))^3-N156^3)-(MIN(O156,($N$4*8/10))^4-N156^4)/4,0)+IF(O156&gt;($N$4*8/10),($N$4*8/10)^2*(1.5*(O156^2-MAX(N156,($N$4*8/10))^2)-($N$4*8/10)*(O156-MAX(N156,($N$4*8/10)))),0))*1000,0)</f>
        <v>0</v>
      </c>
      <c r="AV156" s="120">
        <f>IF(AND(V156="OK",ISNUMBER($N$5),$N$5&gt;0,ISNUMBER($N$3),$N$3&gt;0),R156/(6*$N$3*1000000*$N$5)*(IF(N156&lt;($N$4*9/10),($N$4*9/10)*(MIN(O156,($N$4*9/10))^3-N156^3)-(MIN(O156,($N$4*9/10))^4-N156^4)/4,0)+IF(O156&gt;($N$4*9/10),($N$4*9/10)^2*(1.5*(O156^2-MAX(N156,($N$4*9/10))^2)-($N$4*9/10)*(O156-MAX(N156,($N$4*9/10)))),0))*1000,0)</f>
        <v>0</v>
      </c>
      <c r="AW156" s="120">
        <f>IF(AND(V156="OK",ISNUMBER($N$5),$N$5&gt;0,ISNUMBER($N$3),$N$3&gt;0),R156/(6*$N$3*1000000*$N$5)*(IF(N156&lt;($N$4*10/10),($N$4*10/10)*(MIN(O156,($N$4*10/10))^3-N156^3)-(MIN(O156,($N$4*10/10))^4-N156^4)/4,0)+IF(O156&gt;($N$4*10/10),($N$4*10/10)^2*(1.5*(O156^2-MAX(N156,($N$4*10/10))^2)-($N$4*10/10)*(O156-MAX(N156,($N$4*10/10)))),0))*1000,0)</f>
        <v>0</v>
      </c>
    </row>
    <row r="157" spans="1:49">
      <c r="A157" s="124"/>
      <c r="B157" s="125"/>
      <c r="C157" s="125"/>
      <c r="D157" s="125"/>
      <c r="E157" s="125"/>
      <c r="F157" s="126" t="str">
        <f>IF(J157="OK",D157*E157,"")</f>
        <v/>
      </c>
      <c r="G157" s="126" t="str">
        <f>IF(J157="OK",F157*(C157-B157),"")</f>
        <v/>
      </c>
      <c r="H157" s="126" t="str">
        <f>IF(J157="OK",G157*(C157+B157)/2,"")</f>
        <v/>
      </c>
      <c r="I157" s="126" t="str">
        <f>IF(AND(J157="OK",ISNUMBER($B$5),$B$5&gt;0,ISNUMBER($B$3),$B$3&gt;0),F157*(4*$B$4*(C157^3-B157^3)-(C157^4-B157^4))/(24*$B$3*1000000*$B$5)*1000,"")</f>
        <v/>
      </c>
      <c r="J157" s="120" t="str">
        <f>IF(COUNTA(A157:E157)=0,"",IF(AND(COUNT(B157:E157)=4,B157&gt;=0,C157&gt;B157,C157&lt;=$B$4,D157&gt;=0,E157&gt;0),IF(COUNTIFS($B$13:$B$156,"&lt;"&amp;C157,$C$13:$C$156,"&gt;"&amp;B157)&gt;0,"OVERLAP","OK"),"CHECK INPUTS"))</f>
        <v/>
      </c>
      <c r="M157" s="124"/>
      <c r="N157" s="125"/>
      <c r="O157" s="125"/>
      <c r="P157" s="125"/>
      <c r="Q157" s="125"/>
      <c r="R157" s="126" t="str">
        <f>IF(V157="OK",P157*Q157,"")</f>
        <v/>
      </c>
      <c r="S157" s="126" t="str">
        <f>IF(V157="OK",R157*(O157-N157),"")</f>
        <v/>
      </c>
      <c r="T157" s="126" t="str">
        <f>IF(V157="OK",S157*(O157+N157)/2,"")</f>
        <v/>
      </c>
      <c r="U157" s="126" t="str">
        <f>IF(AND(V157="OK",ISNUMBER($N$5),$N$5&gt;0,ISNUMBER($N$3),$N$3&gt;0),R157*(4*$N$4*(O157^3-N157^3)-(O157^4-N157^4))/(24*$N$3*1000000*$N$5)*1000,"")</f>
        <v/>
      </c>
      <c r="V157" s="120" t="str">
        <f>IF(COUNTA(M157:Q157)=0,"",IF(AND(COUNT(N157:Q157)=4,N157&gt;=0,O157&gt;N157,O157&lt;=$N$4,P157&gt;=0,Q157&gt;0),IF(COUNTIFS($N$13:$N$156,"&lt;"&amp;O157,$O$13:$O$156,"&gt;"&amp;N157)&gt;0,"OVERLAP","OK"),"CHECK INPUTS"))</f>
        <v/>
      </c>
      <c r="AA157" s="120">
        <f>IF(AND(J157="OK",ISNUMBER($B$5),$B$5&gt;0,ISNUMBER($B$3),$B$3&gt;0),F157/(6*$B$3*1000000*$B$5)*(IF(B157&lt;($B$4*0/10),($B$4*0/10)*(MIN(C157,($B$4*0/10))^3-B157^3)-(MIN(C157,($B$4*0/10))^4-B157^4)/4,0)+IF(C157&gt;($B$4*0/10),($B$4*0/10)^2*(1.5*(C157^2-MAX(B157,($B$4*0/10))^2)-($B$4*0/10)*(C157-MAX(B157,($B$4*0/10)))),0))*1000,0)</f>
        <v>0</v>
      </c>
      <c r="AB157" s="120">
        <f>IF(AND(J157="OK",ISNUMBER($B$5),$B$5&gt;0,ISNUMBER($B$3),$B$3&gt;0),F157/(6*$B$3*1000000*$B$5)*(IF(B157&lt;($B$4*1/10),($B$4*1/10)*(MIN(C157,($B$4*1/10))^3-B157^3)-(MIN(C157,($B$4*1/10))^4-B157^4)/4,0)+IF(C157&gt;($B$4*1/10),($B$4*1/10)^2*(1.5*(C157^2-MAX(B157,($B$4*1/10))^2)-($B$4*1/10)*(C157-MAX(B157,($B$4*1/10)))),0))*1000,0)</f>
        <v>0</v>
      </c>
      <c r="AC157" s="120">
        <f>IF(AND(J157="OK",ISNUMBER($B$5),$B$5&gt;0,ISNUMBER($B$3),$B$3&gt;0),F157/(6*$B$3*1000000*$B$5)*(IF(B157&lt;($B$4*2/10),($B$4*2/10)*(MIN(C157,($B$4*2/10))^3-B157^3)-(MIN(C157,($B$4*2/10))^4-B157^4)/4,0)+IF(C157&gt;($B$4*2/10),($B$4*2/10)^2*(1.5*(C157^2-MAX(B157,($B$4*2/10))^2)-($B$4*2/10)*(C157-MAX(B157,($B$4*2/10)))),0))*1000,0)</f>
        <v>0</v>
      </c>
      <c r="AD157" s="120">
        <f>IF(AND(J157="OK",ISNUMBER($B$5),$B$5&gt;0,ISNUMBER($B$3),$B$3&gt;0),F157/(6*$B$3*1000000*$B$5)*(IF(B157&lt;($B$4*3/10),($B$4*3/10)*(MIN(C157,($B$4*3/10))^3-B157^3)-(MIN(C157,($B$4*3/10))^4-B157^4)/4,0)+IF(C157&gt;($B$4*3/10),($B$4*3/10)^2*(1.5*(C157^2-MAX(B157,($B$4*3/10))^2)-($B$4*3/10)*(C157-MAX(B157,($B$4*3/10)))),0))*1000,0)</f>
        <v>0</v>
      </c>
      <c r="AE157" s="120">
        <f>IF(AND(J157="OK",ISNUMBER($B$5),$B$5&gt;0,ISNUMBER($B$3),$B$3&gt;0),F157/(6*$B$3*1000000*$B$5)*(IF(B157&lt;($B$4*4/10),($B$4*4/10)*(MIN(C157,($B$4*4/10))^3-B157^3)-(MIN(C157,($B$4*4/10))^4-B157^4)/4,0)+IF(C157&gt;($B$4*4/10),($B$4*4/10)^2*(1.5*(C157^2-MAX(B157,($B$4*4/10))^2)-($B$4*4/10)*(C157-MAX(B157,($B$4*4/10)))),0))*1000,0)</f>
        <v>0</v>
      </c>
      <c r="AF157" s="120">
        <f>IF(AND(J157="OK",ISNUMBER($B$5),$B$5&gt;0,ISNUMBER($B$3),$B$3&gt;0),F157/(6*$B$3*1000000*$B$5)*(IF(B157&lt;($B$4*5/10),($B$4*5/10)*(MIN(C157,($B$4*5/10))^3-B157^3)-(MIN(C157,($B$4*5/10))^4-B157^4)/4,0)+IF(C157&gt;($B$4*5/10),($B$4*5/10)^2*(1.5*(C157^2-MAX(B157,($B$4*5/10))^2)-($B$4*5/10)*(C157-MAX(B157,($B$4*5/10)))),0))*1000,0)</f>
        <v>0</v>
      </c>
      <c r="AG157" s="120">
        <f>IF(AND(J157="OK",ISNUMBER($B$5),$B$5&gt;0,ISNUMBER($B$3),$B$3&gt;0),F157/(6*$B$3*1000000*$B$5)*(IF(B157&lt;($B$4*6/10),($B$4*6/10)*(MIN(C157,($B$4*6/10))^3-B157^3)-(MIN(C157,($B$4*6/10))^4-B157^4)/4,0)+IF(C157&gt;($B$4*6/10),($B$4*6/10)^2*(1.5*(C157^2-MAX(B157,($B$4*6/10))^2)-($B$4*6/10)*(C157-MAX(B157,($B$4*6/10)))),0))*1000,0)</f>
        <v>0</v>
      </c>
      <c r="AH157" s="120">
        <f>IF(AND(J157="OK",ISNUMBER($B$5),$B$5&gt;0,ISNUMBER($B$3),$B$3&gt;0),F157/(6*$B$3*1000000*$B$5)*(IF(B157&lt;($B$4*7/10),($B$4*7/10)*(MIN(C157,($B$4*7/10))^3-B157^3)-(MIN(C157,($B$4*7/10))^4-B157^4)/4,0)+IF(C157&gt;($B$4*7/10),($B$4*7/10)^2*(1.5*(C157^2-MAX(B157,($B$4*7/10))^2)-($B$4*7/10)*(C157-MAX(B157,($B$4*7/10)))),0))*1000,0)</f>
        <v>0</v>
      </c>
      <c r="AI157" s="120">
        <f>IF(AND(J157="OK",ISNUMBER($B$5),$B$5&gt;0,ISNUMBER($B$3),$B$3&gt;0),F157/(6*$B$3*1000000*$B$5)*(IF(B157&lt;($B$4*8/10),($B$4*8/10)*(MIN(C157,($B$4*8/10))^3-B157^3)-(MIN(C157,($B$4*8/10))^4-B157^4)/4,0)+IF(C157&gt;($B$4*8/10),($B$4*8/10)^2*(1.5*(C157^2-MAX(B157,($B$4*8/10))^2)-($B$4*8/10)*(C157-MAX(B157,($B$4*8/10)))),0))*1000,0)</f>
        <v>0</v>
      </c>
      <c r="AJ157" s="120">
        <f>IF(AND(J157="OK",ISNUMBER($B$5),$B$5&gt;0,ISNUMBER($B$3),$B$3&gt;0),F157/(6*$B$3*1000000*$B$5)*(IF(B157&lt;($B$4*9/10),($B$4*9/10)*(MIN(C157,($B$4*9/10))^3-B157^3)-(MIN(C157,($B$4*9/10))^4-B157^4)/4,0)+IF(C157&gt;($B$4*9/10),($B$4*9/10)^2*(1.5*(C157^2-MAX(B157,($B$4*9/10))^2)-($B$4*9/10)*(C157-MAX(B157,($B$4*9/10)))),0))*1000,0)</f>
        <v>0</v>
      </c>
      <c r="AK157" s="120">
        <f>IF(AND(J157="OK",ISNUMBER($B$5),$B$5&gt;0,ISNUMBER($B$3),$B$3&gt;0),F157/(6*$B$3*1000000*$B$5)*(IF(B157&lt;($B$4*10/10),($B$4*10/10)*(MIN(C157,($B$4*10/10))^3-B157^3)-(MIN(C157,($B$4*10/10))^4-B157^4)/4,0)+IF(C157&gt;($B$4*10/10),($B$4*10/10)^2*(1.5*(C157^2-MAX(B157,($B$4*10/10))^2)-($B$4*10/10)*(C157-MAX(B157,($B$4*10/10)))),0))*1000,0)</f>
        <v>0</v>
      </c>
      <c r="AM157" s="120">
        <f>IF(AND(V157="OK",ISNUMBER($N$5),$N$5&gt;0,ISNUMBER($N$3),$N$3&gt;0),R157/(6*$N$3*1000000*$N$5)*(IF(N157&lt;($N$4*0/10),($N$4*0/10)*(MIN(O157,($N$4*0/10))^3-N157^3)-(MIN(O157,($N$4*0/10))^4-N157^4)/4,0)+IF(O157&gt;($N$4*0/10),($N$4*0/10)^2*(1.5*(O157^2-MAX(N157,($N$4*0/10))^2)-($N$4*0/10)*(O157-MAX(N157,($N$4*0/10)))),0))*1000,0)</f>
        <v>0</v>
      </c>
      <c r="AN157" s="120">
        <f>IF(AND(V157="OK",ISNUMBER($N$5),$N$5&gt;0,ISNUMBER($N$3),$N$3&gt;0),R157/(6*$N$3*1000000*$N$5)*(IF(N157&lt;($N$4*1/10),($N$4*1/10)*(MIN(O157,($N$4*1/10))^3-N157^3)-(MIN(O157,($N$4*1/10))^4-N157^4)/4,0)+IF(O157&gt;($N$4*1/10),($N$4*1/10)^2*(1.5*(O157^2-MAX(N157,($N$4*1/10))^2)-($N$4*1/10)*(O157-MAX(N157,($N$4*1/10)))),0))*1000,0)</f>
        <v>0</v>
      </c>
      <c r="AO157" s="120">
        <f>IF(AND(V157="OK",ISNUMBER($N$5),$N$5&gt;0,ISNUMBER($N$3),$N$3&gt;0),R157/(6*$N$3*1000000*$N$5)*(IF(N157&lt;($N$4*2/10),($N$4*2/10)*(MIN(O157,($N$4*2/10))^3-N157^3)-(MIN(O157,($N$4*2/10))^4-N157^4)/4,0)+IF(O157&gt;($N$4*2/10),($N$4*2/10)^2*(1.5*(O157^2-MAX(N157,($N$4*2/10))^2)-($N$4*2/10)*(O157-MAX(N157,($N$4*2/10)))),0))*1000,0)</f>
        <v>0</v>
      </c>
      <c r="AP157" s="120">
        <f>IF(AND(V157="OK",ISNUMBER($N$5),$N$5&gt;0,ISNUMBER($N$3),$N$3&gt;0),R157/(6*$N$3*1000000*$N$5)*(IF(N157&lt;($N$4*3/10),($N$4*3/10)*(MIN(O157,($N$4*3/10))^3-N157^3)-(MIN(O157,($N$4*3/10))^4-N157^4)/4,0)+IF(O157&gt;($N$4*3/10),($N$4*3/10)^2*(1.5*(O157^2-MAX(N157,($N$4*3/10))^2)-($N$4*3/10)*(O157-MAX(N157,($N$4*3/10)))),0))*1000,0)</f>
        <v>0</v>
      </c>
      <c r="AQ157" s="120">
        <f>IF(AND(V157="OK",ISNUMBER($N$5),$N$5&gt;0,ISNUMBER($N$3),$N$3&gt;0),R157/(6*$N$3*1000000*$N$5)*(IF(N157&lt;($N$4*4/10),($N$4*4/10)*(MIN(O157,($N$4*4/10))^3-N157^3)-(MIN(O157,($N$4*4/10))^4-N157^4)/4,0)+IF(O157&gt;($N$4*4/10),($N$4*4/10)^2*(1.5*(O157^2-MAX(N157,($N$4*4/10))^2)-($N$4*4/10)*(O157-MAX(N157,($N$4*4/10)))),0))*1000,0)</f>
        <v>0</v>
      </c>
      <c r="AR157" s="120">
        <f>IF(AND(V157="OK",ISNUMBER($N$5),$N$5&gt;0,ISNUMBER($N$3),$N$3&gt;0),R157/(6*$N$3*1000000*$N$5)*(IF(N157&lt;($N$4*5/10),($N$4*5/10)*(MIN(O157,($N$4*5/10))^3-N157^3)-(MIN(O157,($N$4*5/10))^4-N157^4)/4,0)+IF(O157&gt;($N$4*5/10),($N$4*5/10)^2*(1.5*(O157^2-MAX(N157,($N$4*5/10))^2)-($N$4*5/10)*(O157-MAX(N157,($N$4*5/10)))),0))*1000,0)</f>
        <v>0</v>
      </c>
      <c r="AS157" s="120">
        <f>IF(AND(V157="OK",ISNUMBER($N$5),$N$5&gt;0,ISNUMBER($N$3),$N$3&gt;0),R157/(6*$N$3*1000000*$N$5)*(IF(N157&lt;($N$4*6/10),($N$4*6/10)*(MIN(O157,($N$4*6/10))^3-N157^3)-(MIN(O157,($N$4*6/10))^4-N157^4)/4,0)+IF(O157&gt;($N$4*6/10),($N$4*6/10)^2*(1.5*(O157^2-MAX(N157,($N$4*6/10))^2)-($N$4*6/10)*(O157-MAX(N157,($N$4*6/10)))),0))*1000,0)</f>
        <v>0</v>
      </c>
      <c r="AT157" s="120">
        <f>IF(AND(V157="OK",ISNUMBER($N$5),$N$5&gt;0,ISNUMBER($N$3),$N$3&gt;0),R157/(6*$N$3*1000000*$N$5)*(IF(N157&lt;($N$4*7/10),($N$4*7/10)*(MIN(O157,($N$4*7/10))^3-N157^3)-(MIN(O157,($N$4*7/10))^4-N157^4)/4,0)+IF(O157&gt;($N$4*7/10),($N$4*7/10)^2*(1.5*(O157^2-MAX(N157,($N$4*7/10))^2)-($N$4*7/10)*(O157-MAX(N157,($N$4*7/10)))),0))*1000,0)</f>
        <v>0</v>
      </c>
      <c r="AU157" s="120">
        <f>IF(AND(V157="OK",ISNUMBER($N$5),$N$5&gt;0,ISNUMBER($N$3),$N$3&gt;0),R157/(6*$N$3*1000000*$N$5)*(IF(N157&lt;($N$4*8/10),($N$4*8/10)*(MIN(O157,($N$4*8/10))^3-N157^3)-(MIN(O157,($N$4*8/10))^4-N157^4)/4,0)+IF(O157&gt;($N$4*8/10),($N$4*8/10)^2*(1.5*(O157^2-MAX(N157,($N$4*8/10))^2)-($N$4*8/10)*(O157-MAX(N157,($N$4*8/10)))),0))*1000,0)</f>
        <v>0</v>
      </c>
      <c r="AV157" s="120">
        <f>IF(AND(V157="OK",ISNUMBER($N$5),$N$5&gt;0,ISNUMBER($N$3),$N$3&gt;0),R157/(6*$N$3*1000000*$N$5)*(IF(N157&lt;($N$4*9/10),($N$4*9/10)*(MIN(O157,($N$4*9/10))^3-N157^3)-(MIN(O157,($N$4*9/10))^4-N157^4)/4,0)+IF(O157&gt;($N$4*9/10),($N$4*9/10)^2*(1.5*(O157^2-MAX(N157,($N$4*9/10))^2)-($N$4*9/10)*(O157-MAX(N157,($N$4*9/10)))),0))*1000,0)</f>
        <v>0</v>
      </c>
      <c r="AW157" s="120">
        <f>IF(AND(V157="OK",ISNUMBER($N$5),$N$5&gt;0,ISNUMBER($N$3),$N$3&gt;0),R157/(6*$N$3*1000000*$N$5)*(IF(N157&lt;($N$4*10/10),($N$4*10/10)*(MIN(O157,($N$4*10/10))^3-N157^3)-(MIN(O157,($N$4*10/10))^4-N157^4)/4,0)+IF(O157&gt;($N$4*10/10),($N$4*10/10)^2*(1.5*(O157^2-MAX(N157,($N$4*10/10))^2)-($N$4*10/10)*(O157-MAX(N157,($N$4*10/10)))),0))*1000,0)</f>
        <v>0</v>
      </c>
    </row>
    <row r="158" spans="1:49">
      <c r="A158" s="124"/>
      <c r="B158" s="125"/>
      <c r="C158" s="125"/>
      <c r="D158" s="125"/>
      <c r="E158" s="125"/>
      <c r="F158" s="126" t="str">
        <f>IF(J158="OK",D158*E158,"")</f>
        <v/>
      </c>
      <c r="G158" s="126" t="str">
        <f>IF(J158="OK",F158*(C158-B158),"")</f>
        <v/>
      </c>
      <c r="H158" s="126" t="str">
        <f>IF(J158="OK",G158*(C158+B158)/2,"")</f>
        <v/>
      </c>
      <c r="I158" s="126" t="str">
        <f>IF(AND(J158="OK",ISNUMBER($B$5),$B$5&gt;0,ISNUMBER($B$3),$B$3&gt;0),F158*(4*$B$4*(C158^3-B158^3)-(C158^4-B158^4))/(24*$B$3*1000000*$B$5)*1000,"")</f>
        <v/>
      </c>
      <c r="J158" s="120" t="str">
        <f>IF(COUNTA(A158:E158)=0,"",IF(AND(COUNT(B158:E158)=4,B158&gt;=0,C158&gt;B158,C158&lt;=$B$4,D158&gt;=0,E158&gt;0),IF(COUNTIFS($B$13:$B$157,"&lt;"&amp;C158,$C$13:$C$157,"&gt;"&amp;B158)&gt;0,"OVERLAP","OK"),"CHECK INPUTS"))</f>
        <v/>
      </c>
      <c r="M158" s="124"/>
      <c r="N158" s="125"/>
      <c r="O158" s="125"/>
      <c r="P158" s="125"/>
      <c r="Q158" s="125"/>
      <c r="R158" s="126" t="str">
        <f>IF(V158="OK",P158*Q158,"")</f>
        <v/>
      </c>
      <c r="S158" s="126" t="str">
        <f>IF(V158="OK",R158*(O158-N158),"")</f>
        <v/>
      </c>
      <c r="T158" s="126" t="str">
        <f>IF(V158="OK",S158*(O158+N158)/2,"")</f>
        <v/>
      </c>
      <c r="U158" s="126" t="str">
        <f>IF(AND(V158="OK",ISNUMBER($N$5),$N$5&gt;0,ISNUMBER($N$3),$N$3&gt;0),R158*(4*$N$4*(O158^3-N158^3)-(O158^4-N158^4))/(24*$N$3*1000000*$N$5)*1000,"")</f>
        <v/>
      </c>
      <c r="V158" s="120" t="str">
        <f>IF(COUNTA(M158:Q158)=0,"",IF(AND(COUNT(N158:Q158)=4,N158&gt;=0,O158&gt;N158,O158&lt;=$N$4,P158&gt;=0,Q158&gt;0),IF(COUNTIFS($N$13:$N$157,"&lt;"&amp;O158,$O$13:$O$157,"&gt;"&amp;N158)&gt;0,"OVERLAP","OK"),"CHECK INPUTS"))</f>
        <v/>
      </c>
      <c r="AA158" s="120">
        <f>IF(AND(J158="OK",ISNUMBER($B$5),$B$5&gt;0,ISNUMBER($B$3),$B$3&gt;0),F158/(6*$B$3*1000000*$B$5)*(IF(B158&lt;($B$4*0/10),($B$4*0/10)*(MIN(C158,($B$4*0/10))^3-B158^3)-(MIN(C158,($B$4*0/10))^4-B158^4)/4,0)+IF(C158&gt;($B$4*0/10),($B$4*0/10)^2*(1.5*(C158^2-MAX(B158,($B$4*0/10))^2)-($B$4*0/10)*(C158-MAX(B158,($B$4*0/10)))),0))*1000,0)</f>
        <v>0</v>
      </c>
      <c r="AB158" s="120">
        <f>IF(AND(J158="OK",ISNUMBER($B$5),$B$5&gt;0,ISNUMBER($B$3),$B$3&gt;0),F158/(6*$B$3*1000000*$B$5)*(IF(B158&lt;($B$4*1/10),($B$4*1/10)*(MIN(C158,($B$4*1/10))^3-B158^3)-(MIN(C158,($B$4*1/10))^4-B158^4)/4,0)+IF(C158&gt;($B$4*1/10),($B$4*1/10)^2*(1.5*(C158^2-MAX(B158,($B$4*1/10))^2)-($B$4*1/10)*(C158-MAX(B158,($B$4*1/10)))),0))*1000,0)</f>
        <v>0</v>
      </c>
      <c r="AC158" s="120">
        <f>IF(AND(J158="OK",ISNUMBER($B$5),$B$5&gt;0,ISNUMBER($B$3),$B$3&gt;0),F158/(6*$B$3*1000000*$B$5)*(IF(B158&lt;($B$4*2/10),($B$4*2/10)*(MIN(C158,($B$4*2/10))^3-B158^3)-(MIN(C158,($B$4*2/10))^4-B158^4)/4,0)+IF(C158&gt;($B$4*2/10),($B$4*2/10)^2*(1.5*(C158^2-MAX(B158,($B$4*2/10))^2)-($B$4*2/10)*(C158-MAX(B158,($B$4*2/10)))),0))*1000,0)</f>
        <v>0</v>
      </c>
      <c r="AD158" s="120">
        <f>IF(AND(J158="OK",ISNUMBER($B$5),$B$5&gt;0,ISNUMBER($B$3),$B$3&gt;0),F158/(6*$B$3*1000000*$B$5)*(IF(B158&lt;($B$4*3/10),($B$4*3/10)*(MIN(C158,($B$4*3/10))^3-B158^3)-(MIN(C158,($B$4*3/10))^4-B158^4)/4,0)+IF(C158&gt;($B$4*3/10),($B$4*3/10)^2*(1.5*(C158^2-MAX(B158,($B$4*3/10))^2)-($B$4*3/10)*(C158-MAX(B158,($B$4*3/10)))),0))*1000,0)</f>
        <v>0</v>
      </c>
      <c r="AE158" s="120">
        <f>IF(AND(J158="OK",ISNUMBER($B$5),$B$5&gt;0,ISNUMBER($B$3),$B$3&gt;0),F158/(6*$B$3*1000000*$B$5)*(IF(B158&lt;($B$4*4/10),($B$4*4/10)*(MIN(C158,($B$4*4/10))^3-B158^3)-(MIN(C158,($B$4*4/10))^4-B158^4)/4,0)+IF(C158&gt;($B$4*4/10),($B$4*4/10)^2*(1.5*(C158^2-MAX(B158,($B$4*4/10))^2)-($B$4*4/10)*(C158-MAX(B158,($B$4*4/10)))),0))*1000,0)</f>
        <v>0</v>
      </c>
      <c r="AF158" s="120">
        <f>IF(AND(J158="OK",ISNUMBER($B$5),$B$5&gt;0,ISNUMBER($B$3),$B$3&gt;0),F158/(6*$B$3*1000000*$B$5)*(IF(B158&lt;($B$4*5/10),($B$4*5/10)*(MIN(C158,($B$4*5/10))^3-B158^3)-(MIN(C158,($B$4*5/10))^4-B158^4)/4,0)+IF(C158&gt;($B$4*5/10),($B$4*5/10)^2*(1.5*(C158^2-MAX(B158,($B$4*5/10))^2)-($B$4*5/10)*(C158-MAX(B158,($B$4*5/10)))),0))*1000,0)</f>
        <v>0</v>
      </c>
      <c r="AG158" s="120">
        <f>IF(AND(J158="OK",ISNUMBER($B$5),$B$5&gt;0,ISNUMBER($B$3),$B$3&gt;0),F158/(6*$B$3*1000000*$B$5)*(IF(B158&lt;($B$4*6/10),($B$4*6/10)*(MIN(C158,($B$4*6/10))^3-B158^3)-(MIN(C158,($B$4*6/10))^4-B158^4)/4,0)+IF(C158&gt;($B$4*6/10),($B$4*6/10)^2*(1.5*(C158^2-MAX(B158,($B$4*6/10))^2)-($B$4*6/10)*(C158-MAX(B158,($B$4*6/10)))),0))*1000,0)</f>
        <v>0</v>
      </c>
      <c r="AH158" s="120">
        <f>IF(AND(J158="OK",ISNUMBER($B$5),$B$5&gt;0,ISNUMBER($B$3),$B$3&gt;0),F158/(6*$B$3*1000000*$B$5)*(IF(B158&lt;($B$4*7/10),($B$4*7/10)*(MIN(C158,($B$4*7/10))^3-B158^3)-(MIN(C158,($B$4*7/10))^4-B158^4)/4,0)+IF(C158&gt;($B$4*7/10),($B$4*7/10)^2*(1.5*(C158^2-MAX(B158,($B$4*7/10))^2)-($B$4*7/10)*(C158-MAX(B158,($B$4*7/10)))),0))*1000,0)</f>
        <v>0</v>
      </c>
      <c r="AI158" s="120">
        <f>IF(AND(J158="OK",ISNUMBER($B$5),$B$5&gt;0,ISNUMBER($B$3),$B$3&gt;0),F158/(6*$B$3*1000000*$B$5)*(IF(B158&lt;($B$4*8/10),($B$4*8/10)*(MIN(C158,($B$4*8/10))^3-B158^3)-(MIN(C158,($B$4*8/10))^4-B158^4)/4,0)+IF(C158&gt;($B$4*8/10),($B$4*8/10)^2*(1.5*(C158^2-MAX(B158,($B$4*8/10))^2)-($B$4*8/10)*(C158-MAX(B158,($B$4*8/10)))),0))*1000,0)</f>
        <v>0</v>
      </c>
      <c r="AJ158" s="120">
        <f>IF(AND(J158="OK",ISNUMBER($B$5),$B$5&gt;0,ISNUMBER($B$3),$B$3&gt;0),F158/(6*$B$3*1000000*$B$5)*(IF(B158&lt;($B$4*9/10),($B$4*9/10)*(MIN(C158,($B$4*9/10))^3-B158^3)-(MIN(C158,($B$4*9/10))^4-B158^4)/4,0)+IF(C158&gt;($B$4*9/10),($B$4*9/10)^2*(1.5*(C158^2-MAX(B158,($B$4*9/10))^2)-($B$4*9/10)*(C158-MAX(B158,($B$4*9/10)))),0))*1000,0)</f>
        <v>0</v>
      </c>
      <c r="AK158" s="120">
        <f>IF(AND(J158="OK",ISNUMBER($B$5),$B$5&gt;0,ISNUMBER($B$3),$B$3&gt;0),F158/(6*$B$3*1000000*$B$5)*(IF(B158&lt;($B$4*10/10),($B$4*10/10)*(MIN(C158,($B$4*10/10))^3-B158^3)-(MIN(C158,($B$4*10/10))^4-B158^4)/4,0)+IF(C158&gt;($B$4*10/10),($B$4*10/10)^2*(1.5*(C158^2-MAX(B158,($B$4*10/10))^2)-($B$4*10/10)*(C158-MAX(B158,($B$4*10/10)))),0))*1000,0)</f>
        <v>0</v>
      </c>
      <c r="AM158" s="120">
        <f>IF(AND(V158="OK",ISNUMBER($N$5),$N$5&gt;0,ISNUMBER($N$3),$N$3&gt;0),R158/(6*$N$3*1000000*$N$5)*(IF(N158&lt;($N$4*0/10),($N$4*0/10)*(MIN(O158,($N$4*0/10))^3-N158^3)-(MIN(O158,($N$4*0/10))^4-N158^4)/4,0)+IF(O158&gt;($N$4*0/10),($N$4*0/10)^2*(1.5*(O158^2-MAX(N158,($N$4*0/10))^2)-($N$4*0/10)*(O158-MAX(N158,($N$4*0/10)))),0))*1000,0)</f>
        <v>0</v>
      </c>
      <c r="AN158" s="120">
        <f>IF(AND(V158="OK",ISNUMBER($N$5),$N$5&gt;0,ISNUMBER($N$3),$N$3&gt;0),R158/(6*$N$3*1000000*$N$5)*(IF(N158&lt;($N$4*1/10),($N$4*1/10)*(MIN(O158,($N$4*1/10))^3-N158^3)-(MIN(O158,($N$4*1/10))^4-N158^4)/4,0)+IF(O158&gt;($N$4*1/10),($N$4*1/10)^2*(1.5*(O158^2-MAX(N158,($N$4*1/10))^2)-($N$4*1/10)*(O158-MAX(N158,($N$4*1/10)))),0))*1000,0)</f>
        <v>0</v>
      </c>
      <c r="AO158" s="120">
        <f>IF(AND(V158="OK",ISNUMBER($N$5),$N$5&gt;0,ISNUMBER($N$3),$N$3&gt;0),R158/(6*$N$3*1000000*$N$5)*(IF(N158&lt;($N$4*2/10),($N$4*2/10)*(MIN(O158,($N$4*2/10))^3-N158^3)-(MIN(O158,($N$4*2/10))^4-N158^4)/4,0)+IF(O158&gt;($N$4*2/10),($N$4*2/10)^2*(1.5*(O158^2-MAX(N158,($N$4*2/10))^2)-($N$4*2/10)*(O158-MAX(N158,($N$4*2/10)))),0))*1000,0)</f>
        <v>0</v>
      </c>
      <c r="AP158" s="120">
        <f>IF(AND(V158="OK",ISNUMBER($N$5),$N$5&gt;0,ISNUMBER($N$3),$N$3&gt;0),R158/(6*$N$3*1000000*$N$5)*(IF(N158&lt;($N$4*3/10),($N$4*3/10)*(MIN(O158,($N$4*3/10))^3-N158^3)-(MIN(O158,($N$4*3/10))^4-N158^4)/4,0)+IF(O158&gt;($N$4*3/10),($N$4*3/10)^2*(1.5*(O158^2-MAX(N158,($N$4*3/10))^2)-($N$4*3/10)*(O158-MAX(N158,($N$4*3/10)))),0))*1000,0)</f>
        <v>0</v>
      </c>
      <c r="AQ158" s="120">
        <f>IF(AND(V158="OK",ISNUMBER($N$5),$N$5&gt;0,ISNUMBER($N$3),$N$3&gt;0),R158/(6*$N$3*1000000*$N$5)*(IF(N158&lt;($N$4*4/10),($N$4*4/10)*(MIN(O158,($N$4*4/10))^3-N158^3)-(MIN(O158,($N$4*4/10))^4-N158^4)/4,0)+IF(O158&gt;($N$4*4/10),($N$4*4/10)^2*(1.5*(O158^2-MAX(N158,($N$4*4/10))^2)-($N$4*4/10)*(O158-MAX(N158,($N$4*4/10)))),0))*1000,0)</f>
        <v>0</v>
      </c>
      <c r="AR158" s="120">
        <f>IF(AND(V158="OK",ISNUMBER($N$5),$N$5&gt;0,ISNUMBER($N$3),$N$3&gt;0),R158/(6*$N$3*1000000*$N$5)*(IF(N158&lt;($N$4*5/10),($N$4*5/10)*(MIN(O158,($N$4*5/10))^3-N158^3)-(MIN(O158,($N$4*5/10))^4-N158^4)/4,0)+IF(O158&gt;($N$4*5/10),($N$4*5/10)^2*(1.5*(O158^2-MAX(N158,($N$4*5/10))^2)-($N$4*5/10)*(O158-MAX(N158,($N$4*5/10)))),0))*1000,0)</f>
        <v>0</v>
      </c>
      <c r="AS158" s="120">
        <f>IF(AND(V158="OK",ISNUMBER($N$5),$N$5&gt;0,ISNUMBER($N$3),$N$3&gt;0),R158/(6*$N$3*1000000*$N$5)*(IF(N158&lt;($N$4*6/10),($N$4*6/10)*(MIN(O158,($N$4*6/10))^3-N158^3)-(MIN(O158,($N$4*6/10))^4-N158^4)/4,0)+IF(O158&gt;($N$4*6/10),($N$4*6/10)^2*(1.5*(O158^2-MAX(N158,($N$4*6/10))^2)-($N$4*6/10)*(O158-MAX(N158,($N$4*6/10)))),0))*1000,0)</f>
        <v>0</v>
      </c>
      <c r="AT158" s="120">
        <f>IF(AND(V158="OK",ISNUMBER($N$5),$N$5&gt;0,ISNUMBER($N$3),$N$3&gt;0),R158/(6*$N$3*1000000*$N$5)*(IF(N158&lt;($N$4*7/10),($N$4*7/10)*(MIN(O158,($N$4*7/10))^3-N158^3)-(MIN(O158,($N$4*7/10))^4-N158^4)/4,0)+IF(O158&gt;($N$4*7/10),($N$4*7/10)^2*(1.5*(O158^2-MAX(N158,($N$4*7/10))^2)-($N$4*7/10)*(O158-MAX(N158,($N$4*7/10)))),0))*1000,0)</f>
        <v>0</v>
      </c>
      <c r="AU158" s="120">
        <f>IF(AND(V158="OK",ISNUMBER($N$5),$N$5&gt;0,ISNUMBER($N$3),$N$3&gt;0),R158/(6*$N$3*1000000*$N$5)*(IF(N158&lt;($N$4*8/10),($N$4*8/10)*(MIN(O158,($N$4*8/10))^3-N158^3)-(MIN(O158,($N$4*8/10))^4-N158^4)/4,0)+IF(O158&gt;($N$4*8/10),($N$4*8/10)^2*(1.5*(O158^2-MAX(N158,($N$4*8/10))^2)-($N$4*8/10)*(O158-MAX(N158,($N$4*8/10)))),0))*1000,0)</f>
        <v>0</v>
      </c>
      <c r="AV158" s="120">
        <f>IF(AND(V158="OK",ISNUMBER($N$5),$N$5&gt;0,ISNUMBER($N$3),$N$3&gt;0),R158/(6*$N$3*1000000*$N$5)*(IF(N158&lt;($N$4*9/10),($N$4*9/10)*(MIN(O158,($N$4*9/10))^3-N158^3)-(MIN(O158,($N$4*9/10))^4-N158^4)/4,0)+IF(O158&gt;($N$4*9/10),($N$4*9/10)^2*(1.5*(O158^2-MAX(N158,($N$4*9/10))^2)-($N$4*9/10)*(O158-MAX(N158,($N$4*9/10)))),0))*1000,0)</f>
        <v>0</v>
      </c>
      <c r="AW158" s="120">
        <f>IF(AND(V158="OK",ISNUMBER($N$5),$N$5&gt;0,ISNUMBER($N$3),$N$3&gt;0),R158/(6*$N$3*1000000*$N$5)*(IF(N158&lt;($N$4*10/10),($N$4*10/10)*(MIN(O158,($N$4*10/10))^3-N158^3)-(MIN(O158,($N$4*10/10))^4-N158^4)/4,0)+IF(O158&gt;($N$4*10/10),($N$4*10/10)^2*(1.5*(O158^2-MAX(N158,($N$4*10/10))^2)-($N$4*10/10)*(O158-MAX(N158,($N$4*10/10)))),0))*1000,0)</f>
        <v>0</v>
      </c>
    </row>
    <row r="159" spans="1:49">
      <c r="A159" s="124"/>
      <c r="B159" s="125"/>
      <c r="C159" s="125"/>
      <c r="D159" s="125"/>
      <c r="E159" s="125"/>
      <c r="F159" s="126" t="str">
        <f>IF(J159="OK",D159*E159,"")</f>
        <v/>
      </c>
      <c r="G159" s="126" t="str">
        <f>IF(J159="OK",F159*(C159-B159),"")</f>
        <v/>
      </c>
      <c r="H159" s="126" t="str">
        <f>IF(J159="OK",G159*(C159+B159)/2,"")</f>
        <v/>
      </c>
      <c r="I159" s="126" t="str">
        <f>IF(AND(J159="OK",ISNUMBER($B$5),$B$5&gt;0,ISNUMBER($B$3),$B$3&gt;0),F159*(4*$B$4*(C159^3-B159^3)-(C159^4-B159^4))/(24*$B$3*1000000*$B$5)*1000,"")</f>
        <v/>
      </c>
      <c r="J159" s="120" t="str">
        <f>IF(COUNTA(A159:E159)=0,"",IF(AND(COUNT(B159:E159)=4,B159&gt;=0,C159&gt;B159,C159&lt;=$B$4,D159&gt;=0,E159&gt;0),IF(COUNTIFS($B$13:$B$158,"&lt;"&amp;C159,$C$13:$C$158,"&gt;"&amp;B159)&gt;0,"OVERLAP","OK"),"CHECK INPUTS"))</f>
        <v/>
      </c>
      <c r="M159" s="124"/>
      <c r="N159" s="125"/>
      <c r="O159" s="125"/>
      <c r="P159" s="125"/>
      <c r="Q159" s="125"/>
      <c r="R159" s="126" t="str">
        <f>IF(V159="OK",P159*Q159,"")</f>
        <v/>
      </c>
      <c r="S159" s="126" t="str">
        <f>IF(V159="OK",R159*(O159-N159),"")</f>
        <v/>
      </c>
      <c r="T159" s="126" t="str">
        <f>IF(V159="OK",S159*(O159+N159)/2,"")</f>
        <v/>
      </c>
      <c r="U159" s="126" t="str">
        <f>IF(AND(V159="OK",ISNUMBER($N$5),$N$5&gt;0,ISNUMBER($N$3),$N$3&gt;0),R159*(4*$N$4*(O159^3-N159^3)-(O159^4-N159^4))/(24*$N$3*1000000*$N$5)*1000,"")</f>
        <v/>
      </c>
      <c r="V159" s="120" t="str">
        <f>IF(COUNTA(M159:Q159)=0,"",IF(AND(COUNT(N159:Q159)=4,N159&gt;=0,O159&gt;N159,O159&lt;=$N$4,P159&gt;=0,Q159&gt;0),IF(COUNTIFS($N$13:$N$158,"&lt;"&amp;O159,$O$13:$O$158,"&gt;"&amp;N159)&gt;0,"OVERLAP","OK"),"CHECK INPUTS"))</f>
        <v/>
      </c>
      <c r="AA159" s="120">
        <f>IF(AND(J159="OK",ISNUMBER($B$5),$B$5&gt;0,ISNUMBER($B$3),$B$3&gt;0),F159/(6*$B$3*1000000*$B$5)*(IF(B159&lt;($B$4*0/10),($B$4*0/10)*(MIN(C159,($B$4*0/10))^3-B159^3)-(MIN(C159,($B$4*0/10))^4-B159^4)/4,0)+IF(C159&gt;($B$4*0/10),($B$4*0/10)^2*(1.5*(C159^2-MAX(B159,($B$4*0/10))^2)-($B$4*0/10)*(C159-MAX(B159,($B$4*0/10)))),0))*1000,0)</f>
        <v>0</v>
      </c>
      <c r="AB159" s="120">
        <f>IF(AND(J159="OK",ISNUMBER($B$5),$B$5&gt;0,ISNUMBER($B$3),$B$3&gt;0),F159/(6*$B$3*1000000*$B$5)*(IF(B159&lt;($B$4*1/10),($B$4*1/10)*(MIN(C159,($B$4*1/10))^3-B159^3)-(MIN(C159,($B$4*1/10))^4-B159^4)/4,0)+IF(C159&gt;($B$4*1/10),($B$4*1/10)^2*(1.5*(C159^2-MAX(B159,($B$4*1/10))^2)-($B$4*1/10)*(C159-MAX(B159,($B$4*1/10)))),0))*1000,0)</f>
        <v>0</v>
      </c>
      <c r="AC159" s="120">
        <f>IF(AND(J159="OK",ISNUMBER($B$5),$B$5&gt;0,ISNUMBER($B$3),$B$3&gt;0),F159/(6*$B$3*1000000*$B$5)*(IF(B159&lt;($B$4*2/10),($B$4*2/10)*(MIN(C159,($B$4*2/10))^3-B159^3)-(MIN(C159,($B$4*2/10))^4-B159^4)/4,0)+IF(C159&gt;($B$4*2/10),($B$4*2/10)^2*(1.5*(C159^2-MAX(B159,($B$4*2/10))^2)-($B$4*2/10)*(C159-MAX(B159,($B$4*2/10)))),0))*1000,0)</f>
        <v>0</v>
      </c>
      <c r="AD159" s="120">
        <f>IF(AND(J159="OK",ISNUMBER($B$5),$B$5&gt;0,ISNUMBER($B$3),$B$3&gt;0),F159/(6*$B$3*1000000*$B$5)*(IF(B159&lt;($B$4*3/10),($B$4*3/10)*(MIN(C159,($B$4*3/10))^3-B159^3)-(MIN(C159,($B$4*3/10))^4-B159^4)/4,0)+IF(C159&gt;($B$4*3/10),($B$4*3/10)^2*(1.5*(C159^2-MAX(B159,($B$4*3/10))^2)-($B$4*3/10)*(C159-MAX(B159,($B$4*3/10)))),0))*1000,0)</f>
        <v>0</v>
      </c>
      <c r="AE159" s="120">
        <f>IF(AND(J159="OK",ISNUMBER($B$5),$B$5&gt;0,ISNUMBER($B$3),$B$3&gt;0),F159/(6*$B$3*1000000*$B$5)*(IF(B159&lt;($B$4*4/10),($B$4*4/10)*(MIN(C159,($B$4*4/10))^3-B159^3)-(MIN(C159,($B$4*4/10))^4-B159^4)/4,0)+IF(C159&gt;($B$4*4/10),($B$4*4/10)^2*(1.5*(C159^2-MAX(B159,($B$4*4/10))^2)-($B$4*4/10)*(C159-MAX(B159,($B$4*4/10)))),0))*1000,0)</f>
        <v>0</v>
      </c>
      <c r="AF159" s="120">
        <f>IF(AND(J159="OK",ISNUMBER($B$5),$B$5&gt;0,ISNUMBER($B$3),$B$3&gt;0),F159/(6*$B$3*1000000*$B$5)*(IF(B159&lt;($B$4*5/10),($B$4*5/10)*(MIN(C159,($B$4*5/10))^3-B159^3)-(MIN(C159,($B$4*5/10))^4-B159^4)/4,0)+IF(C159&gt;($B$4*5/10),($B$4*5/10)^2*(1.5*(C159^2-MAX(B159,($B$4*5/10))^2)-($B$4*5/10)*(C159-MAX(B159,($B$4*5/10)))),0))*1000,0)</f>
        <v>0</v>
      </c>
      <c r="AG159" s="120">
        <f>IF(AND(J159="OK",ISNUMBER($B$5),$B$5&gt;0,ISNUMBER($B$3),$B$3&gt;0),F159/(6*$B$3*1000000*$B$5)*(IF(B159&lt;($B$4*6/10),($B$4*6/10)*(MIN(C159,($B$4*6/10))^3-B159^3)-(MIN(C159,($B$4*6/10))^4-B159^4)/4,0)+IF(C159&gt;($B$4*6/10),($B$4*6/10)^2*(1.5*(C159^2-MAX(B159,($B$4*6/10))^2)-($B$4*6/10)*(C159-MAX(B159,($B$4*6/10)))),0))*1000,0)</f>
        <v>0</v>
      </c>
      <c r="AH159" s="120">
        <f>IF(AND(J159="OK",ISNUMBER($B$5),$B$5&gt;0,ISNUMBER($B$3),$B$3&gt;0),F159/(6*$B$3*1000000*$B$5)*(IF(B159&lt;($B$4*7/10),($B$4*7/10)*(MIN(C159,($B$4*7/10))^3-B159^3)-(MIN(C159,($B$4*7/10))^4-B159^4)/4,0)+IF(C159&gt;($B$4*7/10),($B$4*7/10)^2*(1.5*(C159^2-MAX(B159,($B$4*7/10))^2)-($B$4*7/10)*(C159-MAX(B159,($B$4*7/10)))),0))*1000,0)</f>
        <v>0</v>
      </c>
      <c r="AI159" s="120">
        <f>IF(AND(J159="OK",ISNUMBER($B$5),$B$5&gt;0,ISNUMBER($B$3),$B$3&gt;0),F159/(6*$B$3*1000000*$B$5)*(IF(B159&lt;($B$4*8/10),($B$4*8/10)*(MIN(C159,($B$4*8/10))^3-B159^3)-(MIN(C159,($B$4*8/10))^4-B159^4)/4,0)+IF(C159&gt;($B$4*8/10),($B$4*8/10)^2*(1.5*(C159^2-MAX(B159,($B$4*8/10))^2)-($B$4*8/10)*(C159-MAX(B159,($B$4*8/10)))),0))*1000,0)</f>
        <v>0</v>
      </c>
      <c r="AJ159" s="120">
        <f>IF(AND(J159="OK",ISNUMBER($B$5),$B$5&gt;0,ISNUMBER($B$3),$B$3&gt;0),F159/(6*$B$3*1000000*$B$5)*(IF(B159&lt;($B$4*9/10),($B$4*9/10)*(MIN(C159,($B$4*9/10))^3-B159^3)-(MIN(C159,($B$4*9/10))^4-B159^4)/4,0)+IF(C159&gt;($B$4*9/10),($B$4*9/10)^2*(1.5*(C159^2-MAX(B159,($B$4*9/10))^2)-($B$4*9/10)*(C159-MAX(B159,($B$4*9/10)))),0))*1000,0)</f>
        <v>0</v>
      </c>
      <c r="AK159" s="120">
        <f>IF(AND(J159="OK",ISNUMBER($B$5),$B$5&gt;0,ISNUMBER($B$3),$B$3&gt;0),F159/(6*$B$3*1000000*$B$5)*(IF(B159&lt;($B$4*10/10),($B$4*10/10)*(MIN(C159,($B$4*10/10))^3-B159^3)-(MIN(C159,($B$4*10/10))^4-B159^4)/4,0)+IF(C159&gt;($B$4*10/10),($B$4*10/10)^2*(1.5*(C159^2-MAX(B159,($B$4*10/10))^2)-($B$4*10/10)*(C159-MAX(B159,($B$4*10/10)))),0))*1000,0)</f>
        <v>0</v>
      </c>
      <c r="AM159" s="120">
        <f>IF(AND(V159="OK",ISNUMBER($N$5),$N$5&gt;0,ISNUMBER($N$3),$N$3&gt;0),R159/(6*$N$3*1000000*$N$5)*(IF(N159&lt;($N$4*0/10),($N$4*0/10)*(MIN(O159,($N$4*0/10))^3-N159^3)-(MIN(O159,($N$4*0/10))^4-N159^4)/4,0)+IF(O159&gt;($N$4*0/10),($N$4*0/10)^2*(1.5*(O159^2-MAX(N159,($N$4*0/10))^2)-($N$4*0/10)*(O159-MAX(N159,($N$4*0/10)))),0))*1000,0)</f>
        <v>0</v>
      </c>
      <c r="AN159" s="120">
        <f>IF(AND(V159="OK",ISNUMBER($N$5),$N$5&gt;0,ISNUMBER($N$3),$N$3&gt;0),R159/(6*$N$3*1000000*$N$5)*(IF(N159&lt;($N$4*1/10),($N$4*1/10)*(MIN(O159,($N$4*1/10))^3-N159^3)-(MIN(O159,($N$4*1/10))^4-N159^4)/4,0)+IF(O159&gt;($N$4*1/10),($N$4*1/10)^2*(1.5*(O159^2-MAX(N159,($N$4*1/10))^2)-($N$4*1/10)*(O159-MAX(N159,($N$4*1/10)))),0))*1000,0)</f>
        <v>0</v>
      </c>
      <c r="AO159" s="120">
        <f>IF(AND(V159="OK",ISNUMBER($N$5),$N$5&gt;0,ISNUMBER($N$3),$N$3&gt;0),R159/(6*$N$3*1000000*$N$5)*(IF(N159&lt;($N$4*2/10),($N$4*2/10)*(MIN(O159,($N$4*2/10))^3-N159^3)-(MIN(O159,($N$4*2/10))^4-N159^4)/4,0)+IF(O159&gt;($N$4*2/10),($N$4*2/10)^2*(1.5*(O159^2-MAX(N159,($N$4*2/10))^2)-($N$4*2/10)*(O159-MAX(N159,($N$4*2/10)))),0))*1000,0)</f>
        <v>0</v>
      </c>
      <c r="AP159" s="120">
        <f>IF(AND(V159="OK",ISNUMBER($N$5),$N$5&gt;0,ISNUMBER($N$3),$N$3&gt;0),R159/(6*$N$3*1000000*$N$5)*(IF(N159&lt;($N$4*3/10),($N$4*3/10)*(MIN(O159,($N$4*3/10))^3-N159^3)-(MIN(O159,($N$4*3/10))^4-N159^4)/4,0)+IF(O159&gt;($N$4*3/10),($N$4*3/10)^2*(1.5*(O159^2-MAX(N159,($N$4*3/10))^2)-($N$4*3/10)*(O159-MAX(N159,($N$4*3/10)))),0))*1000,0)</f>
        <v>0</v>
      </c>
      <c r="AQ159" s="120">
        <f>IF(AND(V159="OK",ISNUMBER($N$5),$N$5&gt;0,ISNUMBER($N$3),$N$3&gt;0),R159/(6*$N$3*1000000*$N$5)*(IF(N159&lt;($N$4*4/10),($N$4*4/10)*(MIN(O159,($N$4*4/10))^3-N159^3)-(MIN(O159,($N$4*4/10))^4-N159^4)/4,0)+IF(O159&gt;($N$4*4/10),($N$4*4/10)^2*(1.5*(O159^2-MAX(N159,($N$4*4/10))^2)-($N$4*4/10)*(O159-MAX(N159,($N$4*4/10)))),0))*1000,0)</f>
        <v>0</v>
      </c>
      <c r="AR159" s="120">
        <f>IF(AND(V159="OK",ISNUMBER($N$5),$N$5&gt;0,ISNUMBER($N$3),$N$3&gt;0),R159/(6*$N$3*1000000*$N$5)*(IF(N159&lt;($N$4*5/10),($N$4*5/10)*(MIN(O159,($N$4*5/10))^3-N159^3)-(MIN(O159,($N$4*5/10))^4-N159^4)/4,0)+IF(O159&gt;($N$4*5/10),($N$4*5/10)^2*(1.5*(O159^2-MAX(N159,($N$4*5/10))^2)-($N$4*5/10)*(O159-MAX(N159,($N$4*5/10)))),0))*1000,0)</f>
        <v>0</v>
      </c>
      <c r="AS159" s="120">
        <f>IF(AND(V159="OK",ISNUMBER($N$5),$N$5&gt;0,ISNUMBER($N$3),$N$3&gt;0),R159/(6*$N$3*1000000*$N$5)*(IF(N159&lt;($N$4*6/10),($N$4*6/10)*(MIN(O159,($N$4*6/10))^3-N159^3)-(MIN(O159,($N$4*6/10))^4-N159^4)/4,0)+IF(O159&gt;($N$4*6/10),($N$4*6/10)^2*(1.5*(O159^2-MAX(N159,($N$4*6/10))^2)-($N$4*6/10)*(O159-MAX(N159,($N$4*6/10)))),0))*1000,0)</f>
        <v>0</v>
      </c>
      <c r="AT159" s="120">
        <f>IF(AND(V159="OK",ISNUMBER($N$5),$N$5&gt;0,ISNUMBER($N$3),$N$3&gt;0),R159/(6*$N$3*1000000*$N$5)*(IF(N159&lt;($N$4*7/10),($N$4*7/10)*(MIN(O159,($N$4*7/10))^3-N159^3)-(MIN(O159,($N$4*7/10))^4-N159^4)/4,0)+IF(O159&gt;($N$4*7/10),($N$4*7/10)^2*(1.5*(O159^2-MAX(N159,($N$4*7/10))^2)-($N$4*7/10)*(O159-MAX(N159,($N$4*7/10)))),0))*1000,0)</f>
        <v>0</v>
      </c>
      <c r="AU159" s="120">
        <f>IF(AND(V159="OK",ISNUMBER($N$5),$N$5&gt;0,ISNUMBER($N$3),$N$3&gt;0),R159/(6*$N$3*1000000*$N$5)*(IF(N159&lt;($N$4*8/10),($N$4*8/10)*(MIN(O159,($N$4*8/10))^3-N159^3)-(MIN(O159,($N$4*8/10))^4-N159^4)/4,0)+IF(O159&gt;($N$4*8/10),($N$4*8/10)^2*(1.5*(O159^2-MAX(N159,($N$4*8/10))^2)-($N$4*8/10)*(O159-MAX(N159,($N$4*8/10)))),0))*1000,0)</f>
        <v>0</v>
      </c>
      <c r="AV159" s="120">
        <f>IF(AND(V159="OK",ISNUMBER($N$5),$N$5&gt;0,ISNUMBER($N$3),$N$3&gt;0),R159/(6*$N$3*1000000*$N$5)*(IF(N159&lt;($N$4*9/10),($N$4*9/10)*(MIN(O159,($N$4*9/10))^3-N159^3)-(MIN(O159,($N$4*9/10))^4-N159^4)/4,0)+IF(O159&gt;($N$4*9/10),($N$4*9/10)^2*(1.5*(O159^2-MAX(N159,($N$4*9/10))^2)-($N$4*9/10)*(O159-MAX(N159,($N$4*9/10)))),0))*1000,0)</f>
        <v>0</v>
      </c>
      <c r="AW159" s="120">
        <f>IF(AND(V159="OK",ISNUMBER($N$5),$N$5&gt;0,ISNUMBER($N$3),$N$3&gt;0),R159/(6*$N$3*1000000*$N$5)*(IF(N159&lt;($N$4*10/10),($N$4*10/10)*(MIN(O159,($N$4*10/10))^3-N159^3)-(MIN(O159,($N$4*10/10))^4-N159^4)/4,0)+IF(O159&gt;($N$4*10/10),($N$4*10/10)^2*(1.5*(O159^2-MAX(N159,($N$4*10/10))^2)-($N$4*10/10)*(O159-MAX(N159,($N$4*10/10)))),0))*1000,0)</f>
        <v>0</v>
      </c>
    </row>
    <row r="160" spans="1:49">
      <c r="A160" s="124"/>
      <c r="B160" s="125"/>
      <c r="C160" s="125"/>
      <c r="D160" s="125"/>
      <c r="E160" s="125"/>
      <c r="F160" s="126" t="str">
        <f>IF(J160="OK",D160*E160,"")</f>
        <v/>
      </c>
      <c r="G160" s="126" t="str">
        <f>IF(J160="OK",F160*(C160-B160),"")</f>
        <v/>
      </c>
      <c r="H160" s="126" t="str">
        <f>IF(J160="OK",G160*(C160+B160)/2,"")</f>
        <v/>
      </c>
      <c r="I160" s="126" t="str">
        <f>IF(AND(J160="OK",ISNUMBER($B$5),$B$5&gt;0,ISNUMBER($B$3),$B$3&gt;0),F160*(4*$B$4*(C160^3-B160^3)-(C160^4-B160^4))/(24*$B$3*1000000*$B$5)*1000,"")</f>
        <v/>
      </c>
      <c r="J160" s="120" t="str">
        <f>IF(COUNTA(A160:E160)=0,"",IF(AND(COUNT(B160:E160)=4,B160&gt;=0,C160&gt;B160,C160&lt;=$B$4,D160&gt;=0,E160&gt;0),IF(COUNTIFS($B$13:$B$159,"&lt;"&amp;C160,$C$13:$C$159,"&gt;"&amp;B160)&gt;0,"OVERLAP","OK"),"CHECK INPUTS"))</f>
        <v/>
      </c>
      <c r="M160" s="124"/>
      <c r="N160" s="125"/>
      <c r="O160" s="125"/>
      <c r="P160" s="125"/>
      <c r="Q160" s="125"/>
      <c r="R160" s="126" t="str">
        <f>IF(V160="OK",P160*Q160,"")</f>
        <v/>
      </c>
      <c r="S160" s="126" t="str">
        <f>IF(V160="OK",R160*(O160-N160),"")</f>
        <v/>
      </c>
      <c r="T160" s="126" t="str">
        <f>IF(V160="OK",S160*(O160+N160)/2,"")</f>
        <v/>
      </c>
      <c r="U160" s="126" t="str">
        <f>IF(AND(V160="OK",ISNUMBER($N$5),$N$5&gt;0,ISNUMBER($N$3),$N$3&gt;0),R160*(4*$N$4*(O160^3-N160^3)-(O160^4-N160^4))/(24*$N$3*1000000*$N$5)*1000,"")</f>
        <v/>
      </c>
      <c r="V160" s="120" t="str">
        <f>IF(COUNTA(M160:Q160)=0,"",IF(AND(COUNT(N160:Q160)=4,N160&gt;=0,O160&gt;N160,O160&lt;=$N$4,P160&gt;=0,Q160&gt;0),IF(COUNTIFS($N$13:$N$159,"&lt;"&amp;O160,$O$13:$O$159,"&gt;"&amp;N160)&gt;0,"OVERLAP","OK"),"CHECK INPUTS"))</f>
        <v/>
      </c>
      <c r="AA160" s="120">
        <f>IF(AND(J160="OK",ISNUMBER($B$5),$B$5&gt;0,ISNUMBER($B$3),$B$3&gt;0),F160/(6*$B$3*1000000*$B$5)*(IF(B160&lt;($B$4*0/10),($B$4*0/10)*(MIN(C160,($B$4*0/10))^3-B160^3)-(MIN(C160,($B$4*0/10))^4-B160^4)/4,0)+IF(C160&gt;($B$4*0/10),($B$4*0/10)^2*(1.5*(C160^2-MAX(B160,($B$4*0/10))^2)-($B$4*0/10)*(C160-MAX(B160,($B$4*0/10)))),0))*1000,0)</f>
        <v>0</v>
      </c>
      <c r="AB160" s="120">
        <f>IF(AND(J160="OK",ISNUMBER($B$5),$B$5&gt;0,ISNUMBER($B$3),$B$3&gt;0),F160/(6*$B$3*1000000*$B$5)*(IF(B160&lt;($B$4*1/10),($B$4*1/10)*(MIN(C160,($B$4*1/10))^3-B160^3)-(MIN(C160,($B$4*1/10))^4-B160^4)/4,0)+IF(C160&gt;($B$4*1/10),($B$4*1/10)^2*(1.5*(C160^2-MAX(B160,($B$4*1/10))^2)-($B$4*1/10)*(C160-MAX(B160,($B$4*1/10)))),0))*1000,0)</f>
        <v>0</v>
      </c>
      <c r="AC160" s="120">
        <f>IF(AND(J160="OK",ISNUMBER($B$5),$B$5&gt;0,ISNUMBER($B$3),$B$3&gt;0),F160/(6*$B$3*1000000*$B$5)*(IF(B160&lt;($B$4*2/10),($B$4*2/10)*(MIN(C160,($B$4*2/10))^3-B160^3)-(MIN(C160,($B$4*2/10))^4-B160^4)/4,0)+IF(C160&gt;($B$4*2/10),($B$4*2/10)^2*(1.5*(C160^2-MAX(B160,($B$4*2/10))^2)-($B$4*2/10)*(C160-MAX(B160,($B$4*2/10)))),0))*1000,0)</f>
        <v>0</v>
      </c>
      <c r="AD160" s="120">
        <f>IF(AND(J160="OK",ISNUMBER($B$5),$B$5&gt;0,ISNUMBER($B$3),$B$3&gt;0),F160/(6*$B$3*1000000*$B$5)*(IF(B160&lt;($B$4*3/10),($B$4*3/10)*(MIN(C160,($B$4*3/10))^3-B160^3)-(MIN(C160,($B$4*3/10))^4-B160^4)/4,0)+IF(C160&gt;($B$4*3/10),($B$4*3/10)^2*(1.5*(C160^2-MAX(B160,($B$4*3/10))^2)-($B$4*3/10)*(C160-MAX(B160,($B$4*3/10)))),0))*1000,0)</f>
        <v>0</v>
      </c>
      <c r="AE160" s="120">
        <f>IF(AND(J160="OK",ISNUMBER($B$5),$B$5&gt;0,ISNUMBER($B$3),$B$3&gt;0),F160/(6*$B$3*1000000*$B$5)*(IF(B160&lt;($B$4*4/10),($B$4*4/10)*(MIN(C160,($B$4*4/10))^3-B160^3)-(MIN(C160,($B$4*4/10))^4-B160^4)/4,0)+IF(C160&gt;($B$4*4/10),($B$4*4/10)^2*(1.5*(C160^2-MAX(B160,($B$4*4/10))^2)-($B$4*4/10)*(C160-MAX(B160,($B$4*4/10)))),0))*1000,0)</f>
        <v>0</v>
      </c>
      <c r="AF160" s="120">
        <f>IF(AND(J160="OK",ISNUMBER($B$5),$B$5&gt;0,ISNUMBER($B$3),$B$3&gt;0),F160/(6*$B$3*1000000*$B$5)*(IF(B160&lt;($B$4*5/10),($B$4*5/10)*(MIN(C160,($B$4*5/10))^3-B160^3)-(MIN(C160,($B$4*5/10))^4-B160^4)/4,0)+IF(C160&gt;($B$4*5/10),($B$4*5/10)^2*(1.5*(C160^2-MAX(B160,($B$4*5/10))^2)-($B$4*5/10)*(C160-MAX(B160,($B$4*5/10)))),0))*1000,0)</f>
        <v>0</v>
      </c>
      <c r="AG160" s="120">
        <f>IF(AND(J160="OK",ISNUMBER($B$5),$B$5&gt;0,ISNUMBER($B$3),$B$3&gt;0),F160/(6*$B$3*1000000*$B$5)*(IF(B160&lt;($B$4*6/10),($B$4*6/10)*(MIN(C160,($B$4*6/10))^3-B160^3)-(MIN(C160,($B$4*6/10))^4-B160^4)/4,0)+IF(C160&gt;($B$4*6/10),($B$4*6/10)^2*(1.5*(C160^2-MAX(B160,($B$4*6/10))^2)-($B$4*6/10)*(C160-MAX(B160,($B$4*6/10)))),0))*1000,0)</f>
        <v>0</v>
      </c>
      <c r="AH160" s="120">
        <f>IF(AND(J160="OK",ISNUMBER($B$5),$B$5&gt;0,ISNUMBER($B$3),$B$3&gt;0),F160/(6*$B$3*1000000*$B$5)*(IF(B160&lt;($B$4*7/10),($B$4*7/10)*(MIN(C160,($B$4*7/10))^3-B160^3)-(MIN(C160,($B$4*7/10))^4-B160^4)/4,0)+IF(C160&gt;($B$4*7/10),($B$4*7/10)^2*(1.5*(C160^2-MAX(B160,($B$4*7/10))^2)-($B$4*7/10)*(C160-MAX(B160,($B$4*7/10)))),0))*1000,0)</f>
        <v>0</v>
      </c>
      <c r="AI160" s="120">
        <f>IF(AND(J160="OK",ISNUMBER($B$5),$B$5&gt;0,ISNUMBER($B$3),$B$3&gt;0),F160/(6*$B$3*1000000*$B$5)*(IF(B160&lt;($B$4*8/10),($B$4*8/10)*(MIN(C160,($B$4*8/10))^3-B160^3)-(MIN(C160,($B$4*8/10))^4-B160^4)/4,0)+IF(C160&gt;($B$4*8/10),($B$4*8/10)^2*(1.5*(C160^2-MAX(B160,($B$4*8/10))^2)-($B$4*8/10)*(C160-MAX(B160,($B$4*8/10)))),0))*1000,0)</f>
        <v>0</v>
      </c>
      <c r="AJ160" s="120">
        <f>IF(AND(J160="OK",ISNUMBER($B$5),$B$5&gt;0,ISNUMBER($B$3),$B$3&gt;0),F160/(6*$B$3*1000000*$B$5)*(IF(B160&lt;($B$4*9/10),($B$4*9/10)*(MIN(C160,($B$4*9/10))^3-B160^3)-(MIN(C160,($B$4*9/10))^4-B160^4)/4,0)+IF(C160&gt;($B$4*9/10),($B$4*9/10)^2*(1.5*(C160^2-MAX(B160,($B$4*9/10))^2)-($B$4*9/10)*(C160-MAX(B160,($B$4*9/10)))),0))*1000,0)</f>
        <v>0</v>
      </c>
      <c r="AK160" s="120">
        <f>IF(AND(J160="OK",ISNUMBER($B$5),$B$5&gt;0,ISNUMBER($B$3),$B$3&gt;0),F160/(6*$B$3*1000000*$B$5)*(IF(B160&lt;($B$4*10/10),($B$4*10/10)*(MIN(C160,($B$4*10/10))^3-B160^3)-(MIN(C160,($B$4*10/10))^4-B160^4)/4,0)+IF(C160&gt;($B$4*10/10),($B$4*10/10)^2*(1.5*(C160^2-MAX(B160,($B$4*10/10))^2)-($B$4*10/10)*(C160-MAX(B160,($B$4*10/10)))),0))*1000,0)</f>
        <v>0</v>
      </c>
      <c r="AM160" s="120">
        <f>IF(AND(V160="OK",ISNUMBER($N$5),$N$5&gt;0,ISNUMBER($N$3),$N$3&gt;0),R160/(6*$N$3*1000000*$N$5)*(IF(N160&lt;($N$4*0/10),($N$4*0/10)*(MIN(O160,($N$4*0/10))^3-N160^3)-(MIN(O160,($N$4*0/10))^4-N160^4)/4,0)+IF(O160&gt;($N$4*0/10),($N$4*0/10)^2*(1.5*(O160^2-MAX(N160,($N$4*0/10))^2)-($N$4*0/10)*(O160-MAX(N160,($N$4*0/10)))),0))*1000,0)</f>
        <v>0</v>
      </c>
      <c r="AN160" s="120">
        <f>IF(AND(V160="OK",ISNUMBER($N$5),$N$5&gt;0,ISNUMBER($N$3),$N$3&gt;0),R160/(6*$N$3*1000000*$N$5)*(IF(N160&lt;($N$4*1/10),($N$4*1/10)*(MIN(O160,($N$4*1/10))^3-N160^3)-(MIN(O160,($N$4*1/10))^4-N160^4)/4,0)+IF(O160&gt;($N$4*1/10),($N$4*1/10)^2*(1.5*(O160^2-MAX(N160,($N$4*1/10))^2)-($N$4*1/10)*(O160-MAX(N160,($N$4*1/10)))),0))*1000,0)</f>
        <v>0</v>
      </c>
      <c r="AO160" s="120">
        <f>IF(AND(V160="OK",ISNUMBER($N$5),$N$5&gt;0,ISNUMBER($N$3),$N$3&gt;0),R160/(6*$N$3*1000000*$N$5)*(IF(N160&lt;($N$4*2/10),($N$4*2/10)*(MIN(O160,($N$4*2/10))^3-N160^3)-(MIN(O160,($N$4*2/10))^4-N160^4)/4,0)+IF(O160&gt;($N$4*2/10),($N$4*2/10)^2*(1.5*(O160^2-MAX(N160,($N$4*2/10))^2)-($N$4*2/10)*(O160-MAX(N160,($N$4*2/10)))),0))*1000,0)</f>
        <v>0</v>
      </c>
      <c r="AP160" s="120">
        <f>IF(AND(V160="OK",ISNUMBER($N$5),$N$5&gt;0,ISNUMBER($N$3),$N$3&gt;0),R160/(6*$N$3*1000000*$N$5)*(IF(N160&lt;($N$4*3/10),($N$4*3/10)*(MIN(O160,($N$4*3/10))^3-N160^3)-(MIN(O160,($N$4*3/10))^4-N160^4)/4,0)+IF(O160&gt;($N$4*3/10),($N$4*3/10)^2*(1.5*(O160^2-MAX(N160,($N$4*3/10))^2)-($N$4*3/10)*(O160-MAX(N160,($N$4*3/10)))),0))*1000,0)</f>
        <v>0</v>
      </c>
      <c r="AQ160" s="120">
        <f>IF(AND(V160="OK",ISNUMBER($N$5),$N$5&gt;0,ISNUMBER($N$3),$N$3&gt;0),R160/(6*$N$3*1000000*$N$5)*(IF(N160&lt;($N$4*4/10),($N$4*4/10)*(MIN(O160,($N$4*4/10))^3-N160^3)-(MIN(O160,($N$4*4/10))^4-N160^4)/4,0)+IF(O160&gt;($N$4*4/10),($N$4*4/10)^2*(1.5*(O160^2-MAX(N160,($N$4*4/10))^2)-($N$4*4/10)*(O160-MAX(N160,($N$4*4/10)))),0))*1000,0)</f>
        <v>0</v>
      </c>
      <c r="AR160" s="120">
        <f>IF(AND(V160="OK",ISNUMBER($N$5),$N$5&gt;0,ISNUMBER($N$3),$N$3&gt;0),R160/(6*$N$3*1000000*$N$5)*(IF(N160&lt;($N$4*5/10),($N$4*5/10)*(MIN(O160,($N$4*5/10))^3-N160^3)-(MIN(O160,($N$4*5/10))^4-N160^4)/4,0)+IF(O160&gt;($N$4*5/10),($N$4*5/10)^2*(1.5*(O160^2-MAX(N160,($N$4*5/10))^2)-($N$4*5/10)*(O160-MAX(N160,($N$4*5/10)))),0))*1000,0)</f>
        <v>0</v>
      </c>
      <c r="AS160" s="120">
        <f>IF(AND(V160="OK",ISNUMBER($N$5),$N$5&gt;0,ISNUMBER($N$3),$N$3&gt;0),R160/(6*$N$3*1000000*$N$5)*(IF(N160&lt;($N$4*6/10),($N$4*6/10)*(MIN(O160,($N$4*6/10))^3-N160^3)-(MIN(O160,($N$4*6/10))^4-N160^4)/4,0)+IF(O160&gt;($N$4*6/10),($N$4*6/10)^2*(1.5*(O160^2-MAX(N160,($N$4*6/10))^2)-($N$4*6/10)*(O160-MAX(N160,($N$4*6/10)))),0))*1000,0)</f>
        <v>0</v>
      </c>
      <c r="AT160" s="120">
        <f>IF(AND(V160="OK",ISNUMBER($N$5),$N$5&gt;0,ISNUMBER($N$3),$N$3&gt;0),R160/(6*$N$3*1000000*$N$5)*(IF(N160&lt;($N$4*7/10),($N$4*7/10)*(MIN(O160,($N$4*7/10))^3-N160^3)-(MIN(O160,($N$4*7/10))^4-N160^4)/4,0)+IF(O160&gt;($N$4*7/10),($N$4*7/10)^2*(1.5*(O160^2-MAX(N160,($N$4*7/10))^2)-($N$4*7/10)*(O160-MAX(N160,($N$4*7/10)))),0))*1000,0)</f>
        <v>0</v>
      </c>
      <c r="AU160" s="120">
        <f>IF(AND(V160="OK",ISNUMBER($N$5),$N$5&gt;0,ISNUMBER($N$3),$N$3&gt;0),R160/(6*$N$3*1000000*$N$5)*(IF(N160&lt;($N$4*8/10),($N$4*8/10)*(MIN(O160,($N$4*8/10))^3-N160^3)-(MIN(O160,($N$4*8/10))^4-N160^4)/4,0)+IF(O160&gt;($N$4*8/10),($N$4*8/10)^2*(1.5*(O160^2-MAX(N160,($N$4*8/10))^2)-($N$4*8/10)*(O160-MAX(N160,($N$4*8/10)))),0))*1000,0)</f>
        <v>0</v>
      </c>
      <c r="AV160" s="120">
        <f>IF(AND(V160="OK",ISNUMBER($N$5),$N$5&gt;0,ISNUMBER($N$3),$N$3&gt;0),R160/(6*$N$3*1000000*$N$5)*(IF(N160&lt;($N$4*9/10),($N$4*9/10)*(MIN(O160,($N$4*9/10))^3-N160^3)-(MIN(O160,($N$4*9/10))^4-N160^4)/4,0)+IF(O160&gt;($N$4*9/10),($N$4*9/10)^2*(1.5*(O160^2-MAX(N160,($N$4*9/10))^2)-($N$4*9/10)*(O160-MAX(N160,($N$4*9/10)))),0))*1000,0)</f>
        <v>0</v>
      </c>
      <c r="AW160" s="120">
        <f>IF(AND(V160="OK",ISNUMBER($N$5),$N$5&gt;0,ISNUMBER($N$3),$N$3&gt;0),R160/(6*$N$3*1000000*$N$5)*(IF(N160&lt;($N$4*10/10),($N$4*10/10)*(MIN(O160,($N$4*10/10))^3-N160^3)-(MIN(O160,($N$4*10/10))^4-N160^4)/4,0)+IF(O160&gt;($N$4*10/10),($N$4*10/10)^2*(1.5*(O160^2-MAX(N160,($N$4*10/10))^2)-($N$4*10/10)*(O160-MAX(N160,($N$4*10/10)))),0))*1000,0)</f>
        <v>0</v>
      </c>
    </row>
    <row r="161" spans="1:49">
      <c r="A161" s="124"/>
      <c r="B161" s="125"/>
      <c r="C161" s="125"/>
      <c r="D161" s="125"/>
      <c r="E161" s="125"/>
      <c r="F161" s="126" t="str">
        <f>IF(J161="OK",D161*E161,"")</f>
        <v/>
      </c>
      <c r="G161" s="126" t="str">
        <f>IF(J161="OK",F161*(C161-B161),"")</f>
        <v/>
      </c>
      <c r="H161" s="126" t="str">
        <f>IF(J161="OK",G161*(C161+B161)/2,"")</f>
        <v/>
      </c>
      <c r="I161" s="126" t="str">
        <f>IF(AND(J161="OK",ISNUMBER($B$5),$B$5&gt;0,ISNUMBER($B$3),$B$3&gt;0),F161*(4*$B$4*(C161^3-B161^3)-(C161^4-B161^4))/(24*$B$3*1000000*$B$5)*1000,"")</f>
        <v/>
      </c>
      <c r="J161" s="120" t="str">
        <f>IF(COUNTA(A161:E161)=0,"",IF(AND(COUNT(B161:E161)=4,B161&gt;=0,C161&gt;B161,C161&lt;=$B$4,D161&gt;=0,E161&gt;0),IF(COUNTIFS($B$13:$B$160,"&lt;"&amp;C161,$C$13:$C$160,"&gt;"&amp;B161)&gt;0,"OVERLAP","OK"),"CHECK INPUTS"))</f>
        <v/>
      </c>
      <c r="M161" s="124"/>
      <c r="N161" s="125"/>
      <c r="O161" s="125"/>
      <c r="P161" s="125"/>
      <c r="Q161" s="125"/>
      <c r="R161" s="126" t="str">
        <f>IF(V161="OK",P161*Q161,"")</f>
        <v/>
      </c>
      <c r="S161" s="126" t="str">
        <f>IF(V161="OK",R161*(O161-N161),"")</f>
        <v/>
      </c>
      <c r="T161" s="126" t="str">
        <f>IF(V161="OK",S161*(O161+N161)/2,"")</f>
        <v/>
      </c>
      <c r="U161" s="126" t="str">
        <f>IF(AND(V161="OK",ISNUMBER($N$5),$N$5&gt;0,ISNUMBER($N$3),$N$3&gt;0),R161*(4*$N$4*(O161^3-N161^3)-(O161^4-N161^4))/(24*$N$3*1000000*$N$5)*1000,"")</f>
        <v/>
      </c>
      <c r="V161" s="120" t="str">
        <f>IF(COUNTA(M161:Q161)=0,"",IF(AND(COUNT(N161:Q161)=4,N161&gt;=0,O161&gt;N161,O161&lt;=$N$4,P161&gt;=0,Q161&gt;0),IF(COUNTIFS($N$13:$N$160,"&lt;"&amp;O161,$O$13:$O$160,"&gt;"&amp;N161)&gt;0,"OVERLAP","OK"),"CHECK INPUTS"))</f>
        <v/>
      </c>
      <c r="AA161" s="120">
        <f>IF(AND(J161="OK",ISNUMBER($B$5),$B$5&gt;0,ISNUMBER($B$3),$B$3&gt;0),F161/(6*$B$3*1000000*$B$5)*(IF(B161&lt;($B$4*0/10),($B$4*0/10)*(MIN(C161,($B$4*0/10))^3-B161^3)-(MIN(C161,($B$4*0/10))^4-B161^4)/4,0)+IF(C161&gt;($B$4*0/10),($B$4*0/10)^2*(1.5*(C161^2-MAX(B161,($B$4*0/10))^2)-($B$4*0/10)*(C161-MAX(B161,($B$4*0/10)))),0))*1000,0)</f>
        <v>0</v>
      </c>
      <c r="AB161" s="120">
        <f>IF(AND(J161="OK",ISNUMBER($B$5),$B$5&gt;0,ISNUMBER($B$3),$B$3&gt;0),F161/(6*$B$3*1000000*$B$5)*(IF(B161&lt;($B$4*1/10),($B$4*1/10)*(MIN(C161,($B$4*1/10))^3-B161^3)-(MIN(C161,($B$4*1/10))^4-B161^4)/4,0)+IF(C161&gt;($B$4*1/10),($B$4*1/10)^2*(1.5*(C161^2-MAX(B161,($B$4*1/10))^2)-($B$4*1/10)*(C161-MAX(B161,($B$4*1/10)))),0))*1000,0)</f>
        <v>0</v>
      </c>
      <c r="AC161" s="120">
        <f>IF(AND(J161="OK",ISNUMBER($B$5),$B$5&gt;0,ISNUMBER($B$3),$B$3&gt;0),F161/(6*$B$3*1000000*$B$5)*(IF(B161&lt;($B$4*2/10),($B$4*2/10)*(MIN(C161,($B$4*2/10))^3-B161^3)-(MIN(C161,($B$4*2/10))^4-B161^4)/4,0)+IF(C161&gt;($B$4*2/10),($B$4*2/10)^2*(1.5*(C161^2-MAX(B161,($B$4*2/10))^2)-($B$4*2/10)*(C161-MAX(B161,($B$4*2/10)))),0))*1000,0)</f>
        <v>0</v>
      </c>
      <c r="AD161" s="120">
        <f>IF(AND(J161="OK",ISNUMBER($B$5),$B$5&gt;0,ISNUMBER($B$3),$B$3&gt;0),F161/(6*$B$3*1000000*$B$5)*(IF(B161&lt;($B$4*3/10),($B$4*3/10)*(MIN(C161,($B$4*3/10))^3-B161^3)-(MIN(C161,($B$4*3/10))^4-B161^4)/4,0)+IF(C161&gt;($B$4*3/10),($B$4*3/10)^2*(1.5*(C161^2-MAX(B161,($B$4*3/10))^2)-($B$4*3/10)*(C161-MAX(B161,($B$4*3/10)))),0))*1000,0)</f>
        <v>0</v>
      </c>
      <c r="AE161" s="120">
        <f>IF(AND(J161="OK",ISNUMBER($B$5),$B$5&gt;0,ISNUMBER($B$3),$B$3&gt;0),F161/(6*$B$3*1000000*$B$5)*(IF(B161&lt;($B$4*4/10),($B$4*4/10)*(MIN(C161,($B$4*4/10))^3-B161^3)-(MIN(C161,($B$4*4/10))^4-B161^4)/4,0)+IF(C161&gt;($B$4*4/10),($B$4*4/10)^2*(1.5*(C161^2-MAX(B161,($B$4*4/10))^2)-($B$4*4/10)*(C161-MAX(B161,($B$4*4/10)))),0))*1000,0)</f>
        <v>0</v>
      </c>
      <c r="AF161" s="120">
        <f>IF(AND(J161="OK",ISNUMBER($B$5),$B$5&gt;0,ISNUMBER($B$3),$B$3&gt;0),F161/(6*$B$3*1000000*$B$5)*(IF(B161&lt;($B$4*5/10),($B$4*5/10)*(MIN(C161,($B$4*5/10))^3-B161^3)-(MIN(C161,($B$4*5/10))^4-B161^4)/4,0)+IF(C161&gt;($B$4*5/10),($B$4*5/10)^2*(1.5*(C161^2-MAX(B161,($B$4*5/10))^2)-($B$4*5/10)*(C161-MAX(B161,($B$4*5/10)))),0))*1000,0)</f>
        <v>0</v>
      </c>
      <c r="AG161" s="120">
        <f>IF(AND(J161="OK",ISNUMBER($B$5),$B$5&gt;0,ISNUMBER($B$3),$B$3&gt;0),F161/(6*$B$3*1000000*$B$5)*(IF(B161&lt;($B$4*6/10),($B$4*6/10)*(MIN(C161,($B$4*6/10))^3-B161^3)-(MIN(C161,($B$4*6/10))^4-B161^4)/4,0)+IF(C161&gt;($B$4*6/10),($B$4*6/10)^2*(1.5*(C161^2-MAX(B161,($B$4*6/10))^2)-($B$4*6/10)*(C161-MAX(B161,($B$4*6/10)))),0))*1000,0)</f>
        <v>0</v>
      </c>
      <c r="AH161" s="120">
        <f>IF(AND(J161="OK",ISNUMBER($B$5),$B$5&gt;0,ISNUMBER($B$3),$B$3&gt;0),F161/(6*$B$3*1000000*$B$5)*(IF(B161&lt;($B$4*7/10),($B$4*7/10)*(MIN(C161,($B$4*7/10))^3-B161^3)-(MIN(C161,($B$4*7/10))^4-B161^4)/4,0)+IF(C161&gt;($B$4*7/10),($B$4*7/10)^2*(1.5*(C161^2-MAX(B161,($B$4*7/10))^2)-($B$4*7/10)*(C161-MAX(B161,($B$4*7/10)))),0))*1000,0)</f>
        <v>0</v>
      </c>
      <c r="AI161" s="120">
        <f>IF(AND(J161="OK",ISNUMBER($B$5),$B$5&gt;0,ISNUMBER($B$3),$B$3&gt;0),F161/(6*$B$3*1000000*$B$5)*(IF(B161&lt;($B$4*8/10),($B$4*8/10)*(MIN(C161,($B$4*8/10))^3-B161^3)-(MIN(C161,($B$4*8/10))^4-B161^4)/4,0)+IF(C161&gt;($B$4*8/10),($B$4*8/10)^2*(1.5*(C161^2-MAX(B161,($B$4*8/10))^2)-($B$4*8/10)*(C161-MAX(B161,($B$4*8/10)))),0))*1000,0)</f>
        <v>0</v>
      </c>
      <c r="AJ161" s="120">
        <f>IF(AND(J161="OK",ISNUMBER($B$5),$B$5&gt;0,ISNUMBER($B$3),$B$3&gt;0),F161/(6*$B$3*1000000*$B$5)*(IF(B161&lt;($B$4*9/10),($B$4*9/10)*(MIN(C161,($B$4*9/10))^3-B161^3)-(MIN(C161,($B$4*9/10))^4-B161^4)/4,0)+IF(C161&gt;($B$4*9/10),($B$4*9/10)^2*(1.5*(C161^2-MAX(B161,($B$4*9/10))^2)-($B$4*9/10)*(C161-MAX(B161,($B$4*9/10)))),0))*1000,0)</f>
        <v>0</v>
      </c>
      <c r="AK161" s="120">
        <f>IF(AND(J161="OK",ISNUMBER($B$5),$B$5&gt;0,ISNUMBER($B$3),$B$3&gt;0),F161/(6*$B$3*1000000*$B$5)*(IF(B161&lt;($B$4*10/10),($B$4*10/10)*(MIN(C161,($B$4*10/10))^3-B161^3)-(MIN(C161,($B$4*10/10))^4-B161^4)/4,0)+IF(C161&gt;($B$4*10/10),($B$4*10/10)^2*(1.5*(C161^2-MAX(B161,($B$4*10/10))^2)-($B$4*10/10)*(C161-MAX(B161,($B$4*10/10)))),0))*1000,0)</f>
        <v>0</v>
      </c>
      <c r="AM161" s="120">
        <f>IF(AND(V161="OK",ISNUMBER($N$5),$N$5&gt;0,ISNUMBER($N$3),$N$3&gt;0),R161/(6*$N$3*1000000*$N$5)*(IF(N161&lt;($N$4*0/10),($N$4*0/10)*(MIN(O161,($N$4*0/10))^3-N161^3)-(MIN(O161,($N$4*0/10))^4-N161^4)/4,0)+IF(O161&gt;($N$4*0/10),($N$4*0/10)^2*(1.5*(O161^2-MAX(N161,($N$4*0/10))^2)-($N$4*0/10)*(O161-MAX(N161,($N$4*0/10)))),0))*1000,0)</f>
        <v>0</v>
      </c>
      <c r="AN161" s="120">
        <f>IF(AND(V161="OK",ISNUMBER($N$5),$N$5&gt;0,ISNUMBER($N$3),$N$3&gt;0),R161/(6*$N$3*1000000*$N$5)*(IF(N161&lt;($N$4*1/10),($N$4*1/10)*(MIN(O161,($N$4*1/10))^3-N161^3)-(MIN(O161,($N$4*1/10))^4-N161^4)/4,0)+IF(O161&gt;($N$4*1/10),($N$4*1/10)^2*(1.5*(O161^2-MAX(N161,($N$4*1/10))^2)-($N$4*1/10)*(O161-MAX(N161,($N$4*1/10)))),0))*1000,0)</f>
        <v>0</v>
      </c>
      <c r="AO161" s="120">
        <f>IF(AND(V161="OK",ISNUMBER($N$5),$N$5&gt;0,ISNUMBER($N$3),$N$3&gt;0),R161/(6*$N$3*1000000*$N$5)*(IF(N161&lt;($N$4*2/10),($N$4*2/10)*(MIN(O161,($N$4*2/10))^3-N161^3)-(MIN(O161,($N$4*2/10))^4-N161^4)/4,0)+IF(O161&gt;($N$4*2/10),($N$4*2/10)^2*(1.5*(O161^2-MAX(N161,($N$4*2/10))^2)-($N$4*2/10)*(O161-MAX(N161,($N$4*2/10)))),0))*1000,0)</f>
        <v>0</v>
      </c>
      <c r="AP161" s="120">
        <f>IF(AND(V161="OK",ISNUMBER($N$5),$N$5&gt;0,ISNUMBER($N$3),$N$3&gt;0),R161/(6*$N$3*1000000*$N$5)*(IF(N161&lt;($N$4*3/10),($N$4*3/10)*(MIN(O161,($N$4*3/10))^3-N161^3)-(MIN(O161,($N$4*3/10))^4-N161^4)/4,0)+IF(O161&gt;($N$4*3/10),($N$4*3/10)^2*(1.5*(O161^2-MAX(N161,($N$4*3/10))^2)-($N$4*3/10)*(O161-MAX(N161,($N$4*3/10)))),0))*1000,0)</f>
        <v>0</v>
      </c>
      <c r="AQ161" s="120">
        <f>IF(AND(V161="OK",ISNUMBER($N$5),$N$5&gt;0,ISNUMBER($N$3),$N$3&gt;0),R161/(6*$N$3*1000000*$N$5)*(IF(N161&lt;($N$4*4/10),($N$4*4/10)*(MIN(O161,($N$4*4/10))^3-N161^3)-(MIN(O161,($N$4*4/10))^4-N161^4)/4,0)+IF(O161&gt;($N$4*4/10),($N$4*4/10)^2*(1.5*(O161^2-MAX(N161,($N$4*4/10))^2)-($N$4*4/10)*(O161-MAX(N161,($N$4*4/10)))),0))*1000,0)</f>
        <v>0</v>
      </c>
      <c r="AR161" s="120">
        <f>IF(AND(V161="OK",ISNUMBER($N$5),$N$5&gt;0,ISNUMBER($N$3),$N$3&gt;0),R161/(6*$N$3*1000000*$N$5)*(IF(N161&lt;($N$4*5/10),($N$4*5/10)*(MIN(O161,($N$4*5/10))^3-N161^3)-(MIN(O161,($N$4*5/10))^4-N161^4)/4,0)+IF(O161&gt;($N$4*5/10),($N$4*5/10)^2*(1.5*(O161^2-MAX(N161,($N$4*5/10))^2)-($N$4*5/10)*(O161-MAX(N161,($N$4*5/10)))),0))*1000,0)</f>
        <v>0</v>
      </c>
      <c r="AS161" s="120">
        <f>IF(AND(V161="OK",ISNUMBER($N$5),$N$5&gt;0,ISNUMBER($N$3),$N$3&gt;0),R161/(6*$N$3*1000000*$N$5)*(IF(N161&lt;($N$4*6/10),($N$4*6/10)*(MIN(O161,($N$4*6/10))^3-N161^3)-(MIN(O161,($N$4*6/10))^4-N161^4)/4,0)+IF(O161&gt;($N$4*6/10),($N$4*6/10)^2*(1.5*(O161^2-MAX(N161,($N$4*6/10))^2)-($N$4*6/10)*(O161-MAX(N161,($N$4*6/10)))),0))*1000,0)</f>
        <v>0</v>
      </c>
      <c r="AT161" s="120">
        <f>IF(AND(V161="OK",ISNUMBER($N$5),$N$5&gt;0,ISNUMBER($N$3),$N$3&gt;0),R161/(6*$N$3*1000000*$N$5)*(IF(N161&lt;($N$4*7/10),($N$4*7/10)*(MIN(O161,($N$4*7/10))^3-N161^3)-(MIN(O161,($N$4*7/10))^4-N161^4)/4,0)+IF(O161&gt;($N$4*7/10),($N$4*7/10)^2*(1.5*(O161^2-MAX(N161,($N$4*7/10))^2)-($N$4*7/10)*(O161-MAX(N161,($N$4*7/10)))),0))*1000,0)</f>
        <v>0</v>
      </c>
      <c r="AU161" s="120">
        <f>IF(AND(V161="OK",ISNUMBER($N$5),$N$5&gt;0,ISNUMBER($N$3),$N$3&gt;0),R161/(6*$N$3*1000000*$N$5)*(IF(N161&lt;($N$4*8/10),($N$4*8/10)*(MIN(O161,($N$4*8/10))^3-N161^3)-(MIN(O161,($N$4*8/10))^4-N161^4)/4,0)+IF(O161&gt;($N$4*8/10),($N$4*8/10)^2*(1.5*(O161^2-MAX(N161,($N$4*8/10))^2)-($N$4*8/10)*(O161-MAX(N161,($N$4*8/10)))),0))*1000,0)</f>
        <v>0</v>
      </c>
      <c r="AV161" s="120">
        <f>IF(AND(V161="OK",ISNUMBER($N$5),$N$5&gt;0,ISNUMBER($N$3),$N$3&gt;0),R161/(6*$N$3*1000000*$N$5)*(IF(N161&lt;($N$4*9/10),($N$4*9/10)*(MIN(O161,($N$4*9/10))^3-N161^3)-(MIN(O161,($N$4*9/10))^4-N161^4)/4,0)+IF(O161&gt;($N$4*9/10),($N$4*9/10)^2*(1.5*(O161^2-MAX(N161,($N$4*9/10))^2)-($N$4*9/10)*(O161-MAX(N161,($N$4*9/10)))),0))*1000,0)</f>
        <v>0</v>
      </c>
      <c r="AW161" s="120">
        <f>IF(AND(V161="OK",ISNUMBER($N$5),$N$5&gt;0,ISNUMBER($N$3),$N$3&gt;0),R161/(6*$N$3*1000000*$N$5)*(IF(N161&lt;($N$4*10/10),($N$4*10/10)*(MIN(O161,($N$4*10/10))^3-N161^3)-(MIN(O161,($N$4*10/10))^4-N161^4)/4,0)+IF(O161&gt;($N$4*10/10),($N$4*10/10)^2*(1.5*(O161^2-MAX(N161,($N$4*10/10))^2)-($N$4*10/10)*(O161-MAX(N161,($N$4*10/10)))),0))*1000,0)</f>
        <v>0</v>
      </c>
    </row>
    <row r="162" spans="1:49">
      <c r="A162" s="124"/>
      <c r="B162" s="125"/>
      <c r="C162" s="125"/>
      <c r="D162" s="125"/>
      <c r="E162" s="125"/>
      <c r="F162" s="126" t="str">
        <f>IF(J162="OK",D162*E162,"")</f>
        <v/>
      </c>
      <c r="G162" s="126" t="str">
        <f>IF(J162="OK",F162*(C162-B162),"")</f>
        <v/>
      </c>
      <c r="H162" s="126" t="str">
        <f>IF(J162="OK",G162*(C162+B162)/2,"")</f>
        <v/>
      </c>
      <c r="I162" s="126" t="str">
        <f>IF(AND(J162="OK",ISNUMBER($B$5),$B$5&gt;0,ISNUMBER($B$3),$B$3&gt;0),F162*(4*$B$4*(C162^3-B162^3)-(C162^4-B162^4))/(24*$B$3*1000000*$B$5)*1000,"")</f>
        <v/>
      </c>
      <c r="J162" s="120" t="str">
        <f>IF(COUNTA(A162:E162)=0,"",IF(AND(COUNT(B162:E162)=4,B162&gt;=0,C162&gt;B162,C162&lt;=$B$4,D162&gt;=0,E162&gt;0),IF(COUNTIFS($B$13:$B$161,"&lt;"&amp;C162,$C$13:$C$161,"&gt;"&amp;B162)&gt;0,"OVERLAP","OK"),"CHECK INPUTS"))</f>
        <v/>
      </c>
      <c r="M162" s="124"/>
      <c r="N162" s="125"/>
      <c r="O162" s="125"/>
      <c r="P162" s="125"/>
      <c r="Q162" s="125"/>
      <c r="R162" s="126" t="str">
        <f>IF(V162="OK",P162*Q162,"")</f>
        <v/>
      </c>
      <c r="S162" s="126" t="str">
        <f>IF(V162="OK",R162*(O162-N162),"")</f>
        <v/>
      </c>
      <c r="T162" s="126" t="str">
        <f>IF(V162="OK",S162*(O162+N162)/2,"")</f>
        <v/>
      </c>
      <c r="U162" s="126" t="str">
        <f>IF(AND(V162="OK",ISNUMBER($N$5),$N$5&gt;0,ISNUMBER($N$3),$N$3&gt;0),R162*(4*$N$4*(O162^3-N162^3)-(O162^4-N162^4))/(24*$N$3*1000000*$N$5)*1000,"")</f>
        <v/>
      </c>
      <c r="V162" s="120" t="str">
        <f>IF(COUNTA(M162:Q162)=0,"",IF(AND(COUNT(N162:Q162)=4,N162&gt;=0,O162&gt;N162,O162&lt;=$N$4,P162&gt;=0,Q162&gt;0),IF(COUNTIFS($N$13:$N$161,"&lt;"&amp;O162,$O$13:$O$161,"&gt;"&amp;N162)&gt;0,"OVERLAP","OK"),"CHECK INPUTS"))</f>
        <v/>
      </c>
      <c r="AA162" s="120">
        <f>IF(AND(J162="OK",ISNUMBER($B$5),$B$5&gt;0,ISNUMBER($B$3),$B$3&gt;0),F162/(6*$B$3*1000000*$B$5)*(IF(B162&lt;($B$4*0/10),($B$4*0/10)*(MIN(C162,($B$4*0/10))^3-B162^3)-(MIN(C162,($B$4*0/10))^4-B162^4)/4,0)+IF(C162&gt;($B$4*0/10),($B$4*0/10)^2*(1.5*(C162^2-MAX(B162,($B$4*0/10))^2)-($B$4*0/10)*(C162-MAX(B162,($B$4*0/10)))),0))*1000,0)</f>
        <v>0</v>
      </c>
      <c r="AB162" s="120">
        <f>IF(AND(J162="OK",ISNUMBER($B$5),$B$5&gt;0,ISNUMBER($B$3),$B$3&gt;0),F162/(6*$B$3*1000000*$B$5)*(IF(B162&lt;($B$4*1/10),($B$4*1/10)*(MIN(C162,($B$4*1/10))^3-B162^3)-(MIN(C162,($B$4*1/10))^4-B162^4)/4,0)+IF(C162&gt;($B$4*1/10),($B$4*1/10)^2*(1.5*(C162^2-MAX(B162,($B$4*1/10))^2)-($B$4*1/10)*(C162-MAX(B162,($B$4*1/10)))),0))*1000,0)</f>
        <v>0</v>
      </c>
      <c r="AC162" s="120">
        <f>IF(AND(J162="OK",ISNUMBER($B$5),$B$5&gt;0,ISNUMBER($B$3),$B$3&gt;0),F162/(6*$B$3*1000000*$B$5)*(IF(B162&lt;($B$4*2/10),($B$4*2/10)*(MIN(C162,($B$4*2/10))^3-B162^3)-(MIN(C162,($B$4*2/10))^4-B162^4)/4,0)+IF(C162&gt;($B$4*2/10),($B$4*2/10)^2*(1.5*(C162^2-MAX(B162,($B$4*2/10))^2)-($B$4*2/10)*(C162-MAX(B162,($B$4*2/10)))),0))*1000,0)</f>
        <v>0</v>
      </c>
      <c r="AD162" s="120">
        <f>IF(AND(J162="OK",ISNUMBER($B$5),$B$5&gt;0,ISNUMBER($B$3),$B$3&gt;0),F162/(6*$B$3*1000000*$B$5)*(IF(B162&lt;($B$4*3/10),($B$4*3/10)*(MIN(C162,($B$4*3/10))^3-B162^3)-(MIN(C162,($B$4*3/10))^4-B162^4)/4,0)+IF(C162&gt;($B$4*3/10),($B$4*3/10)^2*(1.5*(C162^2-MAX(B162,($B$4*3/10))^2)-($B$4*3/10)*(C162-MAX(B162,($B$4*3/10)))),0))*1000,0)</f>
        <v>0</v>
      </c>
      <c r="AE162" s="120">
        <f>IF(AND(J162="OK",ISNUMBER($B$5),$B$5&gt;0,ISNUMBER($B$3),$B$3&gt;0),F162/(6*$B$3*1000000*$B$5)*(IF(B162&lt;($B$4*4/10),($B$4*4/10)*(MIN(C162,($B$4*4/10))^3-B162^3)-(MIN(C162,($B$4*4/10))^4-B162^4)/4,0)+IF(C162&gt;($B$4*4/10),($B$4*4/10)^2*(1.5*(C162^2-MAX(B162,($B$4*4/10))^2)-($B$4*4/10)*(C162-MAX(B162,($B$4*4/10)))),0))*1000,0)</f>
        <v>0</v>
      </c>
      <c r="AF162" s="120">
        <f>IF(AND(J162="OK",ISNUMBER($B$5),$B$5&gt;0,ISNUMBER($B$3),$B$3&gt;0),F162/(6*$B$3*1000000*$B$5)*(IF(B162&lt;($B$4*5/10),($B$4*5/10)*(MIN(C162,($B$4*5/10))^3-B162^3)-(MIN(C162,($B$4*5/10))^4-B162^4)/4,0)+IF(C162&gt;($B$4*5/10),($B$4*5/10)^2*(1.5*(C162^2-MAX(B162,($B$4*5/10))^2)-($B$4*5/10)*(C162-MAX(B162,($B$4*5/10)))),0))*1000,0)</f>
        <v>0</v>
      </c>
      <c r="AG162" s="120">
        <f>IF(AND(J162="OK",ISNUMBER($B$5),$B$5&gt;0,ISNUMBER($B$3),$B$3&gt;0),F162/(6*$B$3*1000000*$B$5)*(IF(B162&lt;($B$4*6/10),($B$4*6/10)*(MIN(C162,($B$4*6/10))^3-B162^3)-(MIN(C162,($B$4*6/10))^4-B162^4)/4,0)+IF(C162&gt;($B$4*6/10),($B$4*6/10)^2*(1.5*(C162^2-MAX(B162,($B$4*6/10))^2)-($B$4*6/10)*(C162-MAX(B162,($B$4*6/10)))),0))*1000,0)</f>
        <v>0</v>
      </c>
      <c r="AH162" s="120">
        <f>IF(AND(J162="OK",ISNUMBER($B$5),$B$5&gt;0,ISNUMBER($B$3),$B$3&gt;0),F162/(6*$B$3*1000000*$B$5)*(IF(B162&lt;($B$4*7/10),($B$4*7/10)*(MIN(C162,($B$4*7/10))^3-B162^3)-(MIN(C162,($B$4*7/10))^4-B162^4)/4,0)+IF(C162&gt;($B$4*7/10),($B$4*7/10)^2*(1.5*(C162^2-MAX(B162,($B$4*7/10))^2)-($B$4*7/10)*(C162-MAX(B162,($B$4*7/10)))),0))*1000,0)</f>
        <v>0</v>
      </c>
      <c r="AI162" s="120">
        <f>IF(AND(J162="OK",ISNUMBER($B$5),$B$5&gt;0,ISNUMBER($B$3),$B$3&gt;0),F162/(6*$B$3*1000000*$B$5)*(IF(B162&lt;($B$4*8/10),($B$4*8/10)*(MIN(C162,($B$4*8/10))^3-B162^3)-(MIN(C162,($B$4*8/10))^4-B162^4)/4,0)+IF(C162&gt;($B$4*8/10),($B$4*8/10)^2*(1.5*(C162^2-MAX(B162,($B$4*8/10))^2)-($B$4*8/10)*(C162-MAX(B162,($B$4*8/10)))),0))*1000,0)</f>
        <v>0</v>
      </c>
      <c r="AJ162" s="120">
        <f>IF(AND(J162="OK",ISNUMBER($B$5),$B$5&gt;0,ISNUMBER($B$3),$B$3&gt;0),F162/(6*$B$3*1000000*$B$5)*(IF(B162&lt;($B$4*9/10),($B$4*9/10)*(MIN(C162,($B$4*9/10))^3-B162^3)-(MIN(C162,($B$4*9/10))^4-B162^4)/4,0)+IF(C162&gt;($B$4*9/10),($B$4*9/10)^2*(1.5*(C162^2-MAX(B162,($B$4*9/10))^2)-($B$4*9/10)*(C162-MAX(B162,($B$4*9/10)))),0))*1000,0)</f>
        <v>0</v>
      </c>
      <c r="AK162" s="120">
        <f>IF(AND(J162="OK",ISNUMBER($B$5),$B$5&gt;0,ISNUMBER($B$3),$B$3&gt;0),F162/(6*$B$3*1000000*$B$5)*(IF(B162&lt;($B$4*10/10),($B$4*10/10)*(MIN(C162,($B$4*10/10))^3-B162^3)-(MIN(C162,($B$4*10/10))^4-B162^4)/4,0)+IF(C162&gt;($B$4*10/10),($B$4*10/10)^2*(1.5*(C162^2-MAX(B162,($B$4*10/10))^2)-($B$4*10/10)*(C162-MAX(B162,($B$4*10/10)))),0))*1000,0)</f>
        <v>0</v>
      </c>
      <c r="AM162" s="120">
        <f>IF(AND(V162="OK",ISNUMBER($N$5),$N$5&gt;0,ISNUMBER($N$3),$N$3&gt;0),R162/(6*$N$3*1000000*$N$5)*(IF(N162&lt;($N$4*0/10),($N$4*0/10)*(MIN(O162,($N$4*0/10))^3-N162^3)-(MIN(O162,($N$4*0/10))^4-N162^4)/4,0)+IF(O162&gt;($N$4*0/10),($N$4*0/10)^2*(1.5*(O162^2-MAX(N162,($N$4*0/10))^2)-($N$4*0/10)*(O162-MAX(N162,($N$4*0/10)))),0))*1000,0)</f>
        <v>0</v>
      </c>
      <c r="AN162" s="120">
        <f>IF(AND(V162="OK",ISNUMBER($N$5),$N$5&gt;0,ISNUMBER($N$3),$N$3&gt;0),R162/(6*$N$3*1000000*$N$5)*(IF(N162&lt;($N$4*1/10),($N$4*1/10)*(MIN(O162,($N$4*1/10))^3-N162^3)-(MIN(O162,($N$4*1/10))^4-N162^4)/4,0)+IF(O162&gt;($N$4*1/10),($N$4*1/10)^2*(1.5*(O162^2-MAX(N162,($N$4*1/10))^2)-($N$4*1/10)*(O162-MAX(N162,($N$4*1/10)))),0))*1000,0)</f>
        <v>0</v>
      </c>
      <c r="AO162" s="120">
        <f>IF(AND(V162="OK",ISNUMBER($N$5),$N$5&gt;0,ISNUMBER($N$3),$N$3&gt;0),R162/(6*$N$3*1000000*$N$5)*(IF(N162&lt;($N$4*2/10),($N$4*2/10)*(MIN(O162,($N$4*2/10))^3-N162^3)-(MIN(O162,($N$4*2/10))^4-N162^4)/4,0)+IF(O162&gt;($N$4*2/10),($N$4*2/10)^2*(1.5*(O162^2-MAX(N162,($N$4*2/10))^2)-($N$4*2/10)*(O162-MAX(N162,($N$4*2/10)))),0))*1000,0)</f>
        <v>0</v>
      </c>
      <c r="AP162" s="120">
        <f>IF(AND(V162="OK",ISNUMBER($N$5),$N$5&gt;0,ISNUMBER($N$3),$N$3&gt;0),R162/(6*$N$3*1000000*$N$5)*(IF(N162&lt;($N$4*3/10),($N$4*3/10)*(MIN(O162,($N$4*3/10))^3-N162^3)-(MIN(O162,($N$4*3/10))^4-N162^4)/4,0)+IF(O162&gt;($N$4*3/10),($N$4*3/10)^2*(1.5*(O162^2-MAX(N162,($N$4*3/10))^2)-($N$4*3/10)*(O162-MAX(N162,($N$4*3/10)))),0))*1000,0)</f>
        <v>0</v>
      </c>
      <c r="AQ162" s="120">
        <f>IF(AND(V162="OK",ISNUMBER($N$5),$N$5&gt;0,ISNUMBER($N$3),$N$3&gt;0),R162/(6*$N$3*1000000*$N$5)*(IF(N162&lt;($N$4*4/10),($N$4*4/10)*(MIN(O162,($N$4*4/10))^3-N162^3)-(MIN(O162,($N$4*4/10))^4-N162^4)/4,0)+IF(O162&gt;($N$4*4/10),($N$4*4/10)^2*(1.5*(O162^2-MAX(N162,($N$4*4/10))^2)-($N$4*4/10)*(O162-MAX(N162,($N$4*4/10)))),0))*1000,0)</f>
        <v>0</v>
      </c>
      <c r="AR162" s="120">
        <f>IF(AND(V162="OK",ISNUMBER($N$5),$N$5&gt;0,ISNUMBER($N$3),$N$3&gt;0),R162/(6*$N$3*1000000*$N$5)*(IF(N162&lt;($N$4*5/10),($N$4*5/10)*(MIN(O162,($N$4*5/10))^3-N162^3)-(MIN(O162,($N$4*5/10))^4-N162^4)/4,0)+IF(O162&gt;($N$4*5/10),($N$4*5/10)^2*(1.5*(O162^2-MAX(N162,($N$4*5/10))^2)-($N$4*5/10)*(O162-MAX(N162,($N$4*5/10)))),0))*1000,0)</f>
        <v>0</v>
      </c>
      <c r="AS162" s="120">
        <f>IF(AND(V162="OK",ISNUMBER($N$5),$N$5&gt;0,ISNUMBER($N$3),$N$3&gt;0),R162/(6*$N$3*1000000*$N$5)*(IF(N162&lt;($N$4*6/10),($N$4*6/10)*(MIN(O162,($N$4*6/10))^3-N162^3)-(MIN(O162,($N$4*6/10))^4-N162^4)/4,0)+IF(O162&gt;($N$4*6/10),($N$4*6/10)^2*(1.5*(O162^2-MAX(N162,($N$4*6/10))^2)-($N$4*6/10)*(O162-MAX(N162,($N$4*6/10)))),0))*1000,0)</f>
        <v>0</v>
      </c>
      <c r="AT162" s="120">
        <f>IF(AND(V162="OK",ISNUMBER($N$5),$N$5&gt;0,ISNUMBER($N$3),$N$3&gt;0),R162/(6*$N$3*1000000*$N$5)*(IF(N162&lt;($N$4*7/10),($N$4*7/10)*(MIN(O162,($N$4*7/10))^3-N162^3)-(MIN(O162,($N$4*7/10))^4-N162^4)/4,0)+IF(O162&gt;($N$4*7/10),($N$4*7/10)^2*(1.5*(O162^2-MAX(N162,($N$4*7/10))^2)-($N$4*7/10)*(O162-MAX(N162,($N$4*7/10)))),0))*1000,0)</f>
        <v>0</v>
      </c>
      <c r="AU162" s="120">
        <f>IF(AND(V162="OK",ISNUMBER($N$5),$N$5&gt;0,ISNUMBER($N$3),$N$3&gt;0),R162/(6*$N$3*1000000*$N$5)*(IF(N162&lt;($N$4*8/10),($N$4*8/10)*(MIN(O162,($N$4*8/10))^3-N162^3)-(MIN(O162,($N$4*8/10))^4-N162^4)/4,0)+IF(O162&gt;($N$4*8/10),($N$4*8/10)^2*(1.5*(O162^2-MAX(N162,($N$4*8/10))^2)-($N$4*8/10)*(O162-MAX(N162,($N$4*8/10)))),0))*1000,0)</f>
        <v>0</v>
      </c>
      <c r="AV162" s="120">
        <f>IF(AND(V162="OK",ISNUMBER($N$5),$N$5&gt;0,ISNUMBER($N$3),$N$3&gt;0),R162/(6*$N$3*1000000*$N$5)*(IF(N162&lt;($N$4*9/10),($N$4*9/10)*(MIN(O162,($N$4*9/10))^3-N162^3)-(MIN(O162,($N$4*9/10))^4-N162^4)/4,0)+IF(O162&gt;($N$4*9/10),($N$4*9/10)^2*(1.5*(O162^2-MAX(N162,($N$4*9/10))^2)-($N$4*9/10)*(O162-MAX(N162,($N$4*9/10)))),0))*1000,0)</f>
        <v>0</v>
      </c>
      <c r="AW162" s="120">
        <f>IF(AND(V162="OK",ISNUMBER($N$5),$N$5&gt;0,ISNUMBER($N$3),$N$3&gt;0),R162/(6*$N$3*1000000*$N$5)*(IF(N162&lt;($N$4*10/10),($N$4*10/10)*(MIN(O162,($N$4*10/10))^3-N162^3)-(MIN(O162,($N$4*10/10))^4-N162^4)/4,0)+IF(O162&gt;($N$4*10/10),($N$4*10/10)^2*(1.5*(O162^2-MAX(N162,($N$4*10/10))^2)-($N$4*10/10)*(O162-MAX(N162,($N$4*10/10)))),0))*1000,0)</f>
        <v>0</v>
      </c>
    </row>
    <row r="163" spans="1:49">
      <c r="A163" s="124"/>
      <c r="B163" s="125"/>
      <c r="C163" s="125"/>
      <c r="D163" s="125"/>
      <c r="E163" s="125"/>
      <c r="F163" s="126" t="str">
        <f>IF(J163="OK",D163*E163,"")</f>
        <v/>
      </c>
      <c r="G163" s="126" t="str">
        <f>IF(J163="OK",F163*(C163-B163),"")</f>
        <v/>
      </c>
      <c r="H163" s="126" t="str">
        <f>IF(J163="OK",G163*(C163+B163)/2,"")</f>
        <v/>
      </c>
      <c r="I163" s="126" t="str">
        <f>IF(AND(J163="OK",ISNUMBER($B$5),$B$5&gt;0,ISNUMBER($B$3),$B$3&gt;0),F163*(4*$B$4*(C163^3-B163^3)-(C163^4-B163^4))/(24*$B$3*1000000*$B$5)*1000,"")</f>
        <v/>
      </c>
      <c r="J163" s="120" t="str">
        <f>IF(COUNTA(A163:E163)=0,"",IF(AND(COUNT(B163:E163)=4,B163&gt;=0,C163&gt;B163,C163&lt;=$B$4,D163&gt;=0,E163&gt;0),IF(COUNTIFS($B$13:$B$162,"&lt;"&amp;C163,$C$13:$C$162,"&gt;"&amp;B163)&gt;0,"OVERLAP","OK"),"CHECK INPUTS"))</f>
        <v/>
      </c>
      <c r="M163" s="124"/>
      <c r="N163" s="125"/>
      <c r="O163" s="125"/>
      <c r="P163" s="125"/>
      <c r="Q163" s="125"/>
      <c r="R163" s="126" t="str">
        <f>IF(V163="OK",P163*Q163,"")</f>
        <v/>
      </c>
      <c r="S163" s="126" t="str">
        <f>IF(V163="OK",R163*(O163-N163),"")</f>
        <v/>
      </c>
      <c r="T163" s="126" t="str">
        <f>IF(V163="OK",S163*(O163+N163)/2,"")</f>
        <v/>
      </c>
      <c r="U163" s="126" t="str">
        <f>IF(AND(V163="OK",ISNUMBER($N$5),$N$5&gt;0,ISNUMBER($N$3),$N$3&gt;0),R163*(4*$N$4*(O163^3-N163^3)-(O163^4-N163^4))/(24*$N$3*1000000*$N$5)*1000,"")</f>
        <v/>
      </c>
      <c r="V163" s="120" t="str">
        <f>IF(COUNTA(M163:Q163)=0,"",IF(AND(COUNT(N163:Q163)=4,N163&gt;=0,O163&gt;N163,O163&lt;=$N$4,P163&gt;=0,Q163&gt;0),IF(COUNTIFS($N$13:$N$162,"&lt;"&amp;O163,$O$13:$O$162,"&gt;"&amp;N163)&gt;0,"OVERLAP","OK"),"CHECK INPUTS"))</f>
        <v/>
      </c>
      <c r="AA163" s="120">
        <f>IF(AND(J163="OK",ISNUMBER($B$5),$B$5&gt;0,ISNUMBER($B$3),$B$3&gt;0),F163/(6*$B$3*1000000*$B$5)*(IF(B163&lt;($B$4*0/10),($B$4*0/10)*(MIN(C163,($B$4*0/10))^3-B163^3)-(MIN(C163,($B$4*0/10))^4-B163^4)/4,0)+IF(C163&gt;($B$4*0/10),($B$4*0/10)^2*(1.5*(C163^2-MAX(B163,($B$4*0/10))^2)-($B$4*0/10)*(C163-MAX(B163,($B$4*0/10)))),0))*1000,0)</f>
        <v>0</v>
      </c>
      <c r="AB163" s="120">
        <f>IF(AND(J163="OK",ISNUMBER($B$5),$B$5&gt;0,ISNUMBER($B$3),$B$3&gt;0),F163/(6*$B$3*1000000*$B$5)*(IF(B163&lt;($B$4*1/10),($B$4*1/10)*(MIN(C163,($B$4*1/10))^3-B163^3)-(MIN(C163,($B$4*1/10))^4-B163^4)/4,0)+IF(C163&gt;($B$4*1/10),($B$4*1/10)^2*(1.5*(C163^2-MAX(B163,($B$4*1/10))^2)-($B$4*1/10)*(C163-MAX(B163,($B$4*1/10)))),0))*1000,0)</f>
        <v>0</v>
      </c>
      <c r="AC163" s="120">
        <f>IF(AND(J163="OK",ISNUMBER($B$5),$B$5&gt;0,ISNUMBER($B$3),$B$3&gt;0),F163/(6*$B$3*1000000*$B$5)*(IF(B163&lt;($B$4*2/10),($B$4*2/10)*(MIN(C163,($B$4*2/10))^3-B163^3)-(MIN(C163,($B$4*2/10))^4-B163^4)/4,0)+IF(C163&gt;($B$4*2/10),($B$4*2/10)^2*(1.5*(C163^2-MAX(B163,($B$4*2/10))^2)-($B$4*2/10)*(C163-MAX(B163,($B$4*2/10)))),0))*1000,0)</f>
        <v>0</v>
      </c>
      <c r="AD163" s="120">
        <f>IF(AND(J163="OK",ISNUMBER($B$5),$B$5&gt;0,ISNUMBER($B$3),$B$3&gt;0),F163/(6*$B$3*1000000*$B$5)*(IF(B163&lt;($B$4*3/10),($B$4*3/10)*(MIN(C163,($B$4*3/10))^3-B163^3)-(MIN(C163,($B$4*3/10))^4-B163^4)/4,0)+IF(C163&gt;($B$4*3/10),($B$4*3/10)^2*(1.5*(C163^2-MAX(B163,($B$4*3/10))^2)-($B$4*3/10)*(C163-MAX(B163,($B$4*3/10)))),0))*1000,0)</f>
        <v>0</v>
      </c>
      <c r="AE163" s="120">
        <f>IF(AND(J163="OK",ISNUMBER($B$5),$B$5&gt;0,ISNUMBER($B$3),$B$3&gt;0),F163/(6*$B$3*1000000*$B$5)*(IF(B163&lt;($B$4*4/10),($B$4*4/10)*(MIN(C163,($B$4*4/10))^3-B163^3)-(MIN(C163,($B$4*4/10))^4-B163^4)/4,0)+IF(C163&gt;($B$4*4/10),($B$4*4/10)^2*(1.5*(C163^2-MAX(B163,($B$4*4/10))^2)-($B$4*4/10)*(C163-MAX(B163,($B$4*4/10)))),0))*1000,0)</f>
        <v>0</v>
      </c>
      <c r="AF163" s="120">
        <f>IF(AND(J163="OK",ISNUMBER($B$5),$B$5&gt;0,ISNUMBER($B$3),$B$3&gt;0),F163/(6*$B$3*1000000*$B$5)*(IF(B163&lt;($B$4*5/10),($B$4*5/10)*(MIN(C163,($B$4*5/10))^3-B163^3)-(MIN(C163,($B$4*5/10))^4-B163^4)/4,0)+IF(C163&gt;($B$4*5/10),($B$4*5/10)^2*(1.5*(C163^2-MAX(B163,($B$4*5/10))^2)-($B$4*5/10)*(C163-MAX(B163,($B$4*5/10)))),0))*1000,0)</f>
        <v>0</v>
      </c>
      <c r="AG163" s="120">
        <f>IF(AND(J163="OK",ISNUMBER($B$5),$B$5&gt;0,ISNUMBER($B$3),$B$3&gt;0),F163/(6*$B$3*1000000*$B$5)*(IF(B163&lt;($B$4*6/10),($B$4*6/10)*(MIN(C163,($B$4*6/10))^3-B163^3)-(MIN(C163,($B$4*6/10))^4-B163^4)/4,0)+IF(C163&gt;($B$4*6/10),($B$4*6/10)^2*(1.5*(C163^2-MAX(B163,($B$4*6/10))^2)-($B$4*6/10)*(C163-MAX(B163,($B$4*6/10)))),0))*1000,0)</f>
        <v>0</v>
      </c>
      <c r="AH163" s="120">
        <f>IF(AND(J163="OK",ISNUMBER($B$5),$B$5&gt;0,ISNUMBER($B$3),$B$3&gt;0),F163/(6*$B$3*1000000*$B$5)*(IF(B163&lt;($B$4*7/10),($B$4*7/10)*(MIN(C163,($B$4*7/10))^3-B163^3)-(MIN(C163,($B$4*7/10))^4-B163^4)/4,0)+IF(C163&gt;($B$4*7/10),($B$4*7/10)^2*(1.5*(C163^2-MAX(B163,($B$4*7/10))^2)-($B$4*7/10)*(C163-MAX(B163,($B$4*7/10)))),0))*1000,0)</f>
        <v>0</v>
      </c>
      <c r="AI163" s="120">
        <f>IF(AND(J163="OK",ISNUMBER($B$5),$B$5&gt;0,ISNUMBER($B$3),$B$3&gt;0),F163/(6*$B$3*1000000*$B$5)*(IF(B163&lt;($B$4*8/10),($B$4*8/10)*(MIN(C163,($B$4*8/10))^3-B163^3)-(MIN(C163,($B$4*8/10))^4-B163^4)/4,0)+IF(C163&gt;($B$4*8/10),($B$4*8/10)^2*(1.5*(C163^2-MAX(B163,($B$4*8/10))^2)-($B$4*8/10)*(C163-MAX(B163,($B$4*8/10)))),0))*1000,0)</f>
        <v>0</v>
      </c>
      <c r="AJ163" s="120">
        <f>IF(AND(J163="OK",ISNUMBER($B$5),$B$5&gt;0,ISNUMBER($B$3),$B$3&gt;0),F163/(6*$B$3*1000000*$B$5)*(IF(B163&lt;($B$4*9/10),($B$4*9/10)*(MIN(C163,($B$4*9/10))^3-B163^3)-(MIN(C163,($B$4*9/10))^4-B163^4)/4,0)+IF(C163&gt;($B$4*9/10),($B$4*9/10)^2*(1.5*(C163^2-MAX(B163,($B$4*9/10))^2)-($B$4*9/10)*(C163-MAX(B163,($B$4*9/10)))),0))*1000,0)</f>
        <v>0</v>
      </c>
      <c r="AK163" s="120">
        <f>IF(AND(J163="OK",ISNUMBER($B$5),$B$5&gt;0,ISNUMBER($B$3),$B$3&gt;0),F163/(6*$B$3*1000000*$B$5)*(IF(B163&lt;($B$4*10/10),($B$4*10/10)*(MIN(C163,($B$4*10/10))^3-B163^3)-(MIN(C163,($B$4*10/10))^4-B163^4)/4,0)+IF(C163&gt;($B$4*10/10),($B$4*10/10)^2*(1.5*(C163^2-MAX(B163,($B$4*10/10))^2)-($B$4*10/10)*(C163-MAX(B163,($B$4*10/10)))),0))*1000,0)</f>
        <v>0</v>
      </c>
      <c r="AM163" s="120">
        <f>IF(AND(V163="OK",ISNUMBER($N$5),$N$5&gt;0,ISNUMBER($N$3),$N$3&gt;0),R163/(6*$N$3*1000000*$N$5)*(IF(N163&lt;($N$4*0/10),($N$4*0/10)*(MIN(O163,($N$4*0/10))^3-N163^3)-(MIN(O163,($N$4*0/10))^4-N163^4)/4,0)+IF(O163&gt;($N$4*0/10),($N$4*0/10)^2*(1.5*(O163^2-MAX(N163,($N$4*0/10))^2)-($N$4*0/10)*(O163-MAX(N163,($N$4*0/10)))),0))*1000,0)</f>
        <v>0</v>
      </c>
      <c r="AN163" s="120">
        <f>IF(AND(V163="OK",ISNUMBER($N$5),$N$5&gt;0,ISNUMBER($N$3),$N$3&gt;0),R163/(6*$N$3*1000000*$N$5)*(IF(N163&lt;($N$4*1/10),($N$4*1/10)*(MIN(O163,($N$4*1/10))^3-N163^3)-(MIN(O163,($N$4*1/10))^4-N163^4)/4,0)+IF(O163&gt;($N$4*1/10),($N$4*1/10)^2*(1.5*(O163^2-MAX(N163,($N$4*1/10))^2)-($N$4*1/10)*(O163-MAX(N163,($N$4*1/10)))),0))*1000,0)</f>
        <v>0</v>
      </c>
      <c r="AO163" s="120">
        <f>IF(AND(V163="OK",ISNUMBER($N$5),$N$5&gt;0,ISNUMBER($N$3),$N$3&gt;0),R163/(6*$N$3*1000000*$N$5)*(IF(N163&lt;($N$4*2/10),($N$4*2/10)*(MIN(O163,($N$4*2/10))^3-N163^3)-(MIN(O163,($N$4*2/10))^4-N163^4)/4,0)+IF(O163&gt;($N$4*2/10),($N$4*2/10)^2*(1.5*(O163^2-MAX(N163,($N$4*2/10))^2)-($N$4*2/10)*(O163-MAX(N163,($N$4*2/10)))),0))*1000,0)</f>
        <v>0</v>
      </c>
      <c r="AP163" s="120">
        <f>IF(AND(V163="OK",ISNUMBER($N$5),$N$5&gt;0,ISNUMBER($N$3),$N$3&gt;0),R163/(6*$N$3*1000000*$N$5)*(IF(N163&lt;($N$4*3/10),($N$4*3/10)*(MIN(O163,($N$4*3/10))^3-N163^3)-(MIN(O163,($N$4*3/10))^4-N163^4)/4,0)+IF(O163&gt;($N$4*3/10),($N$4*3/10)^2*(1.5*(O163^2-MAX(N163,($N$4*3/10))^2)-($N$4*3/10)*(O163-MAX(N163,($N$4*3/10)))),0))*1000,0)</f>
        <v>0</v>
      </c>
      <c r="AQ163" s="120">
        <f>IF(AND(V163="OK",ISNUMBER($N$5),$N$5&gt;0,ISNUMBER($N$3),$N$3&gt;0),R163/(6*$N$3*1000000*$N$5)*(IF(N163&lt;($N$4*4/10),($N$4*4/10)*(MIN(O163,($N$4*4/10))^3-N163^3)-(MIN(O163,($N$4*4/10))^4-N163^4)/4,0)+IF(O163&gt;($N$4*4/10),($N$4*4/10)^2*(1.5*(O163^2-MAX(N163,($N$4*4/10))^2)-($N$4*4/10)*(O163-MAX(N163,($N$4*4/10)))),0))*1000,0)</f>
        <v>0</v>
      </c>
      <c r="AR163" s="120">
        <f>IF(AND(V163="OK",ISNUMBER($N$5),$N$5&gt;0,ISNUMBER($N$3),$N$3&gt;0),R163/(6*$N$3*1000000*$N$5)*(IF(N163&lt;($N$4*5/10),($N$4*5/10)*(MIN(O163,($N$4*5/10))^3-N163^3)-(MIN(O163,($N$4*5/10))^4-N163^4)/4,0)+IF(O163&gt;($N$4*5/10),($N$4*5/10)^2*(1.5*(O163^2-MAX(N163,($N$4*5/10))^2)-($N$4*5/10)*(O163-MAX(N163,($N$4*5/10)))),0))*1000,0)</f>
        <v>0</v>
      </c>
      <c r="AS163" s="120">
        <f>IF(AND(V163="OK",ISNUMBER($N$5),$N$5&gt;0,ISNUMBER($N$3),$N$3&gt;0),R163/(6*$N$3*1000000*$N$5)*(IF(N163&lt;($N$4*6/10),($N$4*6/10)*(MIN(O163,($N$4*6/10))^3-N163^3)-(MIN(O163,($N$4*6/10))^4-N163^4)/4,0)+IF(O163&gt;($N$4*6/10),($N$4*6/10)^2*(1.5*(O163^2-MAX(N163,($N$4*6/10))^2)-($N$4*6/10)*(O163-MAX(N163,($N$4*6/10)))),0))*1000,0)</f>
        <v>0</v>
      </c>
      <c r="AT163" s="120">
        <f>IF(AND(V163="OK",ISNUMBER($N$5),$N$5&gt;0,ISNUMBER($N$3),$N$3&gt;0),R163/(6*$N$3*1000000*$N$5)*(IF(N163&lt;($N$4*7/10),($N$4*7/10)*(MIN(O163,($N$4*7/10))^3-N163^3)-(MIN(O163,($N$4*7/10))^4-N163^4)/4,0)+IF(O163&gt;($N$4*7/10),($N$4*7/10)^2*(1.5*(O163^2-MAX(N163,($N$4*7/10))^2)-($N$4*7/10)*(O163-MAX(N163,($N$4*7/10)))),0))*1000,0)</f>
        <v>0</v>
      </c>
      <c r="AU163" s="120">
        <f>IF(AND(V163="OK",ISNUMBER($N$5),$N$5&gt;0,ISNUMBER($N$3),$N$3&gt;0),R163/(6*$N$3*1000000*$N$5)*(IF(N163&lt;($N$4*8/10),($N$4*8/10)*(MIN(O163,($N$4*8/10))^3-N163^3)-(MIN(O163,($N$4*8/10))^4-N163^4)/4,0)+IF(O163&gt;($N$4*8/10),($N$4*8/10)^2*(1.5*(O163^2-MAX(N163,($N$4*8/10))^2)-($N$4*8/10)*(O163-MAX(N163,($N$4*8/10)))),0))*1000,0)</f>
        <v>0</v>
      </c>
      <c r="AV163" s="120">
        <f>IF(AND(V163="OK",ISNUMBER($N$5),$N$5&gt;0,ISNUMBER($N$3),$N$3&gt;0),R163/(6*$N$3*1000000*$N$5)*(IF(N163&lt;($N$4*9/10),($N$4*9/10)*(MIN(O163,($N$4*9/10))^3-N163^3)-(MIN(O163,($N$4*9/10))^4-N163^4)/4,0)+IF(O163&gt;($N$4*9/10),($N$4*9/10)^2*(1.5*(O163^2-MAX(N163,($N$4*9/10))^2)-($N$4*9/10)*(O163-MAX(N163,($N$4*9/10)))),0))*1000,0)</f>
        <v>0</v>
      </c>
      <c r="AW163" s="120">
        <f>IF(AND(V163="OK",ISNUMBER($N$5),$N$5&gt;0,ISNUMBER($N$3),$N$3&gt;0),R163/(6*$N$3*1000000*$N$5)*(IF(N163&lt;($N$4*10/10),($N$4*10/10)*(MIN(O163,($N$4*10/10))^3-N163^3)-(MIN(O163,($N$4*10/10))^4-N163^4)/4,0)+IF(O163&gt;($N$4*10/10),($N$4*10/10)^2*(1.5*(O163^2-MAX(N163,($N$4*10/10))^2)-($N$4*10/10)*(O163-MAX(N163,($N$4*10/10)))),0))*1000,0)</f>
        <v>0</v>
      </c>
    </row>
    <row r="164" spans="1:49">
      <c r="A164" s="124"/>
      <c r="B164" s="125"/>
      <c r="C164" s="125"/>
      <c r="D164" s="125"/>
      <c r="E164" s="125"/>
      <c r="F164" s="126" t="str">
        <f>IF(J164="OK",D164*E164,"")</f>
        <v/>
      </c>
      <c r="G164" s="126" t="str">
        <f>IF(J164="OK",F164*(C164-B164),"")</f>
        <v/>
      </c>
      <c r="H164" s="126" t="str">
        <f>IF(J164="OK",G164*(C164+B164)/2,"")</f>
        <v/>
      </c>
      <c r="I164" s="126" t="str">
        <f>IF(AND(J164="OK",ISNUMBER($B$5),$B$5&gt;0,ISNUMBER($B$3),$B$3&gt;0),F164*(4*$B$4*(C164^3-B164^3)-(C164^4-B164^4))/(24*$B$3*1000000*$B$5)*1000,"")</f>
        <v/>
      </c>
      <c r="J164" s="120" t="str">
        <f>IF(COUNTA(A164:E164)=0,"",IF(AND(COUNT(B164:E164)=4,B164&gt;=0,C164&gt;B164,C164&lt;=$B$4,D164&gt;=0,E164&gt;0),IF(COUNTIFS($B$13:$B$163,"&lt;"&amp;C164,$C$13:$C$163,"&gt;"&amp;B164)&gt;0,"OVERLAP","OK"),"CHECK INPUTS"))</f>
        <v/>
      </c>
      <c r="M164" s="124"/>
      <c r="N164" s="125"/>
      <c r="O164" s="125"/>
      <c r="P164" s="125"/>
      <c r="Q164" s="125"/>
      <c r="R164" s="126" t="str">
        <f>IF(V164="OK",P164*Q164,"")</f>
        <v/>
      </c>
      <c r="S164" s="126" t="str">
        <f>IF(V164="OK",R164*(O164-N164),"")</f>
        <v/>
      </c>
      <c r="T164" s="126" t="str">
        <f>IF(V164="OK",S164*(O164+N164)/2,"")</f>
        <v/>
      </c>
      <c r="U164" s="126" t="str">
        <f>IF(AND(V164="OK",ISNUMBER($N$5),$N$5&gt;0,ISNUMBER($N$3),$N$3&gt;0),R164*(4*$N$4*(O164^3-N164^3)-(O164^4-N164^4))/(24*$N$3*1000000*$N$5)*1000,"")</f>
        <v/>
      </c>
      <c r="V164" s="120" t="str">
        <f>IF(COUNTA(M164:Q164)=0,"",IF(AND(COUNT(N164:Q164)=4,N164&gt;=0,O164&gt;N164,O164&lt;=$N$4,P164&gt;=0,Q164&gt;0),IF(COUNTIFS($N$13:$N$163,"&lt;"&amp;O164,$O$13:$O$163,"&gt;"&amp;N164)&gt;0,"OVERLAP","OK"),"CHECK INPUTS"))</f>
        <v/>
      </c>
      <c r="AA164" s="120">
        <f>IF(AND(J164="OK",ISNUMBER($B$5),$B$5&gt;0,ISNUMBER($B$3),$B$3&gt;0),F164/(6*$B$3*1000000*$B$5)*(IF(B164&lt;($B$4*0/10),($B$4*0/10)*(MIN(C164,($B$4*0/10))^3-B164^3)-(MIN(C164,($B$4*0/10))^4-B164^4)/4,0)+IF(C164&gt;($B$4*0/10),($B$4*0/10)^2*(1.5*(C164^2-MAX(B164,($B$4*0/10))^2)-($B$4*0/10)*(C164-MAX(B164,($B$4*0/10)))),0))*1000,0)</f>
        <v>0</v>
      </c>
      <c r="AB164" s="120">
        <f>IF(AND(J164="OK",ISNUMBER($B$5),$B$5&gt;0,ISNUMBER($B$3),$B$3&gt;0),F164/(6*$B$3*1000000*$B$5)*(IF(B164&lt;($B$4*1/10),($B$4*1/10)*(MIN(C164,($B$4*1/10))^3-B164^3)-(MIN(C164,($B$4*1/10))^4-B164^4)/4,0)+IF(C164&gt;($B$4*1/10),($B$4*1/10)^2*(1.5*(C164^2-MAX(B164,($B$4*1/10))^2)-($B$4*1/10)*(C164-MAX(B164,($B$4*1/10)))),0))*1000,0)</f>
        <v>0</v>
      </c>
      <c r="AC164" s="120">
        <f>IF(AND(J164="OK",ISNUMBER($B$5),$B$5&gt;0,ISNUMBER($B$3),$B$3&gt;0),F164/(6*$B$3*1000000*$B$5)*(IF(B164&lt;($B$4*2/10),($B$4*2/10)*(MIN(C164,($B$4*2/10))^3-B164^3)-(MIN(C164,($B$4*2/10))^4-B164^4)/4,0)+IF(C164&gt;($B$4*2/10),($B$4*2/10)^2*(1.5*(C164^2-MAX(B164,($B$4*2/10))^2)-($B$4*2/10)*(C164-MAX(B164,($B$4*2/10)))),0))*1000,0)</f>
        <v>0</v>
      </c>
      <c r="AD164" s="120">
        <f>IF(AND(J164="OK",ISNUMBER($B$5),$B$5&gt;0,ISNUMBER($B$3),$B$3&gt;0),F164/(6*$B$3*1000000*$B$5)*(IF(B164&lt;($B$4*3/10),($B$4*3/10)*(MIN(C164,($B$4*3/10))^3-B164^3)-(MIN(C164,($B$4*3/10))^4-B164^4)/4,0)+IF(C164&gt;($B$4*3/10),($B$4*3/10)^2*(1.5*(C164^2-MAX(B164,($B$4*3/10))^2)-($B$4*3/10)*(C164-MAX(B164,($B$4*3/10)))),0))*1000,0)</f>
        <v>0</v>
      </c>
      <c r="AE164" s="120">
        <f>IF(AND(J164="OK",ISNUMBER($B$5),$B$5&gt;0,ISNUMBER($B$3),$B$3&gt;0),F164/(6*$B$3*1000000*$B$5)*(IF(B164&lt;($B$4*4/10),($B$4*4/10)*(MIN(C164,($B$4*4/10))^3-B164^3)-(MIN(C164,($B$4*4/10))^4-B164^4)/4,0)+IF(C164&gt;($B$4*4/10),($B$4*4/10)^2*(1.5*(C164^2-MAX(B164,($B$4*4/10))^2)-($B$4*4/10)*(C164-MAX(B164,($B$4*4/10)))),0))*1000,0)</f>
        <v>0</v>
      </c>
      <c r="AF164" s="120">
        <f>IF(AND(J164="OK",ISNUMBER($B$5),$B$5&gt;0,ISNUMBER($B$3),$B$3&gt;0),F164/(6*$B$3*1000000*$B$5)*(IF(B164&lt;($B$4*5/10),($B$4*5/10)*(MIN(C164,($B$4*5/10))^3-B164^3)-(MIN(C164,($B$4*5/10))^4-B164^4)/4,0)+IF(C164&gt;($B$4*5/10),($B$4*5/10)^2*(1.5*(C164^2-MAX(B164,($B$4*5/10))^2)-($B$4*5/10)*(C164-MAX(B164,($B$4*5/10)))),0))*1000,0)</f>
        <v>0</v>
      </c>
      <c r="AG164" s="120">
        <f>IF(AND(J164="OK",ISNUMBER($B$5),$B$5&gt;0,ISNUMBER($B$3),$B$3&gt;0),F164/(6*$B$3*1000000*$B$5)*(IF(B164&lt;($B$4*6/10),($B$4*6/10)*(MIN(C164,($B$4*6/10))^3-B164^3)-(MIN(C164,($B$4*6/10))^4-B164^4)/4,0)+IF(C164&gt;($B$4*6/10),($B$4*6/10)^2*(1.5*(C164^2-MAX(B164,($B$4*6/10))^2)-($B$4*6/10)*(C164-MAX(B164,($B$4*6/10)))),0))*1000,0)</f>
        <v>0</v>
      </c>
      <c r="AH164" s="120">
        <f>IF(AND(J164="OK",ISNUMBER($B$5),$B$5&gt;0,ISNUMBER($B$3),$B$3&gt;0),F164/(6*$B$3*1000000*$B$5)*(IF(B164&lt;($B$4*7/10),($B$4*7/10)*(MIN(C164,($B$4*7/10))^3-B164^3)-(MIN(C164,($B$4*7/10))^4-B164^4)/4,0)+IF(C164&gt;($B$4*7/10),($B$4*7/10)^2*(1.5*(C164^2-MAX(B164,($B$4*7/10))^2)-($B$4*7/10)*(C164-MAX(B164,($B$4*7/10)))),0))*1000,0)</f>
        <v>0</v>
      </c>
      <c r="AI164" s="120">
        <f>IF(AND(J164="OK",ISNUMBER($B$5),$B$5&gt;0,ISNUMBER($B$3),$B$3&gt;0),F164/(6*$B$3*1000000*$B$5)*(IF(B164&lt;($B$4*8/10),($B$4*8/10)*(MIN(C164,($B$4*8/10))^3-B164^3)-(MIN(C164,($B$4*8/10))^4-B164^4)/4,0)+IF(C164&gt;($B$4*8/10),($B$4*8/10)^2*(1.5*(C164^2-MAX(B164,($B$4*8/10))^2)-($B$4*8/10)*(C164-MAX(B164,($B$4*8/10)))),0))*1000,0)</f>
        <v>0</v>
      </c>
      <c r="AJ164" s="120">
        <f>IF(AND(J164="OK",ISNUMBER($B$5),$B$5&gt;0,ISNUMBER($B$3),$B$3&gt;0),F164/(6*$B$3*1000000*$B$5)*(IF(B164&lt;($B$4*9/10),($B$4*9/10)*(MIN(C164,($B$4*9/10))^3-B164^3)-(MIN(C164,($B$4*9/10))^4-B164^4)/4,0)+IF(C164&gt;($B$4*9/10),($B$4*9/10)^2*(1.5*(C164^2-MAX(B164,($B$4*9/10))^2)-($B$4*9/10)*(C164-MAX(B164,($B$4*9/10)))),0))*1000,0)</f>
        <v>0</v>
      </c>
      <c r="AK164" s="120">
        <f>IF(AND(J164="OK",ISNUMBER($B$5),$B$5&gt;0,ISNUMBER($B$3),$B$3&gt;0),F164/(6*$B$3*1000000*$B$5)*(IF(B164&lt;($B$4*10/10),($B$4*10/10)*(MIN(C164,($B$4*10/10))^3-B164^3)-(MIN(C164,($B$4*10/10))^4-B164^4)/4,0)+IF(C164&gt;($B$4*10/10),($B$4*10/10)^2*(1.5*(C164^2-MAX(B164,($B$4*10/10))^2)-($B$4*10/10)*(C164-MAX(B164,($B$4*10/10)))),0))*1000,0)</f>
        <v>0</v>
      </c>
      <c r="AM164" s="120">
        <f>IF(AND(V164="OK",ISNUMBER($N$5),$N$5&gt;0,ISNUMBER($N$3),$N$3&gt;0),R164/(6*$N$3*1000000*$N$5)*(IF(N164&lt;($N$4*0/10),($N$4*0/10)*(MIN(O164,($N$4*0/10))^3-N164^3)-(MIN(O164,($N$4*0/10))^4-N164^4)/4,0)+IF(O164&gt;($N$4*0/10),($N$4*0/10)^2*(1.5*(O164^2-MAX(N164,($N$4*0/10))^2)-($N$4*0/10)*(O164-MAX(N164,($N$4*0/10)))),0))*1000,0)</f>
        <v>0</v>
      </c>
      <c r="AN164" s="120">
        <f>IF(AND(V164="OK",ISNUMBER($N$5),$N$5&gt;0,ISNUMBER($N$3),$N$3&gt;0),R164/(6*$N$3*1000000*$N$5)*(IF(N164&lt;($N$4*1/10),($N$4*1/10)*(MIN(O164,($N$4*1/10))^3-N164^3)-(MIN(O164,($N$4*1/10))^4-N164^4)/4,0)+IF(O164&gt;($N$4*1/10),($N$4*1/10)^2*(1.5*(O164^2-MAX(N164,($N$4*1/10))^2)-($N$4*1/10)*(O164-MAX(N164,($N$4*1/10)))),0))*1000,0)</f>
        <v>0</v>
      </c>
      <c r="AO164" s="120">
        <f>IF(AND(V164="OK",ISNUMBER($N$5),$N$5&gt;0,ISNUMBER($N$3),$N$3&gt;0),R164/(6*$N$3*1000000*$N$5)*(IF(N164&lt;($N$4*2/10),($N$4*2/10)*(MIN(O164,($N$4*2/10))^3-N164^3)-(MIN(O164,($N$4*2/10))^4-N164^4)/4,0)+IF(O164&gt;($N$4*2/10),($N$4*2/10)^2*(1.5*(O164^2-MAX(N164,($N$4*2/10))^2)-($N$4*2/10)*(O164-MAX(N164,($N$4*2/10)))),0))*1000,0)</f>
        <v>0</v>
      </c>
      <c r="AP164" s="120">
        <f>IF(AND(V164="OK",ISNUMBER($N$5),$N$5&gt;0,ISNUMBER($N$3),$N$3&gt;0),R164/(6*$N$3*1000000*$N$5)*(IF(N164&lt;($N$4*3/10),($N$4*3/10)*(MIN(O164,($N$4*3/10))^3-N164^3)-(MIN(O164,($N$4*3/10))^4-N164^4)/4,0)+IF(O164&gt;($N$4*3/10),($N$4*3/10)^2*(1.5*(O164^2-MAX(N164,($N$4*3/10))^2)-($N$4*3/10)*(O164-MAX(N164,($N$4*3/10)))),0))*1000,0)</f>
        <v>0</v>
      </c>
      <c r="AQ164" s="120">
        <f>IF(AND(V164="OK",ISNUMBER($N$5),$N$5&gt;0,ISNUMBER($N$3),$N$3&gt;0),R164/(6*$N$3*1000000*$N$5)*(IF(N164&lt;($N$4*4/10),($N$4*4/10)*(MIN(O164,($N$4*4/10))^3-N164^3)-(MIN(O164,($N$4*4/10))^4-N164^4)/4,0)+IF(O164&gt;($N$4*4/10),($N$4*4/10)^2*(1.5*(O164^2-MAX(N164,($N$4*4/10))^2)-($N$4*4/10)*(O164-MAX(N164,($N$4*4/10)))),0))*1000,0)</f>
        <v>0</v>
      </c>
      <c r="AR164" s="120">
        <f>IF(AND(V164="OK",ISNUMBER($N$5),$N$5&gt;0,ISNUMBER($N$3),$N$3&gt;0),R164/(6*$N$3*1000000*$N$5)*(IF(N164&lt;($N$4*5/10),($N$4*5/10)*(MIN(O164,($N$4*5/10))^3-N164^3)-(MIN(O164,($N$4*5/10))^4-N164^4)/4,0)+IF(O164&gt;($N$4*5/10),($N$4*5/10)^2*(1.5*(O164^2-MAX(N164,($N$4*5/10))^2)-($N$4*5/10)*(O164-MAX(N164,($N$4*5/10)))),0))*1000,0)</f>
        <v>0</v>
      </c>
      <c r="AS164" s="120">
        <f>IF(AND(V164="OK",ISNUMBER($N$5),$N$5&gt;0,ISNUMBER($N$3),$N$3&gt;0),R164/(6*$N$3*1000000*$N$5)*(IF(N164&lt;($N$4*6/10),($N$4*6/10)*(MIN(O164,($N$4*6/10))^3-N164^3)-(MIN(O164,($N$4*6/10))^4-N164^4)/4,0)+IF(O164&gt;($N$4*6/10),($N$4*6/10)^2*(1.5*(O164^2-MAX(N164,($N$4*6/10))^2)-($N$4*6/10)*(O164-MAX(N164,($N$4*6/10)))),0))*1000,0)</f>
        <v>0</v>
      </c>
      <c r="AT164" s="120">
        <f>IF(AND(V164="OK",ISNUMBER($N$5),$N$5&gt;0,ISNUMBER($N$3),$N$3&gt;0),R164/(6*$N$3*1000000*$N$5)*(IF(N164&lt;($N$4*7/10),($N$4*7/10)*(MIN(O164,($N$4*7/10))^3-N164^3)-(MIN(O164,($N$4*7/10))^4-N164^4)/4,0)+IF(O164&gt;($N$4*7/10),($N$4*7/10)^2*(1.5*(O164^2-MAX(N164,($N$4*7/10))^2)-($N$4*7/10)*(O164-MAX(N164,($N$4*7/10)))),0))*1000,0)</f>
        <v>0</v>
      </c>
      <c r="AU164" s="120">
        <f>IF(AND(V164="OK",ISNUMBER($N$5),$N$5&gt;0,ISNUMBER($N$3),$N$3&gt;0),R164/(6*$N$3*1000000*$N$5)*(IF(N164&lt;($N$4*8/10),($N$4*8/10)*(MIN(O164,($N$4*8/10))^3-N164^3)-(MIN(O164,($N$4*8/10))^4-N164^4)/4,0)+IF(O164&gt;($N$4*8/10),($N$4*8/10)^2*(1.5*(O164^2-MAX(N164,($N$4*8/10))^2)-($N$4*8/10)*(O164-MAX(N164,($N$4*8/10)))),0))*1000,0)</f>
        <v>0</v>
      </c>
      <c r="AV164" s="120">
        <f>IF(AND(V164="OK",ISNUMBER($N$5),$N$5&gt;0,ISNUMBER($N$3),$N$3&gt;0),R164/(6*$N$3*1000000*$N$5)*(IF(N164&lt;($N$4*9/10),($N$4*9/10)*(MIN(O164,($N$4*9/10))^3-N164^3)-(MIN(O164,($N$4*9/10))^4-N164^4)/4,0)+IF(O164&gt;($N$4*9/10),($N$4*9/10)^2*(1.5*(O164^2-MAX(N164,($N$4*9/10))^2)-($N$4*9/10)*(O164-MAX(N164,($N$4*9/10)))),0))*1000,0)</f>
        <v>0</v>
      </c>
      <c r="AW164" s="120">
        <f>IF(AND(V164="OK",ISNUMBER($N$5),$N$5&gt;0,ISNUMBER($N$3),$N$3&gt;0),R164/(6*$N$3*1000000*$N$5)*(IF(N164&lt;($N$4*10/10),($N$4*10/10)*(MIN(O164,($N$4*10/10))^3-N164^3)-(MIN(O164,($N$4*10/10))^4-N164^4)/4,0)+IF(O164&gt;($N$4*10/10),($N$4*10/10)^2*(1.5*(O164^2-MAX(N164,($N$4*10/10))^2)-($N$4*10/10)*(O164-MAX(N164,($N$4*10/10)))),0))*1000,0)</f>
        <v>0</v>
      </c>
    </row>
    <row r="165" spans="1:49">
      <c r="A165" s="124"/>
      <c r="B165" s="125"/>
      <c r="C165" s="125"/>
      <c r="D165" s="125"/>
      <c r="E165" s="125"/>
      <c r="F165" s="126" t="str">
        <f>IF(J165="OK",D165*E165,"")</f>
        <v/>
      </c>
      <c r="G165" s="126" t="str">
        <f>IF(J165="OK",F165*(C165-B165),"")</f>
        <v/>
      </c>
      <c r="H165" s="126" t="str">
        <f>IF(J165="OK",G165*(C165+B165)/2,"")</f>
        <v/>
      </c>
      <c r="I165" s="126" t="str">
        <f>IF(AND(J165="OK",ISNUMBER($B$5),$B$5&gt;0,ISNUMBER($B$3),$B$3&gt;0),F165*(4*$B$4*(C165^3-B165^3)-(C165^4-B165^4))/(24*$B$3*1000000*$B$5)*1000,"")</f>
        <v/>
      </c>
      <c r="J165" s="120" t="str">
        <f>IF(COUNTA(A165:E165)=0,"",IF(AND(COUNT(B165:E165)=4,B165&gt;=0,C165&gt;B165,C165&lt;=$B$4,D165&gt;=0,E165&gt;0),IF(COUNTIFS($B$13:$B$164,"&lt;"&amp;C165,$C$13:$C$164,"&gt;"&amp;B165)&gt;0,"OVERLAP","OK"),"CHECK INPUTS"))</f>
        <v/>
      </c>
      <c r="M165" s="124"/>
      <c r="N165" s="125"/>
      <c r="O165" s="125"/>
      <c r="P165" s="125"/>
      <c r="Q165" s="125"/>
      <c r="R165" s="126" t="str">
        <f>IF(V165="OK",P165*Q165,"")</f>
        <v/>
      </c>
      <c r="S165" s="126" t="str">
        <f>IF(V165="OK",R165*(O165-N165),"")</f>
        <v/>
      </c>
      <c r="T165" s="126" t="str">
        <f>IF(V165="OK",S165*(O165+N165)/2,"")</f>
        <v/>
      </c>
      <c r="U165" s="126" t="str">
        <f>IF(AND(V165="OK",ISNUMBER($N$5),$N$5&gt;0,ISNUMBER($N$3),$N$3&gt;0),R165*(4*$N$4*(O165^3-N165^3)-(O165^4-N165^4))/(24*$N$3*1000000*$N$5)*1000,"")</f>
        <v/>
      </c>
      <c r="V165" s="120" t="str">
        <f>IF(COUNTA(M165:Q165)=0,"",IF(AND(COUNT(N165:Q165)=4,N165&gt;=0,O165&gt;N165,O165&lt;=$N$4,P165&gt;=0,Q165&gt;0),IF(COUNTIFS($N$13:$N$164,"&lt;"&amp;O165,$O$13:$O$164,"&gt;"&amp;N165)&gt;0,"OVERLAP","OK"),"CHECK INPUTS"))</f>
        <v/>
      </c>
      <c r="AA165" s="120">
        <f>IF(AND(J165="OK",ISNUMBER($B$5),$B$5&gt;0,ISNUMBER($B$3),$B$3&gt;0),F165/(6*$B$3*1000000*$B$5)*(IF(B165&lt;($B$4*0/10),($B$4*0/10)*(MIN(C165,($B$4*0/10))^3-B165^3)-(MIN(C165,($B$4*0/10))^4-B165^4)/4,0)+IF(C165&gt;($B$4*0/10),($B$4*0/10)^2*(1.5*(C165^2-MAX(B165,($B$4*0/10))^2)-($B$4*0/10)*(C165-MAX(B165,($B$4*0/10)))),0))*1000,0)</f>
        <v>0</v>
      </c>
      <c r="AB165" s="120">
        <f>IF(AND(J165="OK",ISNUMBER($B$5),$B$5&gt;0,ISNUMBER($B$3),$B$3&gt;0),F165/(6*$B$3*1000000*$B$5)*(IF(B165&lt;($B$4*1/10),($B$4*1/10)*(MIN(C165,($B$4*1/10))^3-B165^3)-(MIN(C165,($B$4*1/10))^4-B165^4)/4,0)+IF(C165&gt;($B$4*1/10),($B$4*1/10)^2*(1.5*(C165^2-MAX(B165,($B$4*1/10))^2)-($B$4*1/10)*(C165-MAX(B165,($B$4*1/10)))),0))*1000,0)</f>
        <v>0</v>
      </c>
      <c r="AC165" s="120">
        <f>IF(AND(J165="OK",ISNUMBER($B$5),$B$5&gt;0,ISNUMBER($B$3),$B$3&gt;0),F165/(6*$B$3*1000000*$B$5)*(IF(B165&lt;($B$4*2/10),($B$4*2/10)*(MIN(C165,($B$4*2/10))^3-B165^3)-(MIN(C165,($B$4*2/10))^4-B165^4)/4,0)+IF(C165&gt;($B$4*2/10),($B$4*2/10)^2*(1.5*(C165^2-MAX(B165,($B$4*2/10))^2)-($B$4*2/10)*(C165-MAX(B165,($B$4*2/10)))),0))*1000,0)</f>
        <v>0</v>
      </c>
      <c r="AD165" s="120">
        <f>IF(AND(J165="OK",ISNUMBER($B$5),$B$5&gt;0,ISNUMBER($B$3),$B$3&gt;0),F165/(6*$B$3*1000000*$B$5)*(IF(B165&lt;($B$4*3/10),($B$4*3/10)*(MIN(C165,($B$4*3/10))^3-B165^3)-(MIN(C165,($B$4*3/10))^4-B165^4)/4,0)+IF(C165&gt;($B$4*3/10),($B$4*3/10)^2*(1.5*(C165^2-MAX(B165,($B$4*3/10))^2)-($B$4*3/10)*(C165-MAX(B165,($B$4*3/10)))),0))*1000,0)</f>
        <v>0</v>
      </c>
      <c r="AE165" s="120">
        <f>IF(AND(J165="OK",ISNUMBER($B$5),$B$5&gt;0,ISNUMBER($B$3),$B$3&gt;0),F165/(6*$B$3*1000000*$B$5)*(IF(B165&lt;($B$4*4/10),($B$4*4/10)*(MIN(C165,($B$4*4/10))^3-B165^3)-(MIN(C165,($B$4*4/10))^4-B165^4)/4,0)+IF(C165&gt;($B$4*4/10),($B$4*4/10)^2*(1.5*(C165^2-MAX(B165,($B$4*4/10))^2)-($B$4*4/10)*(C165-MAX(B165,($B$4*4/10)))),0))*1000,0)</f>
        <v>0</v>
      </c>
      <c r="AF165" s="120">
        <f>IF(AND(J165="OK",ISNUMBER($B$5),$B$5&gt;0,ISNUMBER($B$3),$B$3&gt;0),F165/(6*$B$3*1000000*$B$5)*(IF(B165&lt;($B$4*5/10),($B$4*5/10)*(MIN(C165,($B$4*5/10))^3-B165^3)-(MIN(C165,($B$4*5/10))^4-B165^4)/4,0)+IF(C165&gt;($B$4*5/10),($B$4*5/10)^2*(1.5*(C165^2-MAX(B165,($B$4*5/10))^2)-($B$4*5/10)*(C165-MAX(B165,($B$4*5/10)))),0))*1000,0)</f>
        <v>0</v>
      </c>
      <c r="AG165" s="120">
        <f>IF(AND(J165="OK",ISNUMBER($B$5),$B$5&gt;0,ISNUMBER($B$3),$B$3&gt;0),F165/(6*$B$3*1000000*$B$5)*(IF(B165&lt;($B$4*6/10),($B$4*6/10)*(MIN(C165,($B$4*6/10))^3-B165^3)-(MIN(C165,($B$4*6/10))^4-B165^4)/4,0)+IF(C165&gt;($B$4*6/10),($B$4*6/10)^2*(1.5*(C165^2-MAX(B165,($B$4*6/10))^2)-($B$4*6/10)*(C165-MAX(B165,($B$4*6/10)))),0))*1000,0)</f>
        <v>0</v>
      </c>
      <c r="AH165" s="120">
        <f>IF(AND(J165="OK",ISNUMBER($B$5),$B$5&gt;0,ISNUMBER($B$3),$B$3&gt;0),F165/(6*$B$3*1000000*$B$5)*(IF(B165&lt;($B$4*7/10),($B$4*7/10)*(MIN(C165,($B$4*7/10))^3-B165^3)-(MIN(C165,($B$4*7/10))^4-B165^4)/4,0)+IF(C165&gt;($B$4*7/10),($B$4*7/10)^2*(1.5*(C165^2-MAX(B165,($B$4*7/10))^2)-($B$4*7/10)*(C165-MAX(B165,($B$4*7/10)))),0))*1000,0)</f>
        <v>0</v>
      </c>
      <c r="AI165" s="120">
        <f>IF(AND(J165="OK",ISNUMBER($B$5),$B$5&gt;0,ISNUMBER($B$3),$B$3&gt;0),F165/(6*$B$3*1000000*$B$5)*(IF(B165&lt;($B$4*8/10),($B$4*8/10)*(MIN(C165,($B$4*8/10))^3-B165^3)-(MIN(C165,($B$4*8/10))^4-B165^4)/4,0)+IF(C165&gt;($B$4*8/10),($B$4*8/10)^2*(1.5*(C165^2-MAX(B165,($B$4*8/10))^2)-($B$4*8/10)*(C165-MAX(B165,($B$4*8/10)))),0))*1000,0)</f>
        <v>0</v>
      </c>
      <c r="AJ165" s="120">
        <f>IF(AND(J165="OK",ISNUMBER($B$5),$B$5&gt;0,ISNUMBER($B$3),$B$3&gt;0),F165/(6*$B$3*1000000*$B$5)*(IF(B165&lt;($B$4*9/10),($B$4*9/10)*(MIN(C165,($B$4*9/10))^3-B165^3)-(MIN(C165,($B$4*9/10))^4-B165^4)/4,0)+IF(C165&gt;($B$4*9/10),($B$4*9/10)^2*(1.5*(C165^2-MAX(B165,($B$4*9/10))^2)-($B$4*9/10)*(C165-MAX(B165,($B$4*9/10)))),0))*1000,0)</f>
        <v>0</v>
      </c>
      <c r="AK165" s="120">
        <f>IF(AND(J165="OK",ISNUMBER($B$5),$B$5&gt;0,ISNUMBER($B$3),$B$3&gt;0),F165/(6*$B$3*1000000*$B$5)*(IF(B165&lt;($B$4*10/10),($B$4*10/10)*(MIN(C165,($B$4*10/10))^3-B165^3)-(MIN(C165,($B$4*10/10))^4-B165^4)/4,0)+IF(C165&gt;($B$4*10/10),($B$4*10/10)^2*(1.5*(C165^2-MAX(B165,($B$4*10/10))^2)-($B$4*10/10)*(C165-MAX(B165,($B$4*10/10)))),0))*1000,0)</f>
        <v>0</v>
      </c>
      <c r="AM165" s="120">
        <f>IF(AND(V165="OK",ISNUMBER($N$5),$N$5&gt;0,ISNUMBER($N$3),$N$3&gt;0),R165/(6*$N$3*1000000*$N$5)*(IF(N165&lt;($N$4*0/10),($N$4*0/10)*(MIN(O165,($N$4*0/10))^3-N165^3)-(MIN(O165,($N$4*0/10))^4-N165^4)/4,0)+IF(O165&gt;($N$4*0/10),($N$4*0/10)^2*(1.5*(O165^2-MAX(N165,($N$4*0/10))^2)-($N$4*0/10)*(O165-MAX(N165,($N$4*0/10)))),0))*1000,0)</f>
        <v>0</v>
      </c>
      <c r="AN165" s="120">
        <f>IF(AND(V165="OK",ISNUMBER($N$5),$N$5&gt;0,ISNUMBER($N$3),$N$3&gt;0),R165/(6*$N$3*1000000*$N$5)*(IF(N165&lt;($N$4*1/10),($N$4*1/10)*(MIN(O165,($N$4*1/10))^3-N165^3)-(MIN(O165,($N$4*1/10))^4-N165^4)/4,0)+IF(O165&gt;($N$4*1/10),($N$4*1/10)^2*(1.5*(O165^2-MAX(N165,($N$4*1/10))^2)-($N$4*1/10)*(O165-MAX(N165,($N$4*1/10)))),0))*1000,0)</f>
        <v>0</v>
      </c>
      <c r="AO165" s="120">
        <f>IF(AND(V165="OK",ISNUMBER($N$5),$N$5&gt;0,ISNUMBER($N$3),$N$3&gt;0),R165/(6*$N$3*1000000*$N$5)*(IF(N165&lt;($N$4*2/10),($N$4*2/10)*(MIN(O165,($N$4*2/10))^3-N165^3)-(MIN(O165,($N$4*2/10))^4-N165^4)/4,0)+IF(O165&gt;($N$4*2/10),($N$4*2/10)^2*(1.5*(O165^2-MAX(N165,($N$4*2/10))^2)-($N$4*2/10)*(O165-MAX(N165,($N$4*2/10)))),0))*1000,0)</f>
        <v>0</v>
      </c>
      <c r="AP165" s="120">
        <f>IF(AND(V165="OK",ISNUMBER($N$5),$N$5&gt;0,ISNUMBER($N$3),$N$3&gt;0),R165/(6*$N$3*1000000*$N$5)*(IF(N165&lt;($N$4*3/10),($N$4*3/10)*(MIN(O165,($N$4*3/10))^3-N165^3)-(MIN(O165,($N$4*3/10))^4-N165^4)/4,0)+IF(O165&gt;($N$4*3/10),($N$4*3/10)^2*(1.5*(O165^2-MAX(N165,($N$4*3/10))^2)-($N$4*3/10)*(O165-MAX(N165,($N$4*3/10)))),0))*1000,0)</f>
        <v>0</v>
      </c>
      <c r="AQ165" s="120">
        <f>IF(AND(V165="OK",ISNUMBER($N$5),$N$5&gt;0,ISNUMBER($N$3),$N$3&gt;0),R165/(6*$N$3*1000000*$N$5)*(IF(N165&lt;($N$4*4/10),($N$4*4/10)*(MIN(O165,($N$4*4/10))^3-N165^3)-(MIN(O165,($N$4*4/10))^4-N165^4)/4,0)+IF(O165&gt;($N$4*4/10),($N$4*4/10)^2*(1.5*(O165^2-MAX(N165,($N$4*4/10))^2)-($N$4*4/10)*(O165-MAX(N165,($N$4*4/10)))),0))*1000,0)</f>
        <v>0</v>
      </c>
      <c r="AR165" s="120">
        <f>IF(AND(V165="OK",ISNUMBER($N$5),$N$5&gt;0,ISNUMBER($N$3),$N$3&gt;0),R165/(6*$N$3*1000000*$N$5)*(IF(N165&lt;($N$4*5/10),($N$4*5/10)*(MIN(O165,($N$4*5/10))^3-N165^3)-(MIN(O165,($N$4*5/10))^4-N165^4)/4,0)+IF(O165&gt;($N$4*5/10),($N$4*5/10)^2*(1.5*(O165^2-MAX(N165,($N$4*5/10))^2)-($N$4*5/10)*(O165-MAX(N165,($N$4*5/10)))),0))*1000,0)</f>
        <v>0</v>
      </c>
      <c r="AS165" s="120">
        <f>IF(AND(V165="OK",ISNUMBER($N$5),$N$5&gt;0,ISNUMBER($N$3),$N$3&gt;0),R165/(6*$N$3*1000000*$N$5)*(IF(N165&lt;($N$4*6/10),($N$4*6/10)*(MIN(O165,($N$4*6/10))^3-N165^3)-(MIN(O165,($N$4*6/10))^4-N165^4)/4,0)+IF(O165&gt;($N$4*6/10),($N$4*6/10)^2*(1.5*(O165^2-MAX(N165,($N$4*6/10))^2)-($N$4*6/10)*(O165-MAX(N165,($N$4*6/10)))),0))*1000,0)</f>
        <v>0</v>
      </c>
      <c r="AT165" s="120">
        <f>IF(AND(V165="OK",ISNUMBER($N$5),$N$5&gt;0,ISNUMBER($N$3),$N$3&gt;0),R165/(6*$N$3*1000000*$N$5)*(IF(N165&lt;($N$4*7/10),($N$4*7/10)*(MIN(O165,($N$4*7/10))^3-N165^3)-(MIN(O165,($N$4*7/10))^4-N165^4)/4,0)+IF(O165&gt;($N$4*7/10),($N$4*7/10)^2*(1.5*(O165^2-MAX(N165,($N$4*7/10))^2)-($N$4*7/10)*(O165-MAX(N165,($N$4*7/10)))),0))*1000,0)</f>
        <v>0</v>
      </c>
      <c r="AU165" s="120">
        <f>IF(AND(V165="OK",ISNUMBER($N$5),$N$5&gt;0,ISNUMBER($N$3),$N$3&gt;0),R165/(6*$N$3*1000000*$N$5)*(IF(N165&lt;($N$4*8/10),($N$4*8/10)*(MIN(O165,($N$4*8/10))^3-N165^3)-(MIN(O165,($N$4*8/10))^4-N165^4)/4,0)+IF(O165&gt;($N$4*8/10),($N$4*8/10)^2*(1.5*(O165^2-MAX(N165,($N$4*8/10))^2)-($N$4*8/10)*(O165-MAX(N165,($N$4*8/10)))),0))*1000,0)</f>
        <v>0</v>
      </c>
      <c r="AV165" s="120">
        <f>IF(AND(V165="OK",ISNUMBER($N$5),$N$5&gt;0,ISNUMBER($N$3),$N$3&gt;0),R165/(6*$N$3*1000000*$N$5)*(IF(N165&lt;($N$4*9/10),($N$4*9/10)*(MIN(O165,($N$4*9/10))^3-N165^3)-(MIN(O165,($N$4*9/10))^4-N165^4)/4,0)+IF(O165&gt;($N$4*9/10),($N$4*9/10)^2*(1.5*(O165^2-MAX(N165,($N$4*9/10))^2)-($N$4*9/10)*(O165-MAX(N165,($N$4*9/10)))),0))*1000,0)</f>
        <v>0</v>
      </c>
      <c r="AW165" s="120">
        <f>IF(AND(V165="OK",ISNUMBER($N$5),$N$5&gt;0,ISNUMBER($N$3),$N$3&gt;0),R165/(6*$N$3*1000000*$N$5)*(IF(N165&lt;($N$4*10/10),($N$4*10/10)*(MIN(O165,($N$4*10/10))^3-N165^3)-(MIN(O165,($N$4*10/10))^4-N165^4)/4,0)+IF(O165&gt;($N$4*10/10),($N$4*10/10)^2*(1.5*(O165^2-MAX(N165,($N$4*10/10))^2)-($N$4*10/10)*(O165-MAX(N165,($N$4*10/10)))),0))*1000,0)</f>
        <v>0</v>
      </c>
    </row>
    <row r="166" spans="1:49">
      <c r="A166" s="124"/>
      <c r="B166" s="125"/>
      <c r="C166" s="125"/>
      <c r="D166" s="125"/>
      <c r="E166" s="125"/>
      <c r="F166" s="126" t="str">
        <f>IF(J166="OK",D166*E166,"")</f>
        <v/>
      </c>
      <c r="G166" s="126" t="str">
        <f>IF(J166="OK",F166*(C166-B166),"")</f>
        <v/>
      </c>
      <c r="H166" s="126" t="str">
        <f>IF(J166="OK",G166*(C166+B166)/2,"")</f>
        <v/>
      </c>
      <c r="I166" s="126" t="str">
        <f>IF(AND(J166="OK",ISNUMBER($B$5),$B$5&gt;0,ISNUMBER($B$3),$B$3&gt;0),F166*(4*$B$4*(C166^3-B166^3)-(C166^4-B166^4))/(24*$B$3*1000000*$B$5)*1000,"")</f>
        <v/>
      </c>
      <c r="J166" s="120" t="str">
        <f>IF(COUNTA(A166:E166)=0,"",IF(AND(COUNT(B166:E166)=4,B166&gt;=0,C166&gt;B166,C166&lt;=$B$4,D166&gt;=0,E166&gt;0),IF(COUNTIFS($B$13:$B$165,"&lt;"&amp;C166,$C$13:$C$165,"&gt;"&amp;B166)&gt;0,"OVERLAP","OK"),"CHECK INPUTS"))</f>
        <v/>
      </c>
      <c r="M166" s="124"/>
      <c r="N166" s="125"/>
      <c r="O166" s="125"/>
      <c r="P166" s="125"/>
      <c r="Q166" s="125"/>
      <c r="R166" s="126" t="str">
        <f>IF(V166="OK",P166*Q166,"")</f>
        <v/>
      </c>
      <c r="S166" s="126" t="str">
        <f>IF(V166="OK",R166*(O166-N166),"")</f>
        <v/>
      </c>
      <c r="T166" s="126" t="str">
        <f>IF(V166="OK",S166*(O166+N166)/2,"")</f>
        <v/>
      </c>
      <c r="U166" s="126" t="str">
        <f>IF(AND(V166="OK",ISNUMBER($N$5),$N$5&gt;0,ISNUMBER($N$3),$N$3&gt;0),R166*(4*$N$4*(O166^3-N166^3)-(O166^4-N166^4))/(24*$N$3*1000000*$N$5)*1000,"")</f>
        <v/>
      </c>
      <c r="V166" s="120" t="str">
        <f>IF(COUNTA(M166:Q166)=0,"",IF(AND(COUNT(N166:Q166)=4,N166&gt;=0,O166&gt;N166,O166&lt;=$N$4,P166&gt;=0,Q166&gt;0),IF(COUNTIFS($N$13:$N$165,"&lt;"&amp;O166,$O$13:$O$165,"&gt;"&amp;N166)&gt;0,"OVERLAP","OK"),"CHECK INPUTS"))</f>
        <v/>
      </c>
      <c r="AA166" s="120">
        <f>IF(AND(J166="OK",ISNUMBER($B$5),$B$5&gt;0,ISNUMBER($B$3),$B$3&gt;0),F166/(6*$B$3*1000000*$B$5)*(IF(B166&lt;($B$4*0/10),($B$4*0/10)*(MIN(C166,($B$4*0/10))^3-B166^3)-(MIN(C166,($B$4*0/10))^4-B166^4)/4,0)+IF(C166&gt;($B$4*0/10),($B$4*0/10)^2*(1.5*(C166^2-MAX(B166,($B$4*0/10))^2)-($B$4*0/10)*(C166-MAX(B166,($B$4*0/10)))),0))*1000,0)</f>
        <v>0</v>
      </c>
      <c r="AB166" s="120">
        <f>IF(AND(J166="OK",ISNUMBER($B$5),$B$5&gt;0,ISNUMBER($B$3),$B$3&gt;0),F166/(6*$B$3*1000000*$B$5)*(IF(B166&lt;($B$4*1/10),($B$4*1/10)*(MIN(C166,($B$4*1/10))^3-B166^3)-(MIN(C166,($B$4*1/10))^4-B166^4)/4,0)+IF(C166&gt;($B$4*1/10),($B$4*1/10)^2*(1.5*(C166^2-MAX(B166,($B$4*1/10))^2)-($B$4*1/10)*(C166-MAX(B166,($B$4*1/10)))),0))*1000,0)</f>
        <v>0</v>
      </c>
      <c r="AC166" s="120">
        <f>IF(AND(J166="OK",ISNUMBER($B$5),$B$5&gt;0,ISNUMBER($B$3),$B$3&gt;0),F166/(6*$B$3*1000000*$B$5)*(IF(B166&lt;($B$4*2/10),($B$4*2/10)*(MIN(C166,($B$4*2/10))^3-B166^3)-(MIN(C166,($B$4*2/10))^4-B166^4)/4,0)+IF(C166&gt;($B$4*2/10),($B$4*2/10)^2*(1.5*(C166^2-MAX(B166,($B$4*2/10))^2)-($B$4*2/10)*(C166-MAX(B166,($B$4*2/10)))),0))*1000,0)</f>
        <v>0</v>
      </c>
      <c r="AD166" s="120">
        <f>IF(AND(J166="OK",ISNUMBER($B$5),$B$5&gt;0,ISNUMBER($B$3),$B$3&gt;0),F166/(6*$B$3*1000000*$B$5)*(IF(B166&lt;($B$4*3/10),($B$4*3/10)*(MIN(C166,($B$4*3/10))^3-B166^3)-(MIN(C166,($B$4*3/10))^4-B166^4)/4,0)+IF(C166&gt;($B$4*3/10),($B$4*3/10)^2*(1.5*(C166^2-MAX(B166,($B$4*3/10))^2)-($B$4*3/10)*(C166-MAX(B166,($B$4*3/10)))),0))*1000,0)</f>
        <v>0</v>
      </c>
      <c r="AE166" s="120">
        <f>IF(AND(J166="OK",ISNUMBER($B$5),$B$5&gt;0,ISNUMBER($B$3),$B$3&gt;0),F166/(6*$B$3*1000000*$B$5)*(IF(B166&lt;($B$4*4/10),($B$4*4/10)*(MIN(C166,($B$4*4/10))^3-B166^3)-(MIN(C166,($B$4*4/10))^4-B166^4)/4,0)+IF(C166&gt;($B$4*4/10),($B$4*4/10)^2*(1.5*(C166^2-MAX(B166,($B$4*4/10))^2)-($B$4*4/10)*(C166-MAX(B166,($B$4*4/10)))),0))*1000,0)</f>
        <v>0</v>
      </c>
      <c r="AF166" s="120">
        <f>IF(AND(J166="OK",ISNUMBER($B$5),$B$5&gt;0,ISNUMBER($B$3),$B$3&gt;0),F166/(6*$B$3*1000000*$B$5)*(IF(B166&lt;($B$4*5/10),($B$4*5/10)*(MIN(C166,($B$4*5/10))^3-B166^3)-(MIN(C166,($B$4*5/10))^4-B166^4)/4,0)+IF(C166&gt;($B$4*5/10),($B$4*5/10)^2*(1.5*(C166^2-MAX(B166,($B$4*5/10))^2)-($B$4*5/10)*(C166-MAX(B166,($B$4*5/10)))),0))*1000,0)</f>
        <v>0</v>
      </c>
      <c r="AG166" s="120">
        <f>IF(AND(J166="OK",ISNUMBER($B$5),$B$5&gt;0,ISNUMBER($B$3),$B$3&gt;0),F166/(6*$B$3*1000000*$B$5)*(IF(B166&lt;($B$4*6/10),($B$4*6/10)*(MIN(C166,($B$4*6/10))^3-B166^3)-(MIN(C166,($B$4*6/10))^4-B166^4)/4,0)+IF(C166&gt;($B$4*6/10),($B$4*6/10)^2*(1.5*(C166^2-MAX(B166,($B$4*6/10))^2)-($B$4*6/10)*(C166-MAX(B166,($B$4*6/10)))),0))*1000,0)</f>
        <v>0</v>
      </c>
      <c r="AH166" s="120">
        <f>IF(AND(J166="OK",ISNUMBER($B$5),$B$5&gt;0,ISNUMBER($B$3),$B$3&gt;0),F166/(6*$B$3*1000000*$B$5)*(IF(B166&lt;($B$4*7/10),($B$4*7/10)*(MIN(C166,($B$4*7/10))^3-B166^3)-(MIN(C166,($B$4*7/10))^4-B166^4)/4,0)+IF(C166&gt;($B$4*7/10),($B$4*7/10)^2*(1.5*(C166^2-MAX(B166,($B$4*7/10))^2)-($B$4*7/10)*(C166-MAX(B166,($B$4*7/10)))),0))*1000,0)</f>
        <v>0</v>
      </c>
      <c r="AI166" s="120">
        <f>IF(AND(J166="OK",ISNUMBER($B$5),$B$5&gt;0,ISNUMBER($B$3),$B$3&gt;0),F166/(6*$B$3*1000000*$B$5)*(IF(B166&lt;($B$4*8/10),($B$4*8/10)*(MIN(C166,($B$4*8/10))^3-B166^3)-(MIN(C166,($B$4*8/10))^4-B166^4)/4,0)+IF(C166&gt;($B$4*8/10),($B$4*8/10)^2*(1.5*(C166^2-MAX(B166,($B$4*8/10))^2)-($B$4*8/10)*(C166-MAX(B166,($B$4*8/10)))),0))*1000,0)</f>
        <v>0</v>
      </c>
      <c r="AJ166" s="120">
        <f>IF(AND(J166="OK",ISNUMBER($B$5),$B$5&gt;0,ISNUMBER($B$3),$B$3&gt;0),F166/(6*$B$3*1000000*$B$5)*(IF(B166&lt;($B$4*9/10),($B$4*9/10)*(MIN(C166,($B$4*9/10))^3-B166^3)-(MIN(C166,($B$4*9/10))^4-B166^4)/4,0)+IF(C166&gt;($B$4*9/10),($B$4*9/10)^2*(1.5*(C166^2-MAX(B166,($B$4*9/10))^2)-($B$4*9/10)*(C166-MAX(B166,($B$4*9/10)))),0))*1000,0)</f>
        <v>0</v>
      </c>
      <c r="AK166" s="120">
        <f>IF(AND(J166="OK",ISNUMBER($B$5),$B$5&gt;0,ISNUMBER($B$3),$B$3&gt;0),F166/(6*$B$3*1000000*$B$5)*(IF(B166&lt;($B$4*10/10),($B$4*10/10)*(MIN(C166,($B$4*10/10))^3-B166^3)-(MIN(C166,($B$4*10/10))^4-B166^4)/4,0)+IF(C166&gt;($B$4*10/10),($B$4*10/10)^2*(1.5*(C166^2-MAX(B166,($B$4*10/10))^2)-($B$4*10/10)*(C166-MAX(B166,($B$4*10/10)))),0))*1000,0)</f>
        <v>0</v>
      </c>
      <c r="AM166" s="120">
        <f>IF(AND(V166="OK",ISNUMBER($N$5),$N$5&gt;0,ISNUMBER($N$3),$N$3&gt;0),R166/(6*$N$3*1000000*$N$5)*(IF(N166&lt;($N$4*0/10),($N$4*0/10)*(MIN(O166,($N$4*0/10))^3-N166^3)-(MIN(O166,($N$4*0/10))^4-N166^4)/4,0)+IF(O166&gt;($N$4*0/10),($N$4*0/10)^2*(1.5*(O166^2-MAX(N166,($N$4*0/10))^2)-($N$4*0/10)*(O166-MAX(N166,($N$4*0/10)))),0))*1000,0)</f>
        <v>0</v>
      </c>
      <c r="AN166" s="120">
        <f>IF(AND(V166="OK",ISNUMBER($N$5),$N$5&gt;0,ISNUMBER($N$3),$N$3&gt;0),R166/(6*$N$3*1000000*$N$5)*(IF(N166&lt;($N$4*1/10),($N$4*1/10)*(MIN(O166,($N$4*1/10))^3-N166^3)-(MIN(O166,($N$4*1/10))^4-N166^4)/4,0)+IF(O166&gt;($N$4*1/10),($N$4*1/10)^2*(1.5*(O166^2-MAX(N166,($N$4*1/10))^2)-($N$4*1/10)*(O166-MAX(N166,($N$4*1/10)))),0))*1000,0)</f>
        <v>0</v>
      </c>
      <c r="AO166" s="120">
        <f>IF(AND(V166="OK",ISNUMBER($N$5),$N$5&gt;0,ISNUMBER($N$3),$N$3&gt;0),R166/(6*$N$3*1000000*$N$5)*(IF(N166&lt;($N$4*2/10),($N$4*2/10)*(MIN(O166,($N$4*2/10))^3-N166^3)-(MIN(O166,($N$4*2/10))^4-N166^4)/4,0)+IF(O166&gt;($N$4*2/10),($N$4*2/10)^2*(1.5*(O166^2-MAX(N166,($N$4*2/10))^2)-($N$4*2/10)*(O166-MAX(N166,($N$4*2/10)))),0))*1000,0)</f>
        <v>0</v>
      </c>
      <c r="AP166" s="120">
        <f>IF(AND(V166="OK",ISNUMBER($N$5),$N$5&gt;0,ISNUMBER($N$3),$N$3&gt;0),R166/(6*$N$3*1000000*$N$5)*(IF(N166&lt;($N$4*3/10),($N$4*3/10)*(MIN(O166,($N$4*3/10))^3-N166^3)-(MIN(O166,($N$4*3/10))^4-N166^4)/4,0)+IF(O166&gt;($N$4*3/10),($N$4*3/10)^2*(1.5*(O166^2-MAX(N166,($N$4*3/10))^2)-($N$4*3/10)*(O166-MAX(N166,($N$4*3/10)))),0))*1000,0)</f>
        <v>0</v>
      </c>
      <c r="AQ166" s="120">
        <f>IF(AND(V166="OK",ISNUMBER($N$5),$N$5&gt;0,ISNUMBER($N$3),$N$3&gt;0),R166/(6*$N$3*1000000*$N$5)*(IF(N166&lt;($N$4*4/10),($N$4*4/10)*(MIN(O166,($N$4*4/10))^3-N166^3)-(MIN(O166,($N$4*4/10))^4-N166^4)/4,0)+IF(O166&gt;($N$4*4/10),($N$4*4/10)^2*(1.5*(O166^2-MAX(N166,($N$4*4/10))^2)-($N$4*4/10)*(O166-MAX(N166,($N$4*4/10)))),0))*1000,0)</f>
        <v>0</v>
      </c>
      <c r="AR166" s="120">
        <f>IF(AND(V166="OK",ISNUMBER($N$5),$N$5&gt;0,ISNUMBER($N$3),$N$3&gt;0),R166/(6*$N$3*1000000*$N$5)*(IF(N166&lt;($N$4*5/10),($N$4*5/10)*(MIN(O166,($N$4*5/10))^3-N166^3)-(MIN(O166,($N$4*5/10))^4-N166^4)/4,0)+IF(O166&gt;($N$4*5/10),($N$4*5/10)^2*(1.5*(O166^2-MAX(N166,($N$4*5/10))^2)-($N$4*5/10)*(O166-MAX(N166,($N$4*5/10)))),0))*1000,0)</f>
        <v>0</v>
      </c>
      <c r="AS166" s="120">
        <f>IF(AND(V166="OK",ISNUMBER($N$5),$N$5&gt;0,ISNUMBER($N$3),$N$3&gt;0),R166/(6*$N$3*1000000*$N$5)*(IF(N166&lt;($N$4*6/10),($N$4*6/10)*(MIN(O166,($N$4*6/10))^3-N166^3)-(MIN(O166,($N$4*6/10))^4-N166^4)/4,0)+IF(O166&gt;($N$4*6/10),($N$4*6/10)^2*(1.5*(O166^2-MAX(N166,($N$4*6/10))^2)-($N$4*6/10)*(O166-MAX(N166,($N$4*6/10)))),0))*1000,0)</f>
        <v>0</v>
      </c>
      <c r="AT166" s="120">
        <f>IF(AND(V166="OK",ISNUMBER($N$5),$N$5&gt;0,ISNUMBER($N$3),$N$3&gt;0),R166/(6*$N$3*1000000*$N$5)*(IF(N166&lt;($N$4*7/10),($N$4*7/10)*(MIN(O166,($N$4*7/10))^3-N166^3)-(MIN(O166,($N$4*7/10))^4-N166^4)/4,0)+IF(O166&gt;($N$4*7/10),($N$4*7/10)^2*(1.5*(O166^2-MAX(N166,($N$4*7/10))^2)-($N$4*7/10)*(O166-MAX(N166,($N$4*7/10)))),0))*1000,0)</f>
        <v>0</v>
      </c>
      <c r="AU166" s="120">
        <f>IF(AND(V166="OK",ISNUMBER($N$5),$N$5&gt;0,ISNUMBER($N$3),$N$3&gt;0),R166/(6*$N$3*1000000*$N$5)*(IF(N166&lt;($N$4*8/10),($N$4*8/10)*(MIN(O166,($N$4*8/10))^3-N166^3)-(MIN(O166,($N$4*8/10))^4-N166^4)/4,0)+IF(O166&gt;($N$4*8/10),($N$4*8/10)^2*(1.5*(O166^2-MAX(N166,($N$4*8/10))^2)-($N$4*8/10)*(O166-MAX(N166,($N$4*8/10)))),0))*1000,0)</f>
        <v>0</v>
      </c>
      <c r="AV166" s="120">
        <f>IF(AND(V166="OK",ISNUMBER($N$5),$N$5&gt;0,ISNUMBER($N$3),$N$3&gt;0),R166/(6*$N$3*1000000*$N$5)*(IF(N166&lt;($N$4*9/10),($N$4*9/10)*(MIN(O166,($N$4*9/10))^3-N166^3)-(MIN(O166,($N$4*9/10))^4-N166^4)/4,0)+IF(O166&gt;($N$4*9/10),($N$4*9/10)^2*(1.5*(O166^2-MAX(N166,($N$4*9/10))^2)-($N$4*9/10)*(O166-MAX(N166,($N$4*9/10)))),0))*1000,0)</f>
        <v>0</v>
      </c>
      <c r="AW166" s="120">
        <f>IF(AND(V166="OK",ISNUMBER($N$5),$N$5&gt;0,ISNUMBER($N$3),$N$3&gt;0),R166/(6*$N$3*1000000*$N$5)*(IF(N166&lt;($N$4*10/10),($N$4*10/10)*(MIN(O166,($N$4*10/10))^3-N166^3)-(MIN(O166,($N$4*10/10))^4-N166^4)/4,0)+IF(O166&gt;($N$4*10/10),($N$4*10/10)^2*(1.5*(O166^2-MAX(N166,($N$4*10/10))^2)-($N$4*10/10)*(O166-MAX(N166,($N$4*10/10)))),0))*1000,0)</f>
        <v>0</v>
      </c>
    </row>
    <row r="167" spans="1:49">
      <c r="A167" s="124"/>
      <c r="B167" s="125"/>
      <c r="C167" s="125"/>
      <c r="D167" s="125"/>
      <c r="E167" s="125"/>
      <c r="F167" s="126" t="str">
        <f>IF(J167="OK",D167*E167,"")</f>
        <v/>
      </c>
      <c r="G167" s="126" t="str">
        <f>IF(J167="OK",F167*(C167-B167),"")</f>
        <v/>
      </c>
      <c r="H167" s="126" t="str">
        <f>IF(J167="OK",G167*(C167+B167)/2,"")</f>
        <v/>
      </c>
      <c r="I167" s="126" t="str">
        <f>IF(AND(J167="OK",ISNUMBER($B$5),$B$5&gt;0,ISNUMBER($B$3),$B$3&gt;0),F167*(4*$B$4*(C167^3-B167^3)-(C167^4-B167^4))/(24*$B$3*1000000*$B$5)*1000,"")</f>
        <v/>
      </c>
      <c r="J167" s="120" t="str">
        <f>IF(COUNTA(A167:E167)=0,"",IF(AND(COUNT(B167:E167)=4,B167&gt;=0,C167&gt;B167,C167&lt;=$B$4,D167&gt;=0,E167&gt;0),IF(COUNTIFS($B$13:$B$166,"&lt;"&amp;C167,$C$13:$C$166,"&gt;"&amp;B167)&gt;0,"OVERLAP","OK"),"CHECK INPUTS"))</f>
        <v/>
      </c>
      <c r="M167" s="124"/>
      <c r="N167" s="125"/>
      <c r="O167" s="125"/>
      <c r="P167" s="125"/>
      <c r="Q167" s="125"/>
      <c r="R167" s="126" t="str">
        <f>IF(V167="OK",P167*Q167,"")</f>
        <v/>
      </c>
      <c r="S167" s="126" t="str">
        <f>IF(V167="OK",R167*(O167-N167),"")</f>
        <v/>
      </c>
      <c r="T167" s="126" t="str">
        <f>IF(V167="OK",S167*(O167+N167)/2,"")</f>
        <v/>
      </c>
      <c r="U167" s="126" t="str">
        <f>IF(AND(V167="OK",ISNUMBER($N$5),$N$5&gt;0,ISNUMBER($N$3),$N$3&gt;0),R167*(4*$N$4*(O167^3-N167^3)-(O167^4-N167^4))/(24*$N$3*1000000*$N$5)*1000,"")</f>
        <v/>
      </c>
      <c r="V167" s="120" t="str">
        <f>IF(COUNTA(M167:Q167)=0,"",IF(AND(COUNT(N167:Q167)=4,N167&gt;=0,O167&gt;N167,O167&lt;=$N$4,P167&gt;=0,Q167&gt;0),IF(COUNTIFS($N$13:$N$166,"&lt;"&amp;O167,$O$13:$O$166,"&gt;"&amp;N167)&gt;0,"OVERLAP","OK"),"CHECK INPUTS"))</f>
        <v/>
      </c>
      <c r="AA167" s="120">
        <f>IF(AND(J167="OK",ISNUMBER($B$5),$B$5&gt;0,ISNUMBER($B$3),$B$3&gt;0),F167/(6*$B$3*1000000*$B$5)*(IF(B167&lt;($B$4*0/10),($B$4*0/10)*(MIN(C167,($B$4*0/10))^3-B167^3)-(MIN(C167,($B$4*0/10))^4-B167^4)/4,0)+IF(C167&gt;($B$4*0/10),($B$4*0/10)^2*(1.5*(C167^2-MAX(B167,($B$4*0/10))^2)-($B$4*0/10)*(C167-MAX(B167,($B$4*0/10)))),0))*1000,0)</f>
        <v>0</v>
      </c>
      <c r="AB167" s="120">
        <f>IF(AND(J167="OK",ISNUMBER($B$5),$B$5&gt;0,ISNUMBER($B$3),$B$3&gt;0),F167/(6*$B$3*1000000*$B$5)*(IF(B167&lt;($B$4*1/10),($B$4*1/10)*(MIN(C167,($B$4*1/10))^3-B167^3)-(MIN(C167,($B$4*1/10))^4-B167^4)/4,0)+IF(C167&gt;($B$4*1/10),($B$4*1/10)^2*(1.5*(C167^2-MAX(B167,($B$4*1/10))^2)-($B$4*1/10)*(C167-MAX(B167,($B$4*1/10)))),0))*1000,0)</f>
        <v>0</v>
      </c>
      <c r="AC167" s="120">
        <f>IF(AND(J167="OK",ISNUMBER($B$5),$B$5&gt;0,ISNUMBER($B$3),$B$3&gt;0),F167/(6*$B$3*1000000*$B$5)*(IF(B167&lt;($B$4*2/10),($B$4*2/10)*(MIN(C167,($B$4*2/10))^3-B167^3)-(MIN(C167,($B$4*2/10))^4-B167^4)/4,0)+IF(C167&gt;($B$4*2/10),($B$4*2/10)^2*(1.5*(C167^2-MAX(B167,($B$4*2/10))^2)-($B$4*2/10)*(C167-MAX(B167,($B$4*2/10)))),0))*1000,0)</f>
        <v>0</v>
      </c>
      <c r="AD167" s="120">
        <f>IF(AND(J167="OK",ISNUMBER($B$5),$B$5&gt;0,ISNUMBER($B$3),$B$3&gt;0),F167/(6*$B$3*1000000*$B$5)*(IF(B167&lt;($B$4*3/10),($B$4*3/10)*(MIN(C167,($B$4*3/10))^3-B167^3)-(MIN(C167,($B$4*3/10))^4-B167^4)/4,0)+IF(C167&gt;($B$4*3/10),($B$4*3/10)^2*(1.5*(C167^2-MAX(B167,($B$4*3/10))^2)-($B$4*3/10)*(C167-MAX(B167,($B$4*3/10)))),0))*1000,0)</f>
        <v>0</v>
      </c>
      <c r="AE167" s="120">
        <f>IF(AND(J167="OK",ISNUMBER($B$5),$B$5&gt;0,ISNUMBER($B$3),$B$3&gt;0),F167/(6*$B$3*1000000*$B$5)*(IF(B167&lt;($B$4*4/10),($B$4*4/10)*(MIN(C167,($B$4*4/10))^3-B167^3)-(MIN(C167,($B$4*4/10))^4-B167^4)/4,0)+IF(C167&gt;($B$4*4/10),($B$4*4/10)^2*(1.5*(C167^2-MAX(B167,($B$4*4/10))^2)-($B$4*4/10)*(C167-MAX(B167,($B$4*4/10)))),0))*1000,0)</f>
        <v>0</v>
      </c>
      <c r="AF167" s="120">
        <f>IF(AND(J167="OK",ISNUMBER($B$5),$B$5&gt;0,ISNUMBER($B$3),$B$3&gt;0),F167/(6*$B$3*1000000*$B$5)*(IF(B167&lt;($B$4*5/10),($B$4*5/10)*(MIN(C167,($B$4*5/10))^3-B167^3)-(MIN(C167,($B$4*5/10))^4-B167^4)/4,0)+IF(C167&gt;($B$4*5/10),($B$4*5/10)^2*(1.5*(C167^2-MAX(B167,($B$4*5/10))^2)-($B$4*5/10)*(C167-MAX(B167,($B$4*5/10)))),0))*1000,0)</f>
        <v>0</v>
      </c>
      <c r="AG167" s="120">
        <f>IF(AND(J167="OK",ISNUMBER($B$5),$B$5&gt;0,ISNUMBER($B$3),$B$3&gt;0),F167/(6*$B$3*1000000*$B$5)*(IF(B167&lt;($B$4*6/10),($B$4*6/10)*(MIN(C167,($B$4*6/10))^3-B167^3)-(MIN(C167,($B$4*6/10))^4-B167^4)/4,0)+IF(C167&gt;($B$4*6/10),($B$4*6/10)^2*(1.5*(C167^2-MAX(B167,($B$4*6/10))^2)-($B$4*6/10)*(C167-MAX(B167,($B$4*6/10)))),0))*1000,0)</f>
        <v>0</v>
      </c>
      <c r="AH167" s="120">
        <f>IF(AND(J167="OK",ISNUMBER($B$5),$B$5&gt;0,ISNUMBER($B$3),$B$3&gt;0),F167/(6*$B$3*1000000*$B$5)*(IF(B167&lt;($B$4*7/10),($B$4*7/10)*(MIN(C167,($B$4*7/10))^3-B167^3)-(MIN(C167,($B$4*7/10))^4-B167^4)/4,0)+IF(C167&gt;($B$4*7/10),($B$4*7/10)^2*(1.5*(C167^2-MAX(B167,($B$4*7/10))^2)-($B$4*7/10)*(C167-MAX(B167,($B$4*7/10)))),0))*1000,0)</f>
        <v>0</v>
      </c>
      <c r="AI167" s="120">
        <f>IF(AND(J167="OK",ISNUMBER($B$5),$B$5&gt;0,ISNUMBER($B$3),$B$3&gt;0),F167/(6*$B$3*1000000*$B$5)*(IF(B167&lt;($B$4*8/10),($B$4*8/10)*(MIN(C167,($B$4*8/10))^3-B167^3)-(MIN(C167,($B$4*8/10))^4-B167^4)/4,0)+IF(C167&gt;($B$4*8/10),($B$4*8/10)^2*(1.5*(C167^2-MAX(B167,($B$4*8/10))^2)-($B$4*8/10)*(C167-MAX(B167,($B$4*8/10)))),0))*1000,0)</f>
        <v>0</v>
      </c>
      <c r="AJ167" s="120">
        <f>IF(AND(J167="OK",ISNUMBER($B$5),$B$5&gt;0,ISNUMBER($B$3),$B$3&gt;0),F167/(6*$B$3*1000000*$B$5)*(IF(B167&lt;($B$4*9/10),($B$4*9/10)*(MIN(C167,($B$4*9/10))^3-B167^3)-(MIN(C167,($B$4*9/10))^4-B167^4)/4,0)+IF(C167&gt;($B$4*9/10),($B$4*9/10)^2*(1.5*(C167^2-MAX(B167,($B$4*9/10))^2)-($B$4*9/10)*(C167-MAX(B167,($B$4*9/10)))),0))*1000,0)</f>
        <v>0</v>
      </c>
      <c r="AK167" s="120">
        <f>IF(AND(J167="OK",ISNUMBER($B$5),$B$5&gt;0,ISNUMBER($B$3),$B$3&gt;0),F167/(6*$B$3*1000000*$B$5)*(IF(B167&lt;($B$4*10/10),($B$4*10/10)*(MIN(C167,($B$4*10/10))^3-B167^3)-(MIN(C167,($B$4*10/10))^4-B167^4)/4,0)+IF(C167&gt;($B$4*10/10),($B$4*10/10)^2*(1.5*(C167^2-MAX(B167,($B$4*10/10))^2)-($B$4*10/10)*(C167-MAX(B167,($B$4*10/10)))),0))*1000,0)</f>
        <v>0</v>
      </c>
      <c r="AM167" s="120">
        <f>IF(AND(V167="OK",ISNUMBER($N$5),$N$5&gt;0,ISNUMBER($N$3),$N$3&gt;0),R167/(6*$N$3*1000000*$N$5)*(IF(N167&lt;($N$4*0/10),($N$4*0/10)*(MIN(O167,($N$4*0/10))^3-N167^3)-(MIN(O167,($N$4*0/10))^4-N167^4)/4,0)+IF(O167&gt;($N$4*0/10),($N$4*0/10)^2*(1.5*(O167^2-MAX(N167,($N$4*0/10))^2)-($N$4*0/10)*(O167-MAX(N167,($N$4*0/10)))),0))*1000,0)</f>
        <v>0</v>
      </c>
      <c r="AN167" s="120">
        <f>IF(AND(V167="OK",ISNUMBER($N$5),$N$5&gt;0,ISNUMBER($N$3),$N$3&gt;0),R167/(6*$N$3*1000000*$N$5)*(IF(N167&lt;($N$4*1/10),($N$4*1/10)*(MIN(O167,($N$4*1/10))^3-N167^3)-(MIN(O167,($N$4*1/10))^4-N167^4)/4,0)+IF(O167&gt;($N$4*1/10),($N$4*1/10)^2*(1.5*(O167^2-MAX(N167,($N$4*1/10))^2)-($N$4*1/10)*(O167-MAX(N167,($N$4*1/10)))),0))*1000,0)</f>
        <v>0</v>
      </c>
      <c r="AO167" s="120">
        <f>IF(AND(V167="OK",ISNUMBER($N$5),$N$5&gt;0,ISNUMBER($N$3),$N$3&gt;0),R167/(6*$N$3*1000000*$N$5)*(IF(N167&lt;($N$4*2/10),($N$4*2/10)*(MIN(O167,($N$4*2/10))^3-N167^3)-(MIN(O167,($N$4*2/10))^4-N167^4)/4,0)+IF(O167&gt;($N$4*2/10),($N$4*2/10)^2*(1.5*(O167^2-MAX(N167,($N$4*2/10))^2)-($N$4*2/10)*(O167-MAX(N167,($N$4*2/10)))),0))*1000,0)</f>
        <v>0</v>
      </c>
      <c r="AP167" s="120">
        <f>IF(AND(V167="OK",ISNUMBER($N$5),$N$5&gt;0,ISNUMBER($N$3),$N$3&gt;0),R167/(6*$N$3*1000000*$N$5)*(IF(N167&lt;($N$4*3/10),($N$4*3/10)*(MIN(O167,($N$4*3/10))^3-N167^3)-(MIN(O167,($N$4*3/10))^4-N167^4)/4,0)+IF(O167&gt;($N$4*3/10),($N$4*3/10)^2*(1.5*(O167^2-MAX(N167,($N$4*3/10))^2)-($N$4*3/10)*(O167-MAX(N167,($N$4*3/10)))),0))*1000,0)</f>
        <v>0</v>
      </c>
      <c r="AQ167" s="120">
        <f>IF(AND(V167="OK",ISNUMBER($N$5),$N$5&gt;0,ISNUMBER($N$3),$N$3&gt;0),R167/(6*$N$3*1000000*$N$5)*(IF(N167&lt;($N$4*4/10),($N$4*4/10)*(MIN(O167,($N$4*4/10))^3-N167^3)-(MIN(O167,($N$4*4/10))^4-N167^4)/4,0)+IF(O167&gt;($N$4*4/10),($N$4*4/10)^2*(1.5*(O167^2-MAX(N167,($N$4*4/10))^2)-($N$4*4/10)*(O167-MAX(N167,($N$4*4/10)))),0))*1000,0)</f>
        <v>0</v>
      </c>
      <c r="AR167" s="120">
        <f>IF(AND(V167="OK",ISNUMBER($N$5),$N$5&gt;0,ISNUMBER($N$3),$N$3&gt;0),R167/(6*$N$3*1000000*$N$5)*(IF(N167&lt;($N$4*5/10),($N$4*5/10)*(MIN(O167,($N$4*5/10))^3-N167^3)-(MIN(O167,($N$4*5/10))^4-N167^4)/4,0)+IF(O167&gt;($N$4*5/10),($N$4*5/10)^2*(1.5*(O167^2-MAX(N167,($N$4*5/10))^2)-($N$4*5/10)*(O167-MAX(N167,($N$4*5/10)))),0))*1000,0)</f>
        <v>0</v>
      </c>
      <c r="AS167" s="120">
        <f>IF(AND(V167="OK",ISNUMBER($N$5),$N$5&gt;0,ISNUMBER($N$3),$N$3&gt;0),R167/(6*$N$3*1000000*$N$5)*(IF(N167&lt;($N$4*6/10),($N$4*6/10)*(MIN(O167,($N$4*6/10))^3-N167^3)-(MIN(O167,($N$4*6/10))^4-N167^4)/4,0)+IF(O167&gt;($N$4*6/10),($N$4*6/10)^2*(1.5*(O167^2-MAX(N167,($N$4*6/10))^2)-($N$4*6/10)*(O167-MAX(N167,($N$4*6/10)))),0))*1000,0)</f>
        <v>0</v>
      </c>
      <c r="AT167" s="120">
        <f>IF(AND(V167="OK",ISNUMBER($N$5),$N$5&gt;0,ISNUMBER($N$3),$N$3&gt;0),R167/(6*$N$3*1000000*$N$5)*(IF(N167&lt;($N$4*7/10),($N$4*7/10)*(MIN(O167,($N$4*7/10))^3-N167^3)-(MIN(O167,($N$4*7/10))^4-N167^4)/4,0)+IF(O167&gt;($N$4*7/10),($N$4*7/10)^2*(1.5*(O167^2-MAX(N167,($N$4*7/10))^2)-($N$4*7/10)*(O167-MAX(N167,($N$4*7/10)))),0))*1000,0)</f>
        <v>0</v>
      </c>
      <c r="AU167" s="120">
        <f>IF(AND(V167="OK",ISNUMBER($N$5),$N$5&gt;0,ISNUMBER($N$3),$N$3&gt;0),R167/(6*$N$3*1000000*$N$5)*(IF(N167&lt;($N$4*8/10),($N$4*8/10)*(MIN(O167,($N$4*8/10))^3-N167^3)-(MIN(O167,($N$4*8/10))^4-N167^4)/4,0)+IF(O167&gt;($N$4*8/10),($N$4*8/10)^2*(1.5*(O167^2-MAX(N167,($N$4*8/10))^2)-($N$4*8/10)*(O167-MAX(N167,($N$4*8/10)))),0))*1000,0)</f>
        <v>0</v>
      </c>
      <c r="AV167" s="120">
        <f>IF(AND(V167="OK",ISNUMBER($N$5),$N$5&gt;0,ISNUMBER($N$3),$N$3&gt;0),R167/(6*$N$3*1000000*$N$5)*(IF(N167&lt;($N$4*9/10),($N$4*9/10)*(MIN(O167,($N$4*9/10))^3-N167^3)-(MIN(O167,($N$4*9/10))^4-N167^4)/4,0)+IF(O167&gt;($N$4*9/10),($N$4*9/10)^2*(1.5*(O167^2-MAX(N167,($N$4*9/10))^2)-($N$4*9/10)*(O167-MAX(N167,($N$4*9/10)))),0))*1000,0)</f>
        <v>0</v>
      </c>
      <c r="AW167" s="120">
        <f>IF(AND(V167="OK",ISNUMBER($N$5),$N$5&gt;0,ISNUMBER($N$3),$N$3&gt;0),R167/(6*$N$3*1000000*$N$5)*(IF(N167&lt;($N$4*10/10),($N$4*10/10)*(MIN(O167,($N$4*10/10))^3-N167^3)-(MIN(O167,($N$4*10/10))^4-N167^4)/4,0)+IF(O167&gt;($N$4*10/10),($N$4*10/10)^2*(1.5*(O167^2-MAX(N167,($N$4*10/10))^2)-($N$4*10/10)*(O167-MAX(N167,($N$4*10/10)))),0))*1000,0)</f>
        <v>0</v>
      </c>
    </row>
    <row r="168" spans="1:49">
      <c r="A168" s="124"/>
      <c r="B168" s="125"/>
      <c r="C168" s="125"/>
      <c r="D168" s="125"/>
      <c r="E168" s="125"/>
      <c r="F168" s="126" t="str">
        <f>IF(J168="OK",D168*E168,"")</f>
        <v/>
      </c>
      <c r="G168" s="126" t="str">
        <f>IF(J168="OK",F168*(C168-B168),"")</f>
        <v/>
      </c>
      <c r="H168" s="126" t="str">
        <f>IF(J168="OK",G168*(C168+B168)/2,"")</f>
        <v/>
      </c>
      <c r="I168" s="126" t="str">
        <f>IF(AND(J168="OK",ISNUMBER($B$5),$B$5&gt;0,ISNUMBER($B$3),$B$3&gt;0),F168*(4*$B$4*(C168^3-B168^3)-(C168^4-B168^4))/(24*$B$3*1000000*$B$5)*1000,"")</f>
        <v/>
      </c>
      <c r="J168" s="120" t="str">
        <f>IF(COUNTA(A168:E168)=0,"",IF(AND(COUNT(B168:E168)=4,B168&gt;=0,C168&gt;B168,C168&lt;=$B$4,D168&gt;=0,E168&gt;0),IF(COUNTIFS($B$13:$B$167,"&lt;"&amp;C168,$C$13:$C$167,"&gt;"&amp;B168)&gt;0,"OVERLAP","OK"),"CHECK INPUTS"))</f>
        <v/>
      </c>
      <c r="M168" s="124"/>
      <c r="N168" s="125"/>
      <c r="O168" s="125"/>
      <c r="P168" s="125"/>
      <c r="Q168" s="125"/>
      <c r="R168" s="126" t="str">
        <f>IF(V168="OK",P168*Q168,"")</f>
        <v/>
      </c>
      <c r="S168" s="126" t="str">
        <f>IF(V168="OK",R168*(O168-N168),"")</f>
        <v/>
      </c>
      <c r="T168" s="126" t="str">
        <f>IF(V168="OK",S168*(O168+N168)/2,"")</f>
        <v/>
      </c>
      <c r="U168" s="126" t="str">
        <f>IF(AND(V168="OK",ISNUMBER($N$5),$N$5&gt;0,ISNUMBER($N$3),$N$3&gt;0),R168*(4*$N$4*(O168^3-N168^3)-(O168^4-N168^4))/(24*$N$3*1000000*$N$5)*1000,"")</f>
        <v/>
      </c>
      <c r="V168" s="120" t="str">
        <f>IF(COUNTA(M168:Q168)=0,"",IF(AND(COUNT(N168:Q168)=4,N168&gt;=0,O168&gt;N168,O168&lt;=$N$4,P168&gt;=0,Q168&gt;0),IF(COUNTIFS($N$13:$N$167,"&lt;"&amp;O168,$O$13:$O$167,"&gt;"&amp;N168)&gt;0,"OVERLAP","OK"),"CHECK INPUTS"))</f>
        <v/>
      </c>
      <c r="AA168" s="120">
        <f>IF(AND(J168="OK",ISNUMBER($B$5),$B$5&gt;0,ISNUMBER($B$3),$B$3&gt;0),F168/(6*$B$3*1000000*$B$5)*(IF(B168&lt;($B$4*0/10),($B$4*0/10)*(MIN(C168,($B$4*0/10))^3-B168^3)-(MIN(C168,($B$4*0/10))^4-B168^4)/4,0)+IF(C168&gt;($B$4*0/10),($B$4*0/10)^2*(1.5*(C168^2-MAX(B168,($B$4*0/10))^2)-($B$4*0/10)*(C168-MAX(B168,($B$4*0/10)))),0))*1000,0)</f>
        <v>0</v>
      </c>
      <c r="AB168" s="120">
        <f>IF(AND(J168="OK",ISNUMBER($B$5),$B$5&gt;0,ISNUMBER($B$3),$B$3&gt;0),F168/(6*$B$3*1000000*$B$5)*(IF(B168&lt;($B$4*1/10),($B$4*1/10)*(MIN(C168,($B$4*1/10))^3-B168^3)-(MIN(C168,($B$4*1/10))^4-B168^4)/4,0)+IF(C168&gt;($B$4*1/10),($B$4*1/10)^2*(1.5*(C168^2-MAX(B168,($B$4*1/10))^2)-($B$4*1/10)*(C168-MAX(B168,($B$4*1/10)))),0))*1000,0)</f>
        <v>0</v>
      </c>
      <c r="AC168" s="120">
        <f>IF(AND(J168="OK",ISNUMBER($B$5),$B$5&gt;0,ISNUMBER($B$3),$B$3&gt;0),F168/(6*$B$3*1000000*$B$5)*(IF(B168&lt;($B$4*2/10),($B$4*2/10)*(MIN(C168,($B$4*2/10))^3-B168^3)-(MIN(C168,($B$4*2/10))^4-B168^4)/4,0)+IF(C168&gt;($B$4*2/10),($B$4*2/10)^2*(1.5*(C168^2-MAX(B168,($B$4*2/10))^2)-($B$4*2/10)*(C168-MAX(B168,($B$4*2/10)))),0))*1000,0)</f>
        <v>0</v>
      </c>
      <c r="AD168" s="120">
        <f>IF(AND(J168="OK",ISNUMBER($B$5),$B$5&gt;0,ISNUMBER($B$3),$B$3&gt;0),F168/(6*$B$3*1000000*$B$5)*(IF(B168&lt;($B$4*3/10),($B$4*3/10)*(MIN(C168,($B$4*3/10))^3-B168^3)-(MIN(C168,($B$4*3/10))^4-B168^4)/4,0)+IF(C168&gt;($B$4*3/10),($B$4*3/10)^2*(1.5*(C168^2-MAX(B168,($B$4*3/10))^2)-($B$4*3/10)*(C168-MAX(B168,($B$4*3/10)))),0))*1000,0)</f>
        <v>0</v>
      </c>
      <c r="AE168" s="120">
        <f>IF(AND(J168="OK",ISNUMBER($B$5),$B$5&gt;0,ISNUMBER($B$3),$B$3&gt;0),F168/(6*$B$3*1000000*$B$5)*(IF(B168&lt;($B$4*4/10),($B$4*4/10)*(MIN(C168,($B$4*4/10))^3-B168^3)-(MIN(C168,($B$4*4/10))^4-B168^4)/4,0)+IF(C168&gt;($B$4*4/10),($B$4*4/10)^2*(1.5*(C168^2-MAX(B168,($B$4*4/10))^2)-($B$4*4/10)*(C168-MAX(B168,($B$4*4/10)))),0))*1000,0)</f>
        <v>0</v>
      </c>
      <c r="AF168" s="120">
        <f>IF(AND(J168="OK",ISNUMBER($B$5),$B$5&gt;0,ISNUMBER($B$3),$B$3&gt;0),F168/(6*$B$3*1000000*$B$5)*(IF(B168&lt;($B$4*5/10),($B$4*5/10)*(MIN(C168,($B$4*5/10))^3-B168^3)-(MIN(C168,($B$4*5/10))^4-B168^4)/4,0)+IF(C168&gt;($B$4*5/10),($B$4*5/10)^2*(1.5*(C168^2-MAX(B168,($B$4*5/10))^2)-($B$4*5/10)*(C168-MAX(B168,($B$4*5/10)))),0))*1000,0)</f>
        <v>0</v>
      </c>
      <c r="AG168" s="120">
        <f>IF(AND(J168="OK",ISNUMBER($B$5),$B$5&gt;0,ISNUMBER($B$3),$B$3&gt;0),F168/(6*$B$3*1000000*$B$5)*(IF(B168&lt;($B$4*6/10),($B$4*6/10)*(MIN(C168,($B$4*6/10))^3-B168^3)-(MIN(C168,($B$4*6/10))^4-B168^4)/4,0)+IF(C168&gt;($B$4*6/10),($B$4*6/10)^2*(1.5*(C168^2-MAX(B168,($B$4*6/10))^2)-($B$4*6/10)*(C168-MAX(B168,($B$4*6/10)))),0))*1000,0)</f>
        <v>0</v>
      </c>
      <c r="AH168" s="120">
        <f>IF(AND(J168="OK",ISNUMBER($B$5),$B$5&gt;0,ISNUMBER($B$3),$B$3&gt;0),F168/(6*$B$3*1000000*$B$5)*(IF(B168&lt;($B$4*7/10),($B$4*7/10)*(MIN(C168,($B$4*7/10))^3-B168^3)-(MIN(C168,($B$4*7/10))^4-B168^4)/4,0)+IF(C168&gt;($B$4*7/10),($B$4*7/10)^2*(1.5*(C168^2-MAX(B168,($B$4*7/10))^2)-($B$4*7/10)*(C168-MAX(B168,($B$4*7/10)))),0))*1000,0)</f>
        <v>0</v>
      </c>
      <c r="AI168" s="120">
        <f>IF(AND(J168="OK",ISNUMBER($B$5),$B$5&gt;0,ISNUMBER($B$3),$B$3&gt;0),F168/(6*$B$3*1000000*$B$5)*(IF(B168&lt;($B$4*8/10),($B$4*8/10)*(MIN(C168,($B$4*8/10))^3-B168^3)-(MIN(C168,($B$4*8/10))^4-B168^4)/4,0)+IF(C168&gt;($B$4*8/10),($B$4*8/10)^2*(1.5*(C168^2-MAX(B168,($B$4*8/10))^2)-($B$4*8/10)*(C168-MAX(B168,($B$4*8/10)))),0))*1000,0)</f>
        <v>0</v>
      </c>
      <c r="AJ168" s="120">
        <f>IF(AND(J168="OK",ISNUMBER($B$5),$B$5&gt;0,ISNUMBER($B$3),$B$3&gt;0),F168/(6*$B$3*1000000*$B$5)*(IF(B168&lt;($B$4*9/10),($B$4*9/10)*(MIN(C168,($B$4*9/10))^3-B168^3)-(MIN(C168,($B$4*9/10))^4-B168^4)/4,0)+IF(C168&gt;($B$4*9/10),($B$4*9/10)^2*(1.5*(C168^2-MAX(B168,($B$4*9/10))^2)-($B$4*9/10)*(C168-MAX(B168,($B$4*9/10)))),0))*1000,0)</f>
        <v>0</v>
      </c>
      <c r="AK168" s="120">
        <f>IF(AND(J168="OK",ISNUMBER($B$5),$B$5&gt;0,ISNUMBER($B$3),$B$3&gt;0),F168/(6*$B$3*1000000*$B$5)*(IF(B168&lt;($B$4*10/10),($B$4*10/10)*(MIN(C168,($B$4*10/10))^3-B168^3)-(MIN(C168,($B$4*10/10))^4-B168^4)/4,0)+IF(C168&gt;($B$4*10/10),($B$4*10/10)^2*(1.5*(C168^2-MAX(B168,($B$4*10/10))^2)-($B$4*10/10)*(C168-MAX(B168,($B$4*10/10)))),0))*1000,0)</f>
        <v>0</v>
      </c>
      <c r="AM168" s="120">
        <f>IF(AND(V168="OK",ISNUMBER($N$5),$N$5&gt;0,ISNUMBER($N$3),$N$3&gt;0),R168/(6*$N$3*1000000*$N$5)*(IF(N168&lt;($N$4*0/10),($N$4*0/10)*(MIN(O168,($N$4*0/10))^3-N168^3)-(MIN(O168,($N$4*0/10))^4-N168^4)/4,0)+IF(O168&gt;($N$4*0/10),($N$4*0/10)^2*(1.5*(O168^2-MAX(N168,($N$4*0/10))^2)-($N$4*0/10)*(O168-MAX(N168,($N$4*0/10)))),0))*1000,0)</f>
        <v>0</v>
      </c>
      <c r="AN168" s="120">
        <f>IF(AND(V168="OK",ISNUMBER($N$5),$N$5&gt;0,ISNUMBER($N$3),$N$3&gt;0),R168/(6*$N$3*1000000*$N$5)*(IF(N168&lt;($N$4*1/10),($N$4*1/10)*(MIN(O168,($N$4*1/10))^3-N168^3)-(MIN(O168,($N$4*1/10))^4-N168^4)/4,0)+IF(O168&gt;($N$4*1/10),($N$4*1/10)^2*(1.5*(O168^2-MAX(N168,($N$4*1/10))^2)-($N$4*1/10)*(O168-MAX(N168,($N$4*1/10)))),0))*1000,0)</f>
        <v>0</v>
      </c>
      <c r="AO168" s="120">
        <f>IF(AND(V168="OK",ISNUMBER($N$5),$N$5&gt;0,ISNUMBER($N$3),$N$3&gt;0),R168/(6*$N$3*1000000*$N$5)*(IF(N168&lt;($N$4*2/10),($N$4*2/10)*(MIN(O168,($N$4*2/10))^3-N168^3)-(MIN(O168,($N$4*2/10))^4-N168^4)/4,0)+IF(O168&gt;($N$4*2/10),($N$4*2/10)^2*(1.5*(O168^2-MAX(N168,($N$4*2/10))^2)-($N$4*2/10)*(O168-MAX(N168,($N$4*2/10)))),0))*1000,0)</f>
        <v>0</v>
      </c>
      <c r="AP168" s="120">
        <f>IF(AND(V168="OK",ISNUMBER($N$5),$N$5&gt;0,ISNUMBER($N$3),$N$3&gt;0),R168/(6*$N$3*1000000*$N$5)*(IF(N168&lt;($N$4*3/10),($N$4*3/10)*(MIN(O168,($N$4*3/10))^3-N168^3)-(MIN(O168,($N$4*3/10))^4-N168^4)/4,0)+IF(O168&gt;($N$4*3/10),($N$4*3/10)^2*(1.5*(O168^2-MAX(N168,($N$4*3/10))^2)-($N$4*3/10)*(O168-MAX(N168,($N$4*3/10)))),0))*1000,0)</f>
        <v>0</v>
      </c>
      <c r="AQ168" s="120">
        <f>IF(AND(V168="OK",ISNUMBER($N$5),$N$5&gt;0,ISNUMBER($N$3),$N$3&gt;0),R168/(6*$N$3*1000000*$N$5)*(IF(N168&lt;($N$4*4/10),($N$4*4/10)*(MIN(O168,($N$4*4/10))^3-N168^3)-(MIN(O168,($N$4*4/10))^4-N168^4)/4,0)+IF(O168&gt;($N$4*4/10),($N$4*4/10)^2*(1.5*(O168^2-MAX(N168,($N$4*4/10))^2)-($N$4*4/10)*(O168-MAX(N168,($N$4*4/10)))),0))*1000,0)</f>
        <v>0</v>
      </c>
      <c r="AR168" s="120">
        <f>IF(AND(V168="OK",ISNUMBER($N$5),$N$5&gt;0,ISNUMBER($N$3),$N$3&gt;0),R168/(6*$N$3*1000000*$N$5)*(IF(N168&lt;($N$4*5/10),($N$4*5/10)*(MIN(O168,($N$4*5/10))^3-N168^3)-(MIN(O168,($N$4*5/10))^4-N168^4)/4,0)+IF(O168&gt;($N$4*5/10),($N$4*5/10)^2*(1.5*(O168^2-MAX(N168,($N$4*5/10))^2)-($N$4*5/10)*(O168-MAX(N168,($N$4*5/10)))),0))*1000,0)</f>
        <v>0</v>
      </c>
      <c r="AS168" s="120">
        <f>IF(AND(V168="OK",ISNUMBER($N$5),$N$5&gt;0,ISNUMBER($N$3),$N$3&gt;0),R168/(6*$N$3*1000000*$N$5)*(IF(N168&lt;($N$4*6/10),($N$4*6/10)*(MIN(O168,($N$4*6/10))^3-N168^3)-(MIN(O168,($N$4*6/10))^4-N168^4)/4,0)+IF(O168&gt;($N$4*6/10),($N$4*6/10)^2*(1.5*(O168^2-MAX(N168,($N$4*6/10))^2)-($N$4*6/10)*(O168-MAX(N168,($N$4*6/10)))),0))*1000,0)</f>
        <v>0</v>
      </c>
      <c r="AT168" s="120">
        <f>IF(AND(V168="OK",ISNUMBER($N$5),$N$5&gt;0,ISNUMBER($N$3),$N$3&gt;0),R168/(6*$N$3*1000000*$N$5)*(IF(N168&lt;($N$4*7/10),($N$4*7/10)*(MIN(O168,($N$4*7/10))^3-N168^3)-(MIN(O168,($N$4*7/10))^4-N168^4)/4,0)+IF(O168&gt;($N$4*7/10),($N$4*7/10)^2*(1.5*(O168^2-MAX(N168,($N$4*7/10))^2)-($N$4*7/10)*(O168-MAX(N168,($N$4*7/10)))),0))*1000,0)</f>
        <v>0</v>
      </c>
      <c r="AU168" s="120">
        <f>IF(AND(V168="OK",ISNUMBER($N$5),$N$5&gt;0,ISNUMBER($N$3),$N$3&gt;0),R168/(6*$N$3*1000000*$N$5)*(IF(N168&lt;($N$4*8/10),($N$4*8/10)*(MIN(O168,($N$4*8/10))^3-N168^3)-(MIN(O168,($N$4*8/10))^4-N168^4)/4,0)+IF(O168&gt;($N$4*8/10),($N$4*8/10)^2*(1.5*(O168^2-MAX(N168,($N$4*8/10))^2)-($N$4*8/10)*(O168-MAX(N168,($N$4*8/10)))),0))*1000,0)</f>
        <v>0</v>
      </c>
      <c r="AV168" s="120">
        <f>IF(AND(V168="OK",ISNUMBER($N$5),$N$5&gt;0,ISNUMBER($N$3),$N$3&gt;0),R168/(6*$N$3*1000000*$N$5)*(IF(N168&lt;($N$4*9/10),($N$4*9/10)*(MIN(O168,($N$4*9/10))^3-N168^3)-(MIN(O168,($N$4*9/10))^4-N168^4)/4,0)+IF(O168&gt;($N$4*9/10),($N$4*9/10)^2*(1.5*(O168^2-MAX(N168,($N$4*9/10))^2)-($N$4*9/10)*(O168-MAX(N168,($N$4*9/10)))),0))*1000,0)</f>
        <v>0</v>
      </c>
      <c r="AW168" s="120">
        <f>IF(AND(V168="OK",ISNUMBER($N$5),$N$5&gt;0,ISNUMBER($N$3),$N$3&gt;0),R168/(6*$N$3*1000000*$N$5)*(IF(N168&lt;($N$4*10/10),($N$4*10/10)*(MIN(O168,($N$4*10/10))^3-N168^3)-(MIN(O168,($N$4*10/10))^4-N168^4)/4,0)+IF(O168&gt;($N$4*10/10),($N$4*10/10)^2*(1.5*(O168^2-MAX(N168,($N$4*10/10))^2)-($N$4*10/10)*(O168-MAX(N168,($N$4*10/10)))),0))*1000,0)</f>
        <v>0</v>
      </c>
    </row>
    <row r="169" spans="1:49">
      <c r="A169" s="124"/>
      <c r="B169" s="125"/>
      <c r="C169" s="125"/>
      <c r="D169" s="125"/>
      <c r="E169" s="125"/>
      <c r="F169" s="126" t="str">
        <f>IF(J169="OK",D169*E169,"")</f>
        <v/>
      </c>
      <c r="G169" s="126" t="str">
        <f>IF(J169="OK",F169*(C169-B169),"")</f>
        <v/>
      </c>
      <c r="H169" s="126" t="str">
        <f>IF(J169="OK",G169*(C169+B169)/2,"")</f>
        <v/>
      </c>
      <c r="I169" s="126" t="str">
        <f>IF(AND(J169="OK",ISNUMBER($B$5),$B$5&gt;0,ISNUMBER($B$3),$B$3&gt;0),F169*(4*$B$4*(C169^3-B169^3)-(C169^4-B169^4))/(24*$B$3*1000000*$B$5)*1000,"")</f>
        <v/>
      </c>
      <c r="J169" s="120" t="str">
        <f>IF(COUNTA(A169:E169)=0,"",IF(AND(COUNT(B169:E169)=4,B169&gt;=0,C169&gt;B169,C169&lt;=$B$4,D169&gt;=0,E169&gt;0),IF(COUNTIFS($B$13:$B$168,"&lt;"&amp;C169,$C$13:$C$168,"&gt;"&amp;B169)&gt;0,"OVERLAP","OK"),"CHECK INPUTS"))</f>
        <v/>
      </c>
      <c r="M169" s="124"/>
      <c r="N169" s="125"/>
      <c r="O169" s="125"/>
      <c r="P169" s="125"/>
      <c r="Q169" s="125"/>
      <c r="R169" s="126" t="str">
        <f>IF(V169="OK",P169*Q169,"")</f>
        <v/>
      </c>
      <c r="S169" s="126" t="str">
        <f>IF(V169="OK",R169*(O169-N169),"")</f>
        <v/>
      </c>
      <c r="T169" s="126" t="str">
        <f>IF(V169="OK",S169*(O169+N169)/2,"")</f>
        <v/>
      </c>
      <c r="U169" s="126" t="str">
        <f>IF(AND(V169="OK",ISNUMBER($N$5),$N$5&gt;0,ISNUMBER($N$3),$N$3&gt;0),R169*(4*$N$4*(O169^3-N169^3)-(O169^4-N169^4))/(24*$N$3*1000000*$N$5)*1000,"")</f>
        <v/>
      </c>
      <c r="V169" s="120" t="str">
        <f>IF(COUNTA(M169:Q169)=0,"",IF(AND(COUNT(N169:Q169)=4,N169&gt;=0,O169&gt;N169,O169&lt;=$N$4,P169&gt;=0,Q169&gt;0),IF(COUNTIFS($N$13:$N$168,"&lt;"&amp;O169,$O$13:$O$168,"&gt;"&amp;N169)&gt;0,"OVERLAP","OK"),"CHECK INPUTS"))</f>
        <v/>
      </c>
      <c r="AA169" s="120">
        <f>IF(AND(J169="OK",ISNUMBER($B$5),$B$5&gt;0,ISNUMBER($B$3),$B$3&gt;0),F169/(6*$B$3*1000000*$B$5)*(IF(B169&lt;($B$4*0/10),($B$4*0/10)*(MIN(C169,($B$4*0/10))^3-B169^3)-(MIN(C169,($B$4*0/10))^4-B169^4)/4,0)+IF(C169&gt;($B$4*0/10),($B$4*0/10)^2*(1.5*(C169^2-MAX(B169,($B$4*0/10))^2)-($B$4*0/10)*(C169-MAX(B169,($B$4*0/10)))),0))*1000,0)</f>
        <v>0</v>
      </c>
      <c r="AB169" s="120">
        <f>IF(AND(J169="OK",ISNUMBER($B$5),$B$5&gt;0,ISNUMBER($B$3),$B$3&gt;0),F169/(6*$B$3*1000000*$B$5)*(IF(B169&lt;($B$4*1/10),($B$4*1/10)*(MIN(C169,($B$4*1/10))^3-B169^3)-(MIN(C169,($B$4*1/10))^4-B169^4)/4,0)+IF(C169&gt;($B$4*1/10),($B$4*1/10)^2*(1.5*(C169^2-MAX(B169,($B$4*1/10))^2)-($B$4*1/10)*(C169-MAX(B169,($B$4*1/10)))),0))*1000,0)</f>
        <v>0</v>
      </c>
      <c r="AC169" s="120">
        <f>IF(AND(J169="OK",ISNUMBER($B$5),$B$5&gt;0,ISNUMBER($B$3),$B$3&gt;0),F169/(6*$B$3*1000000*$B$5)*(IF(B169&lt;($B$4*2/10),($B$4*2/10)*(MIN(C169,($B$4*2/10))^3-B169^3)-(MIN(C169,($B$4*2/10))^4-B169^4)/4,0)+IF(C169&gt;($B$4*2/10),($B$4*2/10)^2*(1.5*(C169^2-MAX(B169,($B$4*2/10))^2)-($B$4*2/10)*(C169-MAX(B169,($B$4*2/10)))),0))*1000,0)</f>
        <v>0</v>
      </c>
      <c r="AD169" s="120">
        <f>IF(AND(J169="OK",ISNUMBER($B$5),$B$5&gt;0,ISNUMBER($B$3),$B$3&gt;0),F169/(6*$B$3*1000000*$B$5)*(IF(B169&lt;($B$4*3/10),($B$4*3/10)*(MIN(C169,($B$4*3/10))^3-B169^3)-(MIN(C169,($B$4*3/10))^4-B169^4)/4,0)+IF(C169&gt;($B$4*3/10),($B$4*3/10)^2*(1.5*(C169^2-MAX(B169,($B$4*3/10))^2)-($B$4*3/10)*(C169-MAX(B169,($B$4*3/10)))),0))*1000,0)</f>
        <v>0</v>
      </c>
      <c r="AE169" s="120">
        <f>IF(AND(J169="OK",ISNUMBER($B$5),$B$5&gt;0,ISNUMBER($B$3),$B$3&gt;0),F169/(6*$B$3*1000000*$B$5)*(IF(B169&lt;($B$4*4/10),($B$4*4/10)*(MIN(C169,($B$4*4/10))^3-B169^3)-(MIN(C169,($B$4*4/10))^4-B169^4)/4,0)+IF(C169&gt;($B$4*4/10),($B$4*4/10)^2*(1.5*(C169^2-MAX(B169,($B$4*4/10))^2)-($B$4*4/10)*(C169-MAX(B169,($B$4*4/10)))),0))*1000,0)</f>
        <v>0</v>
      </c>
      <c r="AF169" s="120">
        <f>IF(AND(J169="OK",ISNUMBER($B$5),$B$5&gt;0,ISNUMBER($B$3),$B$3&gt;0),F169/(6*$B$3*1000000*$B$5)*(IF(B169&lt;($B$4*5/10),($B$4*5/10)*(MIN(C169,($B$4*5/10))^3-B169^3)-(MIN(C169,($B$4*5/10))^4-B169^4)/4,0)+IF(C169&gt;($B$4*5/10),($B$4*5/10)^2*(1.5*(C169^2-MAX(B169,($B$4*5/10))^2)-($B$4*5/10)*(C169-MAX(B169,($B$4*5/10)))),0))*1000,0)</f>
        <v>0</v>
      </c>
      <c r="AG169" s="120">
        <f>IF(AND(J169="OK",ISNUMBER($B$5),$B$5&gt;0,ISNUMBER($B$3),$B$3&gt;0),F169/(6*$B$3*1000000*$B$5)*(IF(B169&lt;($B$4*6/10),($B$4*6/10)*(MIN(C169,($B$4*6/10))^3-B169^3)-(MIN(C169,($B$4*6/10))^4-B169^4)/4,0)+IF(C169&gt;($B$4*6/10),($B$4*6/10)^2*(1.5*(C169^2-MAX(B169,($B$4*6/10))^2)-($B$4*6/10)*(C169-MAX(B169,($B$4*6/10)))),0))*1000,0)</f>
        <v>0</v>
      </c>
      <c r="AH169" s="120">
        <f>IF(AND(J169="OK",ISNUMBER($B$5),$B$5&gt;0,ISNUMBER($B$3),$B$3&gt;0),F169/(6*$B$3*1000000*$B$5)*(IF(B169&lt;($B$4*7/10),($B$4*7/10)*(MIN(C169,($B$4*7/10))^3-B169^3)-(MIN(C169,($B$4*7/10))^4-B169^4)/4,0)+IF(C169&gt;($B$4*7/10),($B$4*7/10)^2*(1.5*(C169^2-MAX(B169,($B$4*7/10))^2)-($B$4*7/10)*(C169-MAX(B169,($B$4*7/10)))),0))*1000,0)</f>
        <v>0</v>
      </c>
      <c r="AI169" s="120">
        <f>IF(AND(J169="OK",ISNUMBER($B$5),$B$5&gt;0,ISNUMBER($B$3),$B$3&gt;0),F169/(6*$B$3*1000000*$B$5)*(IF(B169&lt;($B$4*8/10),($B$4*8/10)*(MIN(C169,($B$4*8/10))^3-B169^3)-(MIN(C169,($B$4*8/10))^4-B169^4)/4,0)+IF(C169&gt;($B$4*8/10),($B$4*8/10)^2*(1.5*(C169^2-MAX(B169,($B$4*8/10))^2)-($B$4*8/10)*(C169-MAX(B169,($B$4*8/10)))),0))*1000,0)</f>
        <v>0</v>
      </c>
      <c r="AJ169" s="120">
        <f>IF(AND(J169="OK",ISNUMBER($B$5),$B$5&gt;0,ISNUMBER($B$3),$B$3&gt;0),F169/(6*$B$3*1000000*$B$5)*(IF(B169&lt;($B$4*9/10),($B$4*9/10)*(MIN(C169,($B$4*9/10))^3-B169^3)-(MIN(C169,($B$4*9/10))^4-B169^4)/4,0)+IF(C169&gt;($B$4*9/10),($B$4*9/10)^2*(1.5*(C169^2-MAX(B169,($B$4*9/10))^2)-($B$4*9/10)*(C169-MAX(B169,($B$4*9/10)))),0))*1000,0)</f>
        <v>0</v>
      </c>
      <c r="AK169" s="120">
        <f>IF(AND(J169="OK",ISNUMBER($B$5),$B$5&gt;0,ISNUMBER($B$3),$B$3&gt;0),F169/(6*$B$3*1000000*$B$5)*(IF(B169&lt;($B$4*10/10),($B$4*10/10)*(MIN(C169,($B$4*10/10))^3-B169^3)-(MIN(C169,($B$4*10/10))^4-B169^4)/4,0)+IF(C169&gt;($B$4*10/10),($B$4*10/10)^2*(1.5*(C169^2-MAX(B169,($B$4*10/10))^2)-($B$4*10/10)*(C169-MAX(B169,($B$4*10/10)))),0))*1000,0)</f>
        <v>0</v>
      </c>
      <c r="AM169" s="120">
        <f>IF(AND(V169="OK",ISNUMBER($N$5),$N$5&gt;0,ISNUMBER($N$3),$N$3&gt;0),R169/(6*$N$3*1000000*$N$5)*(IF(N169&lt;($N$4*0/10),($N$4*0/10)*(MIN(O169,($N$4*0/10))^3-N169^3)-(MIN(O169,($N$4*0/10))^4-N169^4)/4,0)+IF(O169&gt;($N$4*0/10),($N$4*0/10)^2*(1.5*(O169^2-MAX(N169,($N$4*0/10))^2)-($N$4*0/10)*(O169-MAX(N169,($N$4*0/10)))),0))*1000,0)</f>
        <v>0</v>
      </c>
      <c r="AN169" s="120">
        <f>IF(AND(V169="OK",ISNUMBER($N$5),$N$5&gt;0,ISNUMBER($N$3),$N$3&gt;0),R169/(6*$N$3*1000000*$N$5)*(IF(N169&lt;($N$4*1/10),($N$4*1/10)*(MIN(O169,($N$4*1/10))^3-N169^3)-(MIN(O169,($N$4*1/10))^4-N169^4)/4,0)+IF(O169&gt;($N$4*1/10),($N$4*1/10)^2*(1.5*(O169^2-MAX(N169,($N$4*1/10))^2)-($N$4*1/10)*(O169-MAX(N169,($N$4*1/10)))),0))*1000,0)</f>
        <v>0</v>
      </c>
      <c r="AO169" s="120">
        <f>IF(AND(V169="OK",ISNUMBER($N$5),$N$5&gt;0,ISNUMBER($N$3),$N$3&gt;0),R169/(6*$N$3*1000000*$N$5)*(IF(N169&lt;($N$4*2/10),($N$4*2/10)*(MIN(O169,($N$4*2/10))^3-N169^3)-(MIN(O169,($N$4*2/10))^4-N169^4)/4,0)+IF(O169&gt;($N$4*2/10),($N$4*2/10)^2*(1.5*(O169^2-MAX(N169,($N$4*2/10))^2)-($N$4*2/10)*(O169-MAX(N169,($N$4*2/10)))),0))*1000,0)</f>
        <v>0</v>
      </c>
      <c r="AP169" s="120">
        <f>IF(AND(V169="OK",ISNUMBER($N$5),$N$5&gt;0,ISNUMBER($N$3),$N$3&gt;0),R169/(6*$N$3*1000000*$N$5)*(IF(N169&lt;($N$4*3/10),($N$4*3/10)*(MIN(O169,($N$4*3/10))^3-N169^3)-(MIN(O169,($N$4*3/10))^4-N169^4)/4,0)+IF(O169&gt;($N$4*3/10),($N$4*3/10)^2*(1.5*(O169^2-MAX(N169,($N$4*3/10))^2)-($N$4*3/10)*(O169-MAX(N169,($N$4*3/10)))),0))*1000,0)</f>
        <v>0</v>
      </c>
      <c r="AQ169" s="120">
        <f>IF(AND(V169="OK",ISNUMBER($N$5),$N$5&gt;0,ISNUMBER($N$3),$N$3&gt;0),R169/(6*$N$3*1000000*$N$5)*(IF(N169&lt;($N$4*4/10),($N$4*4/10)*(MIN(O169,($N$4*4/10))^3-N169^3)-(MIN(O169,($N$4*4/10))^4-N169^4)/4,0)+IF(O169&gt;($N$4*4/10),($N$4*4/10)^2*(1.5*(O169^2-MAX(N169,($N$4*4/10))^2)-($N$4*4/10)*(O169-MAX(N169,($N$4*4/10)))),0))*1000,0)</f>
        <v>0</v>
      </c>
      <c r="AR169" s="120">
        <f>IF(AND(V169="OK",ISNUMBER($N$5),$N$5&gt;0,ISNUMBER($N$3),$N$3&gt;0),R169/(6*$N$3*1000000*$N$5)*(IF(N169&lt;($N$4*5/10),($N$4*5/10)*(MIN(O169,($N$4*5/10))^3-N169^3)-(MIN(O169,($N$4*5/10))^4-N169^4)/4,0)+IF(O169&gt;($N$4*5/10),($N$4*5/10)^2*(1.5*(O169^2-MAX(N169,($N$4*5/10))^2)-($N$4*5/10)*(O169-MAX(N169,($N$4*5/10)))),0))*1000,0)</f>
        <v>0</v>
      </c>
      <c r="AS169" s="120">
        <f>IF(AND(V169="OK",ISNUMBER($N$5),$N$5&gt;0,ISNUMBER($N$3),$N$3&gt;0),R169/(6*$N$3*1000000*$N$5)*(IF(N169&lt;($N$4*6/10),($N$4*6/10)*(MIN(O169,($N$4*6/10))^3-N169^3)-(MIN(O169,($N$4*6/10))^4-N169^4)/4,0)+IF(O169&gt;($N$4*6/10),($N$4*6/10)^2*(1.5*(O169^2-MAX(N169,($N$4*6/10))^2)-($N$4*6/10)*(O169-MAX(N169,($N$4*6/10)))),0))*1000,0)</f>
        <v>0</v>
      </c>
      <c r="AT169" s="120">
        <f>IF(AND(V169="OK",ISNUMBER($N$5),$N$5&gt;0,ISNUMBER($N$3),$N$3&gt;0),R169/(6*$N$3*1000000*$N$5)*(IF(N169&lt;($N$4*7/10),($N$4*7/10)*(MIN(O169,($N$4*7/10))^3-N169^3)-(MIN(O169,($N$4*7/10))^4-N169^4)/4,0)+IF(O169&gt;($N$4*7/10),($N$4*7/10)^2*(1.5*(O169^2-MAX(N169,($N$4*7/10))^2)-($N$4*7/10)*(O169-MAX(N169,($N$4*7/10)))),0))*1000,0)</f>
        <v>0</v>
      </c>
      <c r="AU169" s="120">
        <f>IF(AND(V169="OK",ISNUMBER($N$5),$N$5&gt;0,ISNUMBER($N$3),$N$3&gt;0),R169/(6*$N$3*1000000*$N$5)*(IF(N169&lt;($N$4*8/10),($N$4*8/10)*(MIN(O169,($N$4*8/10))^3-N169^3)-(MIN(O169,($N$4*8/10))^4-N169^4)/4,0)+IF(O169&gt;($N$4*8/10),($N$4*8/10)^2*(1.5*(O169^2-MAX(N169,($N$4*8/10))^2)-($N$4*8/10)*(O169-MAX(N169,($N$4*8/10)))),0))*1000,0)</f>
        <v>0</v>
      </c>
      <c r="AV169" s="120">
        <f>IF(AND(V169="OK",ISNUMBER($N$5),$N$5&gt;0,ISNUMBER($N$3),$N$3&gt;0),R169/(6*$N$3*1000000*$N$5)*(IF(N169&lt;($N$4*9/10),($N$4*9/10)*(MIN(O169,($N$4*9/10))^3-N169^3)-(MIN(O169,($N$4*9/10))^4-N169^4)/4,0)+IF(O169&gt;($N$4*9/10),($N$4*9/10)^2*(1.5*(O169^2-MAX(N169,($N$4*9/10))^2)-($N$4*9/10)*(O169-MAX(N169,($N$4*9/10)))),0))*1000,0)</f>
        <v>0</v>
      </c>
      <c r="AW169" s="120">
        <f>IF(AND(V169="OK",ISNUMBER($N$5),$N$5&gt;0,ISNUMBER($N$3),$N$3&gt;0),R169/(6*$N$3*1000000*$N$5)*(IF(N169&lt;($N$4*10/10),($N$4*10/10)*(MIN(O169,($N$4*10/10))^3-N169^3)-(MIN(O169,($N$4*10/10))^4-N169^4)/4,0)+IF(O169&gt;($N$4*10/10),($N$4*10/10)^2*(1.5*(O169^2-MAX(N169,($N$4*10/10))^2)-($N$4*10/10)*(O169-MAX(N169,($N$4*10/10)))),0))*1000,0)</f>
        <v>0</v>
      </c>
    </row>
    <row r="170" spans="1:49">
      <c r="A170" s="124"/>
      <c r="B170" s="125"/>
      <c r="C170" s="125"/>
      <c r="D170" s="125"/>
      <c r="E170" s="125"/>
      <c r="F170" s="126" t="str">
        <f>IF(J170="OK",D170*E170,"")</f>
        <v/>
      </c>
      <c r="G170" s="126" t="str">
        <f>IF(J170="OK",F170*(C170-B170),"")</f>
        <v/>
      </c>
      <c r="H170" s="126" t="str">
        <f>IF(J170="OK",G170*(C170+B170)/2,"")</f>
        <v/>
      </c>
      <c r="I170" s="126" t="str">
        <f>IF(AND(J170="OK",ISNUMBER($B$5),$B$5&gt;0,ISNUMBER($B$3),$B$3&gt;0),F170*(4*$B$4*(C170^3-B170^3)-(C170^4-B170^4))/(24*$B$3*1000000*$B$5)*1000,"")</f>
        <v/>
      </c>
      <c r="J170" s="120" t="str">
        <f>IF(COUNTA(A170:E170)=0,"",IF(AND(COUNT(B170:E170)=4,B170&gt;=0,C170&gt;B170,C170&lt;=$B$4,D170&gt;=0,E170&gt;0),IF(COUNTIFS($B$13:$B$169,"&lt;"&amp;C170,$C$13:$C$169,"&gt;"&amp;B170)&gt;0,"OVERLAP","OK"),"CHECK INPUTS"))</f>
        <v/>
      </c>
      <c r="M170" s="124"/>
      <c r="N170" s="125"/>
      <c r="O170" s="125"/>
      <c r="P170" s="125"/>
      <c r="Q170" s="125"/>
      <c r="R170" s="126" t="str">
        <f>IF(V170="OK",P170*Q170,"")</f>
        <v/>
      </c>
      <c r="S170" s="126" t="str">
        <f>IF(V170="OK",R170*(O170-N170),"")</f>
        <v/>
      </c>
      <c r="T170" s="126" t="str">
        <f>IF(V170="OK",S170*(O170+N170)/2,"")</f>
        <v/>
      </c>
      <c r="U170" s="126" t="str">
        <f>IF(AND(V170="OK",ISNUMBER($N$5),$N$5&gt;0,ISNUMBER($N$3),$N$3&gt;0),R170*(4*$N$4*(O170^3-N170^3)-(O170^4-N170^4))/(24*$N$3*1000000*$N$5)*1000,"")</f>
        <v/>
      </c>
      <c r="V170" s="120" t="str">
        <f>IF(COUNTA(M170:Q170)=0,"",IF(AND(COUNT(N170:Q170)=4,N170&gt;=0,O170&gt;N170,O170&lt;=$N$4,P170&gt;=0,Q170&gt;0),IF(COUNTIFS($N$13:$N$169,"&lt;"&amp;O170,$O$13:$O$169,"&gt;"&amp;N170)&gt;0,"OVERLAP","OK"),"CHECK INPUTS"))</f>
        <v/>
      </c>
      <c r="AA170" s="120">
        <f>IF(AND(J170="OK",ISNUMBER($B$5),$B$5&gt;0,ISNUMBER($B$3),$B$3&gt;0),F170/(6*$B$3*1000000*$B$5)*(IF(B170&lt;($B$4*0/10),($B$4*0/10)*(MIN(C170,($B$4*0/10))^3-B170^3)-(MIN(C170,($B$4*0/10))^4-B170^4)/4,0)+IF(C170&gt;($B$4*0/10),($B$4*0/10)^2*(1.5*(C170^2-MAX(B170,($B$4*0/10))^2)-($B$4*0/10)*(C170-MAX(B170,($B$4*0/10)))),0))*1000,0)</f>
        <v>0</v>
      </c>
      <c r="AB170" s="120">
        <f>IF(AND(J170="OK",ISNUMBER($B$5),$B$5&gt;0,ISNUMBER($B$3),$B$3&gt;0),F170/(6*$B$3*1000000*$B$5)*(IF(B170&lt;($B$4*1/10),($B$4*1/10)*(MIN(C170,($B$4*1/10))^3-B170^3)-(MIN(C170,($B$4*1/10))^4-B170^4)/4,0)+IF(C170&gt;($B$4*1/10),($B$4*1/10)^2*(1.5*(C170^2-MAX(B170,($B$4*1/10))^2)-($B$4*1/10)*(C170-MAX(B170,($B$4*1/10)))),0))*1000,0)</f>
        <v>0</v>
      </c>
      <c r="AC170" s="120">
        <f>IF(AND(J170="OK",ISNUMBER($B$5),$B$5&gt;0,ISNUMBER($B$3),$B$3&gt;0),F170/(6*$B$3*1000000*$B$5)*(IF(B170&lt;($B$4*2/10),($B$4*2/10)*(MIN(C170,($B$4*2/10))^3-B170^3)-(MIN(C170,($B$4*2/10))^4-B170^4)/4,0)+IF(C170&gt;($B$4*2/10),($B$4*2/10)^2*(1.5*(C170^2-MAX(B170,($B$4*2/10))^2)-($B$4*2/10)*(C170-MAX(B170,($B$4*2/10)))),0))*1000,0)</f>
        <v>0</v>
      </c>
      <c r="AD170" s="120">
        <f>IF(AND(J170="OK",ISNUMBER($B$5),$B$5&gt;0,ISNUMBER($B$3),$B$3&gt;0),F170/(6*$B$3*1000000*$B$5)*(IF(B170&lt;($B$4*3/10),($B$4*3/10)*(MIN(C170,($B$4*3/10))^3-B170^3)-(MIN(C170,($B$4*3/10))^4-B170^4)/4,0)+IF(C170&gt;($B$4*3/10),($B$4*3/10)^2*(1.5*(C170^2-MAX(B170,($B$4*3/10))^2)-($B$4*3/10)*(C170-MAX(B170,($B$4*3/10)))),0))*1000,0)</f>
        <v>0</v>
      </c>
      <c r="AE170" s="120">
        <f>IF(AND(J170="OK",ISNUMBER($B$5),$B$5&gt;0,ISNUMBER($B$3),$B$3&gt;0),F170/(6*$B$3*1000000*$B$5)*(IF(B170&lt;($B$4*4/10),($B$4*4/10)*(MIN(C170,($B$4*4/10))^3-B170^3)-(MIN(C170,($B$4*4/10))^4-B170^4)/4,0)+IF(C170&gt;($B$4*4/10),($B$4*4/10)^2*(1.5*(C170^2-MAX(B170,($B$4*4/10))^2)-($B$4*4/10)*(C170-MAX(B170,($B$4*4/10)))),0))*1000,0)</f>
        <v>0</v>
      </c>
      <c r="AF170" s="120">
        <f>IF(AND(J170="OK",ISNUMBER($B$5),$B$5&gt;0,ISNUMBER($B$3),$B$3&gt;0),F170/(6*$B$3*1000000*$B$5)*(IF(B170&lt;($B$4*5/10),($B$4*5/10)*(MIN(C170,($B$4*5/10))^3-B170^3)-(MIN(C170,($B$4*5/10))^4-B170^4)/4,0)+IF(C170&gt;($B$4*5/10),($B$4*5/10)^2*(1.5*(C170^2-MAX(B170,($B$4*5/10))^2)-($B$4*5/10)*(C170-MAX(B170,($B$4*5/10)))),0))*1000,0)</f>
        <v>0</v>
      </c>
      <c r="AG170" s="120">
        <f>IF(AND(J170="OK",ISNUMBER($B$5),$B$5&gt;0,ISNUMBER($B$3),$B$3&gt;0),F170/(6*$B$3*1000000*$B$5)*(IF(B170&lt;($B$4*6/10),($B$4*6/10)*(MIN(C170,($B$4*6/10))^3-B170^3)-(MIN(C170,($B$4*6/10))^4-B170^4)/4,0)+IF(C170&gt;($B$4*6/10),($B$4*6/10)^2*(1.5*(C170^2-MAX(B170,($B$4*6/10))^2)-($B$4*6/10)*(C170-MAX(B170,($B$4*6/10)))),0))*1000,0)</f>
        <v>0</v>
      </c>
      <c r="AH170" s="120">
        <f>IF(AND(J170="OK",ISNUMBER($B$5),$B$5&gt;0,ISNUMBER($B$3),$B$3&gt;0),F170/(6*$B$3*1000000*$B$5)*(IF(B170&lt;($B$4*7/10),($B$4*7/10)*(MIN(C170,($B$4*7/10))^3-B170^3)-(MIN(C170,($B$4*7/10))^4-B170^4)/4,0)+IF(C170&gt;($B$4*7/10),($B$4*7/10)^2*(1.5*(C170^2-MAX(B170,($B$4*7/10))^2)-($B$4*7/10)*(C170-MAX(B170,($B$4*7/10)))),0))*1000,0)</f>
        <v>0</v>
      </c>
      <c r="AI170" s="120">
        <f>IF(AND(J170="OK",ISNUMBER($B$5),$B$5&gt;0,ISNUMBER($B$3),$B$3&gt;0),F170/(6*$B$3*1000000*$B$5)*(IF(B170&lt;($B$4*8/10),($B$4*8/10)*(MIN(C170,($B$4*8/10))^3-B170^3)-(MIN(C170,($B$4*8/10))^4-B170^4)/4,0)+IF(C170&gt;($B$4*8/10),($B$4*8/10)^2*(1.5*(C170^2-MAX(B170,($B$4*8/10))^2)-($B$4*8/10)*(C170-MAX(B170,($B$4*8/10)))),0))*1000,0)</f>
        <v>0</v>
      </c>
      <c r="AJ170" s="120">
        <f>IF(AND(J170="OK",ISNUMBER($B$5),$B$5&gt;0,ISNUMBER($B$3),$B$3&gt;0),F170/(6*$B$3*1000000*$B$5)*(IF(B170&lt;($B$4*9/10),($B$4*9/10)*(MIN(C170,($B$4*9/10))^3-B170^3)-(MIN(C170,($B$4*9/10))^4-B170^4)/4,0)+IF(C170&gt;($B$4*9/10),($B$4*9/10)^2*(1.5*(C170^2-MAX(B170,($B$4*9/10))^2)-($B$4*9/10)*(C170-MAX(B170,($B$4*9/10)))),0))*1000,0)</f>
        <v>0</v>
      </c>
      <c r="AK170" s="120">
        <f>IF(AND(J170="OK",ISNUMBER($B$5),$B$5&gt;0,ISNUMBER($B$3),$B$3&gt;0),F170/(6*$B$3*1000000*$B$5)*(IF(B170&lt;($B$4*10/10),($B$4*10/10)*(MIN(C170,($B$4*10/10))^3-B170^3)-(MIN(C170,($B$4*10/10))^4-B170^4)/4,0)+IF(C170&gt;($B$4*10/10),($B$4*10/10)^2*(1.5*(C170^2-MAX(B170,($B$4*10/10))^2)-($B$4*10/10)*(C170-MAX(B170,($B$4*10/10)))),0))*1000,0)</f>
        <v>0</v>
      </c>
      <c r="AM170" s="120">
        <f>IF(AND(V170="OK",ISNUMBER($N$5),$N$5&gt;0,ISNUMBER($N$3),$N$3&gt;0),R170/(6*$N$3*1000000*$N$5)*(IF(N170&lt;($N$4*0/10),($N$4*0/10)*(MIN(O170,($N$4*0/10))^3-N170^3)-(MIN(O170,($N$4*0/10))^4-N170^4)/4,0)+IF(O170&gt;($N$4*0/10),($N$4*0/10)^2*(1.5*(O170^2-MAX(N170,($N$4*0/10))^2)-($N$4*0/10)*(O170-MAX(N170,($N$4*0/10)))),0))*1000,0)</f>
        <v>0</v>
      </c>
      <c r="AN170" s="120">
        <f>IF(AND(V170="OK",ISNUMBER($N$5),$N$5&gt;0,ISNUMBER($N$3),$N$3&gt;0),R170/(6*$N$3*1000000*$N$5)*(IF(N170&lt;($N$4*1/10),($N$4*1/10)*(MIN(O170,($N$4*1/10))^3-N170^3)-(MIN(O170,($N$4*1/10))^4-N170^4)/4,0)+IF(O170&gt;($N$4*1/10),($N$4*1/10)^2*(1.5*(O170^2-MAX(N170,($N$4*1/10))^2)-($N$4*1/10)*(O170-MAX(N170,($N$4*1/10)))),0))*1000,0)</f>
        <v>0</v>
      </c>
      <c r="AO170" s="120">
        <f>IF(AND(V170="OK",ISNUMBER($N$5),$N$5&gt;0,ISNUMBER($N$3),$N$3&gt;0),R170/(6*$N$3*1000000*$N$5)*(IF(N170&lt;($N$4*2/10),($N$4*2/10)*(MIN(O170,($N$4*2/10))^3-N170^3)-(MIN(O170,($N$4*2/10))^4-N170^4)/4,0)+IF(O170&gt;($N$4*2/10),($N$4*2/10)^2*(1.5*(O170^2-MAX(N170,($N$4*2/10))^2)-($N$4*2/10)*(O170-MAX(N170,($N$4*2/10)))),0))*1000,0)</f>
        <v>0</v>
      </c>
      <c r="AP170" s="120">
        <f>IF(AND(V170="OK",ISNUMBER($N$5),$N$5&gt;0,ISNUMBER($N$3),$N$3&gt;0),R170/(6*$N$3*1000000*$N$5)*(IF(N170&lt;($N$4*3/10),($N$4*3/10)*(MIN(O170,($N$4*3/10))^3-N170^3)-(MIN(O170,($N$4*3/10))^4-N170^4)/4,0)+IF(O170&gt;($N$4*3/10),($N$4*3/10)^2*(1.5*(O170^2-MAX(N170,($N$4*3/10))^2)-($N$4*3/10)*(O170-MAX(N170,($N$4*3/10)))),0))*1000,0)</f>
        <v>0</v>
      </c>
      <c r="AQ170" s="120">
        <f>IF(AND(V170="OK",ISNUMBER($N$5),$N$5&gt;0,ISNUMBER($N$3),$N$3&gt;0),R170/(6*$N$3*1000000*$N$5)*(IF(N170&lt;($N$4*4/10),($N$4*4/10)*(MIN(O170,($N$4*4/10))^3-N170^3)-(MIN(O170,($N$4*4/10))^4-N170^4)/4,0)+IF(O170&gt;($N$4*4/10),($N$4*4/10)^2*(1.5*(O170^2-MAX(N170,($N$4*4/10))^2)-($N$4*4/10)*(O170-MAX(N170,($N$4*4/10)))),0))*1000,0)</f>
        <v>0</v>
      </c>
      <c r="AR170" s="120">
        <f>IF(AND(V170="OK",ISNUMBER($N$5),$N$5&gt;0,ISNUMBER($N$3),$N$3&gt;0),R170/(6*$N$3*1000000*$N$5)*(IF(N170&lt;($N$4*5/10),($N$4*5/10)*(MIN(O170,($N$4*5/10))^3-N170^3)-(MIN(O170,($N$4*5/10))^4-N170^4)/4,0)+IF(O170&gt;($N$4*5/10),($N$4*5/10)^2*(1.5*(O170^2-MAX(N170,($N$4*5/10))^2)-($N$4*5/10)*(O170-MAX(N170,($N$4*5/10)))),0))*1000,0)</f>
        <v>0</v>
      </c>
      <c r="AS170" s="120">
        <f>IF(AND(V170="OK",ISNUMBER($N$5),$N$5&gt;0,ISNUMBER($N$3),$N$3&gt;0),R170/(6*$N$3*1000000*$N$5)*(IF(N170&lt;($N$4*6/10),($N$4*6/10)*(MIN(O170,($N$4*6/10))^3-N170^3)-(MIN(O170,($N$4*6/10))^4-N170^4)/4,0)+IF(O170&gt;($N$4*6/10),($N$4*6/10)^2*(1.5*(O170^2-MAX(N170,($N$4*6/10))^2)-($N$4*6/10)*(O170-MAX(N170,($N$4*6/10)))),0))*1000,0)</f>
        <v>0</v>
      </c>
      <c r="AT170" s="120">
        <f>IF(AND(V170="OK",ISNUMBER($N$5),$N$5&gt;0,ISNUMBER($N$3),$N$3&gt;0),R170/(6*$N$3*1000000*$N$5)*(IF(N170&lt;($N$4*7/10),($N$4*7/10)*(MIN(O170,($N$4*7/10))^3-N170^3)-(MIN(O170,($N$4*7/10))^4-N170^4)/4,0)+IF(O170&gt;($N$4*7/10),($N$4*7/10)^2*(1.5*(O170^2-MAX(N170,($N$4*7/10))^2)-($N$4*7/10)*(O170-MAX(N170,($N$4*7/10)))),0))*1000,0)</f>
        <v>0</v>
      </c>
      <c r="AU170" s="120">
        <f>IF(AND(V170="OK",ISNUMBER($N$5),$N$5&gt;0,ISNUMBER($N$3),$N$3&gt;0),R170/(6*$N$3*1000000*$N$5)*(IF(N170&lt;($N$4*8/10),($N$4*8/10)*(MIN(O170,($N$4*8/10))^3-N170^3)-(MIN(O170,($N$4*8/10))^4-N170^4)/4,0)+IF(O170&gt;($N$4*8/10),($N$4*8/10)^2*(1.5*(O170^2-MAX(N170,($N$4*8/10))^2)-($N$4*8/10)*(O170-MAX(N170,($N$4*8/10)))),0))*1000,0)</f>
        <v>0</v>
      </c>
      <c r="AV170" s="120">
        <f>IF(AND(V170="OK",ISNUMBER($N$5),$N$5&gt;0,ISNUMBER($N$3),$N$3&gt;0),R170/(6*$N$3*1000000*$N$5)*(IF(N170&lt;($N$4*9/10),($N$4*9/10)*(MIN(O170,($N$4*9/10))^3-N170^3)-(MIN(O170,($N$4*9/10))^4-N170^4)/4,0)+IF(O170&gt;($N$4*9/10),($N$4*9/10)^2*(1.5*(O170^2-MAX(N170,($N$4*9/10))^2)-($N$4*9/10)*(O170-MAX(N170,($N$4*9/10)))),0))*1000,0)</f>
        <v>0</v>
      </c>
      <c r="AW170" s="120">
        <f>IF(AND(V170="OK",ISNUMBER($N$5),$N$5&gt;0,ISNUMBER($N$3),$N$3&gt;0),R170/(6*$N$3*1000000*$N$5)*(IF(N170&lt;($N$4*10/10),($N$4*10/10)*(MIN(O170,($N$4*10/10))^3-N170^3)-(MIN(O170,($N$4*10/10))^4-N170^4)/4,0)+IF(O170&gt;($N$4*10/10),($N$4*10/10)^2*(1.5*(O170^2-MAX(N170,($N$4*10/10))^2)-($N$4*10/10)*(O170-MAX(N170,($N$4*10/10)))),0))*1000,0)</f>
        <v>0</v>
      </c>
    </row>
    <row r="171" spans="1:49">
      <c r="A171" s="124"/>
      <c r="B171" s="125"/>
      <c r="C171" s="125"/>
      <c r="D171" s="125"/>
      <c r="E171" s="125"/>
      <c r="F171" s="126" t="str">
        <f>IF(J171="OK",D171*E171,"")</f>
        <v/>
      </c>
      <c r="G171" s="126" t="str">
        <f>IF(J171="OK",F171*(C171-B171),"")</f>
        <v/>
      </c>
      <c r="H171" s="126" t="str">
        <f>IF(J171="OK",G171*(C171+B171)/2,"")</f>
        <v/>
      </c>
      <c r="I171" s="126" t="str">
        <f>IF(AND(J171="OK",ISNUMBER($B$5),$B$5&gt;0,ISNUMBER($B$3),$B$3&gt;0),F171*(4*$B$4*(C171^3-B171^3)-(C171^4-B171^4))/(24*$B$3*1000000*$B$5)*1000,"")</f>
        <v/>
      </c>
      <c r="J171" s="120" t="str">
        <f>IF(COUNTA(A171:E171)=0,"",IF(AND(COUNT(B171:E171)=4,B171&gt;=0,C171&gt;B171,C171&lt;=$B$4,D171&gt;=0,E171&gt;0),IF(COUNTIFS($B$13:$B$170,"&lt;"&amp;C171,$C$13:$C$170,"&gt;"&amp;B171)&gt;0,"OVERLAP","OK"),"CHECK INPUTS"))</f>
        <v/>
      </c>
      <c r="M171" s="124"/>
      <c r="N171" s="125"/>
      <c r="O171" s="125"/>
      <c r="P171" s="125"/>
      <c r="Q171" s="125"/>
      <c r="R171" s="126" t="str">
        <f>IF(V171="OK",P171*Q171,"")</f>
        <v/>
      </c>
      <c r="S171" s="126" t="str">
        <f>IF(V171="OK",R171*(O171-N171),"")</f>
        <v/>
      </c>
      <c r="T171" s="126" t="str">
        <f>IF(V171="OK",S171*(O171+N171)/2,"")</f>
        <v/>
      </c>
      <c r="U171" s="126" t="str">
        <f>IF(AND(V171="OK",ISNUMBER($N$5),$N$5&gt;0,ISNUMBER($N$3),$N$3&gt;0),R171*(4*$N$4*(O171^3-N171^3)-(O171^4-N171^4))/(24*$N$3*1000000*$N$5)*1000,"")</f>
        <v/>
      </c>
      <c r="V171" s="120" t="str">
        <f>IF(COUNTA(M171:Q171)=0,"",IF(AND(COUNT(N171:Q171)=4,N171&gt;=0,O171&gt;N171,O171&lt;=$N$4,P171&gt;=0,Q171&gt;0),IF(COUNTIFS($N$13:$N$170,"&lt;"&amp;O171,$O$13:$O$170,"&gt;"&amp;N171)&gt;0,"OVERLAP","OK"),"CHECK INPUTS"))</f>
        <v/>
      </c>
      <c r="AA171" s="120">
        <f>IF(AND(J171="OK",ISNUMBER($B$5),$B$5&gt;0,ISNUMBER($B$3),$B$3&gt;0),F171/(6*$B$3*1000000*$B$5)*(IF(B171&lt;($B$4*0/10),($B$4*0/10)*(MIN(C171,($B$4*0/10))^3-B171^3)-(MIN(C171,($B$4*0/10))^4-B171^4)/4,0)+IF(C171&gt;($B$4*0/10),($B$4*0/10)^2*(1.5*(C171^2-MAX(B171,($B$4*0/10))^2)-($B$4*0/10)*(C171-MAX(B171,($B$4*0/10)))),0))*1000,0)</f>
        <v>0</v>
      </c>
      <c r="AB171" s="120">
        <f>IF(AND(J171="OK",ISNUMBER($B$5),$B$5&gt;0,ISNUMBER($B$3),$B$3&gt;0),F171/(6*$B$3*1000000*$B$5)*(IF(B171&lt;($B$4*1/10),($B$4*1/10)*(MIN(C171,($B$4*1/10))^3-B171^3)-(MIN(C171,($B$4*1/10))^4-B171^4)/4,0)+IF(C171&gt;($B$4*1/10),($B$4*1/10)^2*(1.5*(C171^2-MAX(B171,($B$4*1/10))^2)-($B$4*1/10)*(C171-MAX(B171,($B$4*1/10)))),0))*1000,0)</f>
        <v>0</v>
      </c>
      <c r="AC171" s="120">
        <f>IF(AND(J171="OK",ISNUMBER($B$5),$B$5&gt;0,ISNUMBER($B$3),$B$3&gt;0),F171/(6*$B$3*1000000*$B$5)*(IF(B171&lt;($B$4*2/10),($B$4*2/10)*(MIN(C171,($B$4*2/10))^3-B171^3)-(MIN(C171,($B$4*2/10))^4-B171^4)/4,0)+IF(C171&gt;($B$4*2/10),($B$4*2/10)^2*(1.5*(C171^2-MAX(B171,($B$4*2/10))^2)-($B$4*2/10)*(C171-MAX(B171,($B$4*2/10)))),0))*1000,0)</f>
        <v>0</v>
      </c>
      <c r="AD171" s="120">
        <f>IF(AND(J171="OK",ISNUMBER($B$5),$B$5&gt;0,ISNUMBER($B$3),$B$3&gt;0),F171/(6*$B$3*1000000*$B$5)*(IF(B171&lt;($B$4*3/10),($B$4*3/10)*(MIN(C171,($B$4*3/10))^3-B171^3)-(MIN(C171,($B$4*3/10))^4-B171^4)/4,0)+IF(C171&gt;($B$4*3/10),($B$4*3/10)^2*(1.5*(C171^2-MAX(B171,($B$4*3/10))^2)-($B$4*3/10)*(C171-MAX(B171,($B$4*3/10)))),0))*1000,0)</f>
        <v>0</v>
      </c>
      <c r="AE171" s="120">
        <f>IF(AND(J171="OK",ISNUMBER($B$5),$B$5&gt;0,ISNUMBER($B$3),$B$3&gt;0),F171/(6*$B$3*1000000*$B$5)*(IF(B171&lt;($B$4*4/10),($B$4*4/10)*(MIN(C171,($B$4*4/10))^3-B171^3)-(MIN(C171,($B$4*4/10))^4-B171^4)/4,0)+IF(C171&gt;($B$4*4/10),($B$4*4/10)^2*(1.5*(C171^2-MAX(B171,($B$4*4/10))^2)-($B$4*4/10)*(C171-MAX(B171,($B$4*4/10)))),0))*1000,0)</f>
        <v>0</v>
      </c>
      <c r="AF171" s="120">
        <f>IF(AND(J171="OK",ISNUMBER($B$5),$B$5&gt;0,ISNUMBER($B$3),$B$3&gt;0),F171/(6*$B$3*1000000*$B$5)*(IF(B171&lt;($B$4*5/10),($B$4*5/10)*(MIN(C171,($B$4*5/10))^3-B171^3)-(MIN(C171,($B$4*5/10))^4-B171^4)/4,0)+IF(C171&gt;($B$4*5/10),($B$4*5/10)^2*(1.5*(C171^2-MAX(B171,($B$4*5/10))^2)-($B$4*5/10)*(C171-MAX(B171,($B$4*5/10)))),0))*1000,0)</f>
        <v>0</v>
      </c>
      <c r="AG171" s="120">
        <f>IF(AND(J171="OK",ISNUMBER($B$5),$B$5&gt;0,ISNUMBER($B$3),$B$3&gt;0),F171/(6*$B$3*1000000*$B$5)*(IF(B171&lt;($B$4*6/10),($B$4*6/10)*(MIN(C171,($B$4*6/10))^3-B171^3)-(MIN(C171,($B$4*6/10))^4-B171^4)/4,0)+IF(C171&gt;($B$4*6/10),($B$4*6/10)^2*(1.5*(C171^2-MAX(B171,($B$4*6/10))^2)-($B$4*6/10)*(C171-MAX(B171,($B$4*6/10)))),0))*1000,0)</f>
        <v>0</v>
      </c>
      <c r="AH171" s="120">
        <f>IF(AND(J171="OK",ISNUMBER($B$5),$B$5&gt;0,ISNUMBER($B$3),$B$3&gt;0),F171/(6*$B$3*1000000*$B$5)*(IF(B171&lt;($B$4*7/10),($B$4*7/10)*(MIN(C171,($B$4*7/10))^3-B171^3)-(MIN(C171,($B$4*7/10))^4-B171^4)/4,0)+IF(C171&gt;($B$4*7/10),($B$4*7/10)^2*(1.5*(C171^2-MAX(B171,($B$4*7/10))^2)-($B$4*7/10)*(C171-MAX(B171,($B$4*7/10)))),0))*1000,0)</f>
        <v>0</v>
      </c>
      <c r="AI171" s="120">
        <f>IF(AND(J171="OK",ISNUMBER($B$5),$B$5&gt;0,ISNUMBER($B$3),$B$3&gt;0),F171/(6*$B$3*1000000*$B$5)*(IF(B171&lt;($B$4*8/10),($B$4*8/10)*(MIN(C171,($B$4*8/10))^3-B171^3)-(MIN(C171,($B$4*8/10))^4-B171^4)/4,0)+IF(C171&gt;($B$4*8/10),($B$4*8/10)^2*(1.5*(C171^2-MAX(B171,($B$4*8/10))^2)-($B$4*8/10)*(C171-MAX(B171,($B$4*8/10)))),0))*1000,0)</f>
        <v>0</v>
      </c>
      <c r="AJ171" s="120">
        <f>IF(AND(J171="OK",ISNUMBER($B$5),$B$5&gt;0,ISNUMBER($B$3),$B$3&gt;0),F171/(6*$B$3*1000000*$B$5)*(IF(B171&lt;($B$4*9/10),($B$4*9/10)*(MIN(C171,($B$4*9/10))^3-B171^3)-(MIN(C171,($B$4*9/10))^4-B171^4)/4,0)+IF(C171&gt;($B$4*9/10),($B$4*9/10)^2*(1.5*(C171^2-MAX(B171,($B$4*9/10))^2)-($B$4*9/10)*(C171-MAX(B171,($B$4*9/10)))),0))*1000,0)</f>
        <v>0</v>
      </c>
      <c r="AK171" s="120">
        <f>IF(AND(J171="OK",ISNUMBER($B$5),$B$5&gt;0,ISNUMBER($B$3),$B$3&gt;0),F171/(6*$B$3*1000000*$B$5)*(IF(B171&lt;($B$4*10/10),($B$4*10/10)*(MIN(C171,($B$4*10/10))^3-B171^3)-(MIN(C171,($B$4*10/10))^4-B171^4)/4,0)+IF(C171&gt;($B$4*10/10),($B$4*10/10)^2*(1.5*(C171^2-MAX(B171,($B$4*10/10))^2)-($B$4*10/10)*(C171-MAX(B171,($B$4*10/10)))),0))*1000,0)</f>
        <v>0</v>
      </c>
      <c r="AM171" s="120">
        <f>IF(AND(V171="OK",ISNUMBER($N$5),$N$5&gt;0,ISNUMBER($N$3),$N$3&gt;0),R171/(6*$N$3*1000000*$N$5)*(IF(N171&lt;($N$4*0/10),($N$4*0/10)*(MIN(O171,($N$4*0/10))^3-N171^3)-(MIN(O171,($N$4*0/10))^4-N171^4)/4,0)+IF(O171&gt;($N$4*0/10),($N$4*0/10)^2*(1.5*(O171^2-MAX(N171,($N$4*0/10))^2)-($N$4*0/10)*(O171-MAX(N171,($N$4*0/10)))),0))*1000,0)</f>
        <v>0</v>
      </c>
      <c r="AN171" s="120">
        <f>IF(AND(V171="OK",ISNUMBER($N$5),$N$5&gt;0,ISNUMBER($N$3),$N$3&gt;0),R171/(6*$N$3*1000000*$N$5)*(IF(N171&lt;($N$4*1/10),($N$4*1/10)*(MIN(O171,($N$4*1/10))^3-N171^3)-(MIN(O171,($N$4*1/10))^4-N171^4)/4,0)+IF(O171&gt;($N$4*1/10),($N$4*1/10)^2*(1.5*(O171^2-MAX(N171,($N$4*1/10))^2)-($N$4*1/10)*(O171-MAX(N171,($N$4*1/10)))),0))*1000,0)</f>
        <v>0</v>
      </c>
      <c r="AO171" s="120">
        <f>IF(AND(V171="OK",ISNUMBER($N$5),$N$5&gt;0,ISNUMBER($N$3),$N$3&gt;0),R171/(6*$N$3*1000000*$N$5)*(IF(N171&lt;($N$4*2/10),($N$4*2/10)*(MIN(O171,($N$4*2/10))^3-N171^3)-(MIN(O171,($N$4*2/10))^4-N171^4)/4,0)+IF(O171&gt;($N$4*2/10),($N$4*2/10)^2*(1.5*(O171^2-MAX(N171,($N$4*2/10))^2)-($N$4*2/10)*(O171-MAX(N171,($N$4*2/10)))),0))*1000,0)</f>
        <v>0</v>
      </c>
      <c r="AP171" s="120">
        <f>IF(AND(V171="OK",ISNUMBER($N$5),$N$5&gt;0,ISNUMBER($N$3),$N$3&gt;0),R171/(6*$N$3*1000000*$N$5)*(IF(N171&lt;($N$4*3/10),($N$4*3/10)*(MIN(O171,($N$4*3/10))^3-N171^3)-(MIN(O171,($N$4*3/10))^4-N171^4)/4,0)+IF(O171&gt;($N$4*3/10),($N$4*3/10)^2*(1.5*(O171^2-MAX(N171,($N$4*3/10))^2)-($N$4*3/10)*(O171-MAX(N171,($N$4*3/10)))),0))*1000,0)</f>
        <v>0</v>
      </c>
      <c r="AQ171" s="120">
        <f>IF(AND(V171="OK",ISNUMBER($N$5),$N$5&gt;0,ISNUMBER($N$3),$N$3&gt;0),R171/(6*$N$3*1000000*$N$5)*(IF(N171&lt;($N$4*4/10),($N$4*4/10)*(MIN(O171,($N$4*4/10))^3-N171^3)-(MIN(O171,($N$4*4/10))^4-N171^4)/4,0)+IF(O171&gt;($N$4*4/10),($N$4*4/10)^2*(1.5*(O171^2-MAX(N171,($N$4*4/10))^2)-($N$4*4/10)*(O171-MAX(N171,($N$4*4/10)))),0))*1000,0)</f>
        <v>0</v>
      </c>
      <c r="AR171" s="120">
        <f>IF(AND(V171="OK",ISNUMBER($N$5),$N$5&gt;0,ISNUMBER($N$3),$N$3&gt;0),R171/(6*$N$3*1000000*$N$5)*(IF(N171&lt;($N$4*5/10),($N$4*5/10)*(MIN(O171,($N$4*5/10))^3-N171^3)-(MIN(O171,($N$4*5/10))^4-N171^4)/4,0)+IF(O171&gt;($N$4*5/10),($N$4*5/10)^2*(1.5*(O171^2-MAX(N171,($N$4*5/10))^2)-($N$4*5/10)*(O171-MAX(N171,($N$4*5/10)))),0))*1000,0)</f>
        <v>0</v>
      </c>
      <c r="AS171" s="120">
        <f>IF(AND(V171="OK",ISNUMBER($N$5),$N$5&gt;0,ISNUMBER($N$3),$N$3&gt;0),R171/(6*$N$3*1000000*$N$5)*(IF(N171&lt;($N$4*6/10),($N$4*6/10)*(MIN(O171,($N$4*6/10))^3-N171^3)-(MIN(O171,($N$4*6/10))^4-N171^4)/4,0)+IF(O171&gt;($N$4*6/10),($N$4*6/10)^2*(1.5*(O171^2-MAX(N171,($N$4*6/10))^2)-($N$4*6/10)*(O171-MAX(N171,($N$4*6/10)))),0))*1000,0)</f>
        <v>0</v>
      </c>
      <c r="AT171" s="120">
        <f>IF(AND(V171="OK",ISNUMBER($N$5),$N$5&gt;0,ISNUMBER($N$3),$N$3&gt;0),R171/(6*$N$3*1000000*$N$5)*(IF(N171&lt;($N$4*7/10),($N$4*7/10)*(MIN(O171,($N$4*7/10))^3-N171^3)-(MIN(O171,($N$4*7/10))^4-N171^4)/4,0)+IF(O171&gt;($N$4*7/10),($N$4*7/10)^2*(1.5*(O171^2-MAX(N171,($N$4*7/10))^2)-($N$4*7/10)*(O171-MAX(N171,($N$4*7/10)))),0))*1000,0)</f>
        <v>0</v>
      </c>
      <c r="AU171" s="120">
        <f>IF(AND(V171="OK",ISNUMBER($N$5),$N$5&gt;0,ISNUMBER($N$3),$N$3&gt;0),R171/(6*$N$3*1000000*$N$5)*(IF(N171&lt;($N$4*8/10),($N$4*8/10)*(MIN(O171,($N$4*8/10))^3-N171^3)-(MIN(O171,($N$4*8/10))^4-N171^4)/4,0)+IF(O171&gt;($N$4*8/10),($N$4*8/10)^2*(1.5*(O171^2-MAX(N171,($N$4*8/10))^2)-($N$4*8/10)*(O171-MAX(N171,($N$4*8/10)))),0))*1000,0)</f>
        <v>0</v>
      </c>
      <c r="AV171" s="120">
        <f>IF(AND(V171="OK",ISNUMBER($N$5),$N$5&gt;0,ISNUMBER($N$3),$N$3&gt;0),R171/(6*$N$3*1000000*$N$5)*(IF(N171&lt;($N$4*9/10),($N$4*9/10)*(MIN(O171,($N$4*9/10))^3-N171^3)-(MIN(O171,($N$4*9/10))^4-N171^4)/4,0)+IF(O171&gt;($N$4*9/10),($N$4*9/10)^2*(1.5*(O171^2-MAX(N171,($N$4*9/10))^2)-($N$4*9/10)*(O171-MAX(N171,($N$4*9/10)))),0))*1000,0)</f>
        <v>0</v>
      </c>
      <c r="AW171" s="120">
        <f>IF(AND(V171="OK",ISNUMBER($N$5),$N$5&gt;0,ISNUMBER($N$3),$N$3&gt;0),R171/(6*$N$3*1000000*$N$5)*(IF(N171&lt;($N$4*10/10),($N$4*10/10)*(MIN(O171,($N$4*10/10))^3-N171^3)-(MIN(O171,($N$4*10/10))^4-N171^4)/4,0)+IF(O171&gt;($N$4*10/10),($N$4*10/10)^2*(1.5*(O171^2-MAX(N171,($N$4*10/10))^2)-($N$4*10/10)*(O171-MAX(N171,($N$4*10/10)))),0))*1000,0)</f>
        <v>0</v>
      </c>
    </row>
    <row r="172" spans="1:49">
      <c r="A172" s="124"/>
      <c r="B172" s="125"/>
      <c r="C172" s="125"/>
      <c r="D172" s="125"/>
      <c r="E172" s="125"/>
      <c r="F172" s="126" t="str">
        <f>IF(J172="OK",D172*E172,"")</f>
        <v/>
      </c>
      <c r="G172" s="126" t="str">
        <f>IF(J172="OK",F172*(C172-B172),"")</f>
        <v/>
      </c>
      <c r="H172" s="126" t="str">
        <f>IF(J172="OK",G172*(C172+B172)/2,"")</f>
        <v/>
      </c>
      <c r="I172" s="126" t="str">
        <f>IF(AND(J172="OK",ISNUMBER($B$5),$B$5&gt;0,ISNUMBER($B$3),$B$3&gt;0),F172*(4*$B$4*(C172^3-B172^3)-(C172^4-B172^4))/(24*$B$3*1000000*$B$5)*1000,"")</f>
        <v/>
      </c>
      <c r="J172" s="120" t="str">
        <f>IF(COUNTA(A172:E172)=0,"",IF(AND(COUNT(B172:E172)=4,B172&gt;=0,C172&gt;B172,C172&lt;=$B$4,D172&gt;=0,E172&gt;0),IF(COUNTIFS($B$13:$B$171,"&lt;"&amp;C172,$C$13:$C$171,"&gt;"&amp;B172)&gt;0,"OVERLAP","OK"),"CHECK INPUTS"))</f>
        <v/>
      </c>
      <c r="M172" s="124"/>
      <c r="N172" s="125"/>
      <c r="O172" s="125"/>
      <c r="P172" s="125"/>
      <c r="Q172" s="125"/>
      <c r="R172" s="126" t="str">
        <f>IF(V172="OK",P172*Q172,"")</f>
        <v/>
      </c>
      <c r="S172" s="126" t="str">
        <f>IF(V172="OK",R172*(O172-N172),"")</f>
        <v/>
      </c>
      <c r="T172" s="126" t="str">
        <f>IF(V172="OK",S172*(O172+N172)/2,"")</f>
        <v/>
      </c>
      <c r="U172" s="126" t="str">
        <f>IF(AND(V172="OK",ISNUMBER($N$5),$N$5&gt;0,ISNUMBER($N$3),$N$3&gt;0),R172*(4*$N$4*(O172^3-N172^3)-(O172^4-N172^4))/(24*$N$3*1000000*$N$5)*1000,"")</f>
        <v/>
      </c>
      <c r="V172" s="120" t="str">
        <f>IF(COUNTA(M172:Q172)=0,"",IF(AND(COUNT(N172:Q172)=4,N172&gt;=0,O172&gt;N172,O172&lt;=$N$4,P172&gt;=0,Q172&gt;0),IF(COUNTIFS($N$13:$N$171,"&lt;"&amp;O172,$O$13:$O$171,"&gt;"&amp;N172)&gt;0,"OVERLAP","OK"),"CHECK INPUTS"))</f>
        <v/>
      </c>
      <c r="AA172" s="120">
        <f>IF(AND(J172="OK",ISNUMBER($B$5),$B$5&gt;0,ISNUMBER($B$3),$B$3&gt;0),F172/(6*$B$3*1000000*$B$5)*(IF(B172&lt;($B$4*0/10),($B$4*0/10)*(MIN(C172,($B$4*0/10))^3-B172^3)-(MIN(C172,($B$4*0/10))^4-B172^4)/4,0)+IF(C172&gt;($B$4*0/10),($B$4*0/10)^2*(1.5*(C172^2-MAX(B172,($B$4*0/10))^2)-($B$4*0/10)*(C172-MAX(B172,($B$4*0/10)))),0))*1000,0)</f>
        <v>0</v>
      </c>
      <c r="AB172" s="120">
        <f>IF(AND(J172="OK",ISNUMBER($B$5),$B$5&gt;0,ISNUMBER($B$3),$B$3&gt;0),F172/(6*$B$3*1000000*$B$5)*(IF(B172&lt;($B$4*1/10),($B$4*1/10)*(MIN(C172,($B$4*1/10))^3-B172^3)-(MIN(C172,($B$4*1/10))^4-B172^4)/4,0)+IF(C172&gt;($B$4*1/10),($B$4*1/10)^2*(1.5*(C172^2-MAX(B172,($B$4*1/10))^2)-($B$4*1/10)*(C172-MAX(B172,($B$4*1/10)))),0))*1000,0)</f>
        <v>0</v>
      </c>
      <c r="AC172" s="120">
        <f>IF(AND(J172="OK",ISNUMBER($B$5),$B$5&gt;0,ISNUMBER($B$3),$B$3&gt;0),F172/(6*$B$3*1000000*$B$5)*(IF(B172&lt;($B$4*2/10),($B$4*2/10)*(MIN(C172,($B$4*2/10))^3-B172^3)-(MIN(C172,($B$4*2/10))^4-B172^4)/4,0)+IF(C172&gt;($B$4*2/10),($B$4*2/10)^2*(1.5*(C172^2-MAX(B172,($B$4*2/10))^2)-($B$4*2/10)*(C172-MAX(B172,($B$4*2/10)))),0))*1000,0)</f>
        <v>0</v>
      </c>
      <c r="AD172" s="120">
        <f>IF(AND(J172="OK",ISNUMBER($B$5),$B$5&gt;0,ISNUMBER($B$3),$B$3&gt;0),F172/(6*$B$3*1000000*$B$5)*(IF(B172&lt;($B$4*3/10),($B$4*3/10)*(MIN(C172,($B$4*3/10))^3-B172^3)-(MIN(C172,($B$4*3/10))^4-B172^4)/4,0)+IF(C172&gt;($B$4*3/10),($B$4*3/10)^2*(1.5*(C172^2-MAX(B172,($B$4*3/10))^2)-($B$4*3/10)*(C172-MAX(B172,($B$4*3/10)))),0))*1000,0)</f>
        <v>0</v>
      </c>
      <c r="AE172" s="120">
        <f>IF(AND(J172="OK",ISNUMBER($B$5),$B$5&gt;0,ISNUMBER($B$3),$B$3&gt;0),F172/(6*$B$3*1000000*$B$5)*(IF(B172&lt;($B$4*4/10),($B$4*4/10)*(MIN(C172,($B$4*4/10))^3-B172^3)-(MIN(C172,($B$4*4/10))^4-B172^4)/4,0)+IF(C172&gt;($B$4*4/10),($B$4*4/10)^2*(1.5*(C172^2-MAX(B172,($B$4*4/10))^2)-($B$4*4/10)*(C172-MAX(B172,($B$4*4/10)))),0))*1000,0)</f>
        <v>0</v>
      </c>
      <c r="AF172" s="120">
        <f>IF(AND(J172="OK",ISNUMBER($B$5),$B$5&gt;0,ISNUMBER($B$3),$B$3&gt;0),F172/(6*$B$3*1000000*$B$5)*(IF(B172&lt;($B$4*5/10),($B$4*5/10)*(MIN(C172,($B$4*5/10))^3-B172^3)-(MIN(C172,($B$4*5/10))^4-B172^4)/4,0)+IF(C172&gt;($B$4*5/10),($B$4*5/10)^2*(1.5*(C172^2-MAX(B172,($B$4*5/10))^2)-($B$4*5/10)*(C172-MAX(B172,($B$4*5/10)))),0))*1000,0)</f>
        <v>0</v>
      </c>
      <c r="AG172" s="120">
        <f>IF(AND(J172="OK",ISNUMBER($B$5),$B$5&gt;0,ISNUMBER($B$3),$B$3&gt;0),F172/(6*$B$3*1000000*$B$5)*(IF(B172&lt;($B$4*6/10),($B$4*6/10)*(MIN(C172,($B$4*6/10))^3-B172^3)-(MIN(C172,($B$4*6/10))^4-B172^4)/4,0)+IF(C172&gt;($B$4*6/10),($B$4*6/10)^2*(1.5*(C172^2-MAX(B172,($B$4*6/10))^2)-($B$4*6/10)*(C172-MAX(B172,($B$4*6/10)))),0))*1000,0)</f>
        <v>0</v>
      </c>
      <c r="AH172" s="120">
        <f>IF(AND(J172="OK",ISNUMBER($B$5),$B$5&gt;0,ISNUMBER($B$3),$B$3&gt;0),F172/(6*$B$3*1000000*$B$5)*(IF(B172&lt;($B$4*7/10),($B$4*7/10)*(MIN(C172,($B$4*7/10))^3-B172^3)-(MIN(C172,($B$4*7/10))^4-B172^4)/4,0)+IF(C172&gt;($B$4*7/10),($B$4*7/10)^2*(1.5*(C172^2-MAX(B172,($B$4*7/10))^2)-($B$4*7/10)*(C172-MAX(B172,($B$4*7/10)))),0))*1000,0)</f>
        <v>0</v>
      </c>
      <c r="AI172" s="120">
        <f>IF(AND(J172="OK",ISNUMBER($B$5),$B$5&gt;0,ISNUMBER($B$3),$B$3&gt;0),F172/(6*$B$3*1000000*$B$5)*(IF(B172&lt;($B$4*8/10),($B$4*8/10)*(MIN(C172,($B$4*8/10))^3-B172^3)-(MIN(C172,($B$4*8/10))^4-B172^4)/4,0)+IF(C172&gt;($B$4*8/10),($B$4*8/10)^2*(1.5*(C172^2-MAX(B172,($B$4*8/10))^2)-($B$4*8/10)*(C172-MAX(B172,($B$4*8/10)))),0))*1000,0)</f>
        <v>0</v>
      </c>
      <c r="AJ172" s="120">
        <f>IF(AND(J172="OK",ISNUMBER($B$5),$B$5&gt;0,ISNUMBER($B$3),$B$3&gt;0),F172/(6*$B$3*1000000*$B$5)*(IF(B172&lt;($B$4*9/10),($B$4*9/10)*(MIN(C172,($B$4*9/10))^3-B172^3)-(MIN(C172,($B$4*9/10))^4-B172^4)/4,0)+IF(C172&gt;($B$4*9/10),($B$4*9/10)^2*(1.5*(C172^2-MAX(B172,($B$4*9/10))^2)-($B$4*9/10)*(C172-MAX(B172,($B$4*9/10)))),0))*1000,0)</f>
        <v>0</v>
      </c>
      <c r="AK172" s="120">
        <f>IF(AND(J172="OK",ISNUMBER($B$5),$B$5&gt;0,ISNUMBER($B$3),$B$3&gt;0),F172/(6*$B$3*1000000*$B$5)*(IF(B172&lt;($B$4*10/10),($B$4*10/10)*(MIN(C172,($B$4*10/10))^3-B172^3)-(MIN(C172,($B$4*10/10))^4-B172^4)/4,0)+IF(C172&gt;($B$4*10/10),($B$4*10/10)^2*(1.5*(C172^2-MAX(B172,($B$4*10/10))^2)-($B$4*10/10)*(C172-MAX(B172,($B$4*10/10)))),0))*1000,0)</f>
        <v>0</v>
      </c>
      <c r="AM172" s="120">
        <f>IF(AND(V172="OK",ISNUMBER($N$5),$N$5&gt;0,ISNUMBER($N$3),$N$3&gt;0),R172/(6*$N$3*1000000*$N$5)*(IF(N172&lt;($N$4*0/10),($N$4*0/10)*(MIN(O172,($N$4*0/10))^3-N172^3)-(MIN(O172,($N$4*0/10))^4-N172^4)/4,0)+IF(O172&gt;($N$4*0/10),($N$4*0/10)^2*(1.5*(O172^2-MAX(N172,($N$4*0/10))^2)-($N$4*0/10)*(O172-MAX(N172,($N$4*0/10)))),0))*1000,0)</f>
        <v>0</v>
      </c>
      <c r="AN172" s="120">
        <f>IF(AND(V172="OK",ISNUMBER($N$5),$N$5&gt;0,ISNUMBER($N$3),$N$3&gt;0),R172/(6*$N$3*1000000*$N$5)*(IF(N172&lt;($N$4*1/10),($N$4*1/10)*(MIN(O172,($N$4*1/10))^3-N172^3)-(MIN(O172,($N$4*1/10))^4-N172^4)/4,0)+IF(O172&gt;($N$4*1/10),($N$4*1/10)^2*(1.5*(O172^2-MAX(N172,($N$4*1/10))^2)-($N$4*1/10)*(O172-MAX(N172,($N$4*1/10)))),0))*1000,0)</f>
        <v>0</v>
      </c>
      <c r="AO172" s="120">
        <f>IF(AND(V172="OK",ISNUMBER($N$5),$N$5&gt;0,ISNUMBER($N$3),$N$3&gt;0),R172/(6*$N$3*1000000*$N$5)*(IF(N172&lt;($N$4*2/10),($N$4*2/10)*(MIN(O172,($N$4*2/10))^3-N172^3)-(MIN(O172,($N$4*2/10))^4-N172^4)/4,0)+IF(O172&gt;($N$4*2/10),($N$4*2/10)^2*(1.5*(O172^2-MAX(N172,($N$4*2/10))^2)-($N$4*2/10)*(O172-MAX(N172,($N$4*2/10)))),0))*1000,0)</f>
        <v>0</v>
      </c>
      <c r="AP172" s="120">
        <f>IF(AND(V172="OK",ISNUMBER($N$5),$N$5&gt;0,ISNUMBER($N$3),$N$3&gt;0),R172/(6*$N$3*1000000*$N$5)*(IF(N172&lt;($N$4*3/10),($N$4*3/10)*(MIN(O172,($N$4*3/10))^3-N172^3)-(MIN(O172,($N$4*3/10))^4-N172^4)/4,0)+IF(O172&gt;($N$4*3/10),($N$4*3/10)^2*(1.5*(O172^2-MAX(N172,($N$4*3/10))^2)-($N$4*3/10)*(O172-MAX(N172,($N$4*3/10)))),0))*1000,0)</f>
        <v>0</v>
      </c>
      <c r="AQ172" s="120">
        <f>IF(AND(V172="OK",ISNUMBER($N$5),$N$5&gt;0,ISNUMBER($N$3),$N$3&gt;0),R172/(6*$N$3*1000000*$N$5)*(IF(N172&lt;($N$4*4/10),($N$4*4/10)*(MIN(O172,($N$4*4/10))^3-N172^3)-(MIN(O172,($N$4*4/10))^4-N172^4)/4,0)+IF(O172&gt;($N$4*4/10),($N$4*4/10)^2*(1.5*(O172^2-MAX(N172,($N$4*4/10))^2)-($N$4*4/10)*(O172-MAX(N172,($N$4*4/10)))),0))*1000,0)</f>
        <v>0</v>
      </c>
      <c r="AR172" s="120">
        <f>IF(AND(V172="OK",ISNUMBER($N$5),$N$5&gt;0,ISNUMBER($N$3),$N$3&gt;0),R172/(6*$N$3*1000000*$N$5)*(IF(N172&lt;($N$4*5/10),($N$4*5/10)*(MIN(O172,($N$4*5/10))^3-N172^3)-(MIN(O172,($N$4*5/10))^4-N172^4)/4,0)+IF(O172&gt;($N$4*5/10),($N$4*5/10)^2*(1.5*(O172^2-MAX(N172,($N$4*5/10))^2)-($N$4*5/10)*(O172-MAX(N172,($N$4*5/10)))),0))*1000,0)</f>
        <v>0</v>
      </c>
      <c r="AS172" s="120">
        <f>IF(AND(V172="OK",ISNUMBER($N$5),$N$5&gt;0,ISNUMBER($N$3),$N$3&gt;0),R172/(6*$N$3*1000000*$N$5)*(IF(N172&lt;($N$4*6/10),($N$4*6/10)*(MIN(O172,($N$4*6/10))^3-N172^3)-(MIN(O172,($N$4*6/10))^4-N172^4)/4,0)+IF(O172&gt;($N$4*6/10),($N$4*6/10)^2*(1.5*(O172^2-MAX(N172,($N$4*6/10))^2)-($N$4*6/10)*(O172-MAX(N172,($N$4*6/10)))),0))*1000,0)</f>
        <v>0</v>
      </c>
      <c r="AT172" s="120">
        <f>IF(AND(V172="OK",ISNUMBER($N$5),$N$5&gt;0,ISNUMBER($N$3),$N$3&gt;0),R172/(6*$N$3*1000000*$N$5)*(IF(N172&lt;($N$4*7/10),($N$4*7/10)*(MIN(O172,($N$4*7/10))^3-N172^3)-(MIN(O172,($N$4*7/10))^4-N172^4)/4,0)+IF(O172&gt;($N$4*7/10),($N$4*7/10)^2*(1.5*(O172^2-MAX(N172,($N$4*7/10))^2)-($N$4*7/10)*(O172-MAX(N172,($N$4*7/10)))),0))*1000,0)</f>
        <v>0</v>
      </c>
      <c r="AU172" s="120">
        <f>IF(AND(V172="OK",ISNUMBER($N$5),$N$5&gt;0,ISNUMBER($N$3),$N$3&gt;0),R172/(6*$N$3*1000000*$N$5)*(IF(N172&lt;($N$4*8/10),($N$4*8/10)*(MIN(O172,($N$4*8/10))^3-N172^3)-(MIN(O172,($N$4*8/10))^4-N172^4)/4,0)+IF(O172&gt;($N$4*8/10),($N$4*8/10)^2*(1.5*(O172^2-MAX(N172,($N$4*8/10))^2)-($N$4*8/10)*(O172-MAX(N172,($N$4*8/10)))),0))*1000,0)</f>
        <v>0</v>
      </c>
      <c r="AV172" s="120">
        <f>IF(AND(V172="OK",ISNUMBER($N$5),$N$5&gt;0,ISNUMBER($N$3),$N$3&gt;0),R172/(6*$N$3*1000000*$N$5)*(IF(N172&lt;($N$4*9/10),($N$4*9/10)*(MIN(O172,($N$4*9/10))^3-N172^3)-(MIN(O172,($N$4*9/10))^4-N172^4)/4,0)+IF(O172&gt;($N$4*9/10),($N$4*9/10)^2*(1.5*(O172^2-MAX(N172,($N$4*9/10))^2)-($N$4*9/10)*(O172-MAX(N172,($N$4*9/10)))),0))*1000,0)</f>
        <v>0</v>
      </c>
      <c r="AW172" s="120">
        <f>IF(AND(V172="OK",ISNUMBER($N$5),$N$5&gt;0,ISNUMBER($N$3),$N$3&gt;0),R172/(6*$N$3*1000000*$N$5)*(IF(N172&lt;($N$4*10/10),($N$4*10/10)*(MIN(O172,($N$4*10/10))^3-N172^3)-(MIN(O172,($N$4*10/10))^4-N172^4)/4,0)+IF(O172&gt;($N$4*10/10),($N$4*10/10)^2*(1.5*(O172^2-MAX(N172,($N$4*10/10))^2)-($N$4*10/10)*(O172-MAX(N172,($N$4*10/10)))),0))*1000,0)</f>
        <v>0</v>
      </c>
    </row>
    <row r="173" spans="1:49">
      <c r="A173" s="124"/>
      <c r="B173" s="125"/>
      <c r="C173" s="125"/>
      <c r="D173" s="125"/>
      <c r="E173" s="125"/>
      <c r="F173" s="126" t="str">
        <f>IF(J173="OK",D173*E173,"")</f>
        <v/>
      </c>
      <c r="G173" s="126" t="str">
        <f>IF(J173="OK",F173*(C173-B173),"")</f>
        <v/>
      </c>
      <c r="H173" s="126" t="str">
        <f>IF(J173="OK",G173*(C173+B173)/2,"")</f>
        <v/>
      </c>
      <c r="I173" s="126" t="str">
        <f>IF(AND(J173="OK",ISNUMBER($B$5),$B$5&gt;0,ISNUMBER($B$3),$B$3&gt;0),F173*(4*$B$4*(C173^3-B173^3)-(C173^4-B173^4))/(24*$B$3*1000000*$B$5)*1000,"")</f>
        <v/>
      </c>
      <c r="J173" s="120" t="str">
        <f>IF(COUNTA(A173:E173)=0,"",IF(AND(COUNT(B173:E173)=4,B173&gt;=0,C173&gt;B173,C173&lt;=$B$4,D173&gt;=0,E173&gt;0),IF(COUNTIFS($B$13:$B$172,"&lt;"&amp;C173,$C$13:$C$172,"&gt;"&amp;B173)&gt;0,"OVERLAP","OK"),"CHECK INPUTS"))</f>
        <v/>
      </c>
      <c r="M173" s="124"/>
      <c r="N173" s="125"/>
      <c r="O173" s="125"/>
      <c r="P173" s="125"/>
      <c r="Q173" s="125"/>
      <c r="R173" s="126" t="str">
        <f>IF(V173="OK",P173*Q173,"")</f>
        <v/>
      </c>
      <c r="S173" s="126" t="str">
        <f>IF(V173="OK",R173*(O173-N173),"")</f>
        <v/>
      </c>
      <c r="T173" s="126" t="str">
        <f>IF(V173="OK",S173*(O173+N173)/2,"")</f>
        <v/>
      </c>
      <c r="U173" s="126" t="str">
        <f>IF(AND(V173="OK",ISNUMBER($N$5),$N$5&gt;0,ISNUMBER($N$3),$N$3&gt;0),R173*(4*$N$4*(O173^3-N173^3)-(O173^4-N173^4))/(24*$N$3*1000000*$N$5)*1000,"")</f>
        <v/>
      </c>
      <c r="V173" s="120" t="str">
        <f>IF(COUNTA(M173:Q173)=0,"",IF(AND(COUNT(N173:Q173)=4,N173&gt;=0,O173&gt;N173,O173&lt;=$N$4,P173&gt;=0,Q173&gt;0),IF(COUNTIFS($N$13:$N$172,"&lt;"&amp;O173,$O$13:$O$172,"&gt;"&amp;N173)&gt;0,"OVERLAP","OK"),"CHECK INPUTS"))</f>
        <v/>
      </c>
      <c r="AA173" s="120">
        <f>IF(AND(J173="OK",ISNUMBER($B$5),$B$5&gt;0,ISNUMBER($B$3),$B$3&gt;0),F173/(6*$B$3*1000000*$B$5)*(IF(B173&lt;($B$4*0/10),($B$4*0/10)*(MIN(C173,($B$4*0/10))^3-B173^3)-(MIN(C173,($B$4*0/10))^4-B173^4)/4,0)+IF(C173&gt;($B$4*0/10),($B$4*0/10)^2*(1.5*(C173^2-MAX(B173,($B$4*0/10))^2)-($B$4*0/10)*(C173-MAX(B173,($B$4*0/10)))),0))*1000,0)</f>
        <v>0</v>
      </c>
      <c r="AB173" s="120">
        <f>IF(AND(J173="OK",ISNUMBER($B$5),$B$5&gt;0,ISNUMBER($B$3),$B$3&gt;0),F173/(6*$B$3*1000000*$B$5)*(IF(B173&lt;($B$4*1/10),($B$4*1/10)*(MIN(C173,($B$4*1/10))^3-B173^3)-(MIN(C173,($B$4*1/10))^4-B173^4)/4,0)+IF(C173&gt;($B$4*1/10),($B$4*1/10)^2*(1.5*(C173^2-MAX(B173,($B$4*1/10))^2)-($B$4*1/10)*(C173-MAX(B173,($B$4*1/10)))),0))*1000,0)</f>
        <v>0</v>
      </c>
      <c r="AC173" s="120">
        <f>IF(AND(J173="OK",ISNUMBER($B$5),$B$5&gt;0,ISNUMBER($B$3),$B$3&gt;0),F173/(6*$B$3*1000000*$B$5)*(IF(B173&lt;($B$4*2/10),($B$4*2/10)*(MIN(C173,($B$4*2/10))^3-B173^3)-(MIN(C173,($B$4*2/10))^4-B173^4)/4,0)+IF(C173&gt;($B$4*2/10),($B$4*2/10)^2*(1.5*(C173^2-MAX(B173,($B$4*2/10))^2)-($B$4*2/10)*(C173-MAX(B173,($B$4*2/10)))),0))*1000,0)</f>
        <v>0</v>
      </c>
      <c r="AD173" s="120">
        <f>IF(AND(J173="OK",ISNUMBER($B$5),$B$5&gt;0,ISNUMBER($B$3),$B$3&gt;0),F173/(6*$B$3*1000000*$B$5)*(IF(B173&lt;($B$4*3/10),($B$4*3/10)*(MIN(C173,($B$4*3/10))^3-B173^3)-(MIN(C173,($B$4*3/10))^4-B173^4)/4,0)+IF(C173&gt;($B$4*3/10),($B$4*3/10)^2*(1.5*(C173^2-MAX(B173,($B$4*3/10))^2)-($B$4*3/10)*(C173-MAX(B173,($B$4*3/10)))),0))*1000,0)</f>
        <v>0</v>
      </c>
      <c r="AE173" s="120">
        <f>IF(AND(J173="OK",ISNUMBER($B$5),$B$5&gt;0,ISNUMBER($B$3),$B$3&gt;0),F173/(6*$B$3*1000000*$B$5)*(IF(B173&lt;($B$4*4/10),($B$4*4/10)*(MIN(C173,($B$4*4/10))^3-B173^3)-(MIN(C173,($B$4*4/10))^4-B173^4)/4,0)+IF(C173&gt;($B$4*4/10),($B$4*4/10)^2*(1.5*(C173^2-MAX(B173,($B$4*4/10))^2)-($B$4*4/10)*(C173-MAX(B173,($B$4*4/10)))),0))*1000,0)</f>
        <v>0</v>
      </c>
      <c r="AF173" s="120">
        <f>IF(AND(J173="OK",ISNUMBER($B$5),$B$5&gt;0,ISNUMBER($B$3),$B$3&gt;0),F173/(6*$B$3*1000000*$B$5)*(IF(B173&lt;($B$4*5/10),($B$4*5/10)*(MIN(C173,($B$4*5/10))^3-B173^3)-(MIN(C173,($B$4*5/10))^4-B173^4)/4,0)+IF(C173&gt;($B$4*5/10),($B$4*5/10)^2*(1.5*(C173^2-MAX(B173,($B$4*5/10))^2)-($B$4*5/10)*(C173-MAX(B173,($B$4*5/10)))),0))*1000,0)</f>
        <v>0</v>
      </c>
      <c r="AG173" s="120">
        <f>IF(AND(J173="OK",ISNUMBER($B$5),$B$5&gt;0,ISNUMBER($B$3),$B$3&gt;0),F173/(6*$B$3*1000000*$B$5)*(IF(B173&lt;($B$4*6/10),($B$4*6/10)*(MIN(C173,($B$4*6/10))^3-B173^3)-(MIN(C173,($B$4*6/10))^4-B173^4)/4,0)+IF(C173&gt;($B$4*6/10),($B$4*6/10)^2*(1.5*(C173^2-MAX(B173,($B$4*6/10))^2)-($B$4*6/10)*(C173-MAX(B173,($B$4*6/10)))),0))*1000,0)</f>
        <v>0</v>
      </c>
      <c r="AH173" s="120">
        <f>IF(AND(J173="OK",ISNUMBER($B$5),$B$5&gt;0,ISNUMBER($B$3),$B$3&gt;0),F173/(6*$B$3*1000000*$B$5)*(IF(B173&lt;($B$4*7/10),($B$4*7/10)*(MIN(C173,($B$4*7/10))^3-B173^3)-(MIN(C173,($B$4*7/10))^4-B173^4)/4,0)+IF(C173&gt;($B$4*7/10),($B$4*7/10)^2*(1.5*(C173^2-MAX(B173,($B$4*7/10))^2)-($B$4*7/10)*(C173-MAX(B173,($B$4*7/10)))),0))*1000,0)</f>
        <v>0</v>
      </c>
      <c r="AI173" s="120">
        <f>IF(AND(J173="OK",ISNUMBER($B$5),$B$5&gt;0,ISNUMBER($B$3),$B$3&gt;0),F173/(6*$B$3*1000000*$B$5)*(IF(B173&lt;($B$4*8/10),($B$4*8/10)*(MIN(C173,($B$4*8/10))^3-B173^3)-(MIN(C173,($B$4*8/10))^4-B173^4)/4,0)+IF(C173&gt;($B$4*8/10),($B$4*8/10)^2*(1.5*(C173^2-MAX(B173,($B$4*8/10))^2)-($B$4*8/10)*(C173-MAX(B173,($B$4*8/10)))),0))*1000,0)</f>
        <v>0</v>
      </c>
      <c r="AJ173" s="120">
        <f>IF(AND(J173="OK",ISNUMBER($B$5),$B$5&gt;0,ISNUMBER($B$3),$B$3&gt;0),F173/(6*$B$3*1000000*$B$5)*(IF(B173&lt;($B$4*9/10),($B$4*9/10)*(MIN(C173,($B$4*9/10))^3-B173^3)-(MIN(C173,($B$4*9/10))^4-B173^4)/4,0)+IF(C173&gt;($B$4*9/10),($B$4*9/10)^2*(1.5*(C173^2-MAX(B173,($B$4*9/10))^2)-($B$4*9/10)*(C173-MAX(B173,($B$4*9/10)))),0))*1000,0)</f>
        <v>0</v>
      </c>
      <c r="AK173" s="120">
        <f>IF(AND(J173="OK",ISNUMBER($B$5),$B$5&gt;0,ISNUMBER($B$3),$B$3&gt;0),F173/(6*$B$3*1000000*$B$5)*(IF(B173&lt;($B$4*10/10),($B$4*10/10)*(MIN(C173,($B$4*10/10))^3-B173^3)-(MIN(C173,($B$4*10/10))^4-B173^4)/4,0)+IF(C173&gt;($B$4*10/10),($B$4*10/10)^2*(1.5*(C173^2-MAX(B173,($B$4*10/10))^2)-($B$4*10/10)*(C173-MAX(B173,($B$4*10/10)))),0))*1000,0)</f>
        <v>0</v>
      </c>
      <c r="AM173" s="120">
        <f>IF(AND(V173="OK",ISNUMBER($N$5),$N$5&gt;0,ISNUMBER($N$3),$N$3&gt;0),R173/(6*$N$3*1000000*$N$5)*(IF(N173&lt;($N$4*0/10),($N$4*0/10)*(MIN(O173,($N$4*0/10))^3-N173^3)-(MIN(O173,($N$4*0/10))^4-N173^4)/4,0)+IF(O173&gt;($N$4*0/10),($N$4*0/10)^2*(1.5*(O173^2-MAX(N173,($N$4*0/10))^2)-($N$4*0/10)*(O173-MAX(N173,($N$4*0/10)))),0))*1000,0)</f>
        <v>0</v>
      </c>
      <c r="AN173" s="120">
        <f>IF(AND(V173="OK",ISNUMBER($N$5),$N$5&gt;0,ISNUMBER($N$3),$N$3&gt;0),R173/(6*$N$3*1000000*$N$5)*(IF(N173&lt;($N$4*1/10),($N$4*1/10)*(MIN(O173,($N$4*1/10))^3-N173^3)-(MIN(O173,($N$4*1/10))^4-N173^4)/4,0)+IF(O173&gt;($N$4*1/10),($N$4*1/10)^2*(1.5*(O173^2-MAX(N173,($N$4*1/10))^2)-($N$4*1/10)*(O173-MAX(N173,($N$4*1/10)))),0))*1000,0)</f>
        <v>0</v>
      </c>
      <c r="AO173" s="120">
        <f>IF(AND(V173="OK",ISNUMBER($N$5),$N$5&gt;0,ISNUMBER($N$3),$N$3&gt;0),R173/(6*$N$3*1000000*$N$5)*(IF(N173&lt;($N$4*2/10),($N$4*2/10)*(MIN(O173,($N$4*2/10))^3-N173^3)-(MIN(O173,($N$4*2/10))^4-N173^4)/4,0)+IF(O173&gt;($N$4*2/10),($N$4*2/10)^2*(1.5*(O173^2-MAX(N173,($N$4*2/10))^2)-($N$4*2/10)*(O173-MAX(N173,($N$4*2/10)))),0))*1000,0)</f>
        <v>0</v>
      </c>
      <c r="AP173" s="120">
        <f>IF(AND(V173="OK",ISNUMBER($N$5),$N$5&gt;0,ISNUMBER($N$3),$N$3&gt;0),R173/(6*$N$3*1000000*$N$5)*(IF(N173&lt;($N$4*3/10),($N$4*3/10)*(MIN(O173,($N$4*3/10))^3-N173^3)-(MIN(O173,($N$4*3/10))^4-N173^4)/4,0)+IF(O173&gt;($N$4*3/10),($N$4*3/10)^2*(1.5*(O173^2-MAX(N173,($N$4*3/10))^2)-($N$4*3/10)*(O173-MAX(N173,($N$4*3/10)))),0))*1000,0)</f>
        <v>0</v>
      </c>
      <c r="AQ173" s="120">
        <f>IF(AND(V173="OK",ISNUMBER($N$5),$N$5&gt;0,ISNUMBER($N$3),$N$3&gt;0),R173/(6*$N$3*1000000*$N$5)*(IF(N173&lt;($N$4*4/10),($N$4*4/10)*(MIN(O173,($N$4*4/10))^3-N173^3)-(MIN(O173,($N$4*4/10))^4-N173^4)/4,0)+IF(O173&gt;($N$4*4/10),($N$4*4/10)^2*(1.5*(O173^2-MAX(N173,($N$4*4/10))^2)-($N$4*4/10)*(O173-MAX(N173,($N$4*4/10)))),0))*1000,0)</f>
        <v>0</v>
      </c>
      <c r="AR173" s="120">
        <f>IF(AND(V173="OK",ISNUMBER($N$5),$N$5&gt;0,ISNUMBER($N$3),$N$3&gt;0),R173/(6*$N$3*1000000*$N$5)*(IF(N173&lt;($N$4*5/10),($N$4*5/10)*(MIN(O173,($N$4*5/10))^3-N173^3)-(MIN(O173,($N$4*5/10))^4-N173^4)/4,0)+IF(O173&gt;($N$4*5/10),($N$4*5/10)^2*(1.5*(O173^2-MAX(N173,($N$4*5/10))^2)-($N$4*5/10)*(O173-MAX(N173,($N$4*5/10)))),0))*1000,0)</f>
        <v>0</v>
      </c>
      <c r="AS173" s="120">
        <f>IF(AND(V173="OK",ISNUMBER($N$5),$N$5&gt;0,ISNUMBER($N$3),$N$3&gt;0),R173/(6*$N$3*1000000*$N$5)*(IF(N173&lt;($N$4*6/10),($N$4*6/10)*(MIN(O173,($N$4*6/10))^3-N173^3)-(MIN(O173,($N$4*6/10))^4-N173^4)/4,0)+IF(O173&gt;($N$4*6/10),($N$4*6/10)^2*(1.5*(O173^2-MAX(N173,($N$4*6/10))^2)-($N$4*6/10)*(O173-MAX(N173,($N$4*6/10)))),0))*1000,0)</f>
        <v>0</v>
      </c>
      <c r="AT173" s="120">
        <f>IF(AND(V173="OK",ISNUMBER($N$5),$N$5&gt;0,ISNUMBER($N$3),$N$3&gt;0),R173/(6*$N$3*1000000*$N$5)*(IF(N173&lt;($N$4*7/10),($N$4*7/10)*(MIN(O173,($N$4*7/10))^3-N173^3)-(MIN(O173,($N$4*7/10))^4-N173^4)/4,0)+IF(O173&gt;($N$4*7/10),($N$4*7/10)^2*(1.5*(O173^2-MAX(N173,($N$4*7/10))^2)-($N$4*7/10)*(O173-MAX(N173,($N$4*7/10)))),0))*1000,0)</f>
        <v>0</v>
      </c>
      <c r="AU173" s="120">
        <f>IF(AND(V173="OK",ISNUMBER($N$5),$N$5&gt;0,ISNUMBER($N$3),$N$3&gt;0),R173/(6*$N$3*1000000*$N$5)*(IF(N173&lt;($N$4*8/10),($N$4*8/10)*(MIN(O173,($N$4*8/10))^3-N173^3)-(MIN(O173,($N$4*8/10))^4-N173^4)/4,0)+IF(O173&gt;($N$4*8/10),($N$4*8/10)^2*(1.5*(O173^2-MAX(N173,($N$4*8/10))^2)-($N$4*8/10)*(O173-MAX(N173,($N$4*8/10)))),0))*1000,0)</f>
        <v>0</v>
      </c>
      <c r="AV173" s="120">
        <f>IF(AND(V173="OK",ISNUMBER($N$5),$N$5&gt;0,ISNUMBER($N$3),$N$3&gt;0),R173/(6*$N$3*1000000*$N$5)*(IF(N173&lt;($N$4*9/10),($N$4*9/10)*(MIN(O173,($N$4*9/10))^3-N173^3)-(MIN(O173,($N$4*9/10))^4-N173^4)/4,0)+IF(O173&gt;($N$4*9/10),($N$4*9/10)^2*(1.5*(O173^2-MAX(N173,($N$4*9/10))^2)-($N$4*9/10)*(O173-MAX(N173,($N$4*9/10)))),0))*1000,0)</f>
        <v>0</v>
      </c>
      <c r="AW173" s="120">
        <f>IF(AND(V173="OK",ISNUMBER($N$5),$N$5&gt;0,ISNUMBER($N$3),$N$3&gt;0),R173/(6*$N$3*1000000*$N$5)*(IF(N173&lt;($N$4*10/10),($N$4*10/10)*(MIN(O173,($N$4*10/10))^3-N173^3)-(MIN(O173,($N$4*10/10))^4-N173^4)/4,0)+IF(O173&gt;($N$4*10/10),($N$4*10/10)^2*(1.5*(O173^2-MAX(N173,($N$4*10/10))^2)-($N$4*10/10)*(O173-MAX(N173,($N$4*10/10)))),0))*1000,0)</f>
        <v>0</v>
      </c>
    </row>
    <row r="174" spans="1:49">
      <c r="A174" s="124"/>
      <c r="B174" s="125"/>
      <c r="C174" s="125"/>
      <c r="D174" s="125"/>
      <c r="E174" s="125"/>
      <c r="F174" s="126" t="str">
        <f>IF(J174="OK",D174*E174,"")</f>
        <v/>
      </c>
      <c r="G174" s="126" t="str">
        <f>IF(J174="OK",F174*(C174-B174),"")</f>
        <v/>
      </c>
      <c r="H174" s="126" t="str">
        <f>IF(J174="OK",G174*(C174+B174)/2,"")</f>
        <v/>
      </c>
      <c r="I174" s="126" t="str">
        <f>IF(AND(J174="OK",ISNUMBER($B$5),$B$5&gt;0,ISNUMBER($B$3),$B$3&gt;0),F174*(4*$B$4*(C174^3-B174^3)-(C174^4-B174^4))/(24*$B$3*1000000*$B$5)*1000,"")</f>
        <v/>
      </c>
      <c r="J174" s="120" t="str">
        <f>IF(COUNTA(A174:E174)=0,"",IF(AND(COUNT(B174:E174)=4,B174&gt;=0,C174&gt;B174,C174&lt;=$B$4,D174&gt;=0,E174&gt;0),IF(COUNTIFS($B$13:$B$173,"&lt;"&amp;C174,$C$13:$C$173,"&gt;"&amp;B174)&gt;0,"OVERLAP","OK"),"CHECK INPUTS"))</f>
        <v/>
      </c>
      <c r="M174" s="124"/>
      <c r="N174" s="125"/>
      <c r="O174" s="125"/>
      <c r="P174" s="125"/>
      <c r="Q174" s="125"/>
      <c r="R174" s="126" t="str">
        <f>IF(V174="OK",P174*Q174,"")</f>
        <v/>
      </c>
      <c r="S174" s="126" t="str">
        <f>IF(V174="OK",R174*(O174-N174),"")</f>
        <v/>
      </c>
      <c r="T174" s="126" t="str">
        <f>IF(V174="OK",S174*(O174+N174)/2,"")</f>
        <v/>
      </c>
      <c r="U174" s="126" t="str">
        <f>IF(AND(V174="OK",ISNUMBER($N$5),$N$5&gt;0,ISNUMBER($N$3),$N$3&gt;0),R174*(4*$N$4*(O174^3-N174^3)-(O174^4-N174^4))/(24*$N$3*1000000*$N$5)*1000,"")</f>
        <v/>
      </c>
      <c r="V174" s="120" t="str">
        <f>IF(COUNTA(M174:Q174)=0,"",IF(AND(COUNT(N174:Q174)=4,N174&gt;=0,O174&gt;N174,O174&lt;=$N$4,P174&gt;=0,Q174&gt;0),IF(COUNTIFS($N$13:$N$173,"&lt;"&amp;O174,$O$13:$O$173,"&gt;"&amp;N174)&gt;0,"OVERLAP","OK"),"CHECK INPUTS"))</f>
        <v/>
      </c>
      <c r="AA174" s="120">
        <f>IF(AND(J174="OK",ISNUMBER($B$5),$B$5&gt;0,ISNUMBER($B$3),$B$3&gt;0),F174/(6*$B$3*1000000*$B$5)*(IF(B174&lt;($B$4*0/10),($B$4*0/10)*(MIN(C174,($B$4*0/10))^3-B174^3)-(MIN(C174,($B$4*0/10))^4-B174^4)/4,0)+IF(C174&gt;($B$4*0/10),($B$4*0/10)^2*(1.5*(C174^2-MAX(B174,($B$4*0/10))^2)-($B$4*0/10)*(C174-MAX(B174,($B$4*0/10)))),0))*1000,0)</f>
        <v>0</v>
      </c>
      <c r="AB174" s="120">
        <f>IF(AND(J174="OK",ISNUMBER($B$5),$B$5&gt;0,ISNUMBER($B$3),$B$3&gt;0),F174/(6*$B$3*1000000*$B$5)*(IF(B174&lt;($B$4*1/10),($B$4*1/10)*(MIN(C174,($B$4*1/10))^3-B174^3)-(MIN(C174,($B$4*1/10))^4-B174^4)/4,0)+IF(C174&gt;($B$4*1/10),($B$4*1/10)^2*(1.5*(C174^2-MAX(B174,($B$4*1/10))^2)-($B$4*1/10)*(C174-MAX(B174,($B$4*1/10)))),0))*1000,0)</f>
        <v>0</v>
      </c>
      <c r="AC174" s="120">
        <f>IF(AND(J174="OK",ISNUMBER($B$5),$B$5&gt;0,ISNUMBER($B$3),$B$3&gt;0),F174/(6*$B$3*1000000*$B$5)*(IF(B174&lt;($B$4*2/10),($B$4*2/10)*(MIN(C174,($B$4*2/10))^3-B174^3)-(MIN(C174,($B$4*2/10))^4-B174^4)/4,0)+IF(C174&gt;($B$4*2/10),($B$4*2/10)^2*(1.5*(C174^2-MAX(B174,($B$4*2/10))^2)-($B$4*2/10)*(C174-MAX(B174,($B$4*2/10)))),0))*1000,0)</f>
        <v>0</v>
      </c>
      <c r="AD174" s="120">
        <f>IF(AND(J174="OK",ISNUMBER($B$5),$B$5&gt;0,ISNUMBER($B$3),$B$3&gt;0),F174/(6*$B$3*1000000*$B$5)*(IF(B174&lt;($B$4*3/10),($B$4*3/10)*(MIN(C174,($B$4*3/10))^3-B174^3)-(MIN(C174,($B$4*3/10))^4-B174^4)/4,0)+IF(C174&gt;($B$4*3/10),($B$4*3/10)^2*(1.5*(C174^2-MAX(B174,($B$4*3/10))^2)-($B$4*3/10)*(C174-MAX(B174,($B$4*3/10)))),0))*1000,0)</f>
        <v>0</v>
      </c>
      <c r="AE174" s="120">
        <f>IF(AND(J174="OK",ISNUMBER($B$5),$B$5&gt;0,ISNUMBER($B$3),$B$3&gt;0),F174/(6*$B$3*1000000*$B$5)*(IF(B174&lt;($B$4*4/10),($B$4*4/10)*(MIN(C174,($B$4*4/10))^3-B174^3)-(MIN(C174,($B$4*4/10))^4-B174^4)/4,0)+IF(C174&gt;($B$4*4/10),($B$4*4/10)^2*(1.5*(C174^2-MAX(B174,($B$4*4/10))^2)-($B$4*4/10)*(C174-MAX(B174,($B$4*4/10)))),0))*1000,0)</f>
        <v>0</v>
      </c>
      <c r="AF174" s="120">
        <f>IF(AND(J174="OK",ISNUMBER($B$5),$B$5&gt;0,ISNUMBER($B$3),$B$3&gt;0),F174/(6*$B$3*1000000*$B$5)*(IF(B174&lt;($B$4*5/10),($B$4*5/10)*(MIN(C174,($B$4*5/10))^3-B174^3)-(MIN(C174,($B$4*5/10))^4-B174^4)/4,0)+IF(C174&gt;($B$4*5/10),($B$4*5/10)^2*(1.5*(C174^2-MAX(B174,($B$4*5/10))^2)-($B$4*5/10)*(C174-MAX(B174,($B$4*5/10)))),0))*1000,0)</f>
        <v>0</v>
      </c>
      <c r="AG174" s="120">
        <f>IF(AND(J174="OK",ISNUMBER($B$5),$B$5&gt;0,ISNUMBER($B$3),$B$3&gt;0),F174/(6*$B$3*1000000*$B$5)*(IF(B174&lt;($B$4*6/10),($B$4*6/10)*(MIN(C174,($B$4*6/10))^3-B174^3)-(MIN(C174,($B$4*6/10))^4-B174^4)/4,0)+IF(C174&gt;($B$4*6/10),($B$4*6/10)^2*(1.5*(C174^2-MAX(B174,($B$4*6/10))^2)-($B$4*6/10)*(C174-MAX(B174,($B$4*6/10)))),0))*1000,0)</f>
        <v>0</v>
      </c>
      <c r="AH174" s="120">
        <f>IF(AND(J174="OK",ISNUMBER($B$5),$B$5&gt;0,ISNUMBER($B$3),$B$3&gt;0),F174/(6*$B$3*1000000*$B$5)*(IF(B174&lt;($B$4*7/10),($B$4*7/10)*(MIN(C174,($B$4*7/10))^3-B174^3)-(MIN(C174,($B$4*7/10))^4-B174^4)/4,0)+IF(C174&gt;($B$4*7/10),($B$4*7/10)^2*(1.5*(C174^2-MAX(B174,($B$4*7/10))^2)-($B$4*7/10)*(C174-MAX(B174,($B$4*7/10)))),0))*1000,0)</f>
        <v>0</v>
      </c>
      <c r="AI174" s="120">
        <f>IF(AND(J174="OK",ISNUMBER($B$5),$B$5&gt;0,ISNUMBER($B$3),$B$3&gt;0),F174/(6*$B$3*1000000*$B$5)*(IF(B174&lt;($B$4*8/10),($B$4*8/10)*(MIN(C174,($B$4*8/10))^3-B174^3)-(MIN(C174,($B$4*8/10))^4-B174^4)/4,0)+IF(C174&gt;($B$4*8/10),($B$4*8/10)^2*(1.5*(C174^2-MAX(B174,($B$4*8/10))^2)-($B$4*8/10)*(C174-MAX(B174,($B$4*8/10)))),0))*1000,0)</f>
        <v>0</v>
      </c>
      <c r="AJ174" s="120">
        <f>IF(AND(J174="OK",ISNUMBER($B$5),$B$5&gt;0,ISNUMBER($B$3),$B$3&gt;0),F174/(6*$B$3*1000000*$B$5)*(IF(B174&lt;($B$4*9/10),($B$4*9/10)*(MIN(C174,($B$4*9/10))^3-B174^3)-(MIN(C174,($B$4*9/10))^4-B174^4)/4,0)+IF(C174&gt;($B$4*9/10),($B$4*9/10)^2*(1.5*(C174^2-MAX(B174,($B$4*9/10))^2)-($B$4*9/10)*(C174-MAX(B174,($B$4*9/10)))),0))*1000,0)</f>
        <v>0</v>
      </c>
      <c r="AK174" s="120">
        <f>IF(AND(J174="OK",ISNUMBER($B$5),$B$5&gt;0,ISNUMBER($B$3),$B$3&gt;0),F174/(6*$B$3*1000000*$B$5)*(IF(B174&lt;($B$4*10/10),($B$4*10/10)*(MIN(C174,($B$4*10/10))^3-B174^3)-(MIN(C174,($B$4*10/10))^4-B174^4)/4,0)+IF(C174&gt;($B$4*10/10),($B$4*10/10)^2*(1.5*(C174^2-MAX(B174,($B$4*10/10))^2)-($B$4*10/10)*(C174-MAX(B174,($B$4*10/10)))),0))*1000,0)</f>
        <v>0</v>
      </c>
      <c r="AM174" s="120">
        <f>IF(AND(V174="OK",ISNUMBER($N$5),$N$5&gt;0,ISNUMBER($N$3),$N$3&gt;0),R174/(6*$N$3*1000000*$N$5)*(IF(N174&lt;($N$4*0/10),($N$4*0/10)*(MIN(O174,($N$4*0/10))^3-N174^3)-(MIN(O174,($N$4*0/10))^4-N174^4)/4,0)+IF(O174&gt;($N$4*0/10),($N$4*0/10)^2*(1.5*(O174^2-MAX(N174,($N$4*0/10))^2)-($N$4*0/10)*(O174-MAX(N174,($N$4*0/10)))),0))*1000,0)</f>
        <v>0</v>
      </c>
      <c r="AN174" s="120">
        <f>IF(AND(V174="OK",ISNUMBER($N$5),$N$5&gt;0,ISNUMBER($N$3),$N$3&gt;0),R174/(6*$N$3*1000000*$N$5)*(IF(N174&lt;($N$4*1/10),($N$4*1/10)*(MIN(O174,($N$4*1/10))^3-N174^3)-(MIN(O174,($N$4*1/10))^4-N174^4)/4,0)+IF(O174&gt;($N$4*1/10),($N$4*1/10)^2*(1.5*(O174^2-MAX(N174,($N$4*1/10))^2)-($N$4*1/10)*(O174-MAX(N174,($N$4*1/10)))),0))*1000,0)</f>
        <v>0</v>
      </c>
      <c r="AO174" s="120">
        <f>IF(AND(V174="OK",ISNUMBER($N$5),$N$5&gt;0,ISNUMBER($N$3),$N$3&gt;0),R174/(6*$N$3*1000000*$N$5)*(IF(N174&lt;($N$4*2/10),($N$4*2/10)*(MIN(O174,($N$4*2/10))^3-N174^3)-(MIN(O174,($N$4*2/10))^4-N174^4)/4,0)+IF(O174&gt;($N$4*2/10),($N$4*2/10)^2*(1.5*(O174^2-MAX(N174,($N$4*2/10))^2)-($N$4*2/10)*(O174-MAX(N174,($N$4*2/10)))),0))*1000,0)</f>
        <v>0</v>
      </c>
      <c r="AP174" s="120">
        <f>IF(AND(V174="OK",ISNUMBER($N$5),$N$5&gt;0,ISNUMBER($N$3),$N$3&gt;0),R174/(6*$N$3*1000000*$N$5)*(IF(N174&lt;($N$4*3/10),($N$4*3/10)*(MIN(O174,($N$4*3/10))^3-N174^3)-(MIN(O174,($N$4*3/10))^4-N174^4)/4,0)+IF(O174&gt;($N$4*3/10),($N$4*3/10)^2*(1.5*(O174^2-MAX(N174,($N$4*3/10))^2)-($N$4*3/10)*(O174-MAX(N174,($N$4*3/10)))),0))*1000,0)</f>
        <v>0</v>
      </c>
      <c r="AQ174" s="120">
        <f>IF(AND(V174="OK",ISNUMBER($N$5),$N$5&gt;0,ISNUMBER($N$3),$N$3&gt;0),R174/(6*$N$3*1000000*$N$5)*(IF(N174&lt;($N$4*4/10),($N$4*4/10)*(MIN(O174,($N$4*4/10))^3-N174^3)-(MIN(O174,($N$4*4/10))^4-N174^4)/4,0)+IF(O174&gt;($N$4*4/10),($N$4*4/10)^2*(1.5*(O174^2-MAX(N174,($N$4*4/10))^2)-($N$4*4/10)*(O174-MAX(N174,($N$4*4/10)))),0))*1000,0)</f>
        <v>0</v>
      </c>
      <c r="AR174" s="120">
        <f>IF(AND(V174="OK",ISNUMBER($N$5),$N$5&gt;0,ISNUMBER($N$3),$N$3&gt;0),R174/(6*$N$3*1000000*$N$5)*(IF(N174&lt;($N$4*5/10),($N$4*5/10)*(MIN(O174,($N$4*5/10))^3-N174^3)-(MIN(O174,($N$4*5/10))^4-N174^4)/4,0)+IF(O174&gt;($N$4*5/10),($N$4*5/10)^2*(1.5*(O174^2-MAX(N174,($N$4*5/10))^2)-($N$4*5/10)*(O174-MAX(N174,($N$4*5/10)))),0))*1000,0)</f>
        <v>0</v>
      </c>
      <c r="AS174" s="120">
        <f>IF(AND(V174="OK",ISNUMBER($N$5),$N$5&gt;0,ISNUMBER($N$3),$N$3&gt;0),R174/(6*$N$3*1000000*$N$5)*(IF(N174&lt;($N$4*6/10),($N$4*6/10)*(MIN(O174,($N$4*6/10))^3-N174^3)-(MIN(O174,($N$4*6/10))^4-N174^4)/4,0)+IF(O174&gt;($N$4*6/10),($N$4*6/10)^2*(1.5*(O174^2-MAX(N174,($N$4*6/10))^2)-($N$4*6/10)*(O174-MAX(N174,($N$4*6/10)))),0))*1000,0)</f>
        <v>0</v>
      </c>
      <c r="AT174" s="120">
        <f>IF(AND(V174="OK",ISNUMBER($N$5),$N$5&gt;0,ISNUMBER($N$3),$N$3&gt;0),R174/(6*$N$3*1000000*$N$5)*(IF(N174&lt;($N$4*7/10),($N$4*7/10)*(MIN(O174,($N$4*7/10))^3-N174^3)-(MIN(O174,($N$4*7/10))^4-N174^4)/4,0)+IF(O174&gt;($N$4*7/10),($N$4*7/10)^2*(1.5*(O174^2-MAX(N174,($N$4*7/10))^2)-($N$4*7/10)*(O174-MAX(N174,($N$4*7/10)))),0))*1000,0)</f>
        <v>0</v>
      </c>
      <c r="AU174" s="120">
        <f>IF(AND(V174="OK",ISNUMBER($N$5),$N$5&gt;0,ISNUMBER($N$3),$N$3&gt;0),R174/(6*$N$3*1000000*$N$5)*(IF(N174&lt;($N$4*8/10),($N$4*8/10)*(MIN(O174,($N$4*8/10))^3-N174^3)-(MIN(O174,($N$4*8/10))^4-N174^4)/4,0)+IF(O174&gt;($N$4*8/10),($N$4*8/10)^2*(1.5*(O174^2-MAX(N174,($N$4*8/10))^2)-($N$4*8/10)*(O174-MAX(N174,($N$4*8/10)))),0))*1000,0)</f>
        <v>0</v>
      </c>
      <c r="AV174" s="120">
        <f>IF(AND(V174="OK",ISNUMBER($N$5),$N$5&gt;0,ISNUMBER($N$3),$N$3&gt;0),R174/(6*$N$3*1000000*$N$5)*(IF(N174&lt;($N$4*9/10),($N$4*9/10)*(MIN(O174,($N$4*9/10))^3-N174^3)-(MIN(O174,($N$4*9/10))^4-N174^4)/4,0)+IF(O174&gt;($N$4*9/10),($N$4*9/10)^2*(1.5*(O174^2-MAX(N174,($N$4*9/10))^2)-($N$4*9/10)*(O174-MAX(N174,($N$4*9/10)))),0))*1000,0)</f>
        <v>0</v>
      </c>
      <c r="AW174" s="120">
        <f>IF(AND(V174="OK",ISNUMBER($N$5),$N$5&gt;0,ISNUMBER($N$3),$N$3&gt;0),R174/(6*$N$3*1000000*$N$5)*(IF(N174&lt;($N$4*10/10),($N$4*10/10)*(MIN(O174,($N$4*10/10))^3-N174^3)-(MIN(O174,($N$4*10/10))^4-N174^4)/4,0)+IF(O174&gt;($N$4*10/10),($N$4*10/10)^2*(1.5*(O174^2-MAX(N174,($N$4*10/10))^2)-($N$4*10/10)*(O174-MAX(N174,($N$4*10/10)))),0))*1000,0)</f>
        <v>0</v>
      </c>
    </row>
    <row r="175" spans="1:49">
      <c r="A175" s="124"/>
      <c r="B175" s="125"/>
      <c r="C175" s="125"/>
      <c r="D175" s="125"/>
      <c r="E175" s="125"/>
      <c r="F175" s="126" t="str">
        <f>IF(J175="OK",D175*E175,"")</f>
        <v/>
      </c>
      <c r="G175" s="126" t="str">
        <f>IF(J175="OK",F175*(C175-B175),"")</f>
        <v/>
      </c>
      <c r="H175" s="126" t="str">
        <f>IF(J175="OK",G175*(C175+B175)/2,"")</f>
        <v/>
      </c>
      <c r="I175" s="126" t="str">
        <f>IF(AND(J175="OK",ISNUMBER($B$5),$B$5&gt;0,ISNUMBER($B$3),$B$3&gt;0),F175*(4*$B$4*(C175^3-B175^3)-(C175^4-B175^4))/(24*$B$3*1000000*$B$5)*1000,"")</f>
        <v/>
      </c>
      <c r="J175" s="120" t="str">
        <f>IF(COUNTA(A175:E175)=0,"",IF(AND(COUNT(B175:E175)=4,B175&gt;=0,C175&gt;B175,C175&lt;=$B$4,D175&gt;=0,E175&gt;0),IF(COUNTIFS($B$13:$B$174,"&lt;"&amp;C175,$C$13:$C$174,"&gt;"&amp;B175)&gt;0,"OVERLAP","OK"),"CHECK INPUTS"))</f>
        <v/>
      </c>
      <c r="M175" s="124"/>
      <c r="N175" s="125"/>
      <c r="O175" s="125"/>
      <c r="P175" s="125"/>
      <c r="Q175" s="125"/>
      <c r="R175" s="126" t="str">
        <f>IF(V175="OK",P175*Q175,"")</f>
        <v/>
      </c>
      <c r="S175" s="126" t="str">
        <f>IF(V175="OK",R175*(O175-N175),"")</f>
        <v/>
      </c>
      <c r="T175" s="126" t="str">
        <f>IF(V175="OK",S175*(O175+N175)/2,"")</f>
        <v/>
      </c>
      <c r="U175" s="126" t="str">
        <f>IF(AND(V175="OK",ISNUMBER($N$5),$N$5&gt;0,ISNUMBER($N$3),$N$3&gt;0),R175*(4*$N$4*(O175^3-N175^3)-(O175^4-N175^4))/(24*$N$3*1000000*$N$5)*1000,"")</f>
        <v/>
      </c>
      <c r="V175" s="120" t="str">
        <f>IF(COUNTA(M175:Q175)=0,"",IF(AND(COUNT(N175:Q175)=4,N175&gt;=0,O175&gt;N175,O175&lt;=$N$4,P175&gt;=0,Q175&gt;0),IF(COUNTIFS($N$13:$N$174,"&lt;"&amp;O175,$O$13:$O$174,"&gt;"&amp;N175)&gt;0,"OVERLAP","OK"),"CHECK INPUTS"))</f>
        <v/>
      </c>
      <c r="AA175" s="120">
        <f>IF(AND(J175="OK",ISNUMBER($B$5),$B$5&gt;0,ISNUMBER($B$3),$B$3&gt;0),F175/(6*$B$3*1000000*$B$5)*(IF(B175&lt;($B$4*0/10),($B$4*0/10)*(MIN(C175,($B$4*0/10))^3-B175^3)-(MIN(C175,($B$4*0/10))^4-B175^4)/4,0)+IF(C175&gt;($B$4*0/10),($B$4*0/10)^2*(1.5*(C175^2-MAX(B175,($B$4*0/10))^2)-($B$4*0/10)*(C175-MAX(B175,($B$4*0/10)))),0))*1000,0)</f>
        <v>0</v>
      </c>
      <c r="AB175" s="120">
        <f>IF(AND(J175="OK",ISNUMBER($B$5),$B$5&gt;0,ISNUMBER($B$3),$B$3&gt;0),F175/(6*$B$3*1000000*$B$5)*(IF(B175&lt;($B$4*1/10),($B$4*1/10)*(MIN(C175,($B$4*1/10))^3-B175^3)-(MIN(C175,($B$4*1/10))^4-B175^4)/4,0)+IF(C175&gt;($B$4*1/10),($B$4*1/10)^2*(1.5*(C175^2-MAX(B175,($B$4*1/10))^2)-($B$4*1/10)*(C175-MAX(B175,($B$4*1/10)))),0))*1000,0)</f>
        <v>0</v>
      </c>
      <c r="AC175" s="120">
        <f>IF(AND(J175="OK",ISNUMBER($B$5),$B$5&gt;0,ISNUMBER($B$3),$B$3&gt;0),F175/(6*$B$3*1000000*$B$5)*(IF(B175&lt;($B$4*2/10),($B$4*2/10)*(MIN(C175,($B$4*2/10))^3-B175^3)-(MIN(C175,($B$4*2/10))^4-B175^4)/4,0)+IF(C175&gt;($B$4*2/10),($B$4*2/10)^2*(1.5*(C175^2-MAX(B175,($B$4*2/10))^2)-($B$4*2/10)*(C175-MAX(B175,($B$4*2/10)))),0))*1000,0)</f>
        <v>0</v>
      </c>
      <c r="AD175" s="120">
        <f>IF(AND(J175="OK",ISNUMBER($B$5),$B$5&gt;0,ISNUMBER($B$3),$B$3&gt;0),F175/(6*$B$3*1000000*$B$5)*(IF(B175&lt;($B$4*3/10),($B$4*3/10)*(MIN(C175,($B$4*3/10))^3-B175^3)-(MIN(C175,($B$4*3/10))^4-B175^4)/4,0)+IF(C175&gt;($B$4*3/10),($B$4*3/10)^2*(1.5*(C175^2-MAX(B175,($B$4*3/10))^2)-($B$4*3/10)*(C175-MAX(B175,($B$4*3/10)))),0))*1000,0)</f>
        <v>0</v>
      </c>
      <c r="AE175" s="120">
        <f>IF(AND(J175="OK",ISNUMBER($B$5),$B$5&gt;0,ISNUMBER($B$3),$B$3&gt;0),F175/(6*$B$3*1000000*$B$5)*(IF(B175&lt;($B$4*4/10),($B$4*4/10)*(MIN(C175,($B$4*4/10))^3-B175^3)-(MIN(C175,($B$4*4/10))^4-B175^4)/4,0)+IF(C175&gt;($B$4*4/10),($B$4*4/10)^2*(1.5*(C175^2-MAX(B175,($B$4*4/10))^2)-($B$4*4/10)*(C175-MAX(B175,($B$4*4/10)))),0))*1000,0)</f>
        <v>0</v>
      </c>
      <c r="AF175" s="120">
        <f>IF(AND(J175="OK",ISNUMBER($B$5),$B$5&gt;0,ISNUMBER($B$3),$B$3&gt;0),F175/(6*$B$3*1000000*$B$5)*(IF(B175&lt;($B$4*5/10),($B$4*5/10)*(MIN(C175,($B$4*5/10))^3-B175^3)-(MIN(C175,($B$4*5/10))^4-B175^4)/4,0)+IF(C175&gt;($B$4*5/10),($B$4*5/10)^2*(1.5*(C175^2-MAX(B175,($B$4*5/10))^2)-($B$4*5/10)*(C175-MAX(B175,($B$4*5/10)))),0))*1000,0)</f>
        <v>0</v>
      </c>
      <c r="AG175" s="120">
        <f>IF(AND(J175="OK",ISNUMBER($B$5),$B$5&gt;0,ISNUMBER($B$3),$B$3&gt;0),F175/(6*$B$3*1000000*$B$5)*(IF(B175&lt;($B$4*6/10),($B$4*6/10)*(MIN(C175,($B$4*6/10))^3-B175^3)-(MIN(C175,($B$4*6/10))^4-B175^4)/4,0)+IF(C175&gt;($B$4*6/10),($B$4*6/10)^2*(1.5*(C175^2-MAX(B175,($B$4*6/10))^2)-($B$4*6/10)*(C175-MAX(B175,($B$4*6/10)))),0))*1000,0)</f>
        <v>0</v>
      </c>
      <c r="AH175" s="120">
        <f>IF(AND(J175="OK",ISNUMBER($B$5),$B$5&gt;0,ISNUMBER($B$3),$B$3&gt;0),F175/(6*$B$3*1000000*$B$5)*(IF(B175&lt;($B$4*7/10),($B$4*7/10)*(MIN(C175,($B$4*7/10))^3-B175^3)-(MIN(C175,($B$4*7/10))^4-B175^4)/4,0)+IF(C175&gt;($B$4*7/10),($B$4*7/10)^2*(1.5*(C175^2-MAX(B175,($B$4*7/10))^2)-($B$4*7/10)*(C175-MAX(B175,($B$4*7/10)))),0))*1000,0)</f>
        <v>0</v>
      </c>
      <c r="AI175" s="120">
        <f>IF(AND(J175="OK",ISNUMBER($B$5),$B$5&gt;0,ISNUMBER($B$3),$B$3&gt;0),F175/(6*$B$3*1000000*$B$5)*(IF(B175&lt;($B$4*8/10),($B$4*8/10)*(MIN(C175,($B$4*8/10))^3-B175^3)-(MIN(C175,($B$4*8/10))^4-B175^4)/4,0)+IF(C175&gt;($B$4*8/10),($B$4*8/10)^2*(1.5*(C175^2-MAX(B175,($B$4*8/10))^2)-($B$4*8/10)*(C175-MAX(B175,($B$4*8/10)))),0))*1000,0)</f>
        <v>0</v>
      </c>
      <c r="AJ175" s="120">
        <f>IF(AND(J175="OK",ISNUMBER($B$5),$B$5&gt;0,ISNUMBER($B$3),$B$3&gt;0),F175/(6*$B$3*1000000*$B$5)*(IF(B175&lt;($B$4*9/10),($B$4*9/10)*(MIN(C175,($B$4*9/10))^3-B175^3)-(MIN(C175,($B$4*9/10))^4-B175^4)/4,0)+IF(C175&gt;($B$4*9/10),($B$4*9/10)^2*(1.5*(C175^2-MAX(B175,($B$4*9/10))^2)-($B$4*9/10)*(C175-MAX(B175,($B$4*9/10)))),0))*1000,0)</f>
        <v>0</v>
      </c>
      <c r="AK175" s="120">
        <f>IF(AND(J175="OK",ISNUMBER($B$5),$B$5&gt;0,ISNUMBER($B$3),$B$3&gt;0),F175/(6*$B$3*1000000*$B$5)*(IF(B175&lt;($B$4*10/10),($B$4*10/10)*(MIN(C175,($B$4*10/10))^3-B175^3)-(MIN(C175,($B$4*10/10))^4-B175^4)/4,0)+IF(C175&gt;($B$4*10/10),($B$4*10/10)^2*(1.5*(C175^2-MAX(B175,($B$4*10/10))^2)-($B$4*10/10)*(C175-MAX(B175,($B$4*10/10)))),0))*1000,0)</f>
        <v>0</v>
      </c>
      <c r="AM175" s="120">
        <f>IF(AND(V175="OK",ISNUMBER($N$5),$N$5&gt;0,ISNUMBER($N$3),$N$3&gt;0),R175/(6*$N$3*1000000*$N$5)*(IF(N175&lt;($N$4*0/10),($N$4*0/10)*(MIN(O175,($N$4*0/10))^3-N175^3)-(MIN(O175,($N$4*0/10))^4-N175^4)/4,0)+IF(O175&gt;($N$4*0/10),($N$4*0/10)^2*(1.5*(O175^2-MAX(N175,($N$4*0/10))^2)-($N$4*0/10)*(O175-MAX(N175,($N$4*0/10)))),0))*1000,0)</f>
        <v>0</v>
      </c>
      <c r="AN175" s="120">
        <f>IF(AND(V175="OK",ISNUMBER($N$5),$N$5&gt;0,ISNUMBER($N$3),$N$3&gt;0),R175/(6*$N$3*1000000*$N$5)*(IF(N175&lt;($N$4*1/10),($N$4*1/10)*(MIN(O175,($N$4*1/10))^3-N175^3)-(MIN(O175,($N$4*1/10))^4-N175^4)/4,0)+IF(O175&gt;($N$4*1/10),($N$4*1/10)^2*(1.5*(O175^2-MAX(N175,($N$4*1/10))^2)-($N$4*1/10)*(O175-MAX(N175,($N$4*1/10)))),0))*1000,0)</f>
        <v>0</v>
      </c>
      <c r="AO175" s="120">
        <f>IF(AND(V175="OK",ISNUMBER($N$5),$N$5&gt;0,ISNUMBER($N$3),$N$3&gt;0),R175/(6*$N$3*1000000*$N$5)*(IF(N175&lt;($N$4*2/10),($N$4*2/10)*(MIN(O175,($N$4*2/10))^3-N175^3)-(MIN(O175,($N$4*2/10))^4-N175^4)/4,0)+IF(O175&gt;($N$4*2/10),($N$4*2/10)^2*(1.5*(O175^2-MAX(N175,($N$4*2/10))^2)-($N$4*2/10)*(O175-MAX(N175,($N$4*2/10)))),0))*1000,0)</f>
        <v>0</v>
      </c>
      <c r="AP175" s="120">
        <f>IF(AND(V175="OK",ISNUMBER($N$5),$N$5&gt;0,ISNUMBER($N$3),$N$3&gt;0),R175/(6*$N$3*1000000*$N$5)*(IF(N175&lt;($N$4*3/10),($N$4*3/10)*(MIN(O175,($N$4*3/10))^3-N175^3)-(MIN(O175,($N$4*3/10))^4-N175^4)/4,0)+IF(O175&gt;($N$4*3/10),($N$4*3/10)^2*(1.5*(O175^2-MAX(N175,($N$4*3/10))^2)-($N$4*3/10)*(O175-MAX(N175,($N$4*3/10)))),0))*1000,0)</f>
        <v>0</v>
      </c>
      <c r="AQ175" s="120">
        <f>IF(AND(V175="OK",ISNUMBER($N$5),$N$5&gt;0,ISNUMBER($N$3),$N$3&gt;0),R175/(6*$N$3*1000000*$N$5)*(IF(N175&lt;($N$4*4/10),($N$4*4/10)*(MIN(O175,($N$4*4/10))^3-N175^3)-(MIN(O175,($N$4*4/10))^4-N175^4)/4,0)+IF(O175&gt;($N$4*4/10),($N$4*4/10)^2*(1.5*(O175^2-MAX(N175,($N$4*4/10))^2)-($N$4*4/10)*(O175-MAX(N175,($N$4*4/10)))),0))*1000,0)</f>
        <v>0</v>
      </c>
      <c r="AR175" s="120">
        <f>IF(AND(V175="OK",ISNUMBER($N$5),$N$5&gt;0,ISNUMBER($N$3),$N$3&gt;0),R175/(6*$N$3*1000000*$N$5)*(IF(N175&lt;($N$4*5/10),($N$4*5/10)*(MIN(O175,($N$4*5/10))^3-N175^3)-(MIN(O175,($N$4*5/10))^4-N175^4)/4,0)+IF(O175&gt;($N$4*5/10),($N$4*5/10)^2*(1.5*(O175^2-MAX(N175,($N$4*5/10))^2)-($N$4*5/10)*(O175-MAX(N175,($N$4*5/10)))),0))*1000,0)</f>
        <v>0</v>
      </c>
      <c r="AS175" s="120">
        <f>IF(AND(V175="OK",ISNUMBER($N$5),$N$5&gt;0,ISNUMBER($N$3),$N$3&gt;0),R175/(6*$N$3*1000000*$N$5)*(IF(N175&lt;($N$4*6/10),($N$4*6/10)*(MIN(O175,($N$4*6/10))^3-N175^3)-(MIN(O175,($N$4*6/10))^4-N175^4)/4,0)+IF(O175&gt;($N$4*6/10),($N$4*6/10)^2*(1.5*(O175^2-MAX(N175,($N$4*6/10))^2)-($N$4*6/10)*(O175-MAX(N175,($N$4*6/10)))),0))*1000,0)</f>
        <v>0</v>
      </c>
      <c r="AT175" s="120">
        <f>IF(AND(V175="OK",ISNUMBER($N$5),$N$5&gt;0,ISNUMBER($N$3),$N$3&gt;0),R175/(6*$N$3*1000000*$N$5)*(IF(N175&lt;($N$4*7/10),($N$4*7/10)*(MIN(O175,($N$4*7/10))^3-N175^3)-(MIN(O175,($N$4*7/10))^4-N175^4)/4,0)+IF(O175&gt;($N$4*7/10),($N$4*7/10)^2*(1.5*(O175^2-MAX(N175,($N$4*7/10))^2)-($N$4*7/10)*(O175-MAX(N175,($N$4*7/10)))),0))*1000,0)</f>
        <v>0</v>
      </c>
      <c r="AU175" s="120">
        <f>IF(AND(V175="OK",ISNUMBER($N$5),$N$5&gt;0,ISNUMBER($N$3),$N$3&gt;0),R175/(6*$N$3*1000000*$N$5)*(IF(N175&lt;($N$4*8/10),($N$4*8/10)*(MIN(O175,($N$4*8/10))^3-N175^3)-(MIN(O175,($N$4*8/10))^4-N175^4)/4,0)+IF(O175&gt;($N$4*8/10),($N$4*8/10)^2*(1.5*(O175^2-MAX(N175,($N$4*8/10))^2)-($N$4*8/10)*(O175-MAX(N175,($N$4*8/10)))),0))*1000,0)</f>
        <v>0</v>
      </c>
      <c r="AV175" s="120">
        <f>IF(AND(V175="OK",ISNUMBER($N$5),$N$5&gt;0,ISNUMBER($N$3),$N$3&gt;0),R175/(6*$N$3*1000000*$N$5)*(IF(N175&lt;($N$4*9/10),($N$4*9/10)*(MIN(O175,($N$4*9/10))^3-N175^3)-(MIN(O175,($N$4*9/10))^4-N175^4)/4,0)+IF(O175&gt;($N$4*9/10),($N$4*9/10)^2*(1.5*(O175^2-MAX(N175,($N$4*9/10))^2)-($N$4*9/10)*(O175-MAX(N175,($N$4*9/10)))),0))*1000,0)</f>
        <v>0</v>
      </c>
      <c r="AW175" s="120">
        <f>IF(AND(V175="OK",ISNUMBER($N$5),$N$5&gt;0,ISNUMBER($N$3),$N$3&gt;0),R175/(6*$N$3*1000000*$N$5)*(IF(N175&lt;($N$4*10/10),($N$4*10/10)*(MIN(O175,($N$4*10/10))^3-N175^3)-(MIN(O175,($N$4*10/10))^4-N175^4)/4,0)+IF(O175&gt;($N$4*10/10),($N$4*10/10)^2*(1.5*(O175^2-MAX(N175,($N$4*10/10))^2)-($N$4*10/10)*(O175-MAX(N175,($N$4*10/10)))),0))*1000,0)</f>
        <v>0</v>
      </c>
    </row>
    <row r="176" spans="1:49">
      <c r="A176" s="124"/>
      <c r="B176" s="125"/>
      <c r="C176" s="125"/>
      <c r="D176" s="125"/>
      <c r="E176" s="125"/>
      <c r="F176" s="126" t="str">
        <f>IF(J176="OK",D176*E176,"")</f>
        <v/>
      </c>
      <c r="G176" s="126" t="str">
        <f>IF(J176="OK",F176*(C176-B176),"")</f>
        <v/>
      </c>
      <c r="H176" s="126" t="str">
        <f>IF(J176="OK",G176*(C176+B176)/2,"")</f>
        <v/>
      </c>
      <c r="I176" s="126" t="str">
        <f>IF(AND(J176="OK",ISNUMBER($B$5),$B$5&gt;0,ISNUMBER($B$3),$B$3&gt;0),F176*(4*$B$4*(C176^3-B176^3)-(C176^4-B176^4))/(24*$B$3*1000000*$B$5)*1000,"")</f>
        <v/>
      </c>
      <c r="J176" s="120" t="str">
        <f>IF(COUNTA(A176:E176)=0,"",IF(AND(COUNT(B176:E176)=4,B176&gt;=0,C176&gt;B176,C176&lt;=$B$4,D176&gt;=0,E176&gt;0),IF(COUNTIFS($B$13:$B$175,"&lt;"&amp;C176,$C$13:$C$175,"&gt;"&amp;B176)&gt;0,"OVERLAP","OK"),"CHECK INPUTS"))</f>
        <v/>
      </c>
      <c r="M176" s="124"/>
      <c r="N176" s="125"/>
      <c r="O176" s="125"/>
      <c r="P176" s="125"/>
      <c r="Q176" s="125"/>
      <c r="R176" s="126" t="str">
        <f>IF(V176="OK",P176*Q176,"")</f>
        <v/>
      </c>
      <c r="S176" s="126" t="str">
        <f>IF(V176="OK",R176*(O176-N176),"")</f>
        <v/>
      </c>
      <c r="T176" s="126" t="str">
        <f>IF(V176="OK",S176*(O176+N176)/2,"")</f>
        <v/>
      </c>
      <c r="U176" s="126" t="str">
        <f>IF(AND(V176="OK",ISNUMBER($N$5),$N$5&gt;0,ISNUMBER($N$3),$N$3&gt;0),R176*(4*$N$4*(O176^3-N176^3)-(O176^4-N176^4))/(24*$N$3*1000000*$N$5)*1000,"")</f>
        <v/>
      </c>
      <c r="V176" s="120" t="str">
        <f>IF(COUNTA(M176:Q176)=0,"",IF(AND(COUNT(N176:Q176)=4,N176&gt;=0,O176&gt;N176,O176&lt;=$N$4,P176&gt;=0,Q176&gt;0),IF(COUNTIFS($N$13:$N$175,"&lt;"&amp;O176,$O$13:$O$175,"&gt;"&amp;N176)&gt;0,"OVERLAP","OK"),"CHECK INPUTS"))</f>
        <v/>
      </c>
      <c r="AA176" s="120">
        <f>IF(AND(J176="OK",ISNUMBER($B$5),$B$5&gt;0,ISNUMBER($B$3),$B$3&gt;0),F176/(6*$B$3*1000000*$B$5)*(IF(B176&lt;($B$4*0/10),($B$4*0/10)*(MIN(C176,($B$4*0/10))^3-B176^3)-(MIN(C176,($B$4*0/10))^4-B176^4)/4,0)+IF(C176&gt;($B$4*0/10),($B$4*0/10)^2*(1.5*(C176^2-MAX(B176,($B$4*0/10))^2)-($B$4*0/10)*(C176-MAX(B176,($B$4*0/10)))),0))*1000,0)</f>
        <v>0</v>
      </c>
      <c r="AB176" s="120">
        <f>IF(AND(J176="OK",ISNUMBER($B$5),$B$5&gt;0,ISNUMBER($B$3),$B$3&gt;0),F176/(6*$B$3*1000000*$B$5)*(IF(B176&lt;($B$4*1/10),($B$4*1/10)*(MIN(C176,($B$4*1/10))^3-B176^3)-(MIN(C176,($B$4*1/10))^4-B176^4)/4,0)+IF(C176&gt;($B$4*1/10),($B$4*1/10)^2*(1.5*(C176^2-MAX(B176,($B$4*1/10))^2)-($B$4*1/10)*(C176-MAX(B176,($B$4*1/10)))),0))*1000,0)</f>
        <v>0</v>
      </c>
      <c r="AC176" s="120">
        <f>IF(AND(J176="OK",ISNUMBER($B$5),$B$5&gt;0,ISNUMBER($B$3),$B$3&gt;0),F176/(6*$B$3*1000000*$B$5)*(IF(B176&lt;($B$4*2/10),($B$4*2/10)*(MIN(C176,($B$4*2/10))^3-B176^3)-(MIN(C176,($B$4*2/10))^4-B176^4)/4,0)+IF(C176&gt;($B$4*2/10),($B$4*2/10)^2*(1.5*(C176^2-MAX(B176,($B$4*2/10))^2)-($B$4*2/10)*(C176-MAX(B176,($B$4*2/10)))),0))*1000,0)</f>
        <v>0</v>
      </c>
      <c r="AD176" s="120">
        <f>IF(AND(J176="OK",ISNUMBER($B$5),$B$5&gt;0,ISNUMBER($B$3),$B$3&gt;0),F176/(6*$B$3*1000000*$B$5)*(IF(B176&lt;($B$4*3/10),($B$4*3/10)*(MIN(C176,($B$4*3/10))^3-B176^3)-(MIN(C176,($B$4*3/10))^4-B176^4)/4,0)+IF(C176&gt;($B$4*3/10),($B$4*3/10)^2*(1.5*(C176^2-MAX(B176,($B$4*3/10))^2)-($B$4*3/10)*(C176-MAX(B176,($B$4*3/10)))),0))*1000,0)</f>
        <v>0</v>
      </c>
      <c r="AE176" s="120">
        <f>IF(AND(J176="OK",ISNUMBER($B$5),$B$5&gt;0,ISNUMBER($B$3),$B$3&gt;0),F176/(6*$B$3*1000000*$B$5)*(IF(B176&lt;($B$4*4/10),($B$4*4/10)*(MIN(C176,($B$4*4/10))^3-B176^3)-(MIN(C176,($B$4*4/10))^4-B176^4)/4,0)+IF(C176&gt;($B$4*4/10),($B$4*4/10)^2*(1.5*(C176^2-MAX(B176,($B$4*4/10))^2)-($B$4*4/10)*(C176-MAX(B176,($B$4*4/10)))),0))*1000,0)</f>
        <v>0</v>
      </c>
      <c r="AF176" s="120">
        <f>IF(AND(J176="OK",ISNUMBER($B$5),$B$5&gt;0,ISNUMBER($B$3),$B$3&gt;0),F176/(6*$B$3*1000000*$B$5)*(IF(B176&lt;($B$4*5/10),($B$4*5/10)*(MIN(C176,($B$4*5/10))^3-B176^3)-(MIN(C176,($B$4*5/10))^4-B176^4)/4,0)+IF(C176&gt;($B$4*5/10),($B$4*5/10)^2*(1.5*(C176^2-MAX(B176,($B$4*5/10))^2)-($B$4*5/10)*(C176-MAX(B176,($B$4*5/10)))),0))*1000,0)</f>
        <v>0</v>
      </c>
      <c r="AG176" s="120">
        <f>IF(AND(J176="OK",ISNUMBER($B$5),$B$5&gt;0,ISNUMBER($B$3),$B$3&gt;0),F176/(6*$B$3*1000000*$B$5)*(IF(B176&lt;($B$4*6/10),($B$4*6/10)*(MIN(C176,($B$4*6/10))^3-B176^3)-(MIN(C176,($B$4*6/10))^4-B176^4)/4,0)+IF(C176&gt;($B$4*6/10),($B$4*6/10)^2*(1.5*(C176^2-MAX(B176,($B$4*6/10))^2)-($B$4*6/10)*(C176-MAX(B176,($B$4*6/10)))),0))*1000,0)</f>
        <v>0</v>
      </c>
      <c r="AH176" s="120">
        <f>IF(AND(J176="OK",ISNUMBER($B$5),$B$5&gt;0,ISNUMBER($B$3),$B$3&gt;0),F176/(6*$B$3*1000000*$B$5)*(IF(B176&lt;($B$4*7/10),($B$4*7/10)*(MIN(C176,($B$4*7/10))^3-B176^3)-(MIN(C176,($B$4*7/10))^4-B176^4)/4,0)+IF(C176&gt;($B$4*7/10),($B$4*7/10)^2*(1.5*(C176^2-MAX(B176,($B$4*7/10))^2)-($B$4*7/10)*(C176-MAX(B176,($B$4*7/10)))),0))*1000,0)</f>
        <v>0</v>
      </c>
      <c r="AI176" s="120">
        <f>IF(AND(J176="OK",ISNUMBER($B$5),$B$5&gt;0,ISNUMBER($B$3),$B$3&gt;0),F176/(6*$B$3*1000000*$B$5)*(IF(B176&lt;($B$4*8/10),($B$4*8/10)*(MIN(C176,($B$4*8/10))^3-B176^3)-(MIN(C176,($B$4*8/10))^4-B176^4)/4,0)+IF(C176&gt;($B$4*8/10),($B$4*8/10)^2*(1.5*(C176^2-MAX(B176,($B$4*8/10))^2)-($B$4*8/10)*(C176-MAX(B176,($B$4*8/10)))),0))*1000,0)</f>
        <v>0</v>
      </c>
      <c r="AJ176" s="120">
        <f>IF(AND(J176="OK",ISNUMBER($B$5),$B$5&gt;0,ISNUMBER($B$3),$B$3&gt;0),F176/(6*$B$3*1000000*$B$5)*(IF(B176&lt;($B$4*9/10),($B$4*9/10)*(MIN(C176,($B$4*9/10))^3-B176^3)-(MIN(C176,($B$4*9/10))^4-B176^4)/4,0)+IF(C176&gt;($B$4*9/10),($B$4*9/10)^2*(1.5*(C176^2-MAX(B176,($B$4*9/10))^2)-($B$4*9/10)*(C176-MAX(B176,($B$4*9/10)))),0))*1000,0)</f>
        <v>0</v>
      </c>
      <c r="AK176" s="120">
        <f>IF(AND(J176="OK",ISNUMBER($B$5),$B$5&gt;0,ISNUMBER($B$3),$B$3&gt;0),F176/(6*$B$3*1000000*$B$5)*(IF(B176&lt;($B$4*10/10),($B$4*10/10)*(MIN(C176,($B$4*10/10))^3-B176^3)-(MIN(C176,($B$4*10/10))^4-B176^4)/4,0)+IF(C176&gt;($B$4*10/10),($B$4*10/10)^2*(1.5*(C176^2-MAX(B176,($B$4*10/10))^2)-($B$4*10/10)*(C176-MAX(B176,($B$4*10/10)))),0))*1000,0)</f>
        <v>0</v>
      </c>
      <c r="AM176" s="120">
        <f>IF(AND(V176="OK",ISNUMBER($N$5),$N$5&gt;0,ISNUMBER($N$3),$N$3&gt;0),R176/(6*$N$3*1000000*$N$5)*(IF(N176&lt;($N$4*0/10),($N$4*0/10)*(MIN(O176,($N$4*0/10))^3-N176^3)-(MIN(O176,($N$4*0/10))^4-N176^4)/4,0)+IF(O176&gt;($N$4*0/10),($N$4*0/10)^2*(1.5*(O176^2-MAX(N176,($N$4*0/10))^2)-($N$4*0/10)*(O176-MAX(N176,($N$4*0/10)))),0))*1000,0)</f>
        <v>0</v>
      </c>
      <c r="AN176" s="120">
        <f>IF(AND(V176="OK",ISNUMBER($N$5),$N$5&gt;0,ISNUMBER($N$3),$N$3&gt;0),R176/(6*$N$3*1000000*$N$5)*(IF(N176&lt;($N$4*1/10),($N$4*1/10)*(MIN(O176,($N$4*1/10))^3-N176^3)-(MIN(O176,($N$4*1/10))^4-N176^4)/4,0)+IF(O176&gt;($N$4*1/10),($N$4*1/10)^2*(1.5*(O176^2-MAX(N176,($N$4*1/10))^2)-($N$4*1/10)*(O176-MAX(N176,($N$4*1/10)))),0))*1000,0)</f>
        <v>0</v>
      </c>
      <c r="AO176" s="120">
        <f>IF(AND(V176="OK",ISNUMBER($N$5),$N$5&gt;0,ISNUMBER($N$3),$N$3&gt;0),R176/(6*$N$3*1000000*$N$5)*(IF(N176&lt;($N$4*2/10),($N$4*2/10)*(MIN(O176,($N$4*2/10))^3-N176^3)-(MIN(O176,($N$4*2/10))^4-N176^4)/4,0)+IF(O176&gt;($N$4*2/10),($N$4*2/10)^2*(1.5*(O176^2-MAX(N176,($N$4*2/10))^2)-($N$4*2/10)*(O176-MAX(N176,($N$4*2/10)))),0))*1000,0)</f>
        <v>0</v>
      </c>
      <c r="AP176" s="120">
        <f>IF(AND(V176="OK",ISNUMBER($N$5),$N$5&gt;0,ISNUMBER($N$3),$N$3&gt;0),R176/(6*$N$3*1000000*$N$5)*(IF(N176&lt;($N$4*3/10),($N$4*3/10)*(MIN(O176,($N$4*3/10))^3-N176^3)-(MIN(O176,($N$4*3/10))^4-N176^4)/4,0)+IF(O176&gt;($N$4*3/10),($N$4*3/10)^2*(1.5*(O176^2-MAX(N176,($N$4*3/10))^2)-($N$4*3/10)*(O176-MAX(N176,($N$4*3/10)))),0))*1000,0)</f>
        <v>0</v>
      </c>
      <c r="AQ176" s="120">
        <f>IF(AND(V176="OK",ISNUMBER($N$5),$N$5&gt;0,ISNUMBER($N$3),$N$3&gt;0),R176/(6*$N$3*1000000*$N$5)*(IF(N176&lt;($N$4*4/10),($N$4*4/10)*(MIN(O176,($N$4*4/10))^3-N176^3)-(MIN(O176,($N$4*4/10))^4-N176^4)/4,0)+IF(O176&gt;($N$4*4/10),($N$4*4/10)^2*(1.5*(O176^2-MAX(N176,($N$4*4/10))^2)-($N$4*4/10)*(O176-MAX(N176,($N$4*4/10)))),0))*1000,0)</f>
        <v>0</v>
      </c>
      <c r="AR176" s="120">
        <f>IF(AND(V176="OK",ISNUMBER($N$5),$N$5&gt;0,ISNUMBER($N$3),$N$3&gt;0),R176/(6*$N$3*1000000*$N$5)*(IF(N176&lt;($N$4*5/10),($N$4*5/10)*(MIN(O176,($N$4*5/10))^3-N176^3)-(MIN(O176,($N$4*5/10))^4-N176^4)/4,0)+IF(O176&gt;($N$4*5/10),($N$4*5/10)^2*(1.5*(O176^2-MAX(N176,($N$4*5/10))^2)-($N$4*5/10)*(O176-MAX(N176,($N$4*5/10)))),0))*1000,0)</f>
        <v>0</v>
      </c>
      <c r="AS176" s="120">
        <f>IF(AND(V176="OK",ISNUMBER($N$5),$N$5&gt;0,ISNUMBER($N$3),$N$3&gt;0),R176/(6*$N$3*1000000*$N$5)*(IF(N176&lt;($N$4*6/10),($N$4*6/10)*(MIN(O176,($N$4*6/10))^3-N176^3)-(MIN(O176,($N$4*6/10))^4-N176^4)/4,0)+IF(O176&gt;($N$4*6/10),($N$4*6/10)^2*(1.5*(O176^2-MAX(N176,($N$4*6/10))^2)-($N$4*6/10)*(O176-MAX(N176,($N$4*6/10)))),0))*1000,0)</f>
        <v>0</v>
      </c>
      <c r="AT176" s="120">
        <f>IF(AND(V176="OK",ISNUMBER($N$5),$N$5&gt;0,ISNUMBER($N$3),$N$3&gt;0),R176/(6*$N$3*1000000*$N$5)*(IF(N176&lt;($N$4*7/10),($N$4*7/10)*(MIN(O176,($N$4*7/10))^3-N176^3)-(MIN(O176,($N$4*7/10))^4-N176^4)/4,0)+IF(O176&gt;($N$4*7/10),($N$4*7/10)^2*(1.5*(O176^2-MAX(N176,($N$4*7/10))^2)-($N$4*7/10)*(O176-MAX(N176,($N$4*7/10)))),0))*1000,0)</f>
        <v>0</v>
      </c>
      <c r="AU176" s="120">
        <f>IF(AND(V176="OK",ISNUMBER($N$5),$N$5&gt;0,ISNUMBER($N$3),$N$3&gt;0),R176/(6*$N$3*1000000*$N$5)*(IF(N176&lt;($N$4*8/10),($N$4*8/10)*(MIN(O176,($N$4*8/10))^3-N176^3)-(MIN(O176,($N$4*8/10))^4-N176^4)/4,0)+IF(O176&gt;($N$4*8/10),($N$4*8/10)^2*(1.5*(O176^2-MAX(N176,($N$4*8/10))^2)-($N$4*8/10)*(O176-MAX(N176,($N$4*8/10)))),0))*1000,0)</f>
        <v>0</v>
      </c>
      <c r="AV176" s="120">
        <f>IF(AND(V176="OK",ISNUMBER($N$5),$N$5&gt;0,ISNUMBER($N$3),$N$3&gt;0),R176/(6*$N$3*1000000*$N$5)*(IF(N176&lt;($N$4*9/10),($N$4*9/10)*(MIN(O176,($N$4*9/10))^3-N176^3)-(MIN(O176,($N$4*9/10))^4-N176^4)/4,0)+IF(O176&gt;($N$4*9/10),($N$4*9/10)^2*(1.5*(O176^2-MAX(N176,($N$4*9/10))^2)-($N$4*9/10)*(O176-MAX(N176,($N$4*9/10)))),0))*1000,0)</f>
        <v>0</v>
      </c>
      <c r="AW176" s="120">
        <f>IF(AND(V176="OK",ISNUMBER($N$5),$N$5&gt;0,ISNUMBER($N$3),$N$3&gt;0),R176/(6*$N$3*1000000*$N$5)*(IF(N176&lt;($N$4*10/10),($N$4*10/10)*(MIN(O176,($N$4*10/10))^3-N176^3)-(MIN(O176,($N$4*10/10))^4-N176^4)/4,0)+IF(O176&gt;($N$4*10/10),($N$4*10/10)^2*(1.5*(O176^2-MAX(N176,($N$4*10/10))^2)-($N$4*10/10)*(O176-MAX(N176,($N$4*10/10)))),0))*1000,0)</f>
        <v>0</v>
      </c>
    </row>
    <row r="177" spans="1:49">
      <c r="A177" s="124"/>
      <c r="B177" s="125"/>
      <c r="C177" s="125"/>
      <c r="D177" s="125"/>
      <c r="E177" s="125"/>
      <c r="F177" s="126" t="str">
        <f>IF(J177="OK",D177*E177,"")</f>
        <v/>
      </c>
      <c r="G177" s="126" t="str">
        <f>IF(J177="OK",F177*(C177-B177),"")</f>
        <v/>
      </c>
      <c r="H177" s="126" t="str">
        <f>IF(J177="OK",G177*(C177+B177)/2,"")</f>
        <v/>
      </c>
      <c r="I177" s="126" t="str">
        <f>IF(AND(J177="OK",ISNUMBER($B$5),$B$5&gt;0,ISNUMBER($B$3),$B$3&gt;0),F177*(4*$B$4*(C177^3-B177^3)-(C177^4-B177^4))/(24*$B$3*1000000*$B$5)*1000,"")</f>
        <v/>
      </c>
      <c r="J177" s="120" t="str">
        <f>IF(COUNTA(A177:E177)=0,"",IF(AND(COUNT(B177:E177)=4,B177&gt;=0,C177&gt;B177,C177&lt;=$B$4,D177&gt;=0,E177&gt;0),IF(COUNTIFS($B$13:$B$176,"&lt;"&amp;C177,$C$13:$C$176,"&gt;"&amp;B177)&gt;0,"OVERLAP","OK"),"CHECK INPUTS"))</f>
        <v/>
      </c>
      <c r="M177" s="124"/>
      <c r="N177" s="125"/>
      <c r="O177" s="125"/>
      <c r="P177" s="125"/>
      <c r="Q177" s="125"/>
      <c r="R177" s="126" t="str">
        <f>IF(V177="OK",P177*Q177,"")</f>
        <v/>
      </c>
      <c r="S177" s="126" t="str">
        <f>IF(V177="OK",R177*(O177-N177),"")</f>
        <v/>
      </c>
      <c r="T177" s="126" t="str">
        <f>IF(V177="OK",S177*(O177+N177)/2,"")</f>
        <v/>
      </c>
      <c r="U177" s="126" t="str">
        <f>IF(AND(V177="OK",ISNUMBER($N$5),$N$5&gt;0,ISNUMBER($N$3),$N$3&gt;0),R177*(4*$N$4*(O177^3-N177^3)-(O177^4-N177^4))/(24*$N$3*1000000*$N$5)*1000,"")</f>
        <v/>
      </c>
      <c r="V177" s="120" t="str">
        <f>IF(COUNTA(M177:Q177)=0,"",IF(AND(COUNT(N177:Q177)=4,N177&gt;=0,O177&gt;N177,O177&lt;=$N$4,P177&gt;=0,Q177&gt;0),IF(COUNTIFS($N$13:$N$176,"&lt;"&amp;O177,$O$13:$O$176,"&gt;"&amp;N177)&gt;0,"OVERLAP","OK"),"CHECK INPUTS"))</f>
        <v/>
      </c>
      <c r="AA177" s="120">
        <f>IF(AND(J177="OK",ISNUMBER($B$5),$B$5&gt;0,ISNUMBER($B$3),$B$3&gt;0),F177/(6*$B$3*1000000*$B$5)*(IF(B177&lt;($B$4*0/10),($B$4*0/10)*(MIN(C177,($B$4*0/10))^3-B177^3)-(MIN(C177,($B$4*0/10))^4-B177^4)/4,0)+IF(C177&gt;($B$4*0/10),($B$4*0/10)^2*(1.5*(C177^2-MAX(B177,($B$4*0/10))^2)-($B$4*0/10)*(C177-MAX(B177,($B$4*0/10)))),0))*1000,0)</f>
        <v>0</v>
      </c>
      <c r="AB177" s="120">
        <f>IF(AND(J177="OK",ISNUMBER($B$5),$B$5&gt;0,ISNUMBER($B$3),$B$3&gt;0),F177/(6*$B$3*1000000*$B$5)*(IF(B177&lt;($B$4*1/10),($B$4*1/10)*(MIN(C177,($B$4*1/10))^3-B177^3)-(MIN(C177,($B$4*1/10))^4-B177^4)/4,0)+IF(C177&gt;($B$4*1/10),($B$4*1/10)^2*(1.5*(C177^2-MAX(B177,($B$4*1/10))^2)-($B$4*1/10)*(C177-MAX(B177,($B$4*1/10)))),0))*1000,0)</f>
        <v>0</v>
      </c>
      <c r="AC177" s="120">
        <f>IF(AND(J177="OK",ISNUMBER($B$5),$B$5&gt;0,ISNUMBER($B$3),$B$3&gt;0),F177/(6*$B$3*1000000*$B$5)*(IF(B177&lt;($B$4*2/10),($B$4*2/10)*(MIN(C177,($B$4*2/10))^3-B177^3)-(MIN(C177,($B$4*2/10))^4-B177^4)/4,0)+IF(C177&gt;($B$4*2/10),($B$4*2/10)^2*(1.5*(C177^2-MAX(B177,($B$4*2/10))^2)-($B$4*2/10)*(C177-MAX(B177,($B$4*2/10)))),0))*1000,0)</f>
        <v>0</v>
      </c>
      <c r="AD177" s="120">
        <f>IF(AND(J177="OK",ISNUMBER($B$5),$B$5&gt;0,ISNUMBER($B$3),$B$3&gt;0),F177/(6*$B$3*1000000*$B$5)*(IF(B177&lt;($B$4*3/10),($B$4*3/10)*(MIN(C177,($B$4*3/10))^3-B177^3)-(MIN(C177,($B$4*3/10))^4-B177^4)/4,0)+IF(C177&gt;($B$4*3/10),($B$4*3/10)^2*(1.5*(C177^2-MAX(B177,($B$4*3/10))^2)-($B$4*3/10)*(C177-MAX(B177,($B$4*3/10)))),0))*1000,0)</f>
        <v>0</v>
      </c>
      <c r="AE177" s="120">
        <f>IF(AND(J177="OK",ISNUMBER($B$5),$B$5&gt;0,ISNUMBER($B$3),$B$3&gt;0),F177/(6*$B$3*1000000*$B$5)*(IF(B177&lt;($B$4*4/10),($B$4*4/10)*(MIN(C177,($B$4*4/10))^3-B177^3)-(MIN(C177,($B$4*4/10))^4-B177^4)/4,0)+IF(C177&gt;($B$4*4/10),($B$4*4/10)^2*(1.5*(C177^2-MAX(B177,($B$4*4/10))^2)-($B$4*4/10)*(C177-MAX(B177,($B$4*4/10)))),0))*1000,0)</f>
        <v>0</v>
      </c>
      <c r="AF177" s="120">
        <f>IF(AND(J177="OK",ISNUMBER($B$5),$B$5&gt;0,ISNUMBER($B$3),$B$3&gt;0),F177/(6*$B$3*1000000*$B$5)*(IF(B177&lt;($B$4*5/10),($B$4*5/10)*(MIN(C177,($B$4*5/10))^3-B177^3)-(MIN(C177,($B$4*5/10))^4-B177^4)/4,0)+IF(C177&gt;($B$4*5/10),($B$4*5/10)^2*(1.5*(C177^2-MAX(B177,($B$4*5/10))^2)-($B$4*5/10)*(C177-MAX(B177,($B$4*5/10)))),0))*1000,0)</f>
        <v>0</v>
      </c>
      <c r="AG177" s="120">
        <f>IF(AND(J177="OK",ISNUMBER($B$5),$B$5&gt;0,ISNUMBER($B$3),$B$3&gt;0),F177/(6*$B$3*1000000*$B$5)*(IF(B177&lt;($B$4*6/10),($B$4*6/10)*(MIN(C177,($B$4*6/10))^3-B177^3)-(MIN(C177,($B$4*6/10))^4-B177^4)/4,0)+IF(C177&gt;($B$4*6/10),($B$4*6/10)^2*(1.5*(C177^2-MAX(B177,($B$4*6/10))^2)-($B$4*6/10)*(C177-MAX(B177,($B$4*6/10)))),0))*1000,0)</f>
        <v>0</v>
      </c>
      <c r="AH177" s="120">
        <f>IF(AND(J177="OK",ISNUMBER($B$5),$B$5&gt;0,ISNUMBER($B$3),$B$3&gt;0),F177/(6*$B$3*1000000*$B$5)*(IF(B177&lt;($B$4*7/10),($B$4*7/10)*(MIN(C177,($B$4*7/10))^3-B177^3)-(MIN(C177,($B$4*7/10))^4-B177^4)/4,0)+IF(C177&gt;($B$4*7/10),($B$4*7/10)^2*(1.5*(C177^2-MAX(B177,($B$4*7/10))^2)-($B$4*7/10)*(C177-MAX(B177,($B$4*7/10)))),0))*1000,0)</f>
        <v>0</v>
      </c>
      <c r="AI177" s="120">
        <f>IF(AND(J177="OK",ISNUMBER($B$5),$B$5&gt;0,ISNUMBER($B$3),$B$3&gt;0),F177/(6*$B$3*1000000*$B$5)*(IF(B177&lt;($B$4*8/10),($B$4*8/10)*(MIN(C177,($B$4*8/10))^3-B177^3)-(MIN(C177,($B$4*8/10))^4-B177^4)/4,0)+IF(C177&gt;($B$4*8/10),($B$4*8/10)^2*(1.5*(C177^2-MAX(B177,($B$4*8/10))^2)-($B$4*8/10)*(C177-MAX(B177,($B$4*8/10)))),0))*1000,0)</f>
        <v>0</v>
      </c>
      <c r="AJ177" s="120">
        <f>IF(AND(J177="OK",ISNUMBER($B$5),$B$5&gt;0,ISNUMBER($B$3),$B$3&gt;0),F177/(6*$B$3*1000000*$B$5)*(IF(B177&lt;($B$4*9/10),($B$4*9/10)*(MIN(C177,($B$4*9/10))^3-B177^3)-(MIN(C177,($B$4*9/10))^4-B177^4)/4,0)+IF(C177&gt;($B$4*9/10),($B$4*9/10)^2*(1.5*(C177^2-MAX(B177,($B$4*9/10))^2)-($B$4*9/10)*(C177-MAX(B177,($B$4*9/10)))),0))*1000,0)</f>
        <v>0</v>
      </c>
      <c r="AK177" s="120">
        <f>IF(AND(J177="OK",ISNUMBER($B$5),$B$5&gt;0,ISNUMBER($B$3),$B$3&gt;0),F177/(6*$B$3*1000000*$B$5)*(IF(B177&lt;($B$4*10/10),($B$4*10/10)*(MIN(C177,($B$4*10/10))^3-B177^3)-(MIN(C177,($B$4*10/10))^4-B177^4)/4,0)+IF(C177&gt;($B$4*10/10),($B$4*10/10)^2*(1.5*(C177^2-MAX(B177,($B$4*10/10))^2)-($B$4*10/10)*(C177-MAX(B177,($B$4*10/10)))),0))*1000,0)</f>
        <v>0</v>
      </c>
      <c r="AM177" s="120">
        <f>IF(AND(V177="OK",ISNUMBER($N$5),$N$5&gt;0,ISNUMBER($N$3),$N$3&gt;0),R177/(6*$N$3*1000000*$N$5)*(IF(N177&lt;($N$4*0/10),($N$4*0/10)*(MIN(O177,($N$4*0/10))^3-N177^3)-(MIN(O177,($N$4*0/10))^4-N177^4)/4,0)+IF(O177&gt;($N$4*0/10),($N$4*0/10)^2*(1.5*(O177^2-MAX(N177,($N$4*0/10))^2)-($N$4*0/10)*(O177-MAX(N177,($N$4*0/10)))),0))*1000,0)</f>
        <v>0</v>
      </c>
      <c r="AN177" s="120">
        <f>IF(AND(V177="OK",ISNUMBER($N$5),$N$5&gt;0,ISNUMBER($N$3),$N$3&gt;0),R177/(6*$N$3*1000000*$N$5)*(IF(N177&lt;($N$4*1/10),($N$4*1/10)*(MIN(O177,($N$4*1/10))^3-N177^3)-(MIN(O177,($N$4*1/10))^4-N177^4)/4,0)+IF(O177&gt;($N$4*1/10),($N$4*1/10)^2*(1.5*(O177^2-MAX(N177,($N$4*1/10))^2)-($N$4*1/10)*(O177-MAX(N177,($N$4*1/10)))),0))*1000,0)</f>
        <v>0</v>
      </c>
      <c r="AO177" s="120">
        <f>IF(AND(V177="OK",ISNUMBER($N$5),$N$5&gt;0,ISNUMBER($N$3),$N$3&gt;0),R177/(6*$N$3*1000000*$N$5)*(IF(N177&lt;($N$4*2/10),($N$4*2/10)*(MIN(O177,($N$4*2/10))^3-N177^3)-(MIN(O177,($N$4*2/10))^4-N177^4)/4,0)+IF(O177&gt;($N$4*2/10),($N$4*2/10)^2*(1.5*(O177^2-MAX(N177,($N$4*2/10))^2)-($N$4*2/10)*(O177-MAX(N177,($N$4*2/10)))),0))*1000,0)</f>
        <v>0</v>
      </c>
      <c r="AP177" s="120">
        <f>IF(AND(V177="OK",ISNUMBER($N$5),$N$5&gt;0,ISNUMBER($N$3),$N$3&gt;0),R177/(6*$N$3*1000000*$N$5)*(IF(N177&lt;($N$4*3/10),($N$4*3/10)*(MIN(O177,($N$4*3/10))^3-N177^3)-(MIN(O177,($N$4*3/10))^4-N177^4)/4,0)+IF(O177&gt;($N$4*3/10),($N$4*3/10)^2*(1.5*(O177^2-MAX(N177,($N$4*3/10))^2)-($N$4*3/10)*(O177-MAX(N177,($N$4*3/10)))),0))*1000,0)</f>
        <v>0</v>
      </c>
      <c r="AQ177" s="120">
        <f>IF(AND(V177="OK",ISNUMBER($N$5),$N$5&gt;0,ISNUMBER($N$3),$N$3&gt;0),R177/(6*$N$3*1000000*$N$5)*(IF(N177&lt;($N$4*4/10),($N$4*4/10)*(MIN(O177,($N$4*4/10))^3-N177^3)-(MIN(O177,($N$4*4/10))^4-N177^4)/4,0)+IF(O177&gt;($N$4*4/10),($N$4*4/10)^2*(1.5*(O177^2-MAX(N177,($N$4*4/10))^2)-($N$4*4/10)*(O177-MAX(N177,($N$4*4/10)))),0))*1000,0)</f>
        <v>0</v>
      </c>
      <c r="AR177" s="120">
        <f>IF(AND(V177="OK",ISNUMBER($N$5),$N$5&gt;0,ISNUMBER($N$3),$N$3&gt;0),R177/(6*$N$3*1000000*$N$5)*(IF(N177&lt;($N$4*5/10),($N$4*5/10)*(MIN(O177,($N$4*5/10))^3-N177^3)-(MIN(O177,($N$4*5/10))^4-N177^4)/4,0)+IF(O177&gt;($N$4*5/10),($N$4*5/10)^2*(1.5*(O177^2-MAX(N177,($N$4*5/10))^2)-($N$4*5/10)*(O177-MAX(N177,($N$4*5/10)))),0))*1000,0)</f>
        <v>0</v>
      </c>
      <c r="AS177" s="120">
        <f>IF(AND(V177="OK",ISNUMBER($N$5),$N$5&gt;0,ISNUMBER($N$3),$N$3&gt;0),R177/(6*$N$3*1000000*$N$5)*(IF(N177&lt;($N$4*6/10),($N$4*6/10)*(MIN(O177,($N$4*6/10))^3-N177^3)-(MIN(O177,($N$4*6/10))^4-N177^4)/4,0)+IF(O177&gt;($N$4*6/10),($N$4*6/10)^2*(1.5*(O177^2-MAX(N177,($N$4*6/10))^2)-($N$4*6/10)*(O177-MAX(N177,($N$4*6/10)))),0))*1000,0)</f>
        <v>0</v>
      </c>
      <c r="AT177" s="120">
        <f>IF(AND(V177="OK",ISNUMBER($N$5),$N$5&gt;0,ISNUMBER($N$3),$N$3&gt;0),R177/(6*$N$3*1000000*$N$5)*(IF(N177&lt;($N$4*7/10),($N$4*7/10)*(MIN(O177,($N$4*7/10))^3-N177^3)-(MIN(O177,($N$4*7/10))^4-N177^4)/4,0)+IF(O177&gt;($N$4*7/10),($N$4*7/10)^2*(1.5*(O177^2-MAX(N177,($N$4*7/10))^2)-($N$4*7/10)*(O177-MAX(N177,($N$4*7/10)))),0))*1000,0)</f>
        <v>0</v>
      </c>
      <c r="AU177" s="120">
        <f>IF(AND(V177="OK",ISNUMBER($N$5),$N$5&gt;0,ISNUMBER($N$3),$N$3&gt;0),R177/(6*$N$3*1000000*$N$5)*(IF(N177&lt;($N$4*8/10),($N$4*8/10)*(MIN(O177,($N$4*8/10))^3-N177^3)-(MIN(O177,($N$4*8/10))^4-N177^4)/4,0)+IF(O177&gt;($N$4*8/10),($N$4*8/10)^2*(1.5*(O177^2-MAX(N177,($N$4*8/10))^2)-($N$4*8/10)*(O177-MAX(N177,($N$4*8/10)))),0))*1000,0)</f>
        <v>0</v>
      </c>
      <c r="AV177" s="120">
        <f>IF(AND(V177="OK",ISNUMBER($N$5),$N$5&gt;0,ISNUMBER($N$3),$N$3&gt;0),R177/(6*$N$3*1000000*$N$5)*(IF(N177&lt;($N$4*9/10),($N$4*9/10)*(MIN(O177,($N$4*9/10))^3-N177^3)-(MIN(O177,($N$4*9/10))^4-N177^4)/4,0)+IF(O177&gt;($N$4*9/10),($N$4*9/10)^2*(1.5*(O177^2-MAX(N177,($N$4*9/10))^2)-($N$4*9/10)*(O177-MAX(N177,($N$4*9/10)))),0))*1000,0)</f>
        <v>0</v>
      </c>
      <c r="AW177" s="120">
        <f>IF(AND(V177="OK",ISNUMBER($N$5),$N$5&gt;0,ISNUMBER($N$3),$N$3&gt;0),R177/(6*$N$3*1000000*$N$5)*(IF(N177&lt;($N$4*10/10),($N$4*10/10)*(MIN(O177,($N$4*10/10))^3-N177^3)-(MIN(O177,($N$4*10/10))^4-N177^4)/4,0)+IF(O177&gt;($N$4*10/10),($N$4*10/10)^2*(1.5*(O177^2-MAX(N177,($N$4*10/10))^2)-($N$4*10/10)*(O177-MAX(N177,($N$4*10/10)))),0))*1000,0)</f>
        <v>0</v>
      </c>
    </row>
    <row r="178" spans="1:49">
      <c r="A178" s="124"/>
      <c r="B178" s="125"/>
      <c r="C178" s="125"/>
      <c r="D178" s="125"/>
      <c r="E178" s="125"/>
      <c r="F178" s="126" t="str">
        <f>IF(J178="OK",D178*E178,"")</f>
        <v/>
      </c>
      <c r="G178" s="126" t="str">
        <f>IF(J178="OK",F178*(C178-B178),"")</f>
        <v/>
      </c>
      <c r="H178" s="126" t="str">
        <f>IF(J178="OK",G178*(C178+B178)/2,"")</f>
        <v/>
      </c>
      <c r="I178" s="126" t="str">
        <f>IF(AND(J178="OK",ISNUMBER($B$5),$B$5&gt;0,ISNUMBER($B$3),$B$3&gt;0),F178*(4*$B$4*(C178^3-B178^3)-(C178^4-B178^4))/(24*$B$3*1000000*$B$5)*1000,"")</f>
        <v/>
      </c>
      <c r="J178" s="120" t="str">
        <f>IF(COUNTA(A178:E178)=0,"",IF(AND(COUNT(B178:E178)=4,B178&gt;=0,C178&gt;B178,C178&lt;=$B$4,D178&gt;=0,E178&gt;0),IF(COUNTIFS($B$13:$B$177,"&lt;"&amp;C178,$C$13:$C$177,"&gt;"&amp;B178)&gt;0,"OVERLAP","OK"),"CHECK INPUTS"))</f>
        <v/>
      </c>
      <c r="M178" s="124"/>
      <c r="N178" s="125"/>
      <c r="O178" s="125"/>
      <c r="P178" s="125"/>
      <c r="Q178" s="125"/>
      <c r="R178" s="126" t="str">
        <f>IF(V178="OK",P178*Q178,"")</f>
        <v/>
      </c>
      <c r="S178" s="126" t="str">
        <f>IF(V178="OK",R178*(O178-N178),"")</f>
        <v/>
      </c>
      <c r="T178" s="126" t="str">
        <f>IF(V178="OK",S178*(O178+N178)/2,"")</f>
        <v/>
      </c>
      <c r="U178" s="126" t="str">
        <f>IF(AND(V178="OK",ISNUMBER($N$5),$N$5&gt;0,ISNUMBER($N$3),$N$3&gt;0),R178*(4*$N$4*(O178^3-N178^3)-(O178^4-N178^4))/(24*$N$3*1000000*$N$5)*1000,"")</f>
        <v/>
      </c>
      <c r="V178" s="120" t="str">
        <f>IF(COUNTA(M178:Q178)=0,"",IF(AND(COUNT(N178:Q178)=4,N178&gt;=0,O178&gt;N178,O178&lt;=$N$4,P178&gt;=0,Q178&gt;0),IF(COUNTIFS($N$13:$N$177,"&lt;"&amp;O178,$O$13:$O$177,"&gt;"&amp;N178)&gt;0,"OVERLAP","OK"),"CHECK INPUTS"))</f>
        <v/>
      </c>
      <c r="AA178" s="120">
        <f>IF(AND(J178="OK",ISNUMBER($B$5),$B$5&gt;0,ISNUMBER($B$3),$B$3&gt;0),F178/(6*$B$3*1000000*$B$5)*(IF(B178&lt;($B$4*0/10),($B$4*0/10)*(MIN(C178,($B$4*0/10))^3-B178^3)-(MIN(C178,($B$4*0/10))^4-B178^4)/4,0)+IF(C178&gt;($B$4*0/10),($B$4*0/10)^2*(1.5*(C178^2-MAX(B178,($B$4*0/10))^2)-($B$4*0/10)*(C178-MAX(B178,($B$4*0/10)))),0))*1000,0)</f>
        <v>0</v>
      </c>
      <c r="AB178" s="120">
        <f>IF(AND(J178="OK",ISNUMBER($B$5),$B$5&gt;0,ISNUMBER($B$3),$B$3&gt;0),F178/(6*$B$3*1000000*$B$5)*(IF(B178&lt;($B$4*1/10),($B$4*1/10)*(MIN(C178,($B$4*1/10))^3-B178^3)-(MIN(C178,($B$4*1/10))^4-B178^4)/4,0)+IF(C178&gt;($B$4*1/10),($B$4*1/10)^2*(1.5*(C178^2-MAX(B178,($B$4*1/10))^2)-($B$4*1/10)*(C178-MAX(B178,($B$4*1/10)))),0))*1000,0)</f>
        <v>0</v>
      </c>
      <c r="AC178" s="120">
        <f>IF(AND(J178="OK",ISNUMBER($B$5),$B$5&gt;0,ISNUMBER($B$3),$B$3&gt;0),F178/(6*$B$3*1000000*$B$5)*(IF(B178&lt;($B$4*2/10),($B$4*2/10)*(MIN(C178,($B$4*2/10))^3-B178^3)-(MIN(C178,($B$4*2/10))^4-B178^4)/4,0)+IF(C178&gt;($B$4*2/10),($B$4*2/10)^2*(1.5*(C178^2-MAX(B178,($B$4*2/10))^2)-($B$4*2/10)*(C178-MAX(B178,($B$4*2/10)))),0))*1000,0)</f>
        <v>0</v>
      </c>
      <c r="AD178" s="120">
        <f>IF(AND(J178="OK",ISNUMBER($B$5),$B$5&gt;0,ISNUMBER($B$3),$B$3&gt;0),F178/(6*$B$3*1000000*$B$5)*(IF(B178&lt;($B$4*3/10),($B$4*3/10)*(MIN(C178,($B$4*3/10))^3-B178^3)-(MIN(C178,($B$4*3/10))^4-B178^4)/4,0)+IF(C178&gt;($B$4*3/10),($B$4*3/10)^2*(1.5*(C178^2-MAX(B178,($B$4*3/10))^2)-($B$4*3/10)*(C178-MAX(B178,($B$4*3/10)))),0))*1000,0)</f>
        <v>0</v>
      </c>
      <c r="AE178" s="120">
        <f>IF(AND(J178="OK",ISNUMBER($B$5),$B$5&gt;0,ISNUMBER($B$3),$B$3&gt;0),F178/(6*$B$3*1000000*$B$5)*(IF(B178&lt;($B$4*4/10),($B$4*4/10)*(MIN(C178,($B$4*4/10))^3-B178^3)-(MIN(C178,($B$4*4/10))^4-B178^4)/4,0)+IF(C178&gt;($B$4*4/10),($B$4*4/10)^2*(1.5*(C178^2-MAX(B178,($B$4*4/10))^2)-($B$4*4/10)*(C178-MAX(B178,($B$4*4/10)))),0))*1000,0)</f>
        <v>0</v>
      </c>
      <c r="AF178" s="120">
        <f>IF(AND(J178="OK",ISNUMBER($B$5),$B$5&gt;0,ISNUMBER($B$3),$B$3&gt;0),F178/(6*$B$3*1000000*$B$5)*(IF(B178&lt;($B$4*5/10),($B$4*5/10)*(MIN(C178,($B$4*5/10))^3-B178^3)-(MIN(C178,($B$4*5/10))^4-B178^4)/4,0)+IF(C178&gt;($B$4*5/10),($B$4*5/10)^2*(1.5*(C178^2-MAX(B178,($B$4*5/10))^2)-($B$4*5/10)*(C178-MAX(B178,($B$4*5/10)))),0))*1000,0)</f>
        <v>0</v>
      </c>
      <c r="AG178" s="120">
        <f>IF(AND(J178="OK",ISNUMBER($B$5),$B$5&gt;0,ISNUMBER($B$3),$B$3&gt;0),F178/(6*$B$3*1000000*$B$5)*(IF(B178&lt;($B$4*6/10),($B$4*6/10)*(MIN(C178,($B$4*6/10))^3-B178^3)-(MIN(C178,($B$4*6/10))^4-B178^4)/4,0)+IF(C178&gt;($B$4*6/10),($B$4*6/10)^2*(1.5*(C178^2-MAX(B178,($B$4*6/10))^2)-($B$4*6/10)*(C178-MAX(B178,($B$4*6/10)))),0))*1000,0)</f>
        <v>0</v>
      </c>
      <c r="AH178" s="120">
        <f>IF(AND(J178="OK",ISNUMBER($B$5),$B$5&gt;0,ISNUMBER($B$3),$B$3&gt;0),F178/(6*$B$3*1000000*$B$5)*(IF(B178&lt;($B$4*7/10),($B$4*7/10)*(MIN(C178,($B$4*7/10))^3-B178^3)-(MIN(C178,($B$4*7/10))^4-B178^4)/4,0)+IF(C178&gt;($B$4*7/10),($B$4*7/10)^2*(1.5*(C178^2-MAX(B178,($B$4*7/10))^2)-($B$4*7/10)*(C178-MAX(B178,($B$4*7/10)))),0))*1000,0)</f>
        <v>0</v>
      </c>
      <c r="AI178" s="120">
        <f>IF(AND(J178="OK",ISNUMBER($B$5),$B$5&gt;0,ISNUMBER($B$3),$B$3&gt;0),F178/(6*$B$3*1000000*$B$5)*(IF(B178&lt;($B$4*8/10),($B$4*8/10)*(MIN(C178,($B$4*8/10))^3-B178^3)-(MIN(C178,($B$4*8/10))^4-B178^4)/4,0)+IF(C178&gt;($B$4*8/10),($B$4*8/10)^2*(1.5*(C178^2-MAX(B178,($B$4*8/10))^2)-($B$4*8/10)*(C178-MAX(B178,($B$4*8/10)))),0))*1000,0)</f>
        <v>0</v>
      </c>
      <c r="AJ178" s="120">
        <f>IF(AND(J178="OK",ISNUMBER($B$5),$B$5&gt;0,ISNUMBER($B$3),$B$3&gt;0),F178/(6*$B$3*1000000*$B$5)*(IF(B178&lt;($B$4*9/10),($B$4*9/10)*(MIN(C178,($B$4*9/10))^3-B178^3)-(MIN(C178,($B$4*9/10))^4-B178^4)/4,0)+IF(C178&gt;($B$4*9/10),($B$4*9/10)^2*(1.5*(C178^2-MAX(B178,($B$4*9/10))^2)-($B$4*9/10)*(C178-MAX(B178,($B$4*9/10)))),0))*1000,0)</f>
        <v>0</v>
      </c>
      <c r="AK178" s="120">
        <f>IF(AND(J178="OK",ISNUMBER($B$5),$B$5&gt;0,ISNUMBER($B$3),$B$3&gt;0),F178/(6*$B$3*1000000*$B$5)*(IF(B178&lt;($B$4*10/10),($B$4*10/10)*(MIN(C178,($B$4*10/10))^3-B178^3)-(MIN(C178,($B$4*10/10))^4-B178^4)/4,0)+IF(C178&gt;($B$4*10/10),($B$4*10/10)^2*(1.5*(C178^2-MAX(B178,($B$4*10/10))^2)-($B$4*10/10)*(C178-MAX(B178,($B$4*10/10)))),0))*1000,0)</f>
        <v>0</v>
      </c>
      <c r="AM178" s="120">
        <f>IF(AND(V178="OK",ISNUMBER($N$5),$N$5&gt;0,ISNUMBER($N$3),$N$3&gt;0),R178/(6*$N$3*1000000*$N$5)*(IF(N178&lt;($N$4*0/10),($N$4*0/10)*(MIN(O178,($N$4*0/10))^3-N178^3)-(MIN(O178,($N$4*0/10))^4-N178^4)/4,0)+IF(O178&gt;($N$4*0/10),($N$4*0/10)^2*(1.5*(O178^2-MAX(N178,($N$4*0/10))^2)-($N$4*0/10)*(O178-MAX(N178,($N$4*0/10)))),0))*1000,0)</f>
        <v>0</v>
      </c>
      <c r="AN178" s="120">
        <f>IF(AND(V178="OK",ISNUMBER($N$5),$N$5&gt;0,ISNUMBER($N$3),$N$3&gt;0),R178/(6*$N$3*1000000*$N$5)*(IF(N178&lt;($N$4*1/10),($N$4*1/10)*(MIN(O178,($N$4*1/10))^3-N178^3)-(MIN(O178,($N$4*1/10))^4-N178^4)/4,0)+IF(O178&gt;($N$4*1/10),($N$4*1/10)^2*(1.5*(O178^2-MAX(N178,($N$4*1/10))^2)-($N$4*1/10)*(O178-MAX(N178,($N$4*1/10)))),0))*1000,0)</f>
        <v>0</v>
      </c>
      <c r="AO178" s="120">
        <f>IF(AND(V178="OK",ISNUMBER($N$5),$N$5&gt;0,ISNUMBER($N$3),$N$3&gt;0),R178/(6*$N$3*1000000*$N$5)*(IF(N178&lt;($N$4*2/10),($N$4*2/10)*(MIN(O178,($N$4*2/10))^3-N178^3)-(MIN(O178,($N$4*2/10))^4-N178^4)/4,0)+IF(O178&gt;($N$4*2/10),($N$4*2/10)^2*(1.5*(O178^2-MAX(N178,($N$4*2/10))^2)-($N$4*2/10)*(O178-MAX(N178,($N$4*2/10)))),0))*1000,0)</f>
        <v>0</v>
      </c>
      <c r="AP178" s="120">
        <f>IF(AND(V178="OK",ISNUMBER($N$5),$N$5&gt;0,ISNUMBER($N$3),$N$3&gt;0),R178/(6*$N$3*1000000*$N$5)*(IF(N178&lt;($N$4*3/10),($N$4*3/10)*(MIN(O178,($N$4*3/10))^3-N178^3)-(MIN(O178,($N$4*3/10))^4-N178^4)/4,0)+IF(O178&gt;($N$4*3/10),($N$4*3/10)^2*(1.5*(O178^2-MAX(N178,($N$4*3/10))^2)-($N$4*3/10)*(O178-MAX(N178,($N$4*3/10)))),0))*1000,0)</f>
        <v>0</v>
      </c>
      <c r="AQ178" s="120">
        <f>IF(AND(V178="OK",ISNUMBER($N$5),$N$5&gt;0,ISNUMBER($N$3),$N$3&gt;0),R178/(6*$N$3*1000000*$N$5)*(IF(N178&lt;($N$4*4/10),($N$4*4/10)*(MIN(O178,($N$4*4/10))^3-N178^3)-(MIN(O178,($N$4*4/10))^4-N178^4)/4,0)+IF(O178&gt;($N$4*4/10),($N$4*4/10)^2*(1.5*(O178^2-MAX(N178,($N$4*4/10))^2)-($N$4*4/10)*(O178-MAX(N178,($N$4*4/10)))),0))*1000,0)</f>
        <v>0</v>
      </c>
      <c r="AR178" s="120">
        <f>IF(AND(V178="OK",ISNUMBER($N$5),$N$5&gt;0,ISNUMBER($N$3),$N$3&gt;0),R178/(6*$N$3*1000000*$N$5)*(IF(N178&lt;($N$4*5/10),($N$4*5/10)*(MIN(O178,($N$4*5/10))^3-N178^3)-(MIN(O178,($N$4*5/10))^4-N178^4)/4,0)+IF(O178&gt;($N$4*5/10),($N$4*5/10)^2*(1.5*(O178^2-MAX(N178,($N$4*5/10))^2)-($N$4*5/10)*(O178-MAX(N178,($N$4*5/10)))),0))*1000,0)</f>
        <v>0</v>
      </c>
      <c r="AS178" s="120">
        <f>IF(AND(V178="OK",ISNUMBER($N$5),$N$5&gt;0,ISNUMBER($N$3),$N$3&gt;0),R178/(6*$N$3*1000000*$N$5)*(IF(N178&lt;($N$4*6/10),($N$4*6/10)*(MIN(O178,($N$4*6/10))^3-N178^3)-(MIN(O178,($N$4*6/10))^4-N178^4)/4,0)+IF(O178&gt;($N$4*6/10),($N$4*6/10)^2*(1.5*(O178^2-MAX(N178,($N$4*6/10))^2)-($N$4*6/10)*(O178-MAX(N178,($N$4*6/10)))),0))*1000,0)</f>
        <v>0</v>
      </c>
      <c r="AT178" s="120">
        <f>IF(AND(V178="OK",ISNUMBER($N$5),$N$5&gt;0,ISNUMBER($N$3),$N$3&gt;0),R178/(6*$N$3*1000000*$N$5)*(IF(N178&lt;($N$4*7/10),($N$4*7/10)*(MIN(O178,($N$4*7/10))^3-N178^3)-(MIN(O178,($N$4*7/10))^4-N178^4)/4,0)+IF(O178&gt;($N$4*7/10),($N$4*7/10)^2*(1.5*(O178^2-MAX(N178,($N$4*7/10))^2)-($N$4*7/10)*(O178-MAX(N178,($N$4*7/10)))),0))*1000,0)</f>
        <v>0</v>
      </c>
      <c r="AU178" s="120">
        <f>IF(AND(V178="OK",ISNUMBER($N$5),$N$5&gt;0,ISNUMBER($N$3),$N$3&gt;0),R178/(6*$N$3*1000000*$N$5)*(IF(N178&lt;($N$4*8/10),($N$4*8/10)*(MIN(O178,($N$4*8/10))^3-N178^3)-(MIN(O178,($N$4*8/10))^4-N178^4)/4,0)+IF(O178&gt;($N$4*8/10),($N$4*8/10)^2*(1.5*(O178^2-MAX(N178,($N$4*8/10))^2)-($N$4*8/10)*(O178-MAX(N178,($N$4*8/10)))),0))*1000,0)</f>
        <v>0</v>
      </c>
      <c r="AV178" s="120">
        <f>IF(AND(V178="OK",ISNUMBER($N$5),$N$5&gt;0,ISNUMBER($N$3),$N$3&gt;0),R178/(6*$N$3*1000000*$N$5)*(IF(N178&lt;($N$4*9/10),($N$4*9/10)*(MIN(O178,($N$4*9/10))^3-N178^3)-(MIN(O178,($N$4*9/10))^4-N178^4)/4,0)+IF(O178&gt;($N$4*9/10),($N$4*9/10)^2*(1.5*(O178^2-MAX(N178,($N$4*9/10))^2)-($N$4*9/10)*(O178-MAX(N178,($N$4*9/10)))),0))*1000,0)</f>
        <v>0</v>
      </c>
      <c r="AW178" s="120">
        <f>IF(AND(V178="OK",ISNUMBER($N$5),$N$5&gt;0,ISNUMBER($N$3),$N$3&gt;0),R178/(6*$N$3*1000000*$N$5)*(IF(N178&lt;($N$4*10/10),($N$4*10/10)*(MIN(O178,($N$4*10/10))^3-N178^3)-(MIN(O178,($N$4*10/10))^4-N178^4)/4,0)+IF(O178&gt;($N$4*10/10),($N$4*10/10)^2*(1.5*(O178^2-MAX(N178,($N$4*10/10))^2)-($N$4*10/10)*(O178-MAX(N178,($N$4*10/10)))),0))*1000,0)</f>
        <v>0</v>
      </c>
    </row>
    <row r="179" spans="1:49">
      <c r="A179" s="124"/>
      <c r="B179" s="125"/>
      <c r="C179" s="125"/>
      <c r="D179" s="125"/>
      <c r="E179" s="125"/>
      <c r="F179" s="126" t="str">
        <f>IF(J179="OK",D179*E179,"")</f>
        <v/>
      </c>
      <c r="G179" s="126" t="str">
        <f>IF(J179="OK",F179*(C179-B179),"")</f>
        <v/>
      </c>
      <c r="H179" s="126" t="str">
        <f>IF(J179="OK",G179*(C179+B179)/2,"")</f>
        <v/>
      </c>
      <c r="I179" s="126" t="str">
        <f>IF(AND(J179="OK",ISNUMBER($B$5),$B$5&gt;0,ISNUMBER($B$3),$B$3&gt;0),F179*(4*$B$4*(C179^3-B179^3)-(C179^4-B179^4))/(24*$B$3*1000000*$B$5)*1000,"")</f>
        <v/>
      </c>
      <c r="J179" s="120" t="str">
        <f>IF(COUNTA(A179:E179)=0,"",IF(AND(COUNT(B179:E179)=4,B179&gt;=0,C179&gt;B179,C179&lt;=$B$4,D179&gt;=0,E179&gt;0),IF(COUNTIFS($B$13:$B$178,"&lt;"&amp;C179,$C$13:$C$178,"&gt;"&amp;B179)&gt;0,"OVERLAP","OK"),"CHECK INPUTS"))</f>
        <v/>
      </c>
      <c r="M179" s="124"/>
      <c r="N179" s="125"/>
      <c r="O179" s="125"/>
      <c r="P179" s="125"/>
      <c r="Q179" s="125"/>
      <c r="R179" s="126" t="str">
        <f>IF(V179="OK",P179*Q179,"")</f>
        <v/>
      </c>
      <c r="S179" s="126" t="str">
        <f>IF(V179="OK",R179*(O179-N179),"")</f>
        <v/>
      </c>
      <c r="T179" s="126" t="str">
        <f>IF(V179="OK",S179*(O179+N179)/2,"")</f>
        <v/>
      </c>
      <c r="U179" s="126" t="str">
        <f>IF(AND(V179="OK",ISNUMBER($N$5),$N$5&gt;0,ISNUMBER($N$3),$N$3&gt;0),R179*(4*$N$4*(O179^3-N179^3)-(O179^4-N179^4))/(24*$N$3*1000000*$N$5)*1000,"")</f>
        <v/>
      </c>
      <c r="V179" s="120" t="str">
        <f>IF(COUNTA(M179:Q179)=0,"",IF(AND(COUNT(N179:Q179)=4,N179&gt;=0,O179&gt;N179,O179&lt;=$N$4,P179&gt;=0,Q179&gt;0),IF(COUNTIFS($N$13:$N$178,"&lt;"&amp;O179,$O$13:$O$178,"&gt;"&amp;N179)&gt;0,"OVERLAP","OK"),"CHECK INPUTS"))</f>
        <v/>
      </c>
      <c r="AA179" s="120">
        <f>IF(AND(J179="OK",ISNUMBER($B$5),$B$5&gt;0,ISNUMBER($B$3),$B$3&gt;0),F179/(6*$B$3*1000000*$B$5)*(IF(B179&lt;($B$4*0/10),($B$4*0/10)*(MIN(C179,($B$4*0/10))^3-B179^3)-(MIN(C179,($B$4*0/10))^4-B179^4)/4,0)+IF(C179&gt;($B$4*0/10),($B$4*0/10)^2*(1.5*(C179^2-MAX(B179,($B$4*0/10))^2)-($B$4*0/10)*(C179-MAX(B179,($B$4*0/10)))),0))*1000,0)</f>
        <v>0</v>
      </c>
      <c r="AB179" s="120">
        <f>IF(AND(J179="OK",ISNUMBER($B$5),$B$5&gt;0,ISNUMBER($B$3),$B$3&gt;0),F179/(6*$B$3*1000000*$B$5)*(IF(B179&lt;($B$4*1/10),($B$4*1/10)*(MIN(C179,($B$4*1/10))^3-B179^3)-(MIN(C179,($B$4*1/10))^4-B179^4)/4,0)+IF(C179&gt;($B$4*1/10),($B$4*1/10)^2*(1.5*(C179^2-MAX(B179,($B$4*1/10))^2)-($B$4*1/10)*(C179-MAX(B179,($B$4*1/10)))),0))*1000,0)</f>
        <v>0</v>
      </c>
      <c r="AC179" s="120">
        <f>IF(AND(J179="OK",ISNUMBER($B$5),$B$5&gt;0,ISNUMBER($B$3),$B$3&gt;0),F179/(6*$B$3*1000000*$B$5)*(IF(B179&lt;($B$4*2/10),($B$4*2/10)*(MIN(C179,($B$4*2/10))^3-B179^3)-(MIN(C179,($B$4*2/10))^4-B179^4)/4,0)+IF(C179&gt;($B$4*2/10),($B$4*2/10)^2*(1.5*(C179^2-MAX(B179,($B$4*2/10))^2)-($B$4*2/10)*(C179-MAX(B179,($B$4*2/10)))),0))*1000,0)</f>
        <v>0</v>
      </c>
      <c r="AD179" s="120">
        <f>IF(AND(J179="OK",ISNUMBER($B$5),$B$5&gt;0,ISNUMBER($B$3),$B$3&gt;0),F179/(6*$B$3*1000000*$B$5)*(IF(B179&lt;($B$4*3/10),($B$4*3/10)*(MIN(C179,($B$4*3/10))^3-B179^3)-(MIN(C179,($B$4*3/10))^4-B179^4)/4,0)+IF(C179&gt;($B$4*3/10),($B$4*3/10)^2*(1.5*(C179^2-MAX(B179,($B$4*3/10))^2)-($B$4*3/10)*(C179-MAX(B179,($B$4*3/10)))),0))*1000,0)</f>
        <v>0</v>
      </c>
      <c r="AE179" s="120">
        <f>IF(AND(J179="OK",ISNUMBER($B$5),$B$5&gt;0,ISNUMBER($B$3),$B$3&gt;0),F179/(6*$B$3*1000000*$B$5)*(IF(B179&lt;($B$4*4/10),($B$4*4/10)*(MIN(C179,($B$4*4/10))^3-B179^3)-(MIN(C179,($B$4*4/10))^4-B179^4)/4,0)+IF(C179&gt;($B$4*4/10),($B$4*4/10)^2*(1.5*(C179^2-MAX(B179,($B$4*4/10))^2)-($B$4*4/10)*(C179-MAX(B179,($B$4*4/10)))),0))*1000,0)</f>
        <v>0</v>
      </c>
      <c r="AF179" s="120">
        <f>IF(AND(J179="OK",ISNUMBER($B$5),$B$5&gt;0,ISNUMBER($B$3),$B$3&gt;0),F179/(6*$B$3*1000000*$B$5)*(IF(B179&lt;($B$4*5/10),($B$4*5/10)*(MIN(C179,($B$4*5/10))^3-B179^3)-(MIN(C179,($B$4*5/10))^4-B179^4)/4,0)+IF(C179&gt;($B$4*5/10),($B$4*5/10)^2*(1.5*(C179^2-MAX(B179,($B$4*5/10))^2)-($B$4*5/10)*(C179-MAX(B179,($B$4*5/10)))),0))*1000,0)</f>
        <v>0</v>
      </c>
      <c r="AG179" s="120">
        <f>IF(AND(J179="OK",ISNUMBER($B$5),$B$5&gt;0,ISNUMBER($B$3),$B$3&gt;0),F179/(6*$B$3*1000000*$B$5)*(IF(B179&lt;($B$4*6/10),($B$4*6/10)*(MIN(C179,($B$4*6/10))^3-B179^3)-(MIN(C179,($B$4*6/10))^4-B179^4)/4,0)+IF(C179&gt;($B$4*6/10),($B$4*6/10)^2*(1.5*(C179^2-MAX(B179,($B$4*6/10))^2)-($B$4*6/10)*(C179-MAX(B179,($B$4*6/10)))),0))*1000,0)</f>
        <v>0</v>
      </c>
      <c r="AH179" s="120">
        <f>IF(AND(J179="OK",ISNUMBER($B$5),$B$5&gt;0,ISNUMBER($B$3),$B$3&gt;0),F179/(6*$B$3*1000000*$B$5)*(IF(B179&lt;($B$4*7/10),($B$4*7/10)*(MIN(C179,($B$4*7/10))^3-B179^3)-(MIN(C179,($B$4*7/10))^4-B179^4)/4,0)+IF(C179&gt;($B$4*7/10),($B$4*7/10)^2*(1.5*(C179^2-MAX(B179,($B$4*7/10))^2)-($B$4*7/10)*(C179-MAX(B179,($B$4*7/10)))),0))*1000,0)</f>
        <v>0</v>
      </c>
      <c r="AI179" s="120">
        <f>IF(AND(J179="OK",ISNUMBER($B$5),$B$5&gt;0,ISNUMBER($B$3),$B$3&gt;0),F179/(6*$B$3*1000000*$B$5)*(IF(B179&lt;($B$4*8/10),($B$4*8/10)*(MIN(C179,($B$4*8/10))^3-B179^3)-(MIN(C179,($B$4*8/10))^4-B179^4)/4,0)+IF(C179&gt;($B$4*8/10),($B$4*8/10)^2*(1.5*(C179^2-MAX(B179,($B$4*8/10))^2)-($B$4*8/10)*(C179-MAX(B179,($B$4*8/10)))),0))*1000,0)</f>
        <v>0</v>
      </c>
      <c r="AJ179" s="120">
        <f>IF(AND(J179="OK",ISNUMBER($B$5),$B$5&gt;0,ISNUMBER($B$3),$B$3&gt;0),F179/(6*$B$3*1000000*$B$5)*(IF(B179&lt;($B$4*9/10),($B$4*9/10)*(MIN(C179,($B$4*9/10))^3-B179^3)-(MIN(C179,($B$4*9/10))^4-B179^4)/4,0)+IF(C179&gt;($B$4*9/10),($B$4*9/10)^2*(1.5*(C179^2-MAX(B179,($B$4*9/10))^2)-($B$4*9/10)*(C179-MAX(B179,($B$4*9/10)))),0))*1000,0)</f>
        <v>0</v>
      </c>
      <c r="AK179" s="120">
        <f>IF(AND(J179="OK",ISNUMBER($B$5),$B$5&gt;0,ISNUMBER($B$3),$B$3&gt;0),F179/(6*$B$3*1000000*$B$5)*(IF(B179&lt;($B$4*10/10),($B$4*10/10)*(MIN(C179,($B$4*10/10))^3-B179^3)-(MIN(C179,($B$4*10/10))^4-B179^4)/4,0)+IF(C179&gt;($B$4*10/10),($B$4*10/10)^2*(1.5*(C179^2-MAX(B179,($B$4*10/10))^2)-($B$4*10/10)*(C179-MAX(B179,($B$4*10/10)))),0))*1000,0)</f>
        <v>0</v>
      </c>
      <c r="AM179" s="120">
        <f>IF(AND(V179="OK",ISNUMBER($N$5),$N$5&gt;0,ISNUMBER($N$3),$N$3&gt;0),R179/(6*$N$3*1000000*$N$5)*(IF(N179&lt;($N$4*0/10),($N$4*0/10)*(MIN(O179,($N$4*0/10))^3-N179^3)-(MIN(O179,($N$4*0/10))^4-N179^4)/4,0)+IF(O179&gt;($N$4*0/10),($N$4*0/10)^2*(1.5*(O179^2-MAX(N179,($N$4*0/10))^2)-($N$4*0/10)*(O179-MAX(N179,($N$4*0/10)))),0))*1000,0)</f>
        <v>0</v>
      </c>
      <c r="AN179" s="120">
        <f>IF(AND(V179="OK",ISNUMBER($N$5),$N$5&gt;0,ISNUMBER($N$3),$N$3&gt;0),R179/(6*$N$3*1000000*$N$5)*(IF(N179&lt;($N$4*1/10),($N$4*1/10)*(MIN(O179,($N$4*1/10))^3-N179^3)-(MIN(O179,($N$4*1/10))^4-N179^4)/4,0)+IF(O179&gt;($N$4*1/10),($N$4*1/10)^2*(1.5*(O179^2-MAX(N179,($N$4*1/10))^2)-($N$4*1/10)*(O179-MAX(N179,($N$4*1/10)))),0))*1000,0)</f>
        <v>0</v>
      </c>
      <c r="AO179" s="120">
        <f>IF(AND(V179="OK",ISNUMBER($N$5),$N$5&gt;0,ISNUMBER($N$3),$N$3&gt;0),R179/(6*$N$3*1000000*$N$5)*(IF(N179&lt;($N$4*2/10),($N$4*2/10)*(MIN(O179,($N$4*2/10))^3-N179^3)-(MIN(O179,($N$4*2/10))^4-N179^4)/4,0)+IF(O179&gt;($N$4*2/10),($N$4*2/10)^2*(1.5*(O179^2-MAX(N179,($N$4*2/10))^2)-($N$4*2/10)*(O179-MAX(N179,($N$4*2/10)))),0))*1000,0)</f>
        <v>0</v>
      </c>
      <c r="AP179" s="120">
        <f>IF(AND(V179="OK",ISNUMBER($N$5),$N$5&gt;0,ISNUMBER($N$3),$N$3&gt;0),R179/(6*$N$3*1000000*$N$5)*(IF(N179&lt;($N$4*3/10),($N$4*3/10)*(MIN(O179,($N$4*3/10))^3-N179^3)-(MIN(O179,($N$4*3/10))^4-N179^4)/4,0)+IF(O179&gt;($N$4*3/10),($N$4*3/10)^2*(1.5*(O179^2-MAX(N179,($N$4*3/10))^2)-($N$4*3/10)*(O179-MAX(N179,($N$4*3/10)))),0))*1000,0)</f>
        <v>0</v>
      </c>
      <c r="AQ179" s="120">
        <f>IF(AND(V179="OK",ISNUMBER($N$5),$N$5&gt;0,ISNUMBER($N$3),$N$3&gt;0),R179/(6*$N$3*1000000*$N$5)*(IF(N179&lt;($N$4*4/10),($N$4*4/10)*(MIN(O179,($N$4*4/10))^3-N179^3)-(MIN(O179,($N$4*4/10))^4-N179^4)/4,0)+IF(O179&gt;($N$4*4/10),($N$4*4/10)^2*(1.5*(O179^2-MAX(N179,($N$4*4/10))^2)-($N$4*4/10)*(O179-MAX(N179,($N$4*4/10)))),0))*1000,0)</f>
        <v>0</v>
      </c>
      <c r="AR179" s="120">
        <f>IF(AND(V179="OK",ISNUMBER($N$5),$N$5&gt;0,ISNUMBER($N$3),$N$3&gt;0),R179/(6*$N$3*1000000*$N$5)*(IF(N179&lt;($N$4*5/10),($N$4*5/10)*(MIN(O179,($N$4*5/10))^3-N179^3)-(MIN(O179,($N$4*5/10))^4-N179^4)/4,0)+IF(O179&gt;($N$4*5/10),($N$4*5/10)^2*(1.5*(O179^2-MAX(N179,($N$4*5/10))^2)-($N$4*5/10)*(O179-MAX(N179,($N$4*5/10)))),0))*1000,0)</f>
        <v>0</v>
      </c>
      <c r="AS179" s="120">
        <f>IF(AND(V179="OK",ISNUMBER($N$5),$N$5&gt;0,ISNUMBER($N$3),$N$3&gt;0),R179/(6*$N$3*1000000*$N$5)*(IF(N179&lt;($N$4*6/10),($N$4*6/10)*(MIN(O179,($N$4*6/10))^3-N179^3)-(MIN(O179,($N$4*6/10))^4-N179^4)/4,0)+IF(O179&gt;($N$4*6/10),($N$4*6/10)^2*(1.5*(O179^2-MAX(N179,($N$4*6/10))^2)-($N$4*6/10)*(O179-MAX(N179,($N$4*6/10)))),0))*1000,0)</f>
        <v>0</v>
      </c>
      <c r="AT179" s="120">
        <f>IF(AND(V179="OK",ISNUMBER($N$5),$N$5&gt;0,ISNUMBER($N$3),$N$3&gt;0),R179/(6*$N$3*1000000*$N$5)*(IF(N179&lt;($N$4*7/10),($N$4*7/10)*(MIN(O179,($N$4*7/10))^3-N179^3)-(MIN(O179,($N$4*7/10))^4-N179^4)/4,0)+IF(O179&gt;($N$4*7/10),($N$4*7/10)^2*(1.5*(O179^2-MAX(N179,($N$4*7/10))^2)-($N$4*7/10)*(O179-MAX(N179,($N$4*7/10)))),0))*1000,0)</f>
        <v>0</v>
      </c>
      <c r="AU179" s="120">
        <f>IF(AND(V179="OK",ISNUMBER($N$5),$N$5&gt;0,ISNUMBER($N$3),$N$3&gt;0),R179/(6*$N$3*1000000*$N$5)*(IF(N179&lt;($N$4*8/10),($N$4*8/10)*(MIN(O179,($N$4*8/10))^3-N179^3)-(MIN(O179,($N$4*8/10))^4-N179^4)/4,0)+IF(O179&gt;($N$4*8/10),($N$4*8/10)^2*(1.5*(O179^2-MAX(N179,($N$4*8/10))^2)-($N$4*8/10)*(O179-MAX(N179,($N$4*8/10)))),0))*1000,0)</f>
        <v>0</v>
      </c>
      <c r="AV179" s="120">
        <f>IF(AND(V179="OK",ISNUMBER($N$5),$N$5&gt;0,ISNUMBER($N$3),$N$3&gt;0),R179/(6*$N$3*1000000*$N$5)*(IF(N179&lt;($N$4*9/10),($N$4*9/10)*(MIN(O179,($N$4*9/10))^3-N179^3)-(MIN(O179,($N$4*9/10))^4-N179^4)/4,0)+IF(O179&gt;($N$4*9/10),($N$4*9/10)^2*(1.5*(O179^2-MAX(N179,($N$4*9/10))^2)-($N$4*9/10)*(O179-MAX(N179,($N$4*9/10)))),0))*1000,0)</f>
        <v>0</v>
      </c>
      <c r="AW179" s="120">
        <f>IF(AND(V179="OK",ISNUMBER($N$5),$N$5&gt;0,ISNUMBER($N$3),$N$3&gt;0),R179/(6*$N$3*1000000*$N$5)*(IF(N179&lt;($N$4*10/10),($N$4*10/10)*(MIN(O179,($N$4*10/10))^3-N179^3)-(MIN(O179,($N$4*10/10))^4-N179^4)/4,0)+IF(O179&gt;($N$4*10/10),($N$4*10/10)^2*(1.5*(O179^2-MAX(N179,($N$4*10/10))^2)-($N$4*10/10)*(O179-MAX(N179,($N$4*10/10)))),0))*1000,0)</f>
        <v>0</v>
      </c>
    </row>
    <row r="180" spans="1:49">
      <c r="A180" s="124"/>
      <c r="B180" s="125"/>
      <c r="C180" s="125"/>
      <c r="D180" s="125"/>
      <c r="E180" s="125"/>
      <c r="F180" s="126" t="str">
        <f>IF(J180="OK",D180*E180,"")</f>
        <v/>
      </c>
      <c r="G180" s="126" t="str">
        <f>IF(J180="OK",F180*(C180-B180),"")</f>
        <v/>
      </c>
      <c r="H180" s="126" t="str">
        <f>IF(J180="OK",G180*(C180+B180)/2,"")</f>
        <v/>
      </c>
      <c r="I180" s="126" t="str">
        <f>IF(AND(J180="OK",ISNUMBER($B$5),$B$5&gt;0,ISNUMBER($B$3),$B$3&gt;0),F180*(4*$B$4*(C180^3-B180^3)-(C180^4-B180^4))/(24*$B$3*1000000*$B$5)*1000,"")</f>
        <v/>
      </c>
      <c r="J180" s="120" t="str">
        <f>IF(COUNTA(A180:E180)=0,"",IF(AND(COUNT(B180:E180)=4,B180&gt;=0,C180&gt;B180,C180&lt;=$B$4,D180&gt;=0,E180&gt;0),IF(COUNTIFS($B$13:$B$179,"&lt;"&amp;C180,$C$13:$C$179,"&gt;"&amp;B180)&gt;0,"OVERLAP","OK"),"CHECK INPUTS"))</f>
        <v/>
      </c>
      <c r="M180" s="124"/>
      <c r="N180" s="125"/>
      <c r="O180" s="125"/>
      <c r="P180" s="125"/>
      <c r="Q180" s="125"/>
      <c r="R180" s="126" t="str">
        <f>IF(V180="OK",P180*Q180,"")</f>
        <v/>
      </c>
      <c r="S180" s="126" t="str">
        <f>IF(V180="OK",R180*(O180-N180),"")</f>
        <v/>
      </c>
      <c r="T180" s="126" t="str">
        <f>IF(V180="OK",S180*(O180+N180)/2,"")</f>
        <v/>
      </c>
      <c r="U180" s="126" t="str">
        <f>IF(AND(V180="OK",ISNUMBER($N$5),$N$5&gt;0,ISNUMBER($N$3),$N$3&gt;0),R180*(4*$N$4*(O180^3-N180^3)-(O180^4-N180^4))/(24*$N$3*1000000*$N$5)*1000,"")</f>
        <v/>
      </c>
      <c r="V180" s="120" t="str">
        <f>IF(COUNTA(M180:Q180)=0,"",IF(AND(COUNT(N180:Q180)=4,N180&gt;=0,O180&gt;N180,O180&lt;=$N$4,P180&gt;=0,Q180&gt;0),IF(COUNTIFS($N$13:$N$179,"&lt;"&amp;O180,$O$13:$O$179,"&gt;"&amp;N180)&gt;0,"OVERLAP","OK"),"CHECK INPUTS"))</f>
        <v/>
      </c>
      <c r="AA180" s="120">
        <f>IF(AND(J180="OK",ISNUMBER($B$5),$B$5&gt;0,ISNUMBER($B$3),$B$3&gt;0),F180/(6*$B$3*1000000*$B$5)*(IF(B180&lt;($B$4*0/10),($B$4*0/10)*(MIN(C180,($B$4*0/10))^3-B180^3)-(MIN(C180,($B$4*0/10))^4-B180^4)/4,0)+IF(C180&gt;($B$4*0/10),($B$4*0/10)^2*(1.5*(C180^2-MAX(B180,($B$4*0/10))^2)-($B$4*0/10)*(C180-MAX(B180,($B$4*0/10)))),0))*1000,0)</f>
        <v>0</v>
      </c>
      <c r="AB180" s="120">
        <f>IF(AND(J180="OK",ISNUMBER($B$5),$B$5&gt;0,ISNUMBER($B$3),$B$3&gt;0),F180/(6*$B$3*1000000*$B$5)*(IF(B180&lt;($B$4*1/10),($B$4*1/10)*(MIN(C180,($B$4*1/10))^3-B180^3)-(MIN(C180,($B$4*1/10))^4-B180^4)/4,0)+IF(C180&gt;($B$4*1/10),($B$4*1/10)^2*(1.5*(C180^2-MAX(B180,($B$4*1/10))^2)-($B$4*1/10)*(C180-MAX(B180,($B$4*1/10)))),0))*1000,0)</f>
        <v>0</v>
      </c>
      <c r="AC180" s="120">
        <f>IF(AND(J180="OK",ISNUMBER($B$5),$B$5&gt;0,ISNUMBER($B$3),$B$3&gt;0),F180/(6*$B$3*1000000*$B$5)*(IF(B180&lt;($B$4*2/10),($B$4*2/10)*(MIN(C180,($B$4*2/10))^3-B180^3)-(MIN(C180,($B$4*2/10))^4-B180^4)/4,0)+IF(C180&gt;($B$4*2/10),($B$4*2/10)^2*(1.5*(C180^2-MAX(B180,($B$4*2/10))^2)-($B$4*2/10)*(C180-MAX(B180,($B$4*2/10)))),0))*1000,0)</f>
        <v>0</v>
      </c>
      <c r="AD180" s="120">
        <f>IF(AND(J180="OK",ISNUMBER($B$5),$B$5&gt;0,ISNUMBER($B$3),$B$3&gt;0),F180/(6*$B$3*1000000*$B$5)*(IF(B180&lt;($B$4*3/10),($B$4*3/10)*(MIN(C180,($B$4*3/10))^3-B180^3)-(MIN(C180,($B$4*3/10))^4-B180^4)/4,0)+IF(C180&gt;($B$4*3/10),($B$4*3/10)^2*(1.5*(C180^2-MAX(B180,($B$4*3/10))^2)-($B$4*3/10)*(C180-MAX(B180,($B$4*3/10)))),0))*1000,0)</f>
        <v>0</v>
      </c>
      <c r="AE180" s="120">
        <f>IF(AND(J180="OK",ISNUMBER($B$5),$B$5&gt;0,ISNUMBER($B$3),$B$3&gt;0),F180/(6*$B$3*1000000*$B$5)*(IF(B180&lt;($B$4*4/10),($B$4*4/10)*(MIN(C180,($B$4*4/10))^3-B180^3)-(MIN(C180,($B$4*4/10))^4-B180^4)/4,0)+IF(C180&gt;($B$4*4/10),($B$4*4/10)^2*(1.5*(C180^2-MAX(B180,($B$4*4/10))^2)-($B$4*4/10)*(C180-MAX(B180,($B$4*4/10)))),0))*1000,0)</f>
        <v>0</v>
      </c>
      <c r="AF180" s="120">
        <f>IF(AND(J180="OK",ISNUMBER($B$5),$B$5&gt;0,ISNUMBER($B$3),$B$3&gt;0),F180/(6*$B$3*1000000*$B$5)*(IF(B180&lt;($B$4*5/10),($B$4*5/10)*(MIN(C180,($B$4*5/10))^3-B180^3)-(MIN(C180,($B$4*5/10))^4-B180^4)/4,0)+IF(C180&gt;($B$4*5/10),($B$4*5/10)^2*(1.5*(C180^2-MAX(B180,($B$4*5/10))^2)-($B$4*5/10)*(C180-MAX(B180,($B$4*5/10)))),0))*1000,0)</f>
        <v>0</v>
      </c>
      <c r="AG180" s="120">
        <f>IF(AND(J180="OK",ISNUMBER($B$5),$B$5&gt;0,ISNUMBER($B$3),$B$3&gt;0),F180/(6*$B$3*1000000*$B$5)*(IF(B180&lt;($B$4*6/10),($B$4*6/10)*(MIN(C180,($B$4*6/10))^3-B180^3)-(MIN(C180,($B$4*6/10))^4-B180^4)/4,0)+IF(C180&gt;($B$4*6/10),($B$4*6/10)^2*(1.5*(C180^2-MAX(B180,($B$4*6/10))^2)-($B$4*6/10)*(C180-MAX(B180,($B$4*6/10)))),0))*1000,0)</f>
        <v>0</v>
      </c>
      <c r="AH180" s="120">
        <f>IF(AND(J180="OK",ISNUMBER($B$5),$B$5&gt;0,ISNUMBER($B$3),$B$3&gt;0),F180/(6*$B$3*1000000*$B$5)*(IF(B180&lt;($B$4*7/10),($B$4*7/10)*(MIN(C180,($B$4*7/10))^3-B180^3)-(MIN(C180,($B$4*7/10))^4-B180^4)/4,0)+IF(C180&gt;($B$4*7/10),($B$4*7/10)^2*(1.5*(C180^2-MAX(B180,($B$4*7/10))^2)-($B$4*7/10)*(C180-MAX(B180,($B$4*7/10)))),0))*1000,0)</f>
        <v>0</v>
      </c>
      <c r="AI180" s="120">
        <f>IF(AND(J180="OK",ISNUMBER($B$5),$B$5&gt;0,ISNUMBER($B$3),$B$3&gt;0),F180/(6*$B$3*1000000*$B$5)*(IF(B180&lt;($B$4*8/10),($B$4*8/10)*(MIN(C180,($B$4*8/10))^3-B180^3)-(MIN(C180,($B$4*8/10))^4-B180^4)/4,0)+IF(C180&gt;($B$4*8/10),($B$4*8/10)^2*(1.5*(C180^2-MAX(B180,($B$4*8/10))^2)-($B$4*8/10)*(C180-MAX(B180,($B$4*8/10)))),0))*1000,0)</f>
        <v>0</v>
      </c>
      <c r="AJ180" s="120">
        <f>IF(AND(J180="OK",ISNUMBER($B$5),$B$5&gt;0,ISNUMBER($B$3),$B$3&gt;0),F180/(6*$B$3*1000000*$B$5)*(IF(B180&lt;($B$4*9/10),($B$4*9/10)*(MIN(C180,($B$4*9/10))^3-B180^3)-(MIN(C180,($B$4*9/10))^4-B180^4)/4,0)+IF(C180&gt;($B$4*9/10),($B$4*9/10)^2*(1.5*(C180^2-MAX(B180,($B$4*9/10))^2)-($B$4*9/10)*(C180-MAX(B180,($B$4*9/10)))),0))*1000,0)</f>
        <v>0</v>
      </c>
      <c r="AK180" s="120">
        <f>IF(AND(J180="OK",ISNUMBER($B$5),$B$5&gt;0,ISNUMBER($B$3),$B$3&gt;0),F180/(6*$B$3*1000000*$B$5)*(IF(B180&lt;($B$4*10/10),($B$4*10/10)*(MIN(C180,($B$4*10/10))^3-B180^3)-(MIN(C180,($B$4*10/10))^4-B180^4)/4,0)+IF(C180&gt;($B$4*10/10),($B$4*10/10)^2*(1.5*(C180^2-MAX(B180,($B$4*10/10))^2)-($B$4*10/10)*(C180-MAX(B180,($B$4*10/10)))),0))*1000,0)</f>
        <v>0</v>
      </c>
      <c r="AM180" s="120">
        <f>IF(AND(V180="OK",ISNUMBER($N$5),$N$5&gt;0,ISNUMBER($N$3),$N$3&gt;0),R180/(6*$N$3*1000000*$N$5)*(IF(N180&lt;($N$4*0/10),($N$4*0/10)*(MIN(O180,($N$4*0/10))^3-N180^3)-(MIN(O180,($N$4*0/10))^4-N180^4)/4,0)+IF(O180&gt;($N$4*0/10),($N$4*0/10)^2*(1.5*(O180^2-MAX(N180,($N$4*0/10))^2)-($N$4*0/10)*(O180-MAX(N180,($N$4*0/10)))),0))*1000,0)</f>
        <v>0</v>
      </c>
      <c r="AN180" s="120">
        <f>IF(AND(V180="OK",ISNUMBER($N$5),$N$5&gt;0,ISNUMBER($N$3),$N$3&gt;0),R180/(6*$N$3*1000000*$N$5)*(IF(N180&lt;($N$4*1/10),($N$4*1/10)*(MIN(O180,($N$4*1/10))^3-N180^3)-(MIN(O180,($N$4*1/10))^4-N180^4)/4,0)+IF(O180&gt;($N$4*1/10),($N$4*1/10)^2*(1.5*(O180^2-MAX(N180,($N$4*1/10))^2)-($N$4*1/10)*(O180-MAX(N180,($N$4*1/10)))),0))*1000,0)</f>
        <v>0</v>
      </c>
      <c r="AO180" s="120">
        <f>IF(AND(V180="OK",ISNUMBER($N$5),$N$5&gt;0,ISNUMBER($N$3),$N$3&gt;0),R180/(6*$N$3*1000000*$N$5)*(IF(N180&lt;($N$4*2/10),($N$4*2/10)*(MIN(O180,($N$4*2/10))^3-N180^3)-(MIN(O180,($N$4*2/10))^4-N180^4)/4,0)+IF(O180&gt;($N$4*2/10),($N$4*2/10)^2*(1.5*(O180^2-MAX(N180,($N$4*2/10))^2)-($N$4*2/10)*(O180-MAX(N180,($N$4*2/10)))),0))*1000,0)</f>
        <v>0</v>
      </c>
      <c r="AP180" s="120">
        <f>IF(AND(V180="OK",ISNUMBER($N$5),$N$5&gt;0,ISNUMBER($N$3),$N$3&gt;0),R180/(6*$N$3*1000000*$N$5)*(IF(N180&lt;($N$4*3/10),($N$4*3/10)*(MIN(O180,($N$4*3/10))^3-N180^3)-(MIN(O180,($N$4*3/10))^4-N180^4)/4,0)+IF(O180&gt;($N$4*3/10),($N$4*3/10)^2*(1.5*(O180^2-MAX(N180,($N$4*3/10))^2)-($N$4*3/10)*(O180-MAX(N180,($N$4*3/10)))),0))*1000,0)</f>
        <v>0</v>
      </c>
      <c r="AQ180" s="120">
        <f>IF(AND(V180="OK",ISNUMBER($N$5),$N$5&gt;0,ISNUMBER($N$3),$N$3&gt;0),R180/(6*$N$3*1000000*$N$5)*(IF(N180&lt;($N$4*4/10),($N$4*4/10)*(MIN(O180,($N$4*4/10))^3-N180^3)-(MIN(O180,($N$4*4/10))^4-N180^4)/4,0)+IF(O180&gt;($N$4*4/10),($N$4*4/10)^2*(1.5*(O180^2-MAX(N180,($N$4*4/10))^2)-($N$4*4/10)*(O180-MAX(N180,($N$4*4/10)))),0))*1000,0)</f>
        <v>0</v>
      </c>
      <c r="AR180" s="120">
        <f>IF(AND(V180="OK",ISNUMBER($N$5),$N$5&gt;0,ISNUMBER($N$3),$N$3&gt;0),R180/(6*$N$3*1000000*$N$5)*(IF(N180&lt;($N$4*5/10),($N$4*5/10)*(MIN(O180,($N$4*5/10))^3-N180^3)-(MIN(O180,($N$4*5/10))^4-N180^4)/4,0)+IF(O180&gt;($N$4*5/10),($N$4*5/10)^2*(1.5*(O180^2-MAX(N180,($N$4*5/10))^2)-($N$4*5/10)*(O180-MAX(N180,($N$4*5/10)))),0))*1000,0)</f>
        <v>0</v>
      </c>
      <c r="AS180" s="120">
        <f>IF(AND(V180="OK",ISNUMBER($N$5),$N$5&gt;0,ISNUMBER($N$3),$N$3&gt;0),R180/(6*$N$3*1000000*$N$5)*(IF(N180&lt;($N$4*6/10),($N$4*6/10)*(MIN(O180,($N$4*6/10))^3-N180^3)-(MIN(O180,($N$4*6/10))^4-N180^4)/4,0)+IF(O180&gt;($N$4*6/10),($N$4*6/10)^2*(1.5*(O180^2-MAX(N180,($N$4*6/10))^2)-($N$4*6/10)*(O180-MAX(N180,($N$4*6/10)))),0))*1000,0)</f>
        <v>0</v>
      </c>
      <c r="AT180" s="120">
        <f>IF(AND(V180="OK",ISNUMBER($N$5),$N$5&gt;0,ISNUMBER($N$3),$N$3&gt;0),R180/(6*$N$3*1000000*$N$5)*(IF(N180&lt;($N$4*7/10),($N$4*7/10)*(MIN(O180,($N$4*7/10))^3-N180^3)-(MIN(O180,($N$4*7/10))^4-N180^4)/4,0)+IF(O180&gt;($N$4*7/10),($N$4*7/10)^2*(1.5*(O180^2-MAX(N180,($N$4*7/10))^2)-($N$4*7/10)*(O180-MAX(N180,($N$4*7/10)))),0))*1000,0)</f>
        <v>0</v>
      </c>
      <c r="AU180" s="120">
        <f>IF(AND(V180="OK",ISNUMBER($N$5),$N$5&gt;0,ISNUMBER($N$3),$N$3&gt;0),R180/(6*$N$3*1000000*$N$5)*(IF(N180&lt;($N$4*8/10),($N$4*8/10)*(MIN(O180,($N$4*8/10))^3-N180^3)-(MIN(O180,($N$4*8/10))^4-N180^4)/4,0)+IF(O180&gt;($N$4*8/10),($N$4*8/10)^2*(1.5*(O180^2-MAX(N180,($N$4*8/10))^2)-($N$4*8/10)*(O180-MAX(N180,($N$4*8/10)))),0))*1000,0)</f>
        <v>0</v>
      </c>
      <c r="AV180" s="120">
        <f>IF(AND(V180="OK",ISNUMBER($N$5),$N$5&gt;0,ISNUMBER($N$3),$N$3&gt;0),R180/(6*$N$3*1000000*$N$5)*(IF(N180&lt;($N$4*9/10),($N$4*9/10)*(MIN(O180,($N$4*9/10))^3-N180^3)-(MIN(O180,($N$4*9/10))^4-N180^4)/4,0)+IF(O180&gt;($N$4*9/10),($N$4*9/10)^2*(1.5*(O180^2-MAX(N180,($N$4*9/10))^2)-($N$4*9/10)*(O180-MAX(N180,($N$4*9/10)))),0))*1000,0)</f>
        <v>0</v>
      </c>
      <c r="AW180" s="120">
        <f>IF(AND(V180="OK",ISNUMBER($N$5),$N$5&gt;0,ISNUMBER($N$3),$N$3&gt;0),R180/(6*$N$3*1000000*$N$5)*(IF(N180&lt;($N$4*10/10),($N$4*10/10)*(MIN(O180,($N$4*10/10))^3-N180^3)-(MIN(O180,($N$4*10/10))^4-N180^4)/4,0)+IF(O180&gt;($N$4*10/10),($N$4*10/10)^2*(1.5*(O180^2-MAX(N180,($N$4*10/10))^2)-($N$4*10/10)*(O180-MAX(N180,($N$4*10/10)))),0))*1000,0)</f>
        <v>0</v>
      </c>
    </row>
    <row r="181" spans="1:49">
      <c r="A181" s="124"/>
      <c r="B181" s="125"/>
      <c r="C181" s="125"/>
      <c r="D181" s="125"/>
      <c r="E181" s="125"/>
      <c r="F181" s="126" t="str">
        <f>IF(J181="OK",D181*E181,"")</f>
        <v/>
      </c>
      <c r="G181" s="126" t="str">
        <f>IF(J181="OK",F181*(C181-B181),"")</f>
        <v/>
      </c>
      <c r="H181" s="126" t="str">
        <f>IF(J181="OK",G181*(C181+B181)/2,"")</f>
        <v/>
      </c>
      <c r="I181" s="126" t="str">
        <f>IF(AND(J181="OK",ISNUMBER($B$5),$B$5&gt;0,ISNUMBER($B$3),$B$3&gt;0),F181*(4*$B$4*(C181^3-B181^3)-(C181^4-B181^4))/(24*$B$3*1000000*$B$5)*1000,"")</f>
        <v/>
      </c>
      <c r="J181" s="120" t="str">
        <f>IF(COUNTA(A181:E181)=0,"",IF(AND(COUNT(B181:E181)=4,B181&gt;=0,C181&gt;B181,C181&lt;=$B$4,D181&gt;=0,E181&gt;0),IF(COUNTIFS($B$13:$B$180,"&lt;"&amp;C181,$C$13:$C$180,"&gt;"&amp;B181)&gt;0,"OVERLAP","OK"),"CHECK INPUTS"))</f>
        <v/>
      </c>
      <c r="M181" s="124"/>
      <c r="N181" s="125"/>
      <c r="O181" s="125"/>
      <c r="P181" s="125"/>
      <c r="Q181" s="125"/>
      <c r="R181" s="126" t="str">
        <f>IF(V181="OK",P181*Q181,"")</f>
        <v/>
      </c>
      <c r="S181" s="126" t="str">
        <f>IF(V181="OK",R181*(O181-N181),"")</f>
        <v/>
      </c>
      <c r="T181" s="126" t="str">
        <f>IF(V181="OK",S181*(O181+N181)/2,"")</f>
        <v/>
      </c>
      <c r="U181" s="126" t="str">
        <f>IF(AND(V181="OK",ISNUMBER($N$5),$N$5&gt;0,ISNUMBER($N$3),$N$3&gt;0),R181*(4*$N$4*(O181^3-N181^3)-(O181^4-N181^4))/(24*$N$3*1000000*$N$5)*1000,"")</f>
        <v/>
      </c>
      <c r="V181" s="120" t="str">
        <f>IF(COUNTA(M181:Q181)=0,"",IF(AND(COUNT(N181:Q181)=4,N181&gt;=0,O181&gt;N181,O181&lt;=$N$4,P181&gt;=0,Q181&gt;0),IF(COUNTIFS($N$13:$N$180,"&lt;"&amp;O181,$O$13:$O$180,"&gt;"&amp;N181)&gt;0,"OVERLAP","OK"),"CHECK INPUTS"))</f>
        <v/>
      </c>
      <c r="AA181" s="120">
        <f>IF(AND(J181="OK",ISNUMBER($B$5),$B$5&gt;0,ISNUMBER($B$3),$B$3&gt;0),F181/(6*$B$3*1000000*$B$5)*(IF(B181&lt;($B$4*0/10),($B$4*0/10)*(MIN(C181,($B$4*0/10))^3-B181^3)-(MIN(C181,($B$4*0/10))^4-B181^4)/4,0)+IF(C181&gt;($B$4*0/10),($B$4*0/10)^2*(1.5*(C181^2-MAX(B181,($B$4*0/10))^2)-($B$4*0/10)*(C181-MAX(B181,($B$4*0/10)))),0))*1000,0)</f>
        <v>0</v>
      </c>
      <c r="AB181" s="120">
        <f>IF(AND(J181="OK",ISNUMBER($B$5),$B$5&gt;0,ISNUMBER($B$3),$B$3&gt;0),F181/(6*$B$3*1000000*$B$5)*(IF(B181&lt;($B$4*1/10),($B$4*1/10)*(MIN(C181,($B$4*1/10))^3-B181^3)-(MIN(C181,($B$4*1/10))^4-B181^4)/4,0)+IF(C181&gt;($B$4*1/10),($B$4*1/10)^2*(1.5*(C181^2-MAX(B181,($B$4*1/10))^2)-($B$4*1/10)*(C181-MAX(B181,($B$4*1/10)))),0))*1000,0)</f>
        <v>0</v>
      </c>
      <c r="AC181" s="120">
        <f>IF(AND(J181="OK",ISNUMBER($B$5),$B$5&gt;0,ISNUMBER($B$3),$B$3&gt;0),F181/(6*$B$3*1000000*$B$5)*(IF(B181&lt;($B$4*2/10),($B$4*2/10)*(MIN(C181,($B$4*2/10))^3-B181^3)-(MIN(C181,($B$4*2/10))^4-B181^4)/4,0)+IF(C181&gt;($B$4*2/10),($B$4*2/10)^2*(1.5*(C181^2-MAX(B181,($B$4*2/10))^2)-($B$4*2/10)*(C181-MAX(B181,($B$4*2/10)))),0))*1000,0)</f>
        <v>0</v>
      </c>
      <c r="AD181" s="120">
        <f>IF(AND(J181="OK",ISNUMBER($B$5),$B$5&gt;0,ISNUMBER($B$3),$B$3&gt;0),F181/(6*$B$3*1000000*$B$5)*(IF(B181&lt;($B$4*3/10),($B$4*3/10)*(MIN(C181,($B$4*3/10))^3-B181^3)-(MIN(C181,($B$4*3/10))^4-B181^4)/4,0)+IF(C181&gt;($B$4*3/10),($B$4*3/10)^2*(1.5*(C181^2-MAX(B181,($B$4*3/10))^2)-($B$4*3/10)*(C181-MAX(B181,($B$4*3/10)))),0))*1000,0)</f>
        <v>0</v>
      </c>
      <c r="AE181" s="120">
        <f>IF(AND(J181="OK",ISNUMBER($B$5),$B$5&gt;0,ISNUMBER($B$3),$B$3&gt;0),F181/(6*$B$3*1000000*$B$5)*(IF(B181&lt;($B$4*4/10),($B$4*4/10)*(MIN(C181,($B$4*4/10))^3-B181^3)-(MIN(C181,($B$4*4/10))^4-B181^4)/4,0)+IF(C181&gt;($B$4*4/10),($B$4*4/10)^2*(1.5*(C181^2-MAX(B181,($B$4*4/10))^2)-($B$4*4/10)*(C181-MAX(B181,($B$4*4/10)))),0))*1000,0)</f>
        <v>0</v>
      </c>
      <c r="AF181" s="120">
        <f>IF(AND(J181="OK",ISNUMBER($B$5),$B$5&gt;0,ISNUMBER($B$3),$B$3&gt;0),F181/(6*$B$3*1000000*$B$5)*(IF(B181&lt;($B$4*5/10),($B$4*5/10)*(MIN(C181,($B$4*5/10))^3-B181^3)-(MIN(C181,($B$4*5/10))^4-B181^4)/4,0)+IF(C181&gt;($B$4*5/10),($B$4*5/10)^2*(1.5*(C181^2-MAX(B181,($B$4*5/10))^2)-($B$4*5/10)*(C181-MAX(B181,($B$4*5/10)))),0))*1000,0)</f>
        <v>0</v>
      </c>
      <c r="AG181" s="120">
        <f>IF(AND(J181="OK",ISNUMBER($B$5),$B$5&gt;0,ISNUMBER($B$3),$B$3&gt;0),F181/(6*$B$3*1000000*$B$5)*(IF(B181&lt;($B$4*6/10),($B$4*6/10)*(MIN(C181,($B$4*6/10))^3-B181^3)-(MIN(C181,($B$4*6/10))^4-B181^4)/4,0)+IF(C181&gt;($B$4*6/10),($B$4*6/10)^2*(1.5*(C181^2-MAX(B181,($B$4*6/10))^2)-($B$4*6/10)*(C181-MAX(B181,($B$4*6/10)))),0))*1000,0)</f>
        <v>0</v>
      </c>
      <c r="AH181" s="120">
        <f>IF(AND(J181="OK",ISNUMBER($B$5),$B$5&gt;0,ISNUMBER($B$3),$B$3&gt;0),F181/(6*$B$3*1000000*$B$5)*(IF(B181&lt;($B$4*7/10),($B$4*7/10)*(MIN(C181,($B$4*7/10))^3-B181^3)-(MIN(C181,($B$4*7/10))^4-B181^4)/4,0)+IF(C181&gt;($B$4*7/10),($B$4*7/10)^2*(1.5*(C181^2-MAX(B181,($B$4*7/10))^2)-($B$4*7/10)*(C181-MAX(B181,($B$4*7/10)))),0))*1000,0)</f>
        <v>0</v>
      </c>
      <c r="AI181" s="120">
        <f>IF(AND(J181="OK",ISNUMBER($B$5),$B$5&gt;0,ISNUMBER($B$3),$B$3&gt;0),F181/(6*$B$3*1000000*$B$5)*(IF(B181&lt;($B$4*8/10),($B$4*8/10)*(MIN(C181,($B$4*8/10))^3-B181^3)-(MIN(C181,($B$4*8/10))^4-B181^4)/4,0)+IF(C181&gt;($B$4*8/10),($B$4*8/10)^2*(1.5*(C181^2-MAX(B181,($B$4*8/10))^2)-($B$4*8/10)*(C181-MAX(B181,($B$4*8/10)))),0))*1000,0)</f>
        <v>0</v>
      </c>
      <c r="AJ181" s="120">
        <f>IF(AND(J181="OK",ISNUMBER($B$5),$B$5&gt;0,ISNUMBER($B$3),$B$3&gt;0),F181/(6*$B$3*1000000*$B$5)*(IF(B181&lt;($B$4*9/10),($B$4*9/10)*(MIN(C181,($B$4*9/10))^3-B181^3)-(MIN(C181,($B$4*9/10))^4-B181^4)/4,0)+IF(C181&gt;($B$4*9/10),($B$4*9/10)^2*(1.5*(C181^2-MAX(B181,($B$4*9/10))^2)-($B$4*9/10)*(C181-MAX(B181,($B$4*9/10)))),0))*1000,0)</f>
        <v>0</v>
      </c>
      <c r="AK181" s="120">
        <f>IF(AND(J181="OK",ISNUMBER($B$5),$B$5&gt;0,ISNUMBER($B$3),$B$3&gt;0),F181/(6*$B$3*1000000*$B$5)*(IF(B181&lt;($B$4*10/10),($B$4*10/10)*(MIN(C181,($B$4*10/10))^3-B181^3)-(MIN(C181,($B$4*10/10))^4-B181^4)/4,0)+IF(C181&gt;($B$4*10/10),($B$4*10/10)^2*(1.5*(C181^2-MAX(B181,($B$4*10/10))^2)-($B$4*10/10)*(C181-MAX(B181,($B$4*10/10)))),0))*1000,0)</f>
        <v>0</v>
      </c>
      <c r="AM181" s="120">
        <f>IF(AND(V181="OK",ISNUMBER($N$5),$N$5&gt;0,ISNUMBER($N$3),$N$3&gt;0),R181/(6*$N$3*1000000*$N$5)*(IF(N181&lt;($N$4*0/10),($N$4*0/10)*(MIN(O181,($N$4*0/10))^3-N181^3)-(MIN(O181,($N$4*0/10))^4-N181^4)/4,0)+IF(O181&gt;($N$4*0/10),($N$4*0/10)^2*(1.5*(O181^2-MAX(N181,($N$4*0/10))^2)-($N$4*0/10)*(O181-MAX(N181,($N$4*0/10)))),0))*1000,0)</f>
        <v>0</v>
      </c>
      <c r="AN181" s="120">
        <f>IF(AND(V181="OK",ISNUMBER($N$5),$N$5&gt;0,ISNUMBER($N$3),$N$3&gt;0),R181/(6*$N$3*1000000*$N$5)*(IF(N181&lt;($N$4*1/10),($N$4*1/10)*(MIN(O181,($N$4*1/10))^3-N181^3)-(MIN(O181,($N$4*1/10))^4-N181^4)/4,0)+IF(O181&gt;($N$4*1/10),($N$4*1/10)^2*(1.5*(O181^2-MAX(N181,($N$4*1/10))^2)-($N$4*1/10)*(O181-MAX(N181,($N$4*1/10)))),0))*1000,0)</f>
        <v>0</v>
      </c>
      <c r="AO181" s="120">
        <f>IF(AND(V181="OK",ISNUMBER($N$5),$N$5&gt;0,ISNUMBER($N$3),$N$3&gt;0),R181/(6*$N$3*1000000*$N$5)*(IF(N181&lt;($N$4*2/10),($N$4*2/10)*(MIN(O181,($N$4*2/10))^3-N181^3)-(MIN(O181,($N$4*2/10))^4-N181^4)/4,0)+IF(O181&gt;($N$4*2/10),($N$4*2/10)^2*(1.5*(O181^2-MAX(N181,($N$4*2/10))^2)-($N$4*2/10)*(O181-MAX(N181,($N$4*2/10)))),0))*1000,0)</f>
        <v>0</v>
      </c>
      <c r="AP181" s="120">
        <f>IF(AND(V181="OK",ISNUMBER($N$5),$N$5&gt;0,ISNUMBER($N$3),$N$3&gt;0),R181/(6*$N$3*1000000*$N$5)*(IF(N181&lt;($N$4*3/10),($N$4*3/10)*(MIN(O181,($N$4*3/10))^3-N181^3)-(MIN(O181,($N$4*3/10))^4-N181^4)/4,0)+IF(O181&gt;($N$4*3/10),($N$4*3/10)^2*(1.5*(O181^2-MAX(N181,($N$4*3/10))^2)-($N$4*3/10)*(O181-MAX(N181,($N$4*3/10)))),0))*1000,0)</f>
        <v>0</v>
      </c>
      <c r="AQ181" s="120">
        <f>IF(AND(V181="OK",ISNUMBER($N$5),$N$5&gt;0,ISNUMBER($N$3),$N$3&gt;0),R181/(6*$N$3*1000000*$N$5)*(IF(N181&lt;($N$4*4/10),($N$4*4/10)*(MIN(O181,($N$4*4/10))^3-N181^3)-(MIN(O181,($N$4*4/10))^4-N181^4)/4,0)+IF(O181&gt;($N$4*4/10),($N$4*4/10)^2*(1.5*(O181^2-MAX(N181,($N$4*4/10))^2)-($N$4*4/10)*(O181-MAX(N181,($N$4*4/10)))),0))*1000,0)</f>
        <v>0</v>
      </c>
      <c r="AR181" s="120">
        <f>IF(AND(V181="OK",ISNUMBER($N$5),$N$5&gt;0,ISNUMBER($N$3),$N$3&gt;0),R181/(6*$N$3*1000000*$N$5)*(IF(N181&lt;($N$4*5/10),($N$4*5/10)*(MIN(O181,($N$4*5/10))^3-N181^3)-(MIN(O181,($N$4*5/10))^4-N181^4)/4,0)+IF(O181&gt;($N$4*5/10),($N$4*5/10)^2*(1.5*(O181^2-MAX(N181,($N$4*5/10))^2)-($N$4*5/10)*(O181-MAX(N181,($N$4*5/10)))),0))*1000,0)</f>
        <v>0</v>
      </c>
      <c r="AS181" s="120">
        <f>IF(AND(V181="OK",ISNUMBER($N$5),$N$5&gt;0,ISNUMBER($N$3),$N$3&gt;0),R181/(6*$N$3*1000000*$N$5)*(IF(N181&lt;($N$4*6/10),($N$4*6/10)*(MIN(O181,($N$4*6/10))^3-N181^3)-(MIN(O181,($N$4*6/10))^4-N181^4)/4,0)+IF(O181&gt;($N$4*6/10),($N$4*6/10)^2*(1.5*(O181^2-MAX(N181,($N$4*6/10))^2)-($N$4*6/10)*(O181-MAX(N181,($N$4*6/10)))),0))*1000,0)</f>
        <v>0</v>
      </c>
      <c r="AT181" s="120">
        <f>IF(AND(V181="OK",ISNUMBER($N$5),$N$5&gt;0,ISNUMBER($N$3),$N$3&gt;0),R181/(6*$N$3*1000000*$N$5)*(IF(N181&lt;($N$4*7/10),($N$4*7/10)*(MIN(O181,($N$4*7/10))^3-N181^3)-(MIN(O181,($N$4*7/10))^4-N181^4)/4,0)+IF(O181&gt;($N$4*7/10),($N$4*7/10)^2*(1.5*(O181^2-MAX(N181,($N$4*7/10))^2)-($N$4*7/10)*(O181-MAX(N181,($N$4*7/10)))),0))*1000,0)</f>
        <v>0</v>
      </c>
      <c r="AU181" s="120">
        <f>IF(AND(V181="OK",ISNUMBER($N$5),$N$5&gt;0,ISNUMBER($N$3),$N$3&gt;0),R181/(6*$N$3*1000000*$N$5)*(IF(N181&lt;($N$4*8/10),($N$4*8/10)*(MIN(O181,($N$4*8/10))^3-N181^3)-(MIN(O181,($N$4*8/10))^4-N181^4)/4,0)+IF(O181&gt;($N$4*8/10),($N$4*8/10)^2*(1.5*(O181^2-MAX(N181,($N$4*8/10))^2)-($N$4*8/10)*(O181-MAX(N181,($N$4*8/10)))),0))*1000,0)</f>
        <v>0</v>
      </c>
      <c r="AV181" s="120">
        <f>IF(AND(V181="OK",ISNUMBER($N$5),$N$5&gt;0,ISNUMBER($N$3),$N$3&gt;0),R181/(6*$N$3*1000000*$N$5)*(IF(N181&lt;($N$4*9/10),($N$4*9/10)*(MIN(O181,($N$4*9/10))^3-N181^3)-(MIN(O181,($N$4*9/10))^4-N181^4)/4,0)+IF(O181&gt;($N$4*9/10),($N$4*9/10)^2*(1.5*(O181^2-MAX(N181,($N$4*9/10))^2)-($N$4*9/10)*(O181-MAX(N181,($N$4*9/10)))),0))*1000,0)</f>
        <v>0</v>
      </c>
      <c r="AW181" s="120">
        <f>IF(AND(V181="OK",ISNUMBER($N$5),$N$5&gt;0,ISNUMBER($N$3),$N$3&gt;0),R181/(6*$N$3*1000000*$N$5)*(IF(N181&lt;($N$4*10/10),($N$4*10/10)*(MIN(O181,($N$4*10/10))^3-N181^3)-(MIN(O181,($N$4*10/10))^4-N181^4)/4,0)+IF(O181&gt;($N$4*10/10),($N$4*10/10)^2*(1.5*(O181^2-MAX(N181,($N$4*10/10))^2)-($N$4*10/10)*(O181-MAX(N181,($N$4*10/10)))),0))*1000,0)</f>
        <v>0</v>
      </c>
    </row>
    <row r="182" spans="1:49">
      <c r="A182" s="124"/>
      <c r="B182" s="125"/>
      <c r="C182" s="125"/>
      <c r="D182" s="125"/>
      <c r="E182" s="125"/>
      <c r="F182" s="126" t="str">
        <f>IF(J182="OK",D182*E182,"")</f>
        <v/>
      </c>
      <c r="G182" s="126" t="str">
        <f>IF(J182="OK",F182*(C182-B182),"")</f>
        <v/>
      </c>
      <c r="H182" s="126" t="str">
        <f>IF(J182="OK",G182*(C182+B182)/2,"")</f>
        <v/>
      </c>
      <c r="I182" s="126" t="str">
        <f>IF(AND(J182="OK",ISNUMBER($B$5),$B$5&gt;0,ISNUMBER($B$3),$B$3&gt;0),F182*(4*$B$4*(C182^3-B182^3)-(C182^4-B182^4))/(24*$B$3*1000000*$B$5)*1000,"")</f>
        <v/>
      </c>
      <c r="J182" s="120" t="str">
        <f>IF(COUNTA(A182:E182)=0,"",IF(AND(COUNT(B182:E182)=4,B182&gt;=0,C182&gt;B182,C182&lt;=$B$4,D182&gt;=0,E182&gt;0),IF(COUNTIFS($B$13:$B$181,"&lt;"&amp;C182,$C$13:$C$181,"&gt;"&amp;B182)&gt;0,"OVERLAP","OK"),"CHECK INPUTS"))</f>
        <v/>
      </c>
      <c r="M182" s="124"/>
      <c r="N182" s="125"/>
      <c r="O182" s="125"/>
      <c r="P182" s="125"/>
      <c r="Q182" s="125"/>
      <c r="R182" s="126" t="str">
        <f>IF(V182="OK",P182*Q182,"")</f>
        <v/>
      </c>
      <c r="S182" s="126" t="str">
        <f>IF(V182="OK",R182*(O182-N182),"")</f>
        <v/>
      </c>
      <c r="T182" s="126" t="str">
        <f>IF(V182="OK",S182*(O182+N182)/2,"")</f>
        <v/>
      </c>
      <c r="U182" s="126" t="str">
        <f>IF(AND(V182="OK",ISNUMBER($N$5),$N$5&gt;0,ISNUMBER($N$3),$N$3&gt;0),R182*(4*$N$4*(O182^3-N182^3)-(O182^4-N182^4))/(24*$N$3*1000000*$N$5)*1000,"")</f>
        <v/>
      </c>
      <c r="V182" s="120" t="str">
        <f>IF(COUNTA(M182:Q182)=0,"",IF(AND(COUNT(N182:Q182)=4,N182&gt;=0,O182&gt;N182,O182&lt;=$N$4,P182&gt;=0,Q182&gt;0),IF(COUNTIFS($N$13:$N$181,"&lt;"&amp;O182,$O$13:$O$181,"&gt;"&amp;N182)&gt;0,"OVERLAP","OK"),"CHECK INPUTS"))</f>
        <v/>
      </c>
      <c r="AA182" s="120">
        <f>IF(AND(J182="OK",ISNUMBER($B$5),$B$5&gt;0,ISNUMBER($B$3),$B$3&gt;0),F182/(6*$B$3*1000000*$B$5)*(IF(B182&lt;($B$4*0/10),($B$4*0/10)*(MIN(C182,($B$4*0/10))^3-B182^3)-(MIN(C182,($B$4*0/10))^4-B182^4)/4,0)+IF(C182&gt;($B$4*0/10),($B$4*0/10)^2*(1.5*(C182^2-MAX(B182,($B$4*0/10))^2)-($B$4*0/10)*(C182-MAX(B182,($B$4*0/10)))),0))*1000,0)</f>
        <v>0</v>
      </c>
      <c r="AB182" s="120">
        <f>IF(AND(J182="OK",ISNUMBER($B$5),$B$5&gt;0,ISNUMBER($B$3),$B$3&gt;0),F182/(6*$B$3*1000000*$B$5)*(IF(B182&lt;($B$4*1/10),($B$4*1/10)*(MIN(C182,($B$4*1/10))^3-B182^3)-(MIN(C182,($B$4*1/10))^4-B182^4)/4,0)+IF(C182&gt;($B$4*1/10),($B$4*1/10)^2*(1.5*(C182^2-MAX(B182,($B$4*1/10))^2)-($B$4*1/10)*(C182-MAX(B182,($B$4*1/10)))),0))*1000,0)</f>
        <v>0</v>
      </c>
      <c r="AC182" s="120">
        <f>IF(AND(J182="OK",ISNUMBER($B$5),$B$5&gt;0,ISNUMBER($B$3),$B$3&gt;0),F182/(6*$B$3*1000000*$B$5)*(IF(B182&lt;($B$4*2/10),($B$4*2/10)*(MIN(C182,($B$4*2/10))^3-B182^3)-(MIN(C182,($B$4*2/10))^4-B182^4)/4,0)+IF(C182&gt;($B$4*2/10),($B$4*2/10)^2*(1.5*(C182^2-MAX(B182,($B$4*2/10))^2)-($B$4*2/10)*(C182-MAX(B182,($B$4*2/10)))),0))*1000,0)</f>
        <v>0</v>
      </c>
      <c r="AD182" s="120">
        <f>IF(AND(J182="OK",ISNUMBER($B$5),$B$5&gt;0,ISNUMBER($B$3),$B$3&gt;0),F182/(6*$B$3*1000000*$B$5)*(IF(B182&lt;($B$4*3/10),($B$4*3/10)*(MIN(C182,($B$4*3/10))^3-B182^3)-(MIN(C182,($B$4*3/10))^4-B182^4)/4,0)+IF(C182&gt;($B$4*3/10),($B$4*3/10)^2*(1.5*(C182^2-MAX(B182,($B$4*3/10))^2)-($B$4*3/10)*(C182-MAX(B182,($B$4*3/10)))),0))*1000,0)</f>
        <v>0</v>
      </c>
      <c r="AE182" s="120">
        <f>IF(AND(J182="OK",ISNUMBER($B$5),$B$5&gt;0,ISNUMBER($B$3),$B$3&gt;0),F182/(6*$B$3*1000000*$B$5)*(IF(B182&lt;($B$4*4/10),($B$4*4/10)*(MIN(C182,($B$4*4/10))^3-B182^3)-(MIN(C182,($B$4*4/10))^4-B182^4)/4,0)+IF(C182&gt;($B$4*4/10),($B$4*4/10)^2*(1.5*(C182^2-MAX(B182,($B$4*4/10))^2)-($B$4*4/10)*(C182-MAX(B182,($B$4*4/10)))),0))*1000,0)</f>
        <v>0</v>
      </c>
      <c r="AF182" s="120">
        <f>IF(AND(J182="OK",ISNUMBER($B$5),$B$5&gt;0,ISNUMBER($B$3),$B$3&gt;0),F182/(6*$B$3*1000000*$B$5)*(IF(B182&lt;($B$4*5/10),($B$4*5/10)*(MIN(C182,($B$4*5/10))^3-B182^3)-(MIN(C182,($B$4*5/10))^4-B182^4)/4,0)+IF(C182&gt;($B$4*5/10),($B$4*5/10)^2*(1.5*(C182^2-MAX(B182,($B$4*5/10))^2)-($B$4*5/10)*(C182-MAX(B182,($B$4*5/10)))),0))*1000,0)</f>
        <v>0</v>
      </c>
      <c r="AG182" s="120">
        <f>IF(AND(J182="OK",ISNUMBER($B$5),$B$5&gt;0,ISNUMBER($B$3),$B$3&gt;0),F182/(6*$B$3*1000000*$B$5)*(IF(B182&lt;($B$4*6/10),($B$4*6/10)*(MIN(C182,($B$4*6/10))^3-B182^3)-(MIN(C182,($B$4*6/10))^4-B182^4)/4,0)+IF(C182&gt;($B$4*6/10),($B$4*6/10)^2*(1.5*(C182^2-MAX(B182,($B$4*6/10))^2)-($B$4*6/10)*(C182-MAX(B182,($B$4*6/10)))),0))*1000,0)</f>
        <v>0</v>
      </c>
      <c r="AH182" s="120">
        <f>IF(AND(J182="OK",ISNUMBER($B$5),$B$5&gt;0,ISNUMBER($B$3),$B$3&gt;0),F182/(6*$B$3*1000000*$B$5)*(IF(B182&lt;($B$4*7/10),($B$4*7/10)*(MIN(C182,($B$4*7/10))^3-B182^3)-(MIN(C182,($B$4*7/10))^4-B182^4)/4,0)+IF(C182&gt;($B$4*7/10),($B$4*7/10)^2*(1.5*(C182^2-MAX(B182,($B$4*7/10))^2)-($B$4*7/10)*(C182-MAX(B182,($B$4*7/10)))),0))*1000,0)</f>
        <v>0</v>
      </c>
      <c r="AI182" s="120">
        <f>IF(AND(J182="OK",ISNUMBER($B$5),$B$5&gt;0,ISNUMBER($B$3),$B$3&gt;0),F182/(6*$B$3*1000000*$B$5)*(IF(B182&lt;($B$4*8/10),($B$4*8/10)*(MIN(C182,($B$4*8/10))^3-B182^3)-(MIN(C182,($B$4*8/10))^4-B182^4)/4,0)+IF(C182&gt;($B$4*8/10),($B$4*8/10)^2*(1.5*(C182^2-MAX(B182,($B$4*8/10))^2)-($B$4*8/10)*(C182-MAX(B182,($B$4*8/10)))),0))*1000,0)</f>
        <v>0</v>
      </c>
      <c r="AJ182" s="120">
        <f>IF(AND(J182="OK",ISNUMBER($B$5),$B$5&gt;0,ISNUMBER($B$3),$B$3&gt;0),F182/(6*$B$3*1000000*$B$5)*(IF(B182&lt;($B$4*9/10),($B$4*9/10)*(MIN(C182,($B$4*9/10))^3-B182^3)-(MIN(C182,($B$4*9/10))^4-B182^4)/4,0)+IF(C182&gt;($B$4*9/10),($B$4*9/10)^2*(1.5*(C182^2-MAX(B182,($B$4*9/10))^2)-($B$4*9/10)*(C182-MAX(B182,($B$4*9/10)))),0))*1000,0)</f>
        <v>0</v>
      </c>
      <c r="AK182" s="120">
        <f>IF(AND(J182="OK",ISNUMBER($B$5),$B$5&gt;0,ISNUMBER($B$3),$B$3&gt;0),F182/(6*$B$3*1000000*$B$5)*(IF(B182&lt;($B$4*10/10),($B$4*10/10)*(MIN(C182,($B$4*10/10))^3-B182^3)-(MIN(C182,($B$4*10/10))^4-B182^4)/4,0)+IF(C182&gt;($B$4*10/10),($B$4*10/10)^2*(1.5*(C182^2-MAX(B182,($B$4*10/10))^2)-($B$4*10/10)*(C182-MAX(B182,($B$4*10/10)))),0))*1000,0)</f>
        <v>0</v>
      </c>
      <c r="AM182" s="120">
        <f>IF(AND(V182="OK",ISNUMBER($N$5),$N$5&gt;0,ISNUMBER($N$3),$N$3&gt;0),R182/(6*$N$3*1000000*$N$5)*(IF(N182&lt;($N$4*0/10),($N$4*0/10)*(MIN(O182,($N$4*0/10))^3-N182^3)-(MIN(O182,($N$4*0/10))^4-N182^4)/4,0)+IF(O182&gt;($N$4*0/10),($N$4*0/10)^2*(1.5*(O182^2-MAX(N182,($N$4*0/10))^2)-($N$4*0/10)*(O182-MAX(N182,($N$4*0/10)))),0))*1000,0)</f>
        <v>0</v>
      </c>
      <c r="AN182" s="120">
        <f>IF(AND(V182="OK",ISNUMBER($N$5),$N$5&gt;0,ISNUMBER($N$3),$N$3&gt;0),R182/(6*$N$3*1000000*$N$5)*(IF(N182&lt;($N$4*1/10),($N$4*1/10)*(MIN(O182,($N$4*1/10))^3-N182^3)-(MIN(O182,($N$4*1/10))^4-N182^4)/4,0)+IF(O182&gt;($N$4*1/10),($N$4*1/10)^2*(1.5*(O182^2-MAX(N182,($N$4*1/10))^2)-($N$4*1/10)*(O182-MAX(N182,($N$4*1/10)))),0))*1000,0)</f>
        <v>0</v>
      </c>
      <c r="AO182" s="120">
        <f>IF(AND(V182="OK",ISNUMBER($N$5),$N$5&gt;0,ISNUMBER($N$3),$N$3&gt;0),R182/(6*$N$3*1000000*$N$5)*(IF(N182&lt;($N$4*2/10),($N$4*2/10)*(MIN(O182,($N$4*2/10))^3-N182^3)-(MIN(O182,($N$4*2/10))^4-N182^4)/4,0)+IF(O182&gt;($N$4*2/10),($N$4*2/10)^2*(1.5*(O182^2-MAX(N182,($N$4*2/10))^2)-($N$4*2/10)*(O182-MAX(N182,($N$4*2/10)))),0))*1000,0)</f>
        <v>0</v>
      </c>
      <c r="AP182" s="120">
        <f>IF(AND(V182="OK",ISNUMBER($N$5),$N$5&gt;0,ISNUMBER($N$3),$N$3&gt;0),R182/(6*$N$3*1000000*$N$5)*(IF(N182&lt;($N$4*3/10),($N$4*3/10)*(MIN(O182,($N$4*3/10))^3-N182^3)-(MIN(O182,($N$4*3/10))^4-N182^4)/4,0)+IF(O182&gt;($N$4*3/10),($N$4*3/10)^2*(1.5*(O182^2-MAX(N182,($N$4*3/10))^2)-($N$4*3/10)*(O182-MAX(N182,($N$4*3/10)))),0))*1000,0)</f>
        <v>0</v>
      </c>
      <c r="AQ182" s="120">
        <f>IF(AND(V182="OK",ISNUMBER($N$5),$N$5&gt;0,ISNUMBER($N$3),$N$3&gt;0),R182/(6*$N$3*1000000*$N$5)*(IF(N182&lt;($N$4*4/10),($N$4*4/10)*(MIN(O182,($N$4*4/10))^3-N182^3)-(MIN(O182,($N$4*4/10))^4-N182^4)/4,0)+IF(O182&gt;($N$4*4/10),($N$4*4/10)^2*(1.5*(O182^2-MAX(N182,($N$4*4/10))^2)-($N$4*4/10)*(O182-MAX(N182,($N$4*4/10)))),0))*1000,0)</f>
        <v>0</v>
      </c>
      <c r="AR182" s="120">
        <f>IF(AND(V182="OK",ISNUMBER($N$5),$N$5&gt;0,ISNUMBER($N$3),$N$3&gt;0),R182/(6*$N$3*1000000*$N$5)*(IF(N182&lt;($N$4*5/10),($N$4*5/10)*(MIN(O182,($N$4*5/10))^3-N182^3)-(MIN(O182,($N$4*5/10))^4-N182^4)/4,0)+IF(O182&gt;($N$4*5/10),($N$4*5/10)^2*(1.5*(O182^2-MAX(N182,($N$4*5/10))^2)-($N$4*5/10)*(O182-MAX(N182,($N$4*5/10)))),0))*1000,0)</f>
        <v>0</v>
      </c>
      <c r="AS182" s="120">
        <f>IF(AND(V182="OK",ISNUMBER($N$5),$N$5&gt;0,ISNUMBER($N$3),$N$3&gt;0),R182/(6*$N$3*1000000*$N$5)*(IF(N182&lt;($N$4*6/10),($N$4*6/10)*(MIN(O182,($N$4*6/10))^3-N182^3)-(MIN(O182,($N$4*6/10))^4-N182^4)/4,0)+IF(O182&gt;($N$4*6/10),($N$4*6/10)^2*(1.5*(O182^2-MAX(N182,($N$4*6/10))^2)-($N$4*6/10)*(O182-MAX(N182,($N$4*6/10)))),0))*1000,0)</f>
        <v>0</v>
      </c>
      <c r="AT182" s="120">
        <f>IF(AND(V182="OK",ISNUMBER($N$5),$N$5&gt;0,ISNUMBER($N$3),$N$3&gt;0),R182/(6*$N$3*1000000*$N$5)*(IF(N182&lt;($N$4*7/10),($N$4*7/10)*(MIN(O182,($N$4*7/10))^3-N182^3)-(MIN(O182,($N$4*7/10))^4-N182^4)/4,0)+IF(O182&gt;($N$4*7/10),($N$4*7/10)^2*(1.5*(O182^2-MAX(N182,($N$4*7/10))^2)-($N$4*7/10)*(O182-MAX(N182,($N$4*7/10)))),0))*1000,0)</f>
        <v>0</v>
      </c>
      <c r="AU182" s="120">
        <f>IF(AND(V182="OK",ISNUMBER($N$5),$N$5&gt;0,ISNUMBER($N$3),$N$3&gt;0),R182/(6*$N$3*1000000*$N$5)*(IF(N182&lt;($N$4*8/10),($N$4*8/10)*(MIN(O182,($N$4*8/10))^3-N182^3)-(MIN(O182,($N$4*8/10))^4-N182^4)/4,0)+IF(O182&gt;($N$4*8/10),($N$4*8/10)^2*(1.5*(O182^2-MAX(N182,($N$4*8/10))^2)-($N$4*8/10)*(O182-MAX(N182,($N$4*8/10)))),0))*1000,0)</f>
        <v>0</v>
      </c>
      <c r="AV182" s="120">
        <f>IF(AND(V182="OK",ISNUMBER($N$5),$N$5&gt;0,ISNUMBER($N$3),$N$3&gt;0),R182/(6*$N$3*1000000*$N$5)*(IF(N182&lt;($N$4*9/10),($N$4*9/10)*(MIN(O182,($N$4*9/10))^3-N182^3)-(MIN(O182,($N$4*9/10))^4-N182^4)/4,0)+IF(O182&gt;($N$4*9/10),($N$4*9/10)^2*(1.5*(O182^2-MAX(N182,($N$4*9/10))^2)-($N$4*9/10)*(O182-MAX(N182,($N$4*9/10)))),0))*1000,0)</f>
        <v>0</v>
      </c>
      <c r="AW182" s="120">
        <f>IF(AND(V182="OK",ISNUMBER($N$5),$N$5&gt;0,ISNUMBER($N$3),$N$3&gt;0),R182/(6*$N$3*1000000*$N$5)*(IF(N182&lt;($N$4*10/10),($N$4*10/10)*(MIN(O182,($N$4*10/10))^3-N182^3)-(MIN(O182,($N$4*10/10))^4-N182^4)/4,0)+IF(O182&gt;($N$4*10/10),($N$4*10/10)^2*(1.5*(O182^2-MAX(N182,($N$4*10/10))^2)-($N$4*10/10)*(O182-MAX(N182,($N$4*10/10)))),0))*1000,0)</f>
        <v>0</v>
      </c>
    </row>
    <row r="183" spans="1:49">
      <c r="A183" s="124"/>
      <c r="B183" s="125"/>
      <c r="C183" s="125"/>
      <c r="D183" s="125"/>
      <c r="E183" s="125"/>
      <c r="F183" s="126" t="str">
        <f>IF(J183="OK",D183*E183,"")</f>
        <v/>
      </c>
      <c r="G183" s="126" t="str">
        <f>IF(J183="OK",F183*(C183-B183),"")</f>
        <v/>
      </c>
      <c r="H183" s="126" t="str">
        <f>IF(J183="OK",G183*(C183+B183)/2,"")</f>
        <v/>
      </c>
      <c r="I183" s="126" t="str">
        <f>IF(AND(J183="OK",ISNUMBER($B$5),$B$5&gt;0,ISNUMBER($B$3),$B$3&gt;0),F183*(4*$B$4*(C183^3-B183^3)-(C183^4-B183^4))/(24*$B$3*1000000*$B$5)*1000,"")</f>
        <v/>
      </c>
      <c r="J183" s="120" t="str">
        <f>IF(COUNTA(A183:E183)=0,"",IF(AND(COUNT(B183:E183)=4,B183&gt;=0,C183&gt;B183,C183&lt;=$B$4,D183&gt;=0,E183&gt;0),IF(COUNTIFS($B$13:$B$182,"&lt;"&amp;C183,$C$13:$C$182,"&gt;"&amp;B183)&gt;0,"OVERLAP","OK"),"CHECK INPUTS"))</f>
        <v/>
      </c>
      <c r="M183" s="124"/>
      <c r="N183" s="125"/>
      <c r="O183" s="125"/>
      <c r="P183" s="125"/>
      <c r="Q183" s="125"/>
      <c r="R183" s="126" t="str">
        <f>IF(V183="OK",P183*Q183,"")</f>
        <v/>
      </c>
      <c r="S183" s="126" t="str">
        <f>IF(V183="OK",R183*(O183-N183),"")</f>
        <v/>
      </c>
      <c r="T183" s="126" t="str">
        <f>IF(V183="OK",S183*(O183+N183)/2,"")</f>
        <v/>
      </c>
      <c r="U183" s="126" t="str">
        <f>IF(AND(V183="OK",ISNUMBER($N$5),$N$5&gt;0,ISNUMBER($N$3),$N$3&gt;0),R183*(4*$N$4*(O183^3-N183^3)-(O183^4-N183^4))/(24*$N$3*1000000*$N$5)*1000,"")</f>
        <v/>
      </c>
      <c r="V183" s="120" t="str">
        <f>IF(COUNTA(M183:Q183)=0,"",IF(AND(COUNT(N183:Q183)=4,N183&gt;=0,O183&gt;N183,O183&lt;=$N$4,P183&gt;=0,Q183&gt;0),IF(COUNTIFS($N$13:$N$182,"&lt;"&amp;O183,$O$13:$O$182,"&gt;"&amp;N183)&gt;0,"OVERLAP","OK"),"CHECK INPUTS"))</f>
        <v/>
      </c>
      <c r="AA183" s="120">
        <f>IF(AND(J183="OK",ISNUMBER($B$5),$B$5&gt;0,ISNUMBER($B$3),$B$3&gt;0),F183/(6*$B$3*1000000*$B$5)*(IF(B183&lt;($B$4*0/10),($B$4*0/10)*(MIN(C183,($B$4*0/10))^3-B183^3)-(MIN(C183,($B$4*0/10))^4-B183^4)/4,0)+IF(C183&gt;($B$4*0/10),($B$4*0/10)^2*(1.5*(C183^2-MAX(B183,($B$4*0/10))^2)-($B$4*0/10)*(C183-MAX(B183,($B$4*0/10)))),0))*1000,0)</f>
        <v>0</v>
      </c>
      <c r="AB183" s="120">
        <f>IF(AND(J183="OK",ISNUMBER($B$5),$B$5&gt;0,ISNUMBER($B$3),$B$3&gt;0),F183/(6*$B$3*1000000*$B$5)*(IF(B183&lt;($B$4*1/10),($B$4*1/10)*(MIN(C183,($B$4*1/10))^3-B183^3)-(MIN(C183,($B$4*1/10))^4-B183^4)/4,0)+IF(C183&gt;($B$4*1/10),($B$4*1/10)^2*(1.5*(C183^2-MAX(B183,($B$4*1/10))^2)-($B$4*1/10)*(C183-MAX(B183,($B$4*1/10)))),0))*1000,0)</f>
        <v>0</v>
      </c>
      <c r="AC183" s="120">
        <f>IF(AND(J183="OK",ISNUMBER($B$5),$B$5&gt;0,ISNUMBER($B$3),$B$3&gt;0),F183/(6*$B$3*1000000*$B$5)*(IF(B183&lt;($B$4*2/10),($B$4*2/10)*(MIN(C183,($B$4*2/10))^3-B183^3)-(MIN(C183,($B$4*2/10))^4-B183^4)/4,0)+IF(C183&gt;($B$4*2/10),($B$4*2/10)^2*(1.5*(C183^2-MAX(B183,($B$4*2/10))^2)-($B$4*2/10)*(C183-MAX(B183,($B$4*2/10)))),0))*1000,0)</f>
        <v>0</v>
      </c>
      <c r="AD183" s="120">
        <f>IF(AND(J183="OK",ISNUMBER($B$5),$B$5&gt;0,ISNUMBER($B$3),$B$3&gt;0),F183/(6*$B$3*1000000*$B$5)*(IF(B183&lt;($B$4*3/10),($B$4*3/10)*(MIN(C183,($B$4*3/10))^3-B183^3)-(MIN(C183,($B$4*3/10))^4-B183^4)/4,0)+IF(C183&gt;($B$4*3/10),($B$4*3/10)^2*(1.5*(C183^2-MAX(B183,($B$4*3/10))^2)-($B$4*3/10)*(C183-MAX(B183,($B$4*3/10)))),0))*1000,0)</f>
        <v>0</v>
      </c>
      <c r="AE183" s="120">
        <f>IF(AND(J183="OK",ISNUMBER($B$5),$B$5&gt;0,ISNUMBER($B$3),$B$3&gt;0),F183/(6*$B$3*1000000*$B$5)*(IF(B183&lt;($B$4*4/10),($B$4*4/10)*(MIN(C183,($B$4*4/10))^3-B183^3)-(MIN(C183,($B$4*4/10))^4-B183^4)/4,0)+IF(C183&gt;($B$4*4/10),($B$4*4/10)^2*(1.5*(C183^2-MAX(B183,($B$4*4/10))^2)-($B$4*4/10)*(C183-MAX(B183,($B$4*4/10)))),0))*1000,0)</f>
        <v>0</v>
      </c>
      <c r="AF183" s="120">
        <f>IF(AND(J183="OK",ISNUMBER($B$5),$B$5&gt;0,ISNUMBER($B$3),$B$3&gt;0),F183/(6*$B$3*1000000*$B$5)*(IF(B183&lt;($B$4*5/10),($B$4*5/10)*(MIN(C183,($B$4*5/10))^3-B183^3)-(MIN(C183,($B$4*5/10))^4-B183^4)/4,0)+IF(C183&gt;($B$4*5/10),($B$4*5/10)^2*(1.5*(C183^2-MAX(B183,($B$4*5/10))^2)-($B$4*5/10)*(C183-MAX(B183,($B$4*5/10)))),0))*1000,0)</f>
        <v>0</v>
      </c>
      <c r="AG183" s="120">
        <f>IF(AND(J183="OK",ISNUMBER($B$5),$B$5&gt;0,ISNUMBER($B$3),$B$3&gt;0),F183/(6*$B$3*1000000*$B$5)*(IF(B183&lt;($B$4*6/10),($B$4*6/10)*(MIN(C183,($B$4*6/10))^3-B183^3)-(MIN(C183,($B$4*6/10))^4-B183^4)/4,0)+IF(C183&gt;($B$4*6/10),($B$4*6/10)^2*(1.5*(C183^2-MAX(B183,($B$4*6/10))^2)-($B$4*6/10)*(C183-MAX(B183,($B$4*6/10)))),0))*1000,0)</f>
        <v>0</v>
      </c>
      <c r="AH183" s="120">
        <f>IF(AND(J183="OK",ISNUMBER($B$5),$B$5&gt;0,ISNUMBER($B$3),$B$3&gt;0),F183/(6*$B$3*1000000*$B$5)*(IF(B183&lt;($B$4*7/10),($B$4*7/10)*(MIN(C183,($B$4*7/10))^3-B183^3)-(MIN(C183,($B$4*7/10))^4-B183^4)/4,0)+IF(C183&gt;($B$4*7/10),($B$4*7/10)^2*(1.5*(C183^2-MAX(B183,($B$4*7/10))^2)-($B$4*7/10)*(C183-MAX(B183,($B$4*7/10)))),0))*1000,0)</f>
        <v>0</v>
      </c>
      <c r="AI183" s="120">
        <f>IF(AND(J183="OK",ISNUMBER($B$5),$B$5&gt;0,ISNUMBER($B$3),$B$3&gt;0),F183/(6*$B$3*1000000*$B$5)*(IF(B183&lt;($B$4*8/10),($B$4*8/10)*(MIN(C183,($B$4*8/10))^3-B183^3)-(MIN(C183,($B$4*8/10))^4-B183^4)/4,0)+IF(C183&gt;($B$4*8/10),($B$4*8/10)^2*(1.5*(C183^2-MAX(B183,($B$4*8/10))^2)-($B$4*8/10)*(C183-MAX(B183,($B$4*8/10)))),0))*1000,0)</f>
        <v>0</v>
      </c>
      <c r="AJ183" s="120">
        <f>IF(AND(J183="OK",ISNUMBER($B$5),$B$5&gt;0,ISNUMBER($B$3),$B$3&gt;0),F183/(6*$B$3*1000000*$B$5)*(IF(B183&lt;($B$4*9/10),($B$4*9/10)*(MIN(C183,($B$4*9/10))^3-B183^3)-(MIN(C183,($B$4*9/10))^4-B183^4)/4,0)+IF(C183&gt;($B$4*9/10),($B$4*9/10)^2*(1.5*(C183^2-MAX(B183,($B$4*9/10))^2)-($B$4*9/10)*(C183-MAX(B183,($B$4*9/10)))),0))*1000,0)</f>
        <v>0</v>
      </c>
      <c r="AK183" s="120">
        <f>IF(AND(J183="OK",ISNUMBER($B$5),$B$5&gt;0,ISNUMBER($B$3),$B$3&gt;0),F183/(6*$B$3*1000000*$B$5)*(IF(B183&lt;($B$4*10/10),($B$4*10/10)*(MIN(C183,($B$4*10/10))^3-B183^3)-(MIN(C183,($B$4*10/10))^4-B183^4)/4,0)+IF(C183&gt;($B$4*10/10),($B$4*10/10)^2*(1.5*(C183^2-MAX(B183,($B$4*10/10))^2)-($B$4*10/10)*(C183-MAX(B183,($B$4*10/10)))),0))*1000,0)</f>
        <v>0</v>
      </c>
      <c r="AM183" s="120">
        <f>IF(AND(V183="OK",ISNUMBER($N$5),$N$5&gt;0,ISNUMBER($N$3),$N$3&gt;0),R183/(6*$N$3*1000000*$N$5)*(IF(N183&lt;($N$4*0/10),($N$4*0/10)*(MIN(O183,($N$4*0/10))^3-N183^3)-(MIN(O183,($N$4*0/10))^4-N183^4)/4,0)+IF(O183&gt;($N$4*0/10),($N$4*0/10)^2*(1.5*(O183^2-MAX(N183,($N$4*0/10))^2)-($N$4*0/10)*(O183-MAX(N183,($N$4*0/10)))),0))*1000,0)</f>
        <v>0</v>
      </c>
      <c r="AN183" s="120">
        <f>IF(AND(V183="OK",ISNUMBER($N$5),$N$5&gt;0,ISNUMBER($N$3),$N$3&gt;0),R183/(6*$N$3*1000000*$N$5)*(IF(N183&lt;($N$4*1/10),($N$4*1/10)*(MIN(O183,($N$4*1/10))^3-N183^3)-(MIN(O183,($N$4*1/10))^4-N183^4)/4,0)+IF(O183&gt;($N$4*1/10),($N$4*1/10)^2*(1.5*(O183^2-MAX(N183,($N$4*1/10))^2)-($N$4*1/10)*(O183-MAX(N183,($N$4*1/10)))),0))*1000,0)</f>
        <v>0</v>
      </c>
      <c r="AO183" s="120">
        <f>IF(AND(V183="OK",ISNUMBER($N$5),$N$5&gt;0,ISNUMBER($N$3),$N$3&gt;0),R183/(6*$N$3*1000000*$N$5)*(IF(N183&lt;($N$4*2/10),($N$4*2/10)*(MIN(O183,($N$4*2/10))^3-N183^3)-(MIN(O183,($N$4*2/10))^4-N183^4)/4,0)+IF(O183&gt;($N$4*2/10),($N$4*2/10)^2*(1.5*(O183^2-MAX(N183,($N$4*2/10))^2)-($N$4*2/10)*(O183-MAX(N183,($N$4*2/10)))),0))*1000,0)</f>
        <v>0</v>
      </c>
      <c r="AP183" s="120">
        <f>IF(AND(V183="OK",ISNUMBER($N$5),$N$5&gt;0,ISNUMBER($N$3),$N$3&gt;0),R183/(6*$N$3*1000000*$N$5)*(IF(N183&lt;($N$4*3/10),($N$4*3/10)*(MIN(O183,($N$4*3/10))^3-N183^3)-(MIN(O183,($N$4*3/10))^4-N183^4)/4,0)+IF(O183&gt;($N$4*3/10),($N$4*3/10)^2*(1.5*(O183^2-MAX(N183,($N$4*3/10))^2)-($N$4*3/10)*(O183-MAX(N183,($N$4*3/10)))),0))*1000,0)</f>
        <v>0</v>
      </c>
      <c r="AQ183" s="120">
        <f>IF(AND(V183="OK",ISNUMBER($N$5),$N$5&gt;0,ISNUMBER($N$3),$N$3&gt;0),R183/(6*$N$3*1000000*$N$5)*(IF(N183&lt;($N$4*4/10),($N$4*4/10)*(MIN(O183,($N$4*4/10))^3-N183^3)-(MIN(O183,($N$4*4/10))^4-N183^4)/4,0)+IF(O183&gt;($N$4*4/10),($N$4*4/10)^2*(1.5*(O183^2-MAX(N183,($N$4*4/10))^2)-($N$4*4/10)*(O183-MAX(N183,($N$4*4/10)))),0))*1000,0)</f>
        <v>0</v>
      </c>
      <c r="AR183" s="120">
        <f>IF(AND(V183="OK",ISNUMBER($N$5),$N$5&gt;0,ISNUMBER($N$3),$N$3&gt;0),R183/(6*$N$3*1000000*$N$5)*(IF(N183&lt;($N$4*5/10),($N$4*5/10)*(MIN(O183,($N$4*5/10))^3-N183^3)-(MIN(O183,($N$4*5/10))^4-N183^4)/4,0)+IF(O183&gt;($N$4*5/10),($N$4*5/10)^2*(1.5*(O183^2-MAX(N183,($N$4*5/10))^2)-($N$4*5/10)*(O183-MAX(N183,($N$4*5/10)))),0))*1000,0)</f>
        <v>0</v>
      </c>
      <c r="AS183" s="120">
        <f>IF(AND(V183="OK",ISNUMBER($N$5),$N$5&gt;0,ISNUMBER($N$3),$N$3&gt;0),R183/(6*$N$3*1000000*$N$5)*(IF(N183&lt;($N$4*6/10),($N$4*6/10)*(MIN(O183,($N$4*6/10))^3-N183^3)-(MIN(O183,($N$4*6/10))^4-N183^4)/4,0)+IF(O183&gt;($N$4*6/10),($N$4*6/10)^2*(1.5*(O183^2-MAX(N183,($N$4*6/10))^2)-($N$4*6/10)*(O183-MAX(N183,($N$4*6/10)))),0))*1000,0)</f>
        <v>0</v>
      </c>
      <c r="AT183" s="120">
        <f>IF(AND(V183="OK",ISNUMBER($N$5),$N$5&gt;0,ISNUMBER($N$3),$N$3&gt;0),R183/(6*$N$3*1000000*$N$5)*(IF(N183&lt;($N$4*7/10),($N$4*7/10)*(MIN(O183,($N$4*7/10))^3-N183^3)-(MIN(O183,($N$4*7/10))^4-N183^4)/4,0)+IF(O183&gt;($N$4*7/10),($N$4*7/10)^2*(1.5*(O183^2-MAX(N183,($N$4*7/10))^2)-($N$4*7/10)*(O183-MAX(N183,($N$4*7/10)))),0))*1000,0)</f>
        <v>0</v>
      </c>
      <c r="AU183" s="120">
        <f>IF(AND(V183="OK",ISNUMBER($N$5),$N$5&gt;0,ISNUMBER($N$3),$N$3&gt;0),R183/(6*$N$3*1000000*$N$5)*(IF(N183&lt;($N$4*8/10),($N$4*8/10)*(MIN(O183,($N$4*8/10))^3-N183^3)-(MIN(O183,($N$4*8/10))^4-N183^4)/4,0)+IF(O183&gt;($N$4*8/10),($N$4*8/10)^2*(1.5*(O183^2-MAX(N183,($N$4*8/10))^2)-($N$4*8/10)*(O183-MAX(N183,($N$4*8/10)))),0))*1000,0)</f>
        <v>0</v>
      </c>
      <c r="AV183" s="120">
        <f>IF(AND(V183="OK",ISNUMBER($N$5),$N$5&gt;0,ISNUMBER($N$3),$N$3&gt;0),R183/(6*$N$3*1000000*$N$5)*(IF(N183&lt;($N$4*9/10),($N$4*9/10)*(MIN(O183,($N$4*9/10))^3-N183^3)-(MIN(O183,($N$4*9/10))^4-N183^4)/4,0)+IF(O183&gt;($N$4*9/10),($N$4*9/10)^2*(1.5*(O183^2-MAX(N183,($N$4*9/10))^2)-($N$4*9/10)*(O183-MAX(N183,($N$4*9/10)))),0))*1000,0)</f>
        <v>0</v>
      </c>
      <c r="AW183" s="120">
        <f>IF(AND(V183="OK",ISNUMBER($N$5),$N$5&gt;0,ISNUMBER($N$3),$N$3&gt;0),R183/(6*$N$3*1000000*$N$5)*(IF(N183&lt;($N$4*10/10),($N$4*10/10)*(MIN(O183,($N$4*10/10))^3-N183^3)-(MIN(O183,($N$4*10/10))^4-N183^4)/4,0)+IF(O183&gt;($N$4*10/10),($N$4*10/10)^2*(1.5*(O183^2-MAX(N183,($N$4*10/10))^2)-($N$4*10/10)*(O183-MAX(N183,($N$4*10/10)))),0))*1000,0)</f>
        <v>0</v>
      </c>
    </row>
    <row r="184" spans="1:49">
      <c r="A184" s="124"/>
      <c r="B184" s="125"/>
      <c r="C184" s="125"/>
      <c r="D184" s="125"/>
      <c r="E184" s="125"/>
      <c r="F184" s="126" t="str">
        <f>IF(J184="OK",D184*E184,"")</f>
        <v/>
      </c>
      <c r="G184" s="126" t="str">
        <f>IF(J184="OK",F184*(C184-B184),"")</f>
        <v/>
      </c>
      <c r="H184" s="126" t="str">
        <f>IF(J184="OK",G184*(C184+B184)/2,"")</f>
        <v/>
      </c>
      <c r="I184" s="126" t="str">
        <f>IF(AND(J184="OK",ISNUMBER($B$5),$B$5&gt;0,ISNUMBER($B$3),$B$3&gt;0),F184*(4*$B$4*(C184^3-B184^3)-(C184^4-B184^4))/(24*$B$3*1000000*$B$5)*1000,"")</f>
        <v/>
      </c>
      <c r="J184" s="120" t="str">
        <f>IF(COUNTA(A184:E184)=0,"",IF(AND(COUNT(B184:E184)=4,B184&gt;=0,C184&gt;B184,C184&lt;=$B$4,D184&gt;=0,E184&gt;0),IF(COUNTIFS($B$13:$B$183,"&lt;"&amp;C184,$C$13:$C$183,"&gt;"&amp;B184)&gt;0,"OVERLAP","OK"),"CHECK INPUTS"))</f>
        <v/>
      </c>
      <c r="M184" s="124"/>
      <c r="N184" s="125"/>
      <c r="O184" s="125"/>
      <c r="P184" s="125"/>
      <c r="Q184" s="125"/>
      <c r="R184" s="126" t="str">
        <f>IF(V184="OK",P184*Q184,"")</f>
        <v/>
      </c>
      <c r="S184" s="126" t="str">
        <f>IF(V184="OK",R184*(O184-N184),"")</f>
        <v/>
      </c>
      <c r="T184" s="126" t="str">
        <f>IF(V184="OK",S184*(O184+N184)/2,"")</f>
        <v/>
      </c>
      <c r="U184" s="126" t="str">
        <f>IF(AND(V184="OK",ISNUMBER($N$5),$N$5&gt;0,ISNUMBER($N$3),$N$3&gt;0),R184*(4*$N$4*(O184^3-N184^3)-(O184^4-N184^4))/(24*$N$3*1000000*$N$5)*1000,"")</f>
        <v/>
      </c>
      <c r="V184" s="120" t="str">
        <f>IF(COUNTA(M184:Q184)=0,"",IF(AND(COUNT(N184:Q184)=4,N184&gt;=0,O184&gt;N184,O184&lt;=$N$4,P184&gt;=0,Q184&gt;0),IF(COUNTIFS($N$13:$N$183,"&lt;"&amp;O184,$O$13:$O$183,"&gt;"&amp;N184)&gt;0,"OVERLAP","OK"),"CHECK INPUTS"))</f>
        <v/>
      </c>
      <c r="AA184" s="120">
        <f>IF(AND(J184="OK",ISNUMBER($B$5),$B$5&gt;0,ISNUMBER($B$3),$B$3&gt;0),F184/(6*$B$3*1000000*$B$5)*(IF(B184&lt;($B$4*0/10),($B$4*0/10)*(MIN(C184,($B$4*0/10))^3-B184^3)-(MIN(C184,($B$4*0/10))^4-B184^4)/4,0)+IF(C184&gt;($B$4*0/10),($B$4*0/10)^2*(1.5*(C184^2-MAX(B184,($B$4*0/10))^2)-($B$4*0/10)*(C184-MAX(B184,($B$4*0/10)))),0))*1000,0)</f>
        <v>0</v>
      </c>
      <c r="AB184" s="120">
        <f>IF(AND(J184="OK",ISNUMBER($B$5),$B$5&gt;0,ISNUMBER($B$3),$B$3&gt;0),F184/(6*$B$3*1000000*$B$5)*(IF(B184&lt;($B$4*1/10),($B$4*1/10)*(MIN(C184,($B$4*1/10))^3-B184^3)-(MIN(C184,($B$4*1/10))^4-B184^4)/4,0)+IF(C184&gt;($B$4*1/10),($B$4*1/10)^2*(1.5*(C184^2-MAX(B184,($B$4*1/10))^2)-($B$4*1/10)*(C184-MAX(B184,($B$4*1/10)))),0))*1000,0)</f>
        <v>0</v>
      </c>
      <c r="AC184" s="120">
        <f>IF(AND(J184="OK",ISNUMBER($B$5),$B$5&gt;0,ISNUMBER($B$3),$B$3&gt;0),F184/(6*$B$3*1000000*$B$5)*(IF(B184&lt;($B$4*2/10),($B$4*2/10)*(MIN(C184,($B$4*2/10))^3-B184^3)-(MIN(C184,($B$4*2/10))^4-B184^4)/4,0)+IF(C184&gt;($B$4*2/10),($B$4*2/10)^2*(1.5*(C184^2-MAX(B184,($B$4*2/10))^2)-($B$4*2/10)*(C184-MAX(B184,($B$4*2/10)))),0))*1000,0)</f>
        <v>0</v>
      </c>
      <c r="AD184" s="120">
        <f>IF(AND(J184="OK",ISNUMBER($B$5),$B$5&gt;0,ISNUMBER($B$3),$B$3&gt;0),F184/(6*$B$3*1000000*$B$5)*(IF(B184&lt;($B$4*3/10),($B$4*3/10)*(MIN(C184,($B$4*3/10))^3-B184^3)-(MIN(C184,($B$4*3/10))^4-B184^4)/4,0)+IF(C184&gt;($B$4*3/10),($B$4*3/10)^2*(1.5*(C184^2-MAX(B184,($B$4*3/10))^2)-($B$4*3/10)*(C184-MAX(B184,($B$4*3/10)))),0))*1000,0)</f>
        <v>0</v>
      </c>
      <c r="AE184" s="120">
        <f>IF(AND(J184="OK",ISNUMBER($B$5),$B$5&gt;0,ISNUMBER($B$3),$B$3&gt;0),F184/(6*$B$3*1000000*$B$5)*(IF(B184&lt;($B$4*4/10),($B$4*4/10)*(MIN(C184,($B$4*4/10))^3-B184^3)-(MIN(C184,($B$4*4/10))^4-B184^4)/4,0)+IF(C184&gt;($B$4*4/10),($B$4*4/10)^2*(1.5*(C184^2-MAX(B184,($B$4*4/10))^2)-($B$4*4/10)*(C184-MAX(B184,($B$4*4/10)))),0))*1000,0)</f>
        <v>0</v>
      </c>
      <c r="AF184" s="120">
        <f>IF(AND(J184="OK",ISNUMBER($B$5),$B$5&gt;0,ISNUMBER($B$3),$B$3&gt;0),F184/(6*$B$3*1000000*$B$5)*(IF(B184&lt;($B$4*5/10),($B$4*5/10)*(MIN(C184,($B$4*5/10))^3-B184^3)-(MIN(C184,($B$4*5/10))^4-B184^4)/4,0)+IF(C184&gt;($B$4*5/10),($B$4*5/10)^2*(1.5*(C184^2-MAX(B184,($B$4*5/10))^2)-($B$4*5/10)*(C184-MAX(B184,($B$4*5/10)))),0))*1000,0)</f>
        <v>0</v>
      </c>
      <c r="AG184" s="120">
        <f>IF(AND(J184="OK",ISNUMBER($B$5),$B$5&gt;0,ISNUMBER($B$3),$B$3&gt;0),F184/(6*$B$3*1000000*$B$5)*(IF(B184&lt;($B$4*6/10),($B$4*6/10)*(MIN(C184,($B$4*6/10))^3-B184^3)-(MIN(C184,($B$4*6/10))^4-B184^4)/4,0)+IF(C184&gt;($B$4*6/10),($B$4*6/10)^2*(1.5*(C184^2-MAX(B184,($B$4*6/10))^2)-($B$4*6/10)*(C184-MAX(B184,($B$4*6/10)))),0))*1000,0)</f>
        <v>0</v>
      </c>
      <c r="AH184" s="120">
        <f>IF(AND(J184="OK",ISNUMBER($B$5),$B$5&gt;0,ISNUMBER($B$3),$B$3&gt;0),F184/(6*$B$3*1000000*$B$5)*(IF(B184&lt;($B$4*7/10),($B$4*7/10)*(MIN(C184,($B$4*7/10))^3-B184^3)-(MIN(C184,($B$4*7/10))^4-B184^4)/4,0)+IF(C184&gt;($B$4*7/10),($B$4*7/10)^2*(1.5*(C184^2-MAX(B184,($B$4*7/10))^2)-($B$4*7/10)*(C184-MAX(B184,($B$4*7/10)))),0))*1000,0)</f>
        <v>0</v>
      </c>
      <c r="AI184" s="120">
        <f>IF(AND(J184="OK",ISNUMBER($B$5),$B$5&gt;0,ISNUMBER($B$3),$B$3&gt;0),F184/(6*$B$3*1000000*$B$5)*(IF(B184&lt;($B$4*8/10),($B$4*8/10)*(MIN(C184,($B$4*8/10))^3-B184^3)-(MIN(C184,($B$4*8/10))^4-B184^4)/4,0)+IF(C184&gt;($B$4*8/10),($B$4*8/10)^2*(1.5*(C184^2-MAX(B184,($B$4*8/10))^2)-($B$4*8/10)*(C184-MAX(B184,($B$4*8/10)))),0))*1000,0)</f>
        <v>0</v>
      </c>
      <c r="AJ184" s="120">
        <f>IF(AND(J184="OK",ISNUMBER($B$5),$B$5&gt;0,ISNUMBER($B$3),$B$3&gt;0),F184/(6*$B$3*1000000*$B$5)*(IF(B184&lt;($B$4*9/10),($B$4*9/10)*(MIN(C184,($B$4*9/10))^3-B184^3)-(MIN(C184,($B$4*9/10))^4-B184^4)/4,0)+IF(C184&gt;($B$4*9/10),($B$4*9/10)^2*(1.5*(C184^2-MAX(B184,($B$4*9/10))^2)-($B$4*9/10)*(C184-MAX(B184,($B$4*9/10)))),0))*1000,0)</f>
        <v>0</v>
      </c>
      <c r="AK184" s="120">
        <f>IF(AND(J184="OK",ISNUMBER($B$5),$B$5&gt;0,ISNUMBER($B$3),$B$3&gt;0),F184/(6*$B$3*1000000*$B$5)*(IF(B184&lt;($B$4*10/10),($B$4*10/10)*(MIN(C184,($B$4*10/10))^3-B184^3)-(MIN(C184,($B$4*10/10))^4-B184^4)/4,0)+IF(C184&gt;($B$4*10/10),($B$4*10/10)^2*(1.5*(C184^2-MAX(B184,($B$4*10/10))^2)-($B$4*10/10)*(C184-MAX(B184,($B$4*10/10)))),0))*1000,0)</f>
        <v>0</v>
      </c>
      <c r="AM184" s="120">
        <f>IF(AND(V184="OK",ISNUMBER($N$5),$N$5&gt;0,ISNUMBER($N$3),$N$3&gt;0),R184/(6*$N$3*1000000*$N$5)*(IF(N184&lt;($N$4*0/10),($N$4*0/10)*(MIN(O184,($N$4*0/10))^3-N184^3)-(MIN(O184,($N$4*0/10))^4-N184^4)/4,0)+IF(O184&gt;($N$4*0/10),($N$4*0/10)^2*(1.5*(O184^2-MAX(N184,($N$4*0/10))^2)-($N$4*0/10)*(O184-MAX(N184,($N$4*0/10)))),0))*1000,0)</f>
        <v>0</v>
      </c>
      <c r="AN184" s="120">
        <f>IF(AND(V184="OK",ISNUMBER($N$5),$N$5&gt;0,ISNUMBER($N$3),$N$3&gt;0),R184/(6*$N$3*1000000*$N$5)*(IF(N184&lt;($N$4*1/10),($N$4*1/10)*(MIN(O184,($N$4*1/10))^3-N184^3)-(MIN(O184,($N$4*1/10))^4-N184^4)/4,0)+IF(O184&gt;($N$4*1/10),($N$4*1/10)^2*(1.5*(O184^2-MAX(N184,($N$4*1/10))^2)-($N$4*1/10)*(O184-MAX(N184,($N$4*1/10)))),0))*1000,0)</f>
        <v>0</v>
      </c>
      <c r="AO184" s="120">
        <f>IF(AND(V184="OK",ISNUMBER($N$5),$N$5&gt;0,ISNUMBER($N$3),$N$3&gt;0),R184/(6*$N$3*1000000*$N$5)*(IF(N184&lt;($N$4*2/10),($N$4*2/10)*(MIN(O184,($N$4*2/10))^3-N184^3)-(MIN(O184,($N$4*2/10))^4-N184^4)/4,0)+IF(O184&gt;($N$4*2/10),($N$4*2/10)^2*(1.5*(O184^2-MAX(N184,($N$4*2/10))^2)-($N$4*2/10)*(O184-MAX(N184,($N$4*2/10)))),0))*1000,0)</f>
        <v>0</v>
      </c>
      <c r="AP184" s="120">
        <f>IF(AND(V184="OK",ISNUMBER($N$5),$N$5&gt;0,ISNUMBER($N$3),$N$3&gt;0),R184/(6*$N$3*1000000*$N$5)*(IF(N184&lt;($N$4*3/10),($N$4*3/10)*(MIN(O184,($N$4*3/10))^3-N184^3)-(MIN(O184,($N$4*3/10))^4-N184^4)/4,0)+IF(O184&gt;($N$4*3/10),($N$4*3/10)^2*(1.5*(O184^2-MAX(N184,($N$4*3/10))^2)-($N$4*3/10)*(O184-MAX(N184,($N$4*3/10)))),0))*1000,0)</f>
        <v>0</v>
      </c>
      <c r="AQ184" s="120">
        <f>IF(AND(V184="OK",ISNUMBER($N$5),$N$5&gt;0,ISNUMBER($N$3),$N$3&gt;0),R184/(6*$N$3*1000000*$N$5)*(IF(N184&lt;($N$4*4/10),($N$4*4/10)*(MIN(O184,($N$4*4/10))^3-N184^3)-(MIN(O184,($N$4*4/10))^4-N184^4)/4,0)+IF(O184&gt;($N$4*4/10),($N$4*4/10)^2*(1.5*(O184^2-MAX(N184,($N$4*4/10))^2)-($N$4*4/10)*(O184-MAX(N184,($N$4*4/10)))),0))*1000,0)</f>
        <v>0</v>
      </c>
      <c r="AR184" s="120">
        <f>IF(AND(V184="OK",ISNUMBER($N$5),$N$5&gt;0,ISNUMBER($N$3),$N$3&gt;0),R184/(6*$N$3*1000000*$N$5)*(IF(N184&lt;($N$4*5/10),($N$4*5/10)*(MIN(O184,($N$4*5/10))^3-N184^3)-(MIN(O184,($N$4*5/10))^4-N184^4)/4,0)+IF(O184&gt;($N$4*5/10),($N$4*5/10)^2*(1.5*(O184^2-MAX(N184,($N$4*5/10))^2)-($N$4*5/10)*(O184-MAX(N184,($N$4*5/10)))),0))*1000,0)</f>
        <v>0</v>
      </c>
      <c r="AS184" s="120">
        <f>IF(AND(V184="OK",ISNUMBER($N$5),$N$5&gt;0,ISNUMBER($N$3),$N$3&gt;0),R184/(6*$N$3*1000000*$N$5)*(IF(N184&lt;($N$4*6/10),($N$4*6/10)*(MIN(O184,($N$4*6/10))^3-N184^3)-(MIN(O184,($N$4*6/10))^4-N184^4)/4,0)+IF(O184&gt;($N$4*6/10),($N$4*6/10)^2*(1.5*(O184^2-MAX(N184,($N$4*6/10))^2)-($N$4*6/10)*(O184-MAX(N184,($N$4*6/10)))),0))*1000,0)</f>
        <v>0</v>
      </c>
      <c r="AT184" s="120">
        <f>IF(AND(V184="OK",ISNUMBER($N$5),$N$5&gt;0,ISNUMBER($N$3),$N$3&gt;0),R184/(6*$N$3*1000000*$N$5)*(IF(N184&lt;($N$4*7/10),($N$4*7/10)*(MIN(O184,($N$4*7/10))^3-N184^3)-(MIN(O184,($N$4*7/10))^4-N184^4)/4,0)+IF(O184&gt;($N$4*7/10),($N$4*7/10)^2*(1.5*(O184^2-MAX(N184,($N$4*7/10))^2)-($N$4*7/10)*(O184-MAX(N184,($N$4*7/10)))),0))*1000,0)</f>
        <v>0</v>
      </c>
      <c r="AU184" s="120">
        <f>IF(AND(V184="OK",ISNUMBER($N$5),$N$5&gt;0,ISNUMBER($N$3),$N$3&gt;0),R184/(6*$N$3*1000000*$N$5)*(IF(N184&lt;($N$4*8/10),($N$4*8/10)*(MIN(O184,($N$4*8/10))^3-N184^3)-(MIN(O184,($N$4*8/10))^4-N184^4)/4,0)+IF(O184&gt;($N$4*8/10),($N$4*8/10)^2*(1.5*(O184^2-MAX(N184,($N$4*8/10))^2)-($N$4*8/10)*(O184-MAX(N184,($N$4*8/10)))),0))*1000,0)</f>
        <v>0</v>
      </c>
      <c r="AV184" s="120">
        <f>IF(AND(V184="OK",ISNUMBER($N$5),$N$5&gt;0,ISNUMBER($N$3),$N$3&gt;0),R184/(6*$N$3*1000000*$N$5)*(IF(N184&lt;($N$4*9/10),($N$4*9/10)*(MIN(O184,($N$4*9/10))^3-N184^3)-(MIN(O184,($N$4*9/10))^4-N184^4)/4,0)+IF(O184&gt;($N$4*9/10),($N$4*9/10)^2*(1.5*(O184^2-MAX(N184,($N$4*9/10))^2)-($N$4*9/10)*(O184-MAX(N184,($N$4*9/10)))),0))*1000,0)</f>
        <v>0</v>
      </c>
      <c r="AW184" s="120">
        <f>IF(AND(V184="OK",ISNUMBER($N$5),$N$5&gt;0,ISNUMBER($N$3),$N$3&gt;0),R184/(6*$N$3*1000000*$N$5)*(IF(N184&lt;($N$4*10/10),($N$4*10/10)*(MIN(O184,($N$4*10/10))^3-N184^3)-(MIN(O184,($N$4*10/10))^4-N184^4)/4,0)+IF(O184&gt;($N$4*10/10),($N$4*10/10)^2*(1.5*(O184^2-MAX(N184,($N$4*10/10))^2)-($N$4*10/10)*(O184-MAX(N184,($N$4*10/10)))),0))*1000,0)</f>
        <v>0</v>
      </c>
    </row>
    <row r="185" spans="1:49">
      <c r="A185" s="124"/>
      <c r="B185" s="125"/>
      <c r="C185" s="125"/>
      <c r="D185" s="125"/>
      <c r="E185" s="125"/>
      <c r="F185" s="126" t="str">
        <f>IF(J185="OK",D185*E185,"")</f>
        <v/>
      </c>
      <c r="G185" s="126" t="str">
        <f>IF(J185="OK",F185*(C185-B185),"")</f>
        <v/>
      </c>
      <c r="H185" s="126" t="str">
        <f>IF(J185="OK",G185*(C185+B185)/2,"")</f>
        <v/>
      </c>
      <c r="I185" s="126" t="str">
        <f>IF(AND(J185="OK",ISNUMBER($B$5),$B$5&gt;0,ISNUMBER($B$3),$B$3&gt;0),F185*(4*$B$4*(C185^3-B185^3)-(C185^4-B185^4))/(24*$B$3*1000000*$B$5)*1000,"")</f>
        <v/>
      </c>
      <c r="J185" s="120" t="str">
        <f>IF(COUNTA(A185:E185)=0,"",IF(AND(COUNT(B185:E185)=4,B185&gt;=0,C185&gt;B185,C185&lt;=$B$4,D185&gt;=0,E185&gt;0),IF(COUNTIFS($B$13:$B$184,"&lt;"&amp;C185,$C$13:$C$184,"&gt;"&amp;B185)&gt;0,"OVERLAP","OK"),"CHECK INPUTS"))</f>
        <v/>
      </c>
      <c r="M185" s="124"/>
      <c r="N185" s="125"/>
      <c r="O185" s="125"/>
      <c r="P185" s="125"/>
      <c r="Q185" s="125"/>
      <c r="R185" s="126" t="str">
        <f>IF(V185="OK",P185*Q185,"")</f>
        <v/>
      </c>
      <c r="S185" s="126" t="str">
        <f>IF(V185="OK",R185*(O185-N185),"")</f>
        <v/>
      </c>
      <c r="T185" s="126" t="str">
        <f>IF(V185="OK",S185*(O185+N185)/2,"")</f>
        <v/>
      </c>
      <c r="U185" s="126" t="str">
        <f>IF(AND(V185="OK",ISNUMBER($N$5),$N$5&gt;0,ISNUMBER($N$3),$N$3&gt;0),R185*(4*$N$4*(O185^3-N185^3)-(O185^4-N185^4))/(24*$N$3*1000000*$N$5)*1000,"")</f>
        <v/>
      </c>
      <c r="V185" s="120" t="str">
        <f>IF(COUNTA(M185:Q185)=0,"",IF(AND(COUNT(N185:Q185)=4,N185&gt;=0,O185&gt;N185,O185&lt;=$N$4,P185&gt;=0,Q185&gt;0),IF(COUNTIFS($N$13:$N$184,"&lt;"&amp;O185,$O$13:$O$184,"&gt;"&amp;N185)&gt;0,"OVERLAP","OK"),"CHECK INPUTS"))</f>
        <v/>
      </c>
      <c r="AA185" s="120">
        <f>IF(AND(J185="OK",ISNUMBER($B$5),$B$5&gt;0,ISNUMBER($B$3),$B$3&gt;0),F185/(6*$B$3*1000000*$B$5)*(IF(B185&lt;($B$4*0/10),($B$4*0/10)*(MIN(C185,($B$4*0/10))^3-B185^3)-(MIN(C185,($B$4*0/10))^4-B185^4)/4,0)+IF(C185&gt;($B$4*0/10),($B$4*0/10)^2*(1.5*(C185^2-MAX(B185,($B$4*0/10))^2)-($B$4*0/10)*(C185-MAX(B185,($B$4*0/10)))),0))*1000,0)</f>
        <v>0</v>
      </c>
      <c r="AB185" s="120">
        <f>IF(AND(J185="OK",ISNUMBER($B$5),$B$5&gt;0,ISNUMBER($B$3),$B$3&gt;0),F185/(6*$B$3*1000000*$B$5)*(IF(B185&lt;($B$4*1/10),($B$4*1/10)*(MIN(C185,($B$4*1/10))^3-B185^3)-(MIN(C185,($B$4*1/10))^4-B185^4)/4,0)+IF(C185&gt;($B$4*1/10),($B$4*1/10)^2*(1.5*(C185^2-MAX(B185,($B$4*1/10))^2)-($B$4*1/10)*(C185-MAX(B185,($B$4*1/10)))),0))*1000,0)</f>
        <v>0</v>
      </c>
      <c r="AC185" s="120">
        <f>IF(AND(J185="OK",ISNUMBER($B$5),$B$5&gt;0,ISNUMBER($B$3),$B$3&gt;0),F185/(6*$B$3*1000000*$B$5)*(IF(B185&lt;($B$4*2/10),($B$4*2/10)*(MIN(C185,($B$4*2/10))^3-B185^3)-(MIN(C185,($B$4*2/10))^4-B185^4)/4,0)+IF(C185&gt;($B$4*2/10),($B$4*2/10)^2*(1.5*(C185^2-MAX(B185,($B$4*2/10))^2)-($B$4*2/10)*(C185-MAX(B185,($B$4*2/10)))),0))*1000,0)</f>
        <v>0</v>
      </c>
      <c r="AD185" s="120">
        <f>IF(AND(J185="OK",ISNUMBER($B$5),$B$5&gt;0,ISNUMBER($B$3),$B$3&gt;0),F185/(6*$B$3*1000000*$B$5)*(IF(B185&lt;($B$4*3/10),($B$4*3/10)*(MIN(C185,($B$4*3/10))^3-B185^3)-(MIN(C185,($B$4*3/10))^4-B185^4)/4,0)+IF(C185&gt;($B$4*3/10),($B$4*3/10)^2*(1.5*(C185^2-MAX(B185,($B$4*3/10))^2)-($B$4*3/10)*(C185-MAX(B185,($B$4*3/10)))),0))*1000,0)</f>
        <v>0</v>
      </c>
      <c r="AE185" s="120">
        <f>IF(AND(J185="OK",ISNUMBER($B$5),$B$5&gt;0,ISNUMBER($B$3),$B$3&gt;0),F185/(6*$B$3*1000000*$B$5)*(IF(B185&lt;($B$4*4/10),($B$4*4/10)*(MIN(C185,($B$4*4/10))^3-B185^3)-(MIN(C185,($B$4*4/10))^4-B185^4)/4,0)+IF(C185&gt;($B$4*4/10),($B$4*4/10)^2*(1.5*(C185^2-MAX(B185,($B$4*4/10))^2)-($B$4*4/10)*(C185-MAX(B185,($B$4*4/10)))),0))*1000,0)</f>
        <v>0</v>
      </c>
      <c r="AF185" s="120">
        <f>IF(AND(J185="OK",ISNUMBER($B$5),$B$5&gt;0,ISNUMBER($B$3),$B$3&gt;0),F185/(6*$B$3*1000000*$B$5)*(IF(B185&lt;($B$4*5/10),($B$4*5/10)*(MIN(C185,($B$4*5/10))^3-B185^3)-(MIN(C185,($B$4*5/10))^4-B185^4)/4,0)+IF(C185&gt;($B$4*5/10),($B$4*5/10)^2*(1.5*(C185^2-MAX(B185,($B$4*5/10))^2)-($B$4*5/10)*(C185-MAX(B185,($B$4*5/10)))),0))*1000,0)</f>
        <v>0</v>
      </c>
      <c r="AG185" s="120">
        <f>IF(AND(J185="OK",ISNUMBER($B$5),$B$5&gt;0,ISNUMBER($B$3),$B$3&gt;0),F185/(6*$B$3*1000000*$B$5)*(IF(B185&lt;($B$4*6/10),($B$4*6/10)*(MIN(C185,($B$4*6/10))^3-B185^3)-(MIN(C185,($B$4*6/10))^4-B185^4)/4,0)+IF(C185&gt;($B$4*6/10),($B$4*6/10)^2*(1.5*(C185^2-MAX(B185,($B$4*6/10))^2)-($B$4*6/10)*(C185-MAX(B185,($B$4*6/10)))),0))*1000,0)</f>
        <v>0</v>
      </c>
      <c r="AH185" s="120">
        <f>IF(AND(J185="OK",ISNUMBER($B$5),$B$5&gt;0,ISNUMBER($B$3),$B$3&gt;0),F185/(6*$B$3*1000000*$B$5)*(IF(B185&lt;($B$4*7/10),($B$4*7/10)*(MIN(C185,($B$4*7/10))^3-B185^3)-(MIN(C185,($B$4*7/10))^4-B185^4)/4,0)+IF(C185&gt;($B$4*7/10),($B$4*7/10)^2*(1.5*(C185^2-MAX(B185,($B$4*7/10))^2)-($B$4*7/10)*(C185-MAX(B185,($B$4*7/10)))),0))*1000,0)</f>
        <v>0</v>
      </c>
      <c r="AI185" s="120">
        <f>IF(AND(J185="OK",ISNUMBER($B$5),$B$5&gt;0,ISNUMBER($B$3),$B$3&gt;0),F185/(6*$B$3*1000000*$B$5)*(IF(B185&lt;($B$4*8/10),($B$4*8/10)*(MIN(C185,($B$4*8/10))^3-B185^3)-(MIN(C185,($B$4*8/10))^4-B185^4)/4,0)+IF(C185&gt;($B$4*8/10),($B$4*8/10)^2*(1.5*(C185^2-MAX(B185,($B$4*8/10))^2)-($B$4*8/10)*(C185-MAX(B185,($B$4*8/10)))),0))*1000,0)</f>
        <v>0</v>
      </c>
      <c r="AJ185" s="120">
        <f>IF(AND(J185="OK",ISNUMBER($B$5),$B$5&gt;0,ISNUMBER($B$3),$B$3&gt;0),F185/(6*$B$3*1000000*$B$5)*(IF(B185&lt;($B$4*9/10),($B$4*9/10)*(MIN(C185,($B$4*9/10))^3-B185^3)-(MIN(C185,($B$4*9/10))^4-B185^4)/4,0)+IF(C185&gt;($B$4*9/10),($B$4*9/10)^2*(1.5*(C185^2-MAX(B185,($B$4*9/10))^2)-($B$4*9/10)*(C185-MAX(B185,($B$4*9/10)))),0))*1000,0)</f>
        <v>0</v>
      </c>
      <c r="AK185" s="120">
        <f>IF(AND(J185="OK",ISNUMBER($B$5),$B$5&gt;0,ISNUMBER($B$3),$B$3&gt;0),F185/(6*$B$3*1000000*$B$5)*(IF(B185&lt;($B$4*10/10),($B$4*10/10)*(MIN(C185,($B$4*10/10))^3-B185^3)-(MIN(C185,($B$4*10/10))^4-B185^4)/4,0)+IF(C185&gt;($B$4*10/10),($B$4*10/10)^2*(1.5*(C185^2-MAX(B185,($B$4*10/10))^2)-($B$4*10/10)*(C185-MAX(B185,($B$4*10/10)))),0))*1000,0)</f>
        <v>0</v>
      </c>
      <c r="AM185" s="120">
        <f>IF(AND(V185="OK",ISNUMBER($N$5),$N$5&gt;0,ISNUMBER($N$3),$N$3&gt;0),R185/(6*$N$3*1000000*$N$5)*(IF(N185&lt;($N$4*0/10),($N$4*0/10)*(MIN(O185,($N$4*0/10))^3-N185^3)-(MIN(O185,($N$4*0/10))^4-N185^4)/4,0)+IF(O185&gt;($N$4*0/10),($N$4*0/10)^2*(1.5*(O185^2-MAX(N185,($N$4*0/10))^2)-($N$4*0/10)*(O185-MAX(N185,($N$4*0/10)))),0))*1000,0)</f>
        <v>0</v>
      </c>
      <c r="AN185" s="120">
        <f>IF(AND(V185="OK",ISNUMBER($N$5),$N$5&gt;0,ISNUMBER($N$3),$N$3&gt;0),R185/(6*$N$3*1000000*$N$5)*(IF(N185&lt;($N$4*1/10),($N$4*1/10)*(MIN(O185,($N$4*1/10))^3-N185^3)-(MIN(O185,($N$4*1/10))^4-N185^4)/4,0)+IF(O185&gt;($N$4*1/10),($N$4*1/10)^2*(1.5*(O185^2-MAX(N185,($N$4*1/10))^2)-($N$4*1/10)*(O185-MAX(N185,($N$4*1/10)))),0))*1000,0)</f>
        <v>0</v>
      </c>
      <c r="AO185" s="120">
        <f>IF(AND(V185="OK",ISNUMBER($N$5),$N$5&gt;0,ISNUMBER($N$3),$N$3&gt;0),R185/(6*$N$3*1000000*$N$5)*(IF(N185&lt;($N$4*2/10),($N$4*2/10)*(MIN(O185,($N$4*2/10))^3-N185^3)-(MIN(O185,($N$4*2/10))^4-N185^4)/4,0)+IF(O185&gt;($N$4*2/10),($N$4*2/10)^2*(1.5*(O185^2-MAX(N185,($N$4*2/10))^2)-($N$4*2/10)*(O185-MAX(N185,($N$4*2/10)))),0))*1000,0)</f>
        <v>0</v>
      </c>
      <c r="AP185" s="120">
        <f>IF(AND(V185="OK",ISNUMBER($N$5),$N$5&gt;0,ISNUMBER($N$3),$N$3&gt;0),R185/(6*$N$3*1000000*$N$5)*(IF(N185&lt;($N$4*3/10),($N$4*3/10)*(MIN(O185,($N$4*3/10))^3-N185^3)-(MIN(O185,($N$4*3/10))^4-N185^4)/4,0)+IF(O185&gt;($N$4*3/10),($N$4*3/10)^2*(1.5*(O185^2-MAX(N185,($N$4*3/10))^2)-($N$4*3/10)*(O185-MAX(N185,($N$4*3/10)))),0))*1000,0)</f>
        <v>0</v>
      </c>
      <c r="AQ185" s="120">
        <f>IF(AND(V185="OK",ISNUMBER($N$5),$N$5&gt;0,ISNUMBER($N$3),$N$3&gt;0),R185/(6*$N$3*1000000*$N$5)*(IF(N185&lt;($N$4*4/10),($N$4*4/10)*(MIN(O185,($N$4*4/10))^3-N185^3)-(MIN(O185,($N$4*4/10))^4-N185^4)/4,0)+IF(O185&gt;($N$4*4/10),($N$4*4/10)^2*(1.5*(O185^2-MAX(N185,($N$4*4/10))^2)-($N$4*4/10)*(O185-MAX(N185,($N$4*4/10)))),0))*1000,0)</f>
        <v>0</v>
      </c>
      <c r="AR185" s="120">
        <f>IF(AND(V185="OK",ISNUMBER($N$5),$N$5&gt;0,ISNUMBER($N$3),$N$3&gt;0),R185/(6*$N$3*1000000*$N$5)*(IF(N185&lt;($N$4*5/10),($N$4*5/10)*(MIN(O185,($N$4*5/10))^3-N185^3)-(MIN(O185,($N$4*5/10))^4-N185^4)/4,0)+IF(O185&gt;($N$4*5/10),($N$4*5/10)^2*(1.5*(O185^2-MAX(N185,($N$4*5/10))^2)-($N$4*5/10)*(O185-MAX(N185,($N$4*5/10)))),0))*1000,0)</f>
        <v>0</v>
      </c>
      <c r="AS185" s="120">
        <f>IF(AND(V185="OK",ISNUMBER($N$5),$N$5&gt;0,ISNUMBER($N$3),$N$3&gt;0),R185/(6*$N$3*1000000*$N$5)*(IF(N185&lt;($N$4*6/10),($N$4*6/10)*(MIN(O185,($N$4*6/10))^3-N185^3)-(MIN(O185,($N$4*6/10))^4-N185^4)/4,0)+IF(O185&gt;($N$4*6/10),($N$4*6/10)^2*(1.5*(O185^2-MAX(N185,($N$4*6/10))^2)-($N$4*6/10)*(O185-MAX(N185,($N$4*6/10)))),0))*1000,0)</f>
        <v>0</v>
      </c>
      <c r="AT185" s="120">
        <f>IF(AND(V185="OK",ISNUMBER($N$5),$N$5&gt;0,ISNUMBER($N$3),$N$3&gt;0),R185/(6*$N$3*1000000*$N$5)*(IF(N185&lt;($N$4*7/10),($N$4*7/10)*(MIN(O185,($N$4*7/10))^3-N185^3)-(MIN(O185,($N$4*7/10))^4-N185^4)/4,0)+IF(O185&gt;($N$4*7/10),($N$4*7/10)^2*(1.5*(O185^2-MAX(N185,($N$4*7/10))^2)-($N$4*7/10)*(O185-MAX(N185,($N$4*7/10)))),0))*1000,0)</f>
        <v>0</v>
      </c>
      <c r="AU185" s="120">
        <f>IF(AND(V185="OK",ISNUMBER($N$5),$N$5&gt;0,ISNUMBER($N$3),$N$3&gt;0),R185/(6*$N$3*1000000*$N$5)*(IF(N185&lt;($N$4*8/10),($N$4*8/10)*(MIN(O185,($N$4*8/10))^3-N185^3)-(MIN(O185,($N$4*8/10))^4-N185^4)/4,0)+IF(O185&gt;($N$4*8/10),($N$4*8/10)^2*(1.5*(O185^2-MAX(N185,($N$4*8/10))^2)-($N$4*8/10)*(O185-MAX(N185,($N$4*8/10)))),0))*1000,0)</f>
        <v>0</v>
      </c>
      <c r="AV185" s="120">
        <f>IF(AND(V185="OK",ISNUMBER($N$5),$N$5&gt;0,ISNUMBER($N$3),$N$3&gt;0),R185/(6*$N$3*1000000*$N$5)*(IF(N185&lt;($N$4*9/10),($N$4*9/10)*(MIN(O185,($N$4*9/10))^3-N185^3)-(MIN(O185,($N$4*9/10))^4-N185^4)/4,0)+IF(O185&gt;($N$4*9/10),($N$4*9/10)^2*(1.5*(O185^2-MAX(N185,($N$4*9/10))^2)-($N$4*9/10)*(O185-MAX(N185,($N$4*9/10)))),0))*1000,0)</f>
        <v>0</v>
      </c>
      <c r="AW185" s="120">
        <f>IF(AND(V185="OK",ISNUMBER($N$5),$N$5&gt;0,ISNUMBER($N$3),$N$3&gt;0),R185/(6*$N$3*1000000*$N$5)*(IF(N185&lt;($N$4*10/10),($N$4*10/10)*(MIN(O185,($N$4*10/10))^3-N185^3)-(MIN(O185,($N$4*10/10))^4-N185^4)/4,0)+IF(O185&gt;($N$4*10/10),($N$4*10/10)^2*(1.5*(O185^2-MAX(N185,($N$4*10/10))^2)-($N$4*10/10)*(O185-MAX(N185,($N$4*10/10)))),0))*1000,0)</f>
        <v>0</v>
      </c>
    </row>
    <row r="186" spans="1:49">
      <c r="A186" s="124"/>
      <c r="B186" s="125"/>
      <c r="C186" s="125"/>
      <c r="D186" s="125"/>
      <c r="E186" s="125"/>
      <c r="F186" s="126" t="str">
        <f>IF(J186="OK",D186*E186,"")</f>
        <v/>
      </c>
      <c r="G186" s="126" t="str">
        <f>IF(J186="OK",F186*(C186-B186),"")</f>
        <v/>
      </c>
      <c r="H186" s="126" t="str">
        <f>IF(J186="OK",G186*(C186+B186)/2,"")</f>
        <v/>
      </c>
      <c r="I186" s="126" t="str">
        <f>IF(AND(J186="OK",ISNUMBER($B$5),$B$5&gt;0,ISNUMBER($B$3),$B$3&gt;0),F186*(4*$B$4*(C186^3-B186^3)-(C186^4-B186^4))/(24*$B$3*1000000*$B$5)*1000,"")</f>
        <v/>
      </c>
      <c r="J186" s="120" t="str">
        <f>IF(COUNTA(A186:E186)=0,"",IF(AND(COUNT(B186:E186)=4,B186&gt;=0,C186&gt;B186,C186&lt;=$B$4,D186&gt;=0,E186&gt;0),IF(COUNTIFS($B$13:$B$185,"&lt;"&amp;C186,$C$13:$C$185,"&gt;"&amp;B186)&gt;0,"OVERLAP","OK"),"CHECK INPUTS"))</f>
        <v/>
      </c>
      <c r="M186" s="124"/>
      <c r="N186" s="125"/>
      <c r="O186" s="125"/>
      <c r="P186" s="125"/>
      <c r="Q186" s="125"/>
      <c r="R186" s="126" t="str">
        <f>IF(V186="OK",P186*Q186,"")</f>
        <v/>
      </c>
      <c r="S186" s="126" t="str">
        <f>IF(V186="OK",R186*(O186-N186),"")</f>
        <v/>
      </c>
      <c r="T186" s="126" t="str">
        <f>IF(V186="OK",S186*(O186+N186)/2,"")</f>
        <v/>
      </c>
      <c r="U186" s="126" t="str">
        <f>IF(AND(V186="OK",ISNUMBER($N$5),$N$5&gt;0,ISNUMBER($N$3),$N$3&gt;0),R186*(4*$N$4*(O186^3-N186^3)-(O186^4-N186^4))/(24*$N$3*1000000*$N$5)*1000,"")</f>
        <v/>
      </c>
      <c r="V186" s="120" t="str">
        <f>IF(COUNTA(M186:Q186)=0,"",IF(AND(COUNT(N186:Q186)=4,N186&gt;=0,O186&gt;N186,O186&lt;=$N$4,P186&gt;=0,Q186&gt;0),IF(COUNTIFS($N$13:$N$185,"&lt;"&amp;O186,$O$13:$O$185,"&gt;"&amp;N186)&gt;0,"OVERLAP","OK"),"CHECK INPUTS"))</f>
        <v/>
      </c>
      <c r="AA186" s="120">
        <f>IF(AND(J186="OK",ISNUMBER($B$5),$B$5&gt;0,ISNUMBER($B$3),$B$3&gt;0),F186/(6*$B$3*1000000*$B$5)*(IF(B186&lt;($B$4*0/10),($B$4*0/10)*(MIN(C186,($B$4*0/10))^3-B186^3)-(MIN(C186,($B$4*0/10))^4-B186^4)/4,0)+IF(C186&gt;($B$4*0/10),($B$4*0/10)^2*(1.5*(C186^2-MAX(B186,($B$4*0/10))^2)-($B$4*0/10)*(C186-MAX(B186,($B$4*0/10)))),0))*1000,0)</f>
        <v>0</v>
      </c>
      <c r="AB186" s="120">
        <f>IF(AND(J186="OK",ISNUMBER($B$5),$B$5&gt;0,ISNUMBER($B$3),$B$3&gt;0),F186/(6*$B$3*1000000*$B$5)*(IF(B186&lt;($B$4*1/10),($B$4*1/10)*(MIN(C186,($B$4*1/10))^3-B186^3)-(MIN(C186,($B$4*1/10))^4-B186^4)/4,0)+IF(C186&gt;($B$4*1/10),($B$4*1/10)^2*(1.5*(C186^2-MAX(B186,($B$4*1/10))^2)-($B$4*1/10)*(C186-MAX(B186,($B$4*1/10)))),0))*1000,0)</f>
        <v>0</v>
      </c>
      <c r="AC186" s="120">
        <f>IF(AND(J186="OK",ISNUMBER($B$5),$B$5&gt;0,ISNUMBER($B$3),$B$3&gt;0),F186/(6*$B$3*1000000*$B$5)*(IF(B186&lt;($B$4*2/10),($B$4*2/10)*(MIN(C186,($B$4*2/10))^3-B186^3)-(MIN(C186,($B$4*2/10))^4-B186^4)/4,0)+IF(C186&gt;($B$4*2/10),($B$4*2/10)^2*(1.5*(C186^2-MAX(B186,($B$4*2/10))^2)-($B$4*2/10)*(C186-MAX(B186,($B$4*2/10)))),0))*1000,0)</f>
        <v>0</v>
      </c>
      <c r="AD186" s="120">
        <f>IF(AND(J186="OK",ISNUMBER($B$5),$B$5&gt;0,ISNUMBER($B$3),$B$3&gt;0),F186/(6*$B$3*1000000*$B$5)*(IF(B186&lt;($B$4*3/10),($B$4*3/10)*(MIN(C186,($B$4*3/10))^3-B186^3)-(MIN(C186,($B$4*3/10))^4-B186^4)/4,0)+IF(C186&gt;($B$4*3/10),($B$4*3/10)^2*(1.5*(C186^2-MAX(B186,($B$4*3/10))^2)-($B$4*3/10)*(C186-MAX(B186,($B$4*3/10)))),0))*1000,0)</f>
        <v>0</v>
      </c>
      <c r="AE186" s="120">
        <f>IF(AND(J186="OK",ISNUMBER($B$5),$B$5&gt;0,ISNUMBER($B$3),$B$3&gt;0),F186/(6*$B$3*1000000*$B$5)*(IF(B186&lt;($B$4*4/10),($B$4*4/10)*(MIN(C186,($B$4*4/10))^3-B186^3)-(MIN(C186,($B$4*4/10))^4-B186^4)/4,0)+IF(C186&gt;($B$4*4/10),($B$4*4/10)^2*(1.5*(C186^2-MAX(B186,($B$4*4/10))^2)-($B$4*4/10)*(C186-MAX(B186,($B$4*4/10)))),0))*1000,0)</f>
        <v>0</v>
      </c>
      <c r="AF186" s="120">
        <f>IF(AND(J186="OK",ISNUMBER($B$5),$B$5&gt;0,ISNUMBER($B$3),$B$3&gt;0),F186/(6*$B$3*1000000*$B$5)*(IF(B186&lt;($B$4*5/10),($B$4*5/10)*(MIN(C186,($B$4*5/10))^3-B186^3)-(MIN(C186,($B$4*5/10))^4-B186^4)/4,0)+IF(C186&gt;($B$4*5/10),($B$4*5/10)^2*(1.5*(C186^2-MAX(B186,($B$4*5/10))^2)-($B$4*5/10)*(C186-MAX(B186,($B$4*5/10)))),0))*1000,0)</f>
        <v>0</v>
      </c>
      <c r="AG186" s="120">
        <f>IF(AND(J186="OK",ISNUMBER($B$5),$B$5&gt;0,ISNUMBER($B$3),$B$3&gt;0),F186/(6*$B$3*1000000*$B$5)*(IF(B186&lt;($B$4*6/10),($B$4*6/10)*(MIN(C186,($B$4*6/10))^3-B186^3)-(MIN(C186,($B$4*6/10))^4-B186^4)/4,0)+IF(C186&gt;($B$4*6/10),($B$4*6/10)^2*(1.5*(C186^2-MAX(B186,($B$4*6/10))^2)-($B$4*6/10)*(C186-MAX(B186,($B$4*6/10)))),0))*1000,0)</f>
        <v>0</v>
      </c>
      <c r="AH186" s="120">
        <f>IF(AND(J186="OK",ISNUMBER($B$5),$B$5&gt;0,ISNUMBER($B$3),$B$3&gt;0),F186/(6*$B$3*1000000*$B$5)*(IF(B186&lt;($B$4*7/10),($B$4*7/10)*(MIN(C186,($B$4*7/10))^3-B186^3)-(MIN(C186,($B$4*7/10))^4-B186^4)/4,0)+IF(C186&gt;($B$4*7/10),($B$4*7/10)^2*(1.5*(C186^2-MAX(B186,($B$4*7/10))^2)-($B$4*7/10)*(C186-MAX(B186,($B$4*7/10)))),0))*1000,0)</f>
        <v>0</v>
      </c>
      <c r="AI186" s="120">
        <f>IF(AND(J186="OK",ISNUMBER($B$5),$B$5&gt;0,ISNUMBER($B$3),$B$3&gt;0),F186/(6*$B$3*1000000*$B$5)*(IF(B186&lt;($B$4*8/10),($B$4*8/10)*(MIN(C186,($B$4*8/10))^3-B186^3)-(MIN(C186,($B$4*8/10))^4-B186^4)/4,0)+IF(C186&gt;($B$4*8/10),($B$4*8/10)^2*(1.5*(C186^2-MAX(B186,($B$4*8/10))^2)-($B$4*8/10)*(C186-MAX(B186,($B$4*8/10)))),0))*1000,0)</f>
        <v>0</v>
      </c>
      <c r="AJ186" s="120">
        <f>IF(AND(J186="OK",ISNUMBER($B$5),$B$5&gt;0,ISNUMBER($B$3),$B$3&gt;0),F186/(6*$B$3*1000000*$B$5)*(IF(B186&lt;($B$4*9/10),($B$4*9/10)*(MIN(C186,($B$4*9/10))^3-B186^3)-(MIN(C186,($B$4*9/10))^4-B186^4)/4,0)+IF(C186&gt;($B$4*9/10),($B$4*9/10)^2*(1.5*(C186^2-MAX(B186,($B$4*9/10))^2)-($B$4*9/10)*(C186-MAX(B186,($B$4*9/10)))),0))*1000,0)</f>
        <v>0</v>
      </c>
      <c r="AK186" s="120">
        <f>IF(AND(J186="OK",ISNUMBER($B$5),$B$5&gt;0,ISNUMBER($B$3),$B$3&gt;0),F186/(6*$B$3*1000000*$B$5)*(IF(B186&lt;($B$4*10/10),($B$4*10/10)*(MIN(C186,($B$4*10/10))^3-B186^3)-(MIN(C186,($B$4*10/10))^4-B186^4)/4,0)+IF(C186&gt;($B$4*10/10),($B$4*10/10)^2*(1.5*(C186^2-MAX(B186,($B$4*10/10))^2)-($B$4*10/10)*(C186-MAX(B186,($B$4*10/10)))),0))*1000,0)</f>
        <v>0</v>
      </c>
      <c r="AM186" s="120">
        <f>IF(AND(V186="OK",ISNUMBER($N$5),$N$5&gt;0,ISNUMBER($N$3),$N$3&gt;0),R186/(6*$N$3*1000000*$N$5)*(IF(N186&lt;($N$4*0/10),($N$4*0/10)*(MIN(O186,($N$4*0/10))^3-N186^3)-(MIN(O186,($N$4*0/10))^4-N186^4)/4,0)+IF(O186&gt;($N$4*0/10),($N$4*0/10)^2*(1.5*(O186^2-MAX(N186,($N$4*0/10))^2)-($N$4*0/10)*(O186-MAX(N186,($N$4*0/10)))),0))*1000,0)</f>
        <v>0</v>
      </c>
      <c r="AN186" s="120">
        <f>IF(AND(V186="OK",ISNUMBER($N$5),$N$5&gt;0,ISNUMBER($N$3),$N$3&gt;0),R186/(6*$N$3*1000000*$N$5)*(IF(N186&lt;($N$4*1/10),($N$4*1/10)*(MIN(O186,($N$4*1/10))^3-N186^3)-(MIN(O186,($N$4*1/10))^4-N186^4)/4,0)+IF(O186&gt;($N$4*1/10),($N$4*1/10)^2*(1.5*(O186^2-MAX(N186,($N$4*1/10))^2)-($N$4*1/10)*(O186-MAX(N186,($N$4*1/10)))),0))*1000,0)</f>
        <v>0</v>
      </c>
      <c r="AO186" s="120">
        <f>IF(AND(V186="OK",ISNUMBER($N$5),$N$5&gt;0,ISNUMBER($N$3),$N$3&gt;0),R186/(6*$N$3*1000000*$N$5)*(IF(N186&lt;($N$4*2/10),($N$4*2/10)*(MIN(O186,($N$4*2/10))^3-N186^3)-(MIN(O186,($N$4*2/10))^4-N186^4)/4,0)+IF(O186&gt;($N$4*2/10),($N$4*2/10)^2*(1.5*(O186^2-MAX(N186,($N$4*2/10))^2)-($N$4*2/10)*(O186-MAX(N186,($N$4*2/10)))),0))*1000,0)</f>
        <v>0</v>
      </c>
      <c r="AP186" s="120">
        <f>IF(AND(V186="OK",ISNUMBER($N$5),$N$5&gt;0,ISNUMBER($N$3),$N$3&gt;0),R186/(6*$N$3*1000000*$N$5)*(IF(N186&lt;($N$4*3/10),($N$4*3/10)*(MIN(O186,($N$4*3/10))^3-N186^3)-(MIN(O186,($N$4*3/10))^4-N186^4)/4,0)+IF(O186&gt;($N$4*3/10),($N$4*3/10)^2*(1.5*(O186^2-MAX(N186,($N$4*3/10))^2)-($N$4*3/10)*(O186-MAX(N186,($N$4*3/10)))),0))*1000,0)</f>
        <v>0</v>
      </c>
      <c r="AQ186" s="120">
        <f>IF(AND(V186="OK",ISNUMBER($N$5),$N$5&gt;0,ISNUMBER($N$3),$N$3&gt;0),R186/(6*$N$3*1000000*$N$5)*(IF(N186&lt;($N$4*4/10),($N$4*4/10)*(MIN(O186,($N$4*4/10))^3-N186^3)-(MIN(O186,($N$4*4/10))^4-N186^4)/4,0)+IF(O186&gt;($N$4*4/10),($N$4*4/10)^2*(1.5*(O186^2-MAX(N186,($N$4*4/10))^2)-($N$4*4/10)*(O186-MAX(N186,($N$4*4/10)))),0))*1000,0)</f>
        <v>0</v>
      </c>
      <c r="AR186" s="120">
        <f>IF(AND(V186="OK",ISNUMBER($N$5),$N$5&gt;0,ISNUMBER($N$3),$N$3&gt;0),R186/(6*$N$3*1000000*$N$5)*(IF(N186&lt;($N$4*5/10),($N$4*5/10)*(MIN(O186,($N$4*5/10))^3-N186^3)-(MIN(O186,($N$4*5/10))^4-N186^4)/4,0)+IF(O186&gt;($N$4*5/10),($N$4*5/10)^2*(1.5*(O186^2-MAX(N186,($N$4*5/10))^2)-($N$4*5/10)*(O186-MAX(N186,($N$4*5/10)))),0))*1000,0)</f>
        <v>0</v>
      </c>
      <c r="AS186" s="120">
        <f>IF(AND(V186="OK",ISNUMBER($N$5),$N$5&gt;0,ISNUMBER($N$3),$N$3&gt;0),R186/(6*$N$3*1000000*$N$5)*(IF(N186&lt;($N$4*6/10),($N$4*6/10)*(MIN(O186,($N$4*6/10))^3-N186^3)-(MIN(O186,($N$4*6/10))^4-N186^4)/4,0)+IF(O186&gt;($N$4*6/10),($N$4*6/10)^2*(1.5*(O186^2-MAX(N186,($N$4*6/10))^2)-($N$4*6/10)*(O186-MAX(N186,($N$4*6/10)))),0))*1000,0)</f>
        <v>0</v>
      </c>
      <c r="AT186" s="120">
        <f>IF(AND(V186="OK",ISNUMBER($N$5),$N$5&gt;0,ISNUMBER($N$3),$N$3&gt;0),R186/(6*$N$3*1000000*$N$5)*(IF(N186&lt;($N$4*7/10),($N$4*7/10)*(MIN(O186,($N$4*7/10))^3-N186^3)-(MIN(O186,($N$4*7/10))^4-N186^4)/4,0)+IF(O186&gt;($N$4*7/10),($N$4*7/10)^2*(1.5*(O186^2-MAX(N186,($N$4*7/10))^2)-($N$4*7/10)*(O186-MAX(N186,($N$4*7/10)))),0))*1000,0)</f>
        <v>0</v>
      </c>
      <c r="AU186" s="120">
        <f>IF(AND(V186="OK",ISNUMBER($N$5),$N$5&gt;0,ISNUMBER($N$3),$N$3&gt;0),R186/(6*$N$3*1000000*$N$5)*(IF(N186&lt;($N$4*8/10),($N$4*8/10)*(MIN(O186,($N$4*8/10))^3-N186^3)-(MIN(O186,($N$4*8/10))^4-N186^4)/4,0)+IF(O186&gt;($N$4*8/10),($N$4*8/10)^2*(1.5*(O186^2-MAX(N186,($N$4*8/10))^2)-($N$4*8/10)*(O186-MAX(N186,($N$4*8/10)))),0))*1000,0)</f>
        <v>0</v>
      </c>
      <c r="AV186" s="120">
        <f>IF(AND(V186="OK",ISNUMBER($N$5),$N$5&gt;0,ISNUMBER($N$3),$N$3&gt;0),R186/(6*$N$3*1000000*$N$5)*(IF(N186&lt;($N$4*9/10),($N$4*9/10)*(MIN(O186,($N$4*9/10))^3-N186^3)-(MIN(O186,($N$4*9/10))^4-N186^4)/4,0)+IF(O186&gt;($N$4*9/10),($N$4*9/10)^2*(1.5*(O186^2-MAX(N186,($N$4*9/10))^2)-($N$4*9/10)*(O186-MAX(N186,($N$4*9/10)))),0))*1000,0)</f>
        <v>0</v>
      </c>
      <c r="AW186" s="120">
        <f>IF(AND(V186="OK",ISNUMBER($N$5),$N$5&gt;0,ISNUMBER($N$3),$N$3&gt;0),R186/(6*$N$3*1000000*$N$5)*(IF(N186&lt;($N$4*10/10),($N$4*10/10)*(MIN(O186,($N$4*10/10))^3-N186^3)-(MIN(O186,($N$4*10/10))^4-N186^4)/4,0)+IF(O186&gt;($N$4*10/10),($N$4*10/10)^2*(1.5*(O186^2-MAX(N186,($N$4*10/10))^2)-($N$4*10/10)*(O186-MAX(N186,($N$4*10/10)))),0))*1000,0)</f>
        <v>0</v>
      </c>
    </row>
    <row r="187" spans="1:49">
      <c r="A187" s="124"/>
      <c r="B187" s="125"/>
      <c r="C187" s="125"/>
      <c r="D187" s="125"/>
      <c r="E187" s="125"/>
      <c r="F187" s="126" t="str">
        <f>IF(J187="OK",D187*E187,"")</f>
        <v/>
      </c>
      <c r="G187" s="126" t="str">
        <f>IF(J187="OK",F187*(C187-B187),"")</f>
        <v/>
      </c>
      <c r="H187" s="126" t="str">
        <f>IF(J187="OK",G187*(C187+B187)/2,"")</f>
        <v/>
      </c>
      <c r="I187" s="126" t="str">
        <f>IF(AND(J187="OK",ISNUMBER($B$5),$B$5&gt;0,ISNUMBER($B$3),$B$3&gt;0),F187*(4*$B$4*(C187^3-B187^3)-(C187^4-B187^4))/(24*$B$3*1000000*$B$5)*1000,"")</f>
        <v/>
      </c>
      <c r="J187" s="120" t="str">
        <f>IF(COUNTA(A187:E187)=0,"",IF(AND(COUNT(B187:E187)=4,B187&gt;=0,C187&gt;B187,C187&lt;=$B$4,D187&gt;=0,E187&gt;0),IF(COUNTIFS($B$13:$B$186,"&lt;"&amp;C187,$C$13:$C$186,"&gt;"&amp;B187)&gt;0,"OVERLAP","OK"),"CHECK INPUTS"))</f>
        <v/>
      </c>
      <c r="M187" s="124"/>
      <c r="N187" s="125"/>
      <c r="O187" s="125"/>
      <c r="P187" s="125"/>
      <c r="Q187" s="125"/>
      <c r="R187" s="126" t="str">
        <f>IF(V187="OK",P187*Q187,"")</f>
        <v/>
      </c>
      <c r="S187" s="126" t="str">
        <f>IF(V187="OK",R187*(O187-N187),"")</f>
        <v/>
      </c>
      <c r="T187" s="126" t="str">
        <f>IF(V187="OK",S187*(O187+N187)/2,"")</f>
        <v/>
      </c>
      <c r="U187" s="126" t="str">
        <f>IF(AND(V187="OK",ISNUMBER($N$5),$N$5&gt;0,ISNUMBER($N$3),$N$3&gt;0),R187*(4*$N$4*(O187^3-N187^3)-(O187^4-N187^4))/(24*$N$3*1000000*$N$5)*1000,"")</f>
        <v/>
      </c>
      <c r="V187" s="120" t="str">
        <f>IF(COUNTA(M187:Q187)=0,"",IF(AND(COUNT(N187:Q187)=4,N187&gt;=0,O187&gt;N187,O187&lt;=$N$4,P187&gt;=0,Q187&gt;0),IF(COUNTIFS($N$13:$N$186,"&lt;"&amp;O187,$O$13:$O$186,"&gt;"&amp;N187)&gt;0,"OVERLAP","OK"),"CHECK INPUTS"))</f>
        <v/>
      </c>
      <c r="AA187" s="120">
        <f>IF(AND(J187="OK",ISNUMBER($B$5),$B$5&gt;0,ISNUMBER($B$3),$B$3&gt;0),F187/(6*$B$3*1000000*$B$5)*(IF(B187&lt;($B$4*0/10),($B$4*0/10)*(MIN(C187,($B$4*0/10))^3-B187^3)-(MIN(C187,($B$4*0/10))^4-B187^4)/4,0)+IF(C187&gt;($B$4*0/10),($B$4*0/10)^2*(1.5*(C187^2-MAX(B187,($B$4*0/10))^2)-($B$4*0/10)*(C187-MAX(B187,($B$4*0/10)))),0))*1000,0)</f>
        <v>0</v>
      </c>
      <c r="AB187" s="120">
        <f>IF(AND(J187="OK",ISNUMBER($B$5),$B$5&gt;0,ISNUMBER($B$3),$B$3&gt;0),F187/(6*$B$3*1000000*$B$5)*(IF(B187&lt;($B$4*1/10),($B$4*1/10)*(MIN(C187,($B$4*1/10))^3-B187^3)-(MIN(C187,($B$4*1/10))^4-B187^4)/4,0)+IF(C187&gt;($B$4*1/10),($B$4*1/10)^2*(1.5*(C187^2-MAX(B187,($B$4*1/10))^2)-($B$4*1/10)*(C187-MAX(B187,($B$4*1/10)))),0))*1000,0)</f>
        <v>0</v>
      </c>
      <c r="AC187" s="120">
        <f>IF(AND(J187="OK",ISNUMBER($B$5),$B$5&gt;0,ISNUMBER($B$3),$B$3&gt;0),F187/(6*$B$3*1000000*$B$5)*(IF(B187&lt;($B$4*2/10),($B$4*2/10)*(MIN(C187,($B$4*2/10))^3-B187^3)-(MIN(C187,($B$4*2/10))^4-B187^4)/4,0)+IF(C187&gt;($B$4*2/10),($B$4*2/10)^2*(1.5*(C187^2-MAX(B187,($B$4*2/10))^2)-($B$4*2/10)*(C187-MAX(B187,($B$4*2/10)))),0))*1000,0)</f>
        <v>0</v>
      </c>
      <c r="AD187" s="120">
        <f>IF(AND(J187="OK",ISNUMBER($B$5),$B$5&gt;0,ISNUMBER($B$3),$B$3&gt;0),F187/(6*$B$3*1000000*$B$5)*(IF(B187&lt;($B$4*3/10),($B$4*3/10)*(MIN(C187,($B$4*3/10))^3-B187^3)-(MIN(C187,($B$4*3/10))^4-B187^4)/4,0)+IF(C187&gt;($B$4*3/10),($B$4*3/10)^2*(1.5*(C187^2-MAX(B187,($B$4*3/10))^2)-($B$4*3/10)*(C187-MAX(B187,($B$4*3/10)))),0))*1000,0)</f>
        <v>0</v>
      </c>
      <c r="AE187" s="120">
        <f>IF(AND(J187="OK",ISNUMBER($B$5),$B$5&gt;0,ISNUMBER($B$3),$B$3&gt;0),F187/(6*$B$3*1000000*$B$5)*(IF(B187&lt;($B$4*4/10),($B$4*4/10)*(MIN(C187,($B$4*4/10))^3-B187^3)-(MIN(C187,($B$4*4/10))^4-B187^4)/4,0)+IF(C187&gt;($B$4*4/10),($B$4*4/10)^2*(1.5*(C187^2-MAX(B187,($B$4*4/10))^2)-($B$4*4/10)*(C187-MAX(B187,($B$4*4/10)))),0))*1000,0)</f>
        <v>0</v>
      </c>
      <c r="AF187" s="120">
        <f>IF(AND(J187="OK",ISNUMBER($B$5),$B$5&gt;0,ISNUMBER($B$3),$B$3&gt;0),F187/(6*$B$3*1000000*$B$5)*(IF(B187&lt;($B$4*5/10),($B$4*5/10)*(MIN(C187,($B$4*5/10))^3-B187^3)-(MIN(C187,($B$4*5/10))^4-B187^4)/4,0)+IF(C187&gt;($B$4*5/10),($B$4*5/10)^2*(1.5*(C187^2-MAX(B187,($B$4*5/10))^2)-($B$4*5/10)*(C187-MAX(B187,($B$4*5/10)))),0))*1000,0)</f>
        <v>0</v>
      </c>
      <c r="AG187" s="120">
        <f>IF(AND(J187="OK",ISNUMBER($B$5),$B$5&gt;0,ISNUMBER($B$3),$B$3&gt;0),F187/(6*$B$3*1000000*$B$5)*(IF(B187&lt;($B$4*6/10),($B$4*6/10)*(MIN(C187,($B$4*6/10))^3-B187^3)-(MIN(C187,($B$4*6/10))^4-B187^4)/4,0)+IF(C187&gt;($B$4*6/10),($B$4*6/10)^2*(1.5*(C187^2-MAX(B187,($B$4*6/10))^2)-($B$4*6/10)*(C187-MAX(B187,($B$4*6/10)))),0))*1000,0)</f>
        <v>0</v>
      </c>
      <c r="AH187" s="120">
        <f>IF(AND(J187="OK",ISNUMBER($B$5),$B$5&gt;0,ISNUMBER($B$3),$B$3&gt;0),F187/(6*$B$3*1000000*$B$5)*(IF(B187&lt;($B$4*7/10),($B$4*7/10)*(MIN(C187,($B$4*7/10))^3-B187^3)-(MIN(C187,($B$4*7/10))^4-B187^4)/4,0)+IF(C187&gt;($B$4*7/10),($B$4*7/10)^2*(1.5*(C187^2-MAX(B187,($B$4*7/10))^2)-($B$4*7/10)*(C187-MAX(B187,($B$4*7/10)))),0))*1000,0)</f>
        <v>0</v>
      </c>
      <c r="AI187" s="120">
        <f>IF(AND(J187="OK",ISNUMBER($B$5),$B$5&gt;0,ISNUMBER($B$3),$B$3&gt;0),F187/(6*$B$3*1000000*$B$5)*(IF(B187&lt;($B$4*8/10),($B$4*8/10)*(MIN(C187,($B$4*8/10))^3-B187^3)-(MIN(C187,($B$4*8/10))^4-B187^4)/4,0)+IF(C187&gt;($B$4*8/10),($B$4*8/10)^2*(1.5*(C187^2-MAX(B187,($B$4*8/10))^2)-($B$4*8/10)*(C187-MAX(B187,($B$4*8/10)))),0))*1000,0)</f>
        <v>0</v>
      </c>
      <c r="AJ187" s="120">
        <f>IF(AND(J187="OK",ISNUMBER($B$5),$B$5&gt;0,ISNUMBER($B$3),$B$3&gt;0),F187/(6*$B$3*1000000*$B$5)*(IF(B187&lt;($B$4*9/10),($B$4*9/10)*(MIN(C187,($B$4*9/10))^3-B187^3)-(MIN(C187,($B$4*9/10))^4-B187^4)/4,0)+IF(C187&gt;($B$4*9/10),($B$4*9/10)^2*(1.5*(C187^2-MAX(B187,($B$4*9/10))^2)-($B$4*9/10)*(C187-MAX(B187,($B$4*9/10)))),0))*1000,0)</f>
        <v>0</v>
      </c>
      <c r="AK187" s="120">
        <f>IF(AND(J187="OK",ISNUMBER($B$5),$B$5&gt;0,ISNUMBER($B$3),$B$3&gt;0),F187/(6*$B$3*1000000*$B$5)*(IF(B187&lt;($B$4*10/10),($B$4*10/10)*(MIN(C187,($B$4*10/10))^3-B187^3)-(MIN(C187,($B$4*10/10))^4-B187^4)/4,0)+IF(C187&gt;($B$4*10/10),($B$4*10/10)^2*(1.5*(C187^2-MAX(B187,($B$4*10/10))^2)-($B$4*10/10)*(C187-MAX(B187,($B$4*10/10)))),0))*1000,0)</f>
        <v>0</v>
      </c>
      <c r="AM187" s="120">
        <f>IF(AND(V187="OK",ISNUMBER($N$5),$N$5&gt;0,ISNUMBER($N$3),$N$3&gt;0),R187/(6*$N$3*1000000*$N$5)*(IF(N187&lt;($N$4*0/10),($N$4*0/10)*(MIN(O187,($N$4*0/10))^3-N187^3)-(MIN(O187,($N$4*0/10))^4-N187^4)/4,0)+IF(O187&gt;($N$4*0/10),($N$4*0/10)^2*(1.5*(O187^2-MAX(N187,($N$4*0/10))^2)-($N$4*0/10)*(O187-MAX(N187,($N$4*0/10)))),0))*1000,0)</f>
        <v>0</v>
      </c>
      <c r="AN187" s="120">
        <f>IF(AND(V187="OK",ISNUMBER($N$5),$N$5&gt;0,ISNUMBER($N$3),$N$3&gt;0),R187/(6*$N$3*1000000*$N$5)*(IF(N187&lt;($N$4*1/10),($N$4*1/10)*(MIN(O187,($N$4*1/10))^3-N187^3)-(MIN(O187,($N$4*1/10))^4-N187^4)/4,0)+IF(O187&gt;($N$4*1/10),($N$4*1/10)^2*(1.5*(O187^2-MAX(N187,($N$4*1/10))^2)-($N$4*1/10)*(O187-MAX(N187,($N$4*1/10)))),0))*1000,0)</f>
        <v>0</v>
      </c>
      <c r="AO187" s="120">
        <f>IF(AND(V187="OK",ISNUMBER($N$5),$N$5&gt;0,ISNUMBER($N$3),$N$3&gt;0),R187/(6*$N$3*1000000*$N$5)*(IF(N187&lt;($N$4*2/10),($N$4*2/10)*(MIN(O187,($N$4*2/10))^3-N187^3)-(MIN(O187,($N$4*2/10))^4-N187^4)/4,0)+IF(O187&gt;($N$4*2/10),($N$4*2/10)^2*(1.5*(O187^2-MAX(N187,($N$4*2/10))^2)-($N$4*2/10)*(O187-MAX(N187,($N$4*2/10)))),0))*1000,0)</f>
        <v>0</v>
      </c>
      <c r="AP187" s="120">
        <f>IF(AND(V187="OK",ISNUMBER($N$5),$N$5&gt;0,ISNUMBER($N$3),$N$3&gt;0),R187/(6*$N$3*1000000*$N$5)*(IF(N187&lt;($N$4*3/10),($N$4*3/10)*(MIN(O187,($N$4*3/10))^3-N187^3)-(MIN(O187,($N$4*3/10))^4-N187^4)/4,0)+IF(O187&gt;($N$4*3/10),($N$4*3/10)^2*(1.5*(O187^2-MAX(N187,($N$4*3/10))^2)-($N$4*3/10)*(O187-MAX(N187,($N$4*3/10)))),0))*1000,0)</f>
        <v>0</v>
      </c>
      <c r="AQ187" s="120">
        <f>IF(AND(V187="OK",ISNUMBER($N$5),$N$5&gt;0,ISNUMBER($N$3),$N$3&gt;0),R187/(6*$N$3*1000000*$N$5)*(IF(N187&lt;($N$4*4/10),($N$4*4/10)*(MIN(O187,($N$4*4/10))^3-N187^3)-(MIN(O187,($N$4*4/10))^4-N187^4)/4,0)+IF(O187&gt;($N$4*4/10),($N$4*4/10)^2*(1.5*(O187^2-MAX(N187,($N$4*4/10))^2)-($N$4*4/10)*(O187-MAX(N187,($N$4*4/10)))),0))*1000,0)</f>
        <v>0</v>
      </c>
      <c r="AR187" s="120">
        <f>IF(AND(V187="OK",ISNUMBER($N$5),$N$5&gt;0,ISNUMBER($N$3),$N$3&gt;0),R187/(6*$N$3*1000000*$N$5)*(IF(N187&lt;($N$4*5/10),($N$4*5/10)*(MIN(O187,($N$4*5/10))^3-N187^3)-(MIN(O187,($N$4*5/10))^4-N187^4)/4,0)+IF(O187&gt;($N$4*5/10),($N$4*5/10)^2*(1.5*(O187^2-MAX(N187,($N$4*5/10))^2)-($N$4*5/10)*(O187-MAX(N187,($N$4*5/10)))),0))*1000,0)</f>
        <v>0</v>
      </c>
      <c r="AS187" s="120">
        <f>IF(AND(V187="OK",ISNUMBER($N$5),$N$5&gt;0,ISNUMBER($N$3),$N$3&gt;0),R187/(6*$N$3*1000000*$N$5)*(IF(N187&lt;($N$4*6/10),($N$4*6/10)*(MIN(O187,($N$4*6/10))^3-N187^3)-(MIN(O187,($N$4*6/10))^4-N187^4)/4,0)+IF(O187&gt;($N$4*6/10),($N$4*6/10)^2*(1.5*(O187^2-MAX(N187,($N$4*6/10))^2)-($N$4*6/10)*(O187-MAX(N187,($N$4*6/10)))),0))*1000,0)</f>
        <v>0</v>
      </c>
      <c r="AT187" s="120">
        <f>IF(AND(V187="OK",ISNUMBER($N$5),$N$5&gt;0,ISNUMBER($N$3),$N$3&gt;0),R187/(6*$N$3*1000000*$N$5)*(IF(N187&lt;($N$4*7/10),($N$4*7/10)*(MIN(O187,($N$4*7/10))^3-N187^3)-(MIN(O187,($N$4*7/10))^4-N187^4)/4,0)+IF(O187&gt;($N$4*7/10),($N$4*7/10)^2*(1.5*(O187^2-MAX(N187,($N$4*7/10))^2)-($N$4*7/10)*(O187-MAX(N187,($N$4*7/10)))),0))*1000,0)</f>
        <v>0</v>
      </c>
      <c r="AU187" s="120">
        <f>IF(AND(V187="OK",ISNUMBER($N$5),$N$5&gt;0,ISNUMBER($N$3),$N$3&gt;0),R187/(6*$N$3*1000000*$N$5)*(IF(N187&lt;($N$4*8/10),($N$4*8/10)*(MIN(O187,($N$4*8/10))^3-N187^3)-(MIN(O187,($N$4*8/10))^4-N187^4)/4,0)+IF(O187&gt;($N$4*8/10),($N$4*8/10)^2*(1.5*(O187^2-MAX(N187,($N$4*8/10))^2)-($N$4*8/10)*(O187-MAX(N187,($N$4*8/10)))),0))*1000,0)</f>
        <v>0</v>
      </c>
      <c r="AV187" s="120">
        <f>IF(AND(V187="OK",ISNUMBER($N$5),$N$5&gt;0,ISNUMBER($N$3),$N$3&gt;0),R187/(6*$N$3*1000000*$N$5)*(IF(N187&lt;($N$4*9/10),($N$4*9/10)*(MIN(O187,($N$4*9/10))^3-N187^3)-(MIN(O187,($N$4*9/10))^4-N187^4)/4,0)+IF(O187&gt;($N$4*9/10),($N$4*9/10)^2*(1.5*(O187^2-MAX(N187,($N$4*9/10))^2)-($N$4*9/10)*(O187-MAX(N187,($N$4*9/10)))),0))*1000,0)</f>
        <v>0</v>
      </c>
      <c r="AW187" s="120">
        <f>IF(AND(V187="OK",ISNUMBER($N$5),$N$5&gt;0,ISNUMBER($N$3),$N$3&gt;0),R187/(6*$N$3*1000000*$N$5)*(IF(N187&lt;($N$4*10/10),($N$4*10/10)*(MIN(O187,($N$4*10/10))^3-N187^3)-(MIN(O187,($N$4*10/10))^4-N187^4)/4,0)+IF(O187&gt;($N$4*10/10),($N$4*10/10)^2*(1.5*(O187^2-MAX(N187,($N$4*10/10))^2)-($N$4*10/10)*(O187-MAX(N187,($N$4*10/10)))),0))*1000,0)</f>
        <v>0</v>
      </c>
    </row>
    <row r="188" spans="1:49">
      <c r="A188" s="124"/>
      <c r="B188" s="125"/>
      <c r="C188" s="125"/>
      <c r="D188" s="125"/>
      <c r="E188" s="125"/>
      <c r="F188" s="126" t="str">
        <f>IF(J188="OK",D188*E188,"")</f>
        <v/>
      </c>
      <c r="G188" s="126" t="str">
        <f>IF(J188="OK",F188*(C188-B188),"")</f>
        <v/>
      </c>
      <c r="H188" s="126" t="str">
        <f>IF(J188="OK",G188*(C188+B188)/2,"")</f>
        <v/>
      </c>
      <c r="I188" s="126" t="str">
        <f>IF(AND(J188="OK",ISNUMBER($B$5),$B$5&gt;0,ISNUMBER($B$3),$B$3&gt;0),F188*(4*$B$4*(C188^3-B188^3)-(C188^4-B188^4))/(24*$B$3*1000000*$B$5)*1000,"")</f>
        <v/>
      </c>
      <c r="J188" s="120" t="str">
        <f>IF(COUNTA(A188:E188)=0,"",IF(AND(COUNT(B188:E188)=4,B188&gt;=0,C188&gt;B188,C188&lt;=$B$4,D188&gt;=0,E188&gt;0),IF(COUNTIFS($B$13:$B$187,"&lt;"&amp;C188,$C$13:$C$187,"&gt;"&amp;B188)&gt;0,"OVERLAP","OK"),"CHECK INPUTS"))</f>
        <v/>
      </c>
      <c r="M188" s="124"/>
      <c r="N188" s="125"/>
      <c r="O188" s="125"/>
      <c r="P188" s="125"/>
      <c r="Q188" s="125"/>
      <c r="R188" s="126" t="str">
        <f>IF(V188="OK",P188*Q188,"")</f>
        <v/>
      </c>
      <c r="S188" s="126" t="str">
        <f>IF(V188="OK",R188*(O188-N188),"")</f>
        <v/>
      </c>
      <c r="T188" s="126" t="str">
        <f>IF(V188="OK",S188*(O188+N188)/2,"")</f>
        <v/>
      </c>
      <c r="U188" s="126" t="str">
        <f>IF(AND(V188="OK",ISNUMBER($N$5),$N$5&gt;0,ISNUMBER($N$3),$N$3&gt;0),R188*(4*$N$4*(O188^3-N188^3)-(O188^4-N188^4))/(24*$N$3*1000000*$N$5)*1000,"")</f>
        <v/>
      </c>
      <c r="V188" s="120" t="str">
        <f>IF(COUNTA(M188:Q188)=0,"",IF(AND(COUNT(N188:Q188)=4,N188&gt;=0,O188&gt;N188,O188&lt;=$N$4,P188&gt;=0,Q188&gt;0),IF(COUNTIFS($N$13:$N$187,"&lt;"&amp;O188,$O$13:$O$187,"&gt;"&amp;N188)&gt;0,"OVERLAP","OK"),"CHECK INPUTS"))</f>
        <v/>
      </c>
      <c r="AA188" s="120">
        <f>IF(AND(J188="OK",ISNUMBER($B$5),$B$5&gt;0,ISNUMBER($B$3),$B$3&gt;0),F188/(6*$B$3*1000000*$B$5)*(IF(B188&lt;($B$4*0/10),($B$4*0/10)*(MIN(C188,($B$4*0/10))^3-B188^3)-(MIN(C188,($B$4*0/10))^4-B188^4)/4,0)+IF(C188&gt;($B$4*0/10),($B$4*0/10)^2*(1.5*(C188^2-MAX(B188,($B$4*0/10))^2)-($B$4*0/10)*(C188-MAX(B188,($B$4*0/10)))),0))*1000,0)</f>
        <v>0</v>
      </c>
      <c r="AB188" s="120">
        <f>IF(AND(J188="OK",ISNUMBER($B$5),$B$5&gt;0,ISNUMBER($B$3),$B$3&gt;0),F188/(6*$B$3*1000000*$B$5)*(IF(B188&lt;($B$4*1/10),($B$4*1/10)*(MIN(C188,($B$4*1/10))^3-B188^3)-(MIN(C188,($B$4*1/10))^4-B188^4)/4,0)+IF(C188&gt;($B$4*1/10),($B$4*1/10)^2*(1.5*(C188^2-MAX(B188,($B$4*1/10))^2)-($B$4*1/10)*(C188-MAX(B188,($B$4*1/10)))),0))*1000,0)</f>
        <v>0</v>
      </c>
      <c r="AC188" s="120">
        <f>IF(AND(J188="OK",ISNUMBER($B$5),$B$5&gt;0,ISNUMBER($B$3),$B$3&gt;0),F188/(6*$B$3*1000000*$B$5)*(IF(B188&lt;($B$4*2/10),($B$4*2/10)*(MIN(C188,($B$4*2/10))^3-B188^3)-(MIN(C188,($B$4*2/10))^4-B188^4)/4,0)+IF(C188&gt;($B$4*2/10),($B$4*2/10)^2*(1.5*(C188^2-MAX(B188,($B$4*2/10))^2)-($B$4*2/10)*(C188-MAX(B188,($B$4*2/10)))),0))*1000,0)</f>
        <v>0</v>
      </c>
      <c r="AD188" s="120">
        <f>IF(AND(J188="OK",ISNUMBER($B$5),$B$5&gt;0,ISNUMBER($B$3),$B$3&gt;0),F188/(6*$B$3*1000000*$B$5)*(IF(B188&lt;($B$4*3/10),($B$4*3/10)*(MIN(C188,($B$4*3/10))^3-B188^3)-(MIN(C188,($B$4*3/10))^4-B188^4)/4,0)+IF(C188&gt;($B$4*3/10),($B$4*3/10)^2*(1.5*(C188^2-MAX(B188,($B$4*3/10))^2)-($B$4*3/10)*(C188-MAX(B188,($B$4*3/10)))),0))*1000,0)</f>
        <v>0</v>
      </c>
      <c r="AE188" s="120">
        <f>IF(AND(J188="OK",ISNUMBER($B$5),$B$5&gt;0,ISNUMBER($B$3),$B$3&gt;0),F188/(6*$B$3*1000000*$B$5)*(IF(B188&lt;($B$4*4/10),($B$4*4/10)*(MIN(C188,($B$4*4/10))^3-B188^3)-(MIN(C188,($B$4*4/10))^4-B188^4)/4,0)+IF(C188&gt;($B$4*4/10),($B$4*4/10)^2*(1.5*(C188^2-MAX(B188,($B$4*4/10))^2)-($B$4*4/10)*(C188-MAX(B188,($B$4*4/10)))),0))*1000,0)</f>
        <v>0</v>
      </c>
      <c r="AF188" s="120">
        <f>IF(AND(J188="OK",ISNUMBER($B$5),$B$5&gt;0,ISNUMBER($B$3),$B$3&gt;0),F188/(6*$B$3*1000000*$B$5)*(IF(B188&lt;($B$4*5/10),($B$4*5/10)*(MIN(C188,($B$4*5/10))^3-B188^3)-(MIN(C188,($B$4*5/10))^4-B188^4)/4,0)+IF(C188&gt;($B$4*5/10),($B$4*5/10)^2*(1.5*(C188^2-MAX(B188,($B$4*5/10))^2)-($B$4*5/10)*(C188-MAX(B188,($B$4*5/10)))),0))*1000,0)</f>
        <v>0</v>
      </c>
      <c r="AG188" s="120">
        <f>IF(AND(J188="OK",ISNUMBER($B$5),$B$5&gt;0,ISNUMBER($B$3),$B$3&gt;0),F188/(6*$B$3*1000000*$B$5)*(IF(B188&lt;($B$4*6/10),($B$4*6/10)*(MIN(C188,($B$4*6/10))^3-B188^3)-(MIN(C188,($B$4*6/10))^4-B188^4)/4,0)+IF(C188&gt;($B$4*6/10),($B$4*6/10)^2*(1.5*(C188^2-MAX(B188,($B$4*6/10))^2)-($B$4*6/10)*(C188-MAX(B188,($B$4*6/10)))),0))*1000,0)</f>
        <v>0</v>
      </c>
      <c r="AH188" s="120">
        <f>IF(AND(J188="OK",ISNUMBER($B$5),$B$5&gt;0,ISNUMBER($B$3),$B$3&gt;0),F188/(6*$B$3*1000000*$B$5)*(IF(B188&lt;($B$4*7/10),($B$4*7/10)*(MIN(C188,($B$4*7/10))^3-B188^3)-(MIN(C188,($B$4*7/10))^4-B188^4)/4,0)+IF(C188&gt;($B$4*7/10),($B$4*7/10)^2*(1.5*(C188^2-MAX(B188,($B$4*7/10))^2)-($B$4*7/10)*(C188-MAX(B188,($B$4*7/10)))),0))*1000,0)</f>
        <v>0</v>
      </c>
      <c r="AI188" s="120">
        <f>IF(AND(J188="OK",ISNUMBER($B$5),$B$5&gt;0,ISNUMBER($B$3),$B$3&gt;0),F188/(6*$B$3*1000000*$B$5)*(IF(B188&lt;($B$4*8/10),($B$4*8/10)*(MIN(C188,($B$4*8/10))^3-B188^3)-(MIN(C188,($B$4*8/10))^4-B188^4)/4,0)+IF(C188&gt;($B$4*8/10),($B$4*8/10)^2*(1.5*(C188^2-MAX(B188,($B$4*8/10))^2)-($B$4*8/10)*(C188-MAX(B188,($B$4*8/10)))),0))*1000,0)</f>
        <v>0</v>
      </c>
      <c r="AJ188" s="120">
        <f>IF(AND(J188="OK",ISNUMBER($B$5),$B$5&gt;0,ISNUMBER($B$3),$B$3&gt;0),F188/(6*$B$3*1000000*$B$5)*(IF(B188&lt;($B$4*9/10),($B$4*9/10)*(MIN(C188,($B$4*9/10))^3-B188^3)-(MIN(C188,($B$4*9/10))^4-B188^4)/4,0)+IF(C188&gt;($B$4*9/10),($B$4*9/10)^2*(1.5*(C188^2-MAX(B188,($B$4*9/10))^2)-($B$4*9/10)*(C188-MAX(B188,($B$4*9/10)))),0))*1000,0)</f>
        <v>0</v>
      </c>
      <c r="AK188" s="120">
        <f>IF(AND(J188="OK",ISNUMBER($B$5),$B$5&gt;0,ISNUMBER($B$3),$B$3&gt;0),F188/(6*$B$3*1000000*$B$5)*(IF(B188&lt;($B$4*10/10),($B$4*10/10)*(MIN(C188,($B$4*10/10))^3-B188^3)-(MIN(C188,($B$4*10/10))^4-B188^4)/4,0)+IF(C188&gt;($B$4*10/10),($B$4*10/10)^2*(1.5*(C188^2-MAX(B188,($B$4*10/10))^2)-($B$4*10/10)*(C188-MAX(B188,($B$4*10/10)))),0))*1000,0)</f>
        <v>0</v>
      </c>
      <c r="AM188" s="120">
        <f>IF(AND(V188="OK",ISNUMBER($N$5),$N$5&gt;0,ISNUMBER($N$3),$N$3&gt;0),R188/(6*$N$3*1000000*$N$5)*(IF(N188&lt;($N$4*0/10),($N$4*0/10)*(MIN(O188,($N$4*0/10))^3-N188^3)-(MIN(O188,($N$4*0/10))^4-N188^4)/4,0)+IF(O188&gt;($N$4*0/10),($N$4*0/10)^2*(1.5*(O188^2-MAX(N188,($N$4*0/10))^2)-($N$4*0/10)*(O188-MAX(N188,($N$4*0/10)))),0))*1000,0)</f>
        <v>0</v>
      </c>
      <c r="AN188" s="120">
        <f>IF(AND(V188="OK",ISNUMBER($N$5),$N$5&gt;0,ISNUMBER($N$3),$N$3&gt;0),R188/(6*$N$3*1000000*$N$5)*(IF(N188&lt;($N$4*1/10),($N$4*1/10)*(MIN(O188,($N$4*1/10))^3-N188^3)-(MIN(O188,($N$4*1/10))^4-N188^4)/4,0)+IF(O188&gt;($N$4*1/10),($N$4*1/10)^2*(1.5*(O188^2-MAX(N188,($N$4*1/10))^2)-($N$4*1/10)*(O188-MAX(N188,($N$4*1/10)))),0))*1000,0)</f>
        <v>0</v>
      </c>
      <c r="AO188" s="120">
        <f>IF(AND(V188="OK",ISNUMBER($N$5),$N$5&gt;0,ISNUMBER($N$3),$N$3&gt;0),R188/(6*$N$3*1000000*$N$5)*(IF(N188&lt;($N$4*2/10),($N$4*2/10)*(MIN(O188,($N$4*2/10))^3-N188^3)-(MIN(O188,($N$4*2/10))^4-N188^4)/4,0)+IF(O188&gt;($N$4*2/10),($N$4*2/10)^2*(1.5*(O188^2-MAX(N188,($N$4*2/10))^2)-($N$4*2/10)*(O188-MAX(N188,($N$4*2/10)))),0))*1000,0)</f>
        <v>0</v>
      </c>
      <c r="AP188" s="120">
        <f>IF(AND(V188="OK",ISNUMBER($N$5),$N$5&gt;0,ISNUMBER($N$3),$N$3&gt;0),R188/(6*$N$3*1000000*$N$5)*(IF(N188&lt;($N$4*3/10),($N$4*3/10)*(MIN(O188,($N$4*3/10))^3-N188^3)-(MIN(O188,($N$4*3/10))^4-N188^4)/4,0)+IF(O188&gt;($N$4*3/10),($N$4*3/10)^2*(1.5*(O188^2-MAX(N188,($N$4*3/10))^2)-($N$4*3/10)*(O188-MAX(N188,($N$4*3/10)))),0))*1000,0)</f>
        <v>0</v>
      </c>
      <c r="AQ188" s="120">
        <f>IF(AND(V188="OK",ISNUMBER($N$5),$N$5&gt;0,ISNUMBER($N$3),$N$3&gt;0),R188/(6*$N$3*1000000*$N$5)*(IF(N188&lt;($N$4*4/10),($N$4*4/10)*(MIN(O188,($N$4*4/10))^3-N188^3)-(MIN(O188,($N$4*4/10))^4-N188^4)/4,0)+IF(O188&gt;($N$4*4/10),($N$4*4/10)^2*(1.5*(O188^2-MAX(N188,($N$4*4/10))^2)-($N$4*4/10)*(O188-MAX(N188,($N$4*4/10)))),0))*1000,0)</f>
        <v>0</v>
      </c>
      <c r="AR188" s="120">
        <f>IF(AND(V188="OK",ISNUMBER($N$5),$N$5&gt;0,ISNUMBER($N$3),$N$3&gt;0),R188/(6*$N$3*1000000*$N$5)*(IF(N188&lt;($N$4*5/10),($N$4*5/10)*(MIN(O188,($N$4*5/10))^3-N188^3)-(MIN(O188,($N$4*5/10))^4-N188^4)/4,0)+IF(O188&gt;($N$4*5/10),($N$4*5/10)^2*(1.5*(O188^2-MAX(N188,($N$4*5/10))^2)-($N$4*5/10)*(O188-MAX(N188,($N$4*5/10)))),0))*1000,0)</f>
        <v>0</v>
      </c>
      <c r="AS188" s="120">
        <f>IF(AND(V188="OK",ISNUMBER($N$5),$N$5&gt;0,ISNUMBER($N$3),$N$3&gt;0),R188/(6*$N$3*1000000*$N$5)*(IF(N188&lt;($N$4*6/10),($N$4*6/10)*(MIN(O188,($N$4*6/10))^3-N188^3)-(MIN(O188,($N$4*6/10))^4-N188^4)/4,0)+IF(O188&gt;($N$4*6/10),($N$4*6/10)^2*(1.5*(O188^2-MAX(N188,($N$4*6/10))^2)-($N$4*6/10)*(O188-MAX(N188,($N$4*6/10)))),0))*1000,0)</f>
        <v>0</v>
      </c>
      <c r="AT188" s="120">
        <f>IF(AND(V188="OK",ISNUMBER($N$5),$N$5&gt;0,ISNUMBER($N$3),$N$3&gt;0),R188/(6*$N$3*1000000*$N$5)*(IF(N188&lt;($N$4*7/10),($N$4*7/10)*(MIN(O188,($N$4*7/10))^3-N188^3)-(MIN(O188,($N$4*7/10))^4-N188^4)/4,0)+IF(O188&gt;($N$4*7/10),($N$4*7/10)^2*(1.5*(O188^2-MAX(N188,($N$4*7/10))^2)-($N$4*7/10)*(O188-MAX(N188,($N$4*7/10)))),0))*1000,0)</f>
        <v>0</v>
      </c>
      <c r="AU188" s="120">
        <f>IF(AND(V188="OK",ISNUMBER($N$5),$N$5&gt;0,ISNUMBER($N$3),$N$3&gt;0),R188/(6*$N$3*1000000*$N$5)*(IF(N188&lt;($N$4*8/10),($N$4*8/10)*(MIN(O188,($N$4*8/10))^3-N188^3)-(MIN(O188,($N$4*8/10))^4-N188^4)/4,0)+IF(O188&gt;($N$4*8/10),($N$4*8/10)^2*(1.5*(O188^2-MAX(N188,($N$4*8/10))^2)-($N$4*8/10)*(O188-MAX(N188,($N$4*8/10)))),0))*1000,0)</f>
        <v>0</v>
      </c>
      <c r="AV188" s="120">
        <f>IF(AND(V188="OK",ISNUMBER($N$5),$N$5&gt;0,ISNUMBER($N$3),$N$3&gt;0),R188/(6*$N$3*1000000*$N$5)*(IF(N188&lt;($N$4*9/10),($N$4*9/10)*(MIN(O188,($N$4*9/10))^3-N188^3)-(MIN(O188,($N$4*9/10))^4-N188^4)/4,0)+IF(O188&gt;($N$4*9/10),($N$4*9/10)^2*(1.5*(O188^2-MAX(N188,($N$4*9/10))^2)-($N$4*9/10)*(O188-MAX(N188,($N$4*9/10)))),0))*1000,0)</f>
        <v>0</v>
      </c>
      <c r="AW188" s="120">
        <f>IF(AND(V188="OK",ISNUMBER($N$5),$N$5&gt;0,ISNUMBER($N$3),$N$3&gt;0),R188/(6*$N$3*1000000*$N$5)*(IF(N188&lt;($N$4*10/10),($N$4*10/10)*(MIN(O188,($N$4*10/10))^3-N188^3)-(MIN(O188,($N$4*10/10))^4-N188^4)/4,0)+IF(O188&gt;($N$4*10/10),($N$4*10/10)^2*(1.5*(O188^2-MAX(N188,($N$4*10/10))^2)-($N$4*10/10)*(O188-MAX(N188,($N$4*10/10)))),0))*1000,0)</f>
        <v>0</v>
      </c>
    </row>
    <row r="189" spans="1:49">
      <c r="A189" s="124"/>
      <c r="B189" s="125"/>
      <c r="C189" s="125"/>
      <c r="D189" s="125"/>
      <c r="E189" s="125"/>
      <c r="F189" s="126" t="str">
        <f>IF(J189="OK",D189*E189,"")</f>
        <v/>
      </c>
      <c r="G189" s="126" t="str">
        <f>IF(J189="OK",F189*(C189-B189),"")</f>
        <v/>
      </c>
      <c r="H189" s="126" t="str">
        <f>IF(J189="OK",G189*(C189+B189)/2,"")</f>
        <v/>
      </c>
      <c r="I189" s="126" t="str">
        <f>IF(AND(J189="OK",ISNUMBER($B$5),$B$5&gt;0,ISNUMBER($B$3),$B$3&gt;0),F189*(4*$B$4*(C189^3-B189^3)-(C189^4-B189^4))/(24*$B$3*1000000*$B$5)*1000,"")</f>
        <v/>
      </c>
      <c r="J189" s="120" t="str">
        <f>IF(COUNTA(A189:E189)=0,"",IF(AND(COUNT(B189:E189)=4,B189&gt;=0,C189&gt;B189,C189&lt;=$B$4,D189&gt;=0,E189&gt;0),IF(COUNTIFS($B$13:$B$188,"&lt;"&amp;C189,$C$13:$C$188,"&gt;"&amp;B189)&gt;0,"OVERLAP","OK"),"CHECK INPUTS"))</f>
        <v/>
      </c>
      <c r="M189" s="124"/>
      <c r="N189" s="125"/>
      <c r="O189" s="125"/>
      <c r="P189" s="125"/>
      <c r="Q189" s="125"/>
      <c r="R189" s="126" t="str">
        <f>IF(V189="OK",P189*Q189,"")</f>
        <v/>
      </c>
      <c r="S189" s="126" t="str">
        <f>IF(V189="OK",R189*(O189-N189),"")</f>
        <v/>
      </c>
      <c r="T189" s="126" t="str">
        <f>IF(V189="OK",S189*(O189+N189)/2,"")</f>
        <v/>
      </c>
      <c r="U189" s="126" t="str">
        <f>IF(AND(V189="OK",ISNUMBER($N$5),$N$5&gt;0,ISNUMBER($N$3),$N$3&gt;0),R189*(4*$N$4*(O189^3-N189^3)-(O189^4-N189^4))/(24*$N$3*1000000*$N$5)*1000,"")</f>
        <v/>
      </c>
      <c r="V189" s="120" t="str">
        <f>IF(COUNTA(M189:Q189)=0,"",IF(AND(COUNT(N189:Q189)=4,N189&gt;=0,O189&gt;N189,O189&lt;=$N$4,P189&gt;=0,Q189&gt;0),IF(COUNTIFS($N$13:$N$188,"&lt;"&amp;O189,$O$13:$O$188,"&gt;"&amp;N189)&gt;0,"OVERLAP","OK"),"CHECK INPUTS"))</f>
        <v/>
      </c>
      <c r="AA189" s="120">
        <f>IF(AND(J189="OK",ISNUMBER($B$5),$B$5&gt;0,ISNUMBER($B$3),$B$3&gt;0),F189/(6*$B$3*1000000*$B$5)*(IF(B189&lt;($B$4*0/10),($B$4*0/10)*(MIN(C189,($B$4*0/10))^3-B189^3)-(MIN(C189,($B$4*0/10))^4-B189^4)/4,0)+IF(C189&gt;($B$4*0/10),($B$4*0/10)^2*(1.5*(C189^2-MAX(B189,($B$4*0/10))^2)-($B$4*0/10)*(C189-MAX(B189,($B$4*0/10)))),0))*1000,0)</f>
        <v>0</v>
      </c>
      <c r="AB189" s="120">
        <f>IF(AND(J189="OK",ISNUMBER($B$5),$B$5&gt;0,ISNUMBER($B$3),$B$3&gt;0),F189/(6*$B$3*1000000*$B$5)*(IF(B189&lt;($B$4*1/10),($B$4*1/10)*(MIN(C189,($B$4*1/10))^3-B189^3)-(MIN(C189,($B$4*1/10))^4-B189^4)/4,0)+IF(C189&gt;($B$4*1/10),($B$4*1/10)^2*(1.5*(C189^2-MAX(B189,($B$4*1/10))^2)-($B$4*1/10)*(C189-MAX(B189,($B$4*1/10)))),0))*1000,0)</f>
        <v>0</v>
      </c>
      <c r="AC189" s="120">
        <f>IF(AND(J189="OK",ISNUMBER($B$5),$B$5&gt;0,ISNUMBER($B$3),$B$3&gt;0),F189/(6*$B$3*1000000*$B$5)*(IF(B189&lt;($B$4*2/10),($B$4*2/10)*(MIN(C189,($B$4*2/10))^3-B189^3)-(MIN(C189,($B$4*2/10))^4-B189^4)/4,0)+IF(C189&gt;($B$4*2/10),($B$4*2/10)^2*(1.5*(C189^2-MAX(B189,($B$4*2/10))^2)-($B$4*2/10)*(C189-MAX(B189,($B$4*2/10)))),0))*1000,0)</f>
        <v>0</v>
      </c>
      <c r="AD189" s="120">
        <f>IF(AND(J189="OK",ISNUMBER($B$5),$B$5&gt;0,ISNUMBER($B$3),$B$3&gt;0),F189/(6*$B$3*1000000*$B$5)*(IF(B189&lt;($B$4*3/10),($B$4*3/10)*(MIN(C189,($B$4*3/10))^3-B189^3)-(MIN(C189,($B$4*3/10))^4-B189^4)/4,0)+IF(C189&gt;($B$4*3/10),($B$4*3/10)^2*(1.5*(C189^2-MAX(B189,($B$4*3/10))^2)-($B$4*3/10)*(C189-MAX(B189,($B$4*3/10)))),0))*1000,0)</f>
        <v>0</v>
      </c>
      <c r="AE189" s="120">
        <f>IF(AND(J189="OK",ISNUMBER($B$5),$B$5&gt;0,ISNUMBER($B$3),$B$3&gt;0),F189/(6*$B$3*1000000*$B$5)*(IF(B189&lt;($B$4*4/10),($B$4*4/10)*(MIN(C189,($B$4*4/10))^3-B189^3)-(MIN(C189,($B$4*4/10))^4-B189^4)/4,0)+IF(C189&gt;($B$4*4/10),($B$4*4/10)^2*(1.5*(C189^2-MAX(B189,($B$4*4/10))^2)-($B$4*4/10)*(C189-MAX(B189,($B$4*4/10)))),0))*1000,0)</f>
        <v>0</v>
      </c>
      <c r="AF189" s="120">
        <f>IF(AND(J189="OK",ISNUMBER($B$5),$B$5&gt;0,ISNUMBER($B$3),$B$3&gt;0),F189/(6*$B$3*1000000*$B$5)*(IF(B189&lt;($B$4*5/10),($B$4*5/10)*(MIN(C189,($B$4*5/10))^3-B189^3)-(MIN(C189,($B$4*5/10))^4-B189^4)/4,0)+IF(C189&gt;($B$4*5/10),($B$4*5/10)^2*(1.5*(C189^2-MAX(B189,($B$4*5/10))^2)-($B$4*5/10)*(C189-MAX(B189,($B$4*5/10)))),0))*1000,0)</f>
        <v>0</v>
      </c>
      <c r="AG189" s="120">
        <f>IF(AND(J189="OK",ISNUMBER($B$5),$B$5&gt;0,ISNUMBER($B$3),$B$3&gt;0),F189/(6*$B$3*1000000*$B$5)*(IF(B189&lt;($B$4*6/10),($B$4*6/10)*(MIN(C189,($B$4*6/10))^3-B189^3)-(MIN(C189,($B$4*6/10))^4-B189^4)/4,0)+IF(C189&gt;($B$4*6/10),($B$4*6/10)^2*(1.5*(C189^2-MAX(B189,($B$4*6/10))^2)-($B$4*6/10)*(C189-MAX(B189,($B$4*6/10)))),0))*1000,0)</f>
        <v>0</v>
      </c>
      <c r="AH189" s="120">
        <f>IF(AND(J189="OK",ISNUMBER($B$5),$B$5&gt;0,ISNUMBER($B$3),$B$3&gt;0),F189/(6*$B$3*1000000*$B$5)*(IF(B189&lt;($B$4*7/10),($B$4*7/10)*(MIN(C189,($B$4*7/10))^3-B189^3)-(MIN(C189,($B$4*7/10))^4-B189^4)/4,0)+IF(C189&gt;($B$4*7/10),($B$4*7/10)^2*(1.5*(C189^2-MAX(B189,($B$4*7/10))^2)-($B$4*7/10)*(C189-MAX(B189,($B$4*7/10)))),0))*1000,0)</f>
        <v>0</v>
      </c>
      <c r="AI189" s="120">
        <f>IF(AND(J189="OK",ISNUMBER($B$5),$B$5&gt;0,ISNUMBER($B$3),$B$3&gt;0),F189/(6*$B$3*1000000*$B$5)*(IF(B189&lt;($B$4*8/10),($B$4*8/10)*(MIN(C189,($B$4*8/10))^3-B189^3)-(MIN(C189,($B$4*8/10))^4-B189^4)/4,0)+IF(C189&gt;($B$4*8/10),($B$4*8/10)^2*(1.5*(C189^2-MAX(B189,($B$4*8/10))^2)-($B$4*8/10)*(C189-MAX(B189,($B$4*8/10)))),0))*1000,0)</f>
        <v>0</v>
      </c>
      <c r="AJ189" s="120">
        <f>IF(AND(J189="OK",ISNUMBER($B$5),$B$5&gt;0,ISNUMBER($B$3),$B$3&gt;0),F189/(6*$B$3*1000000*$B$5)*(IF(B189&lt;($B$4*9/10),($B$4*9/10)*(MIN(C189,($B$4*9/10))^3-B189^3)-(MIN(C189,($B$4*9/10))^4-B189^4)/4,0)+IF(C189&gt;($B$4*9/10),($B$4*9/10)^2*(1.5*(C189^2-MAX(B189,($B$4*9/10))^2)-($B$4*9/10)*(C189-MAX(B189,($B$4*9/10)))),0))*1000,0)</f>
        <v>0</v>
      </c>
      <c r="AK189" s="120">
        <f>IF(AND(J189="OK",ISNUMBER($B$5),$B$5&gt;0,ISNUMBER($B$3),$B$3&gt;0),F189/(6*$B$3*1000000*$B$5)*(IF(B189&lt;($B$4*10/10),($B$4*10/10)*(MIN(C189,($B$4*10/10))^3-B189^3)-(MIN(C189,($B$4*10/10))^4-B189^4)/4,0)+IF(C189&gt;($B$4*10/10),($B$4*10/10)^2*(1.5*(C189^2-MAX(B189,($B$4*10/10))^2)-($B$4*10/10)*(C189-MAX(B189,($B$4*10/10)))),0))*1000,0)</f>
        <v>0</v>
      </c>
      <c r="AM189" s="120">
        <f>IF(AND(V189="OK",ISNUMBER($N$5),$N$5&gt;0,ISNUMBER($N$3),$N$3&gt;0),R189/(6*$N$3*1000000*$N$5)*(IF(N189&lt;($N$4*0/10),($N$4*0/10)*(MIN(O189,($N$4*0/10))^3-N189^3)-(MIN(O189,($N$4*0/10))^4-N189^4)/4,0)+IF(O189&gt;($N$4*0/10),($N$4*0/10)^2*(1.5*(O189^2-MAX(N189,($N$4*0/10))^2)-($N$4*0/10)*(O189-MAX(N189,($N$4*0/10)))),0))*1000,0)</f>
        <v>0</v>
      </c>
      <c r="AN189" s="120">
        <f>IF(AND(V189="OK",ISNUMBER($N$5),$N$5&gt;0,ISNUMBER($N$3),$N$3&gt;0),R189/(6*$N$3*1000000*$N$5)*(IF(N189&lt;($N$4*1/10),($N$4*1/10)*(MIN(O189,($N$4*1/10))^3-N189^3)-(MIN(O189,($N$4*1/10))^4-N189^4)/4,0)+IF(O189&gt;($N$4*1/10),($N$4*1/10)^2*(1.5*(O189^2-MAX(N189,($N$4*1/10))^2)-($N$4*1/10)*(O189-MAX(N189,($N$4*1/10)))),0))*1000,0)</f>
        <v>0</v>
      </c>
      <c r="AO189" s="120">
        <f>IF(AND(V189="OK",ISNUMBER($N$5),$N$5&gt;0,ISNUMBER($N$3),$N$3&gt;0),R189/(6*$N$3*1000000*$N$5)*(IF(N189&lt;($N$4*2/10),($N$4*2/10)*(MIN(O189,($N$4*2/10))^3-N189^3)-(MIN(O189,($N$4*2/10))^4-N189^4)/4,0)+IF(O189&gt;($N$4*2/10),($N$4*2/10)^2*(1.5*(O189^2-MAX(N189,($N$4*2/10))^2)-($N$4*2/10)*(O189-MAX(N189,($N$4*2/10)))),0))*1000,0)</f>
        <v>0</v>
      </c>
      <c r="AP189" s="120">
        <f>IF(AND(V189="OK",ISNUMBER($N$5),$N$5&gt;0,ISNUMBER($N$3),$N$3&gt;0),R189/(6*$N$3*1000000*$N$5)*(IF(N189&lt;($N$4*3/10),($N$4*3/10)*(MIN(O189,($N$4*3/10))^3-N189^3)-(MIN(O189,($N$4*3/10))^4-N189^4)/4,0)+IF(O189&gt;($N$4*3/10),($N$4*3/10)^2*(1.5*(O189^2-MAX(N189,($N$4*3/10))^2)-($N$4*3/10)*(O189-MAX(N189,($N$4*3/10)))),0))*1000,0)</f>
        <v>0</v>
      </c>
      <c r="AQ189" s="120">
        <f>IF(AND(V189="OK",ISNUMBER($N$5),$N$5&gt;0,ISNUMBER($N$3),$N$3&gt;0),R189/(6*$N$3*1000000*$N$5)*(IF(N189&lt;($N$4*4/10),($N$4*4/10)*(MIN(O189,($N$4*4/10))^3-N189^3)-(MIN(O189,($N$4*4/10))^4-N189^4)/4,0)+IF(O189&gt;($N$4*4/10),($N$4*4/10)^2*(1.5*(O189^2-MAX(N189,($N$4*4/10))^2)-($N$4*4/10)*(O189-MAX(N189,($N$4*4/10)))),0))*1000,0)</f>
        <v>0</v>
      </c>
      <c r="AR189" s="120">
        <f>IF(AND(V189="OK",ISNUMBER($N$5),$N$5&gt;0,ISNUMBER($N$3),$N$3&gt;0),R189/(6*$N$3*1000000*$N$5)*(IF(N189&lt;($N$4*5/10),($N$4*5/10)*(MIN(O189,($N$4*5/10))^3-N189^3)-(MIN(O189,($N$4*5/10))^4-N189^4)/4,0)+IF(O189&gt;($N$4*5/10),($N$4*5/10)^2*(1.5*(O189^2-MAX(N189,($N$4*5/10))^2)-($N$4*5/10)*(O189-MAX(N189,($N$4*5/10)))),0))*1000,0)</f>
        <v>0</v>
      </c>
      <c r="AS189" s="120">
        <f>IF(AND(V189="OK",ISNUMBER($N$5),$N$5&gt;0,ISNUMBER($N$3),$N$3&gt;0),R189/(6*$N$3*1000000*$N$5)*(IF(N189&lt;($N$4*6/10),($N$4*6/10)*(MIN(O189,($N$4*6/10))^3-N189^3)-(MIN(O189,($N$4*6/10))^4-N189^4)/4,0)+IF(O189&gt;($N$4*6/10),($N$4*6/10)^2*(1.5*(O189^2-MAX(N189,($N$4*6/10))^2)-($N$4*6/10)*(O189-MAX(N189,($N$4*6/10)))),0))*1000,0)</f>
        <v>0</v>
      </c>
      <c r="AT189" s="120">
        <f>IF(AND(V189="OK",ISNUMBER($N$5),$N$5&gt;0,ISNUMBER($N$3),$N$3&gt;0),R189/(6*$N$3*1000000*$N$5)*(IF(N189&lt;($N$4*7/10),($N$4*7/10)*(MIN(O189,($N$4*7/10))^3-N189^3)-(MIN(O189,($N$4*7/10))^4-N189^4)/4,0)+IF(O189&gt;($N$4*7/10),($N$4*7/10)^2*(1.5*(O189^2-MAX(N189,($N$4*7/10))^2)-($N$4*7/10)*(O189-MAX(N189,($N$4*7/10)))),0))*1000,0)</f>
        <v>0</v>
      </c>
      <c r="AU189" s="120">
        <f>IF(AND(V189="OK",ISNUMBER($N$5),$N$5&gt;0,ISNUMBER($N$3),$N$3&gt;0),R189/(6*$N$3*1000000*$N$5)*(IF(N189&lt;($N$4*8/10),($N$4*8/10)*(MIN(O189,($N$4*8/10))^3-N189^3)-(MIN(O189,($N$4*8/10))^4-N189^4)/4,0)+IF(O189&gt;($N$4*8/10),($N$4*8/10)^2*(1.5*(O189^2-MAX(N189,($N$4*8/10))^2)-($N$4*8/10)*(O189-MAX(N189,($N$4*8/10)))),0))*1000,0)</f>
        <v>0</v>
      </c>
      <c r="AV189" s="120">
        <f>IF(AND(V189="OK",ISNUMBER($N$5),$N$5&gt;0,ISNUMBER($N$3),$N$3&gt;0),R189/(6*$N$3*1000000*$N$5)*(IF(N189&lt;($N$4*9/10),($N$4*9/10)*(MIN(O189,($N$4*9/10))^3-N189^3)-(MIN(O189,($N$4*9/10))^4-N189^4)/4,0)+IF(O189&gt;($N$4*9/10),($N$4*9/10)^2*(1.5*(O189^2-MAX(N189,($N$4*9/10))^2)-($N$4*9/10)*(O189-MAX(N189,($N$4*9/10)))),0))*1000,0)</f>
        <v>0</v>
      </c>
      <c r="AW189" s="120">
        <f>IF(AND(V189="OK",ISNUMBER($N$5),$N$5&gt;0,ISNUMBER($N$3),$N$3&gt;0),R189/(6*$N$3*1000000*$N$5)*(IF(N189&lt;($N$4*10/10),($N$4*10/10)*(MIN(O189,($N$4*10/10))^3-N189^3)-(MIN(O189,($N$4*10/10))^4-N189^4)/4,0)+IF(O189&gt;($N$4*10/10),($N$4*10/10)^2*(1.5*(O189^2-MAX(N189,($N$4*10/10))^2)-($N$4*10/10)*(O189-MAX(N189,($N$4*10/10)))),0))*1000,0)</f>
        <v>0</v>
      </c>
    </row>
    <row r="190" spans="1:49">
      <c r="A190" s="124"/>
      <c r="B190" s="125"/>
      <c r="C190" s="125"/>
      <c r="D190" s="125"/>
      <c r="E190" s="125"/>
      <c r="F190" s="126" t="str">
        <f>IF(J190="OK",D190*E190,"")</f>
        <v/>
      </c>
      <c r="G190" s="126" t="str">
        <f>IF(J190="OK",F190*(C190-B190),"")</f>
        <v/>
      </c>
      <c r="H190" s="126" t="str">
        <f>IF(J190="OK",G190*(C190+B190)/2,"")</f>
        <v/>
      </c>
      <c r="I190" s="126" t="str">
        <f>IF(AND(J190="OK",ISNUMBER($B$5),$B$5&gt;0,ISNUMBER($B$3),$B$3&gt;0),F190*(4*$B$4*(C190^3-B190^3)-(C190^4-B190^4))/(24*$B$3*1000000*$B$5)*1000,"")</f>
        <v/>
      </c>
      <c r="J190" s="120" t="str">
        <f>IF(COUNTA(A190:E190)=0,"",IF(AND(COUNT(B190:E190)=4,B190&gt;=0,C190&gt;B190,C190&lt;=$B$4,D190&gt;=0,E190&gt;0),IF(COUNTIFS($B$13:$B$189,"&lt;"&amp;C190,$C$13:$C$189,"&gt;"&amp;B190)&gt;0,"OVERLAP","OK"),"CHECK INPUTS"))</f>
        <v/>
      </c>
      <c r="M190" s="124"/>
      <c r="N190" s="125"/>
      <c r="O190" s="125"/>
      <c r="P190" s="125"/>
      <c r="Q190" s="125"/>
      <c r="R190" s="126" t="str">
        <f>IF(V190="OK",P190*Q190,"")</f>
        <v/>
      </c>
      <c r="S190" s="126" t="str">
        <f>IF(V190="OK",R190*(O190-N190),"")</f>
        <v/>
      </c>
      <c r="T190" s="126" t="str">
        <f>IF(V190="OK",S190*(O190+N190)/2,"")</f>
        <v/>
      </c>
      <c r="U190" s="126" t="str">
        <f>IF(AND(V190="OK",ISNUMBER($N$5),$N$5&gt;0,ISNUMBER($N$3),$N$3&gt;0),R190*(4*$N$4*(O190^3-N190^3)-(O190^4-N190^4))/(24*$N$3*1000000*$N$5)*1000,"")</f>
        <v/>
      </c>
      <c r="V190" s="120" t="str">
        <f>IF(COUNTA(M190:Q190)=0,"",IF(AND(COUNT(N190:Q190)=4,N190&gt;=0,O190&gt;N190,O190&lt;=$N$4,P190&gt;=0,Q190&gt;0),IF(COUNTIFS($N$13:$N$189,"&lt;"&amp;O190,$O$13:$O$189,"&gt;"&amp;N190)&gt;0,"OVERLAP","OK"),"CHECK INPUTS"))</f>
        <v/>
      </c>
      <c r="AA190" s="120">
        <f>IF(AND(J190="OK",ISNUMBER($B$5),$B$5&gt;0,ISNUMBER($B$3),$B$3&gt;0),F190/(6*$B$3*1000000*$B$5)*(IF(B190&lt;($B$4*0/10),($B$4*0/10)*(MIN(C190,($B$4*0/10))^3-B190^3)-(MIN(C190,($B$4*0/10))^4-B190^4)/4,0)+IF(C190&gt;($B$4*0/10),($B$4*0/10)^2*(1.5*(C190^2-MAX(B190,($B$4*0/10))^2)-($B$4*0/10)*(C190-MAX(B190,($B$4*0/10)))),0))*1000,0)</f>
        <v>0</v>
      </c>
      <c r="AB190" s="120">
        <f>IF(AND(J190="OK",ISNUMBER($B$5),$B$5&gt;0,ISNUMBER($B$3),$B$3&gt;0),F190/(6*$B$3*1000000*$B$5)*(IF(B190&lt;($B$4*1/10),($B$4*1/10)*(MIN(C190,($B$4*1/10))^3-B190^3)-(MIN(C190,($B$4*1/10))^4-B190^4)/4,0)+IF(C190&gt;($B$4*1/10),($B$4*1/10)^2*(1.5*(C190^2-MAX(B190,($B$4*1/10))^2)-($B$4*1/10)*(C190-MAX(B190,($B$4*1/10)))),0))*1000,0)</f>
        <v>0</v>
      </c>
      <c r="AC190" s="120">
        <f>IF(AND(J190="OK",ISNUMBER($B$5),$B$5&gt;0,ISNUMBER($B$3),$B$3&gt;0),F190/(6*$B$3*1000000*$B$5)*(IF(B190&lt;($B$4*2/10),($B$4*2/10)*(MIN(C190,($B$4*2/10))^3-B190^3)-(MIN(C190,($B$4*2/10))^4-B190^4)/4,0)+IF(C190&gt;($B$4*2/10),($B$4*2/10)^2*(1.5*(C190^2-MAX(B190,($B$4*2/10))^2)-($B$4*2/10)*(C190-MAX(B190,($B$4*2/10)))),0))*1000,0)</f>
        <v>0</v>
      </c>
      <c r="AD190" s="120">
        <f>IF(AND(J190="OK",ISNUMBER($B$5),$B$5&gt;0,ISNUMBER($B$3),$B$3&gt;0),F190/(6*$B$3*1000000*$B$5)*(IF(B190&lt;($B$4*3/10),($B$4*3/10)*(MIN(C190,($B$4*3/10))^3-B190^3)-(MIN(C190,($B$4*3/10))^4-B190^4)/4,0)+IF(C190&gt;($B$4*3/10),($B$4*3/10)^2*(1.5*(C190^2-MAX(B190,($B$4*3/10))^2)-($B$4*3/10)*(C190-MAX(B190,($B$4*3/10)))),0))*1000,0)</f>
        <v>0</v>
      </c>
      <c r="AE190" s="120">
        <f>IF(AND(J190="OK",ISNUMBER($B$5),$B$5&gt;0,ISNUMBER($B$3),$B$3&gt;0),F190/(6*$B$3*1000000*$B$5)*(IF(B190&lt;($B$4*4/10),($B$4*4/10)*(MIN(C190,($B$4*4/10))^3-B190^3)-(MIN(C190,($B$4*4/10))^4-B190^4)/4,0)+IF(C190&gt;($B$4*4/10),($B$4*4/10)^2*(1.5*(C190^2-MAX(B190,($B$4*4/10))^2)-($B$4*4/10)*(C190-MAX(B190,($B$4*4/10)))),0))*1000,0)</f>
        <v>0</v>
      </c>
      <c r="AF190" s="120">
        <f>IF(AND(J190="OK",ISNUMBER($B$5),$B$5&gt;0,ISNUMBER($B$3),$B$3&gt;0),F190/(6*$B$3*1000000*$B$5)*(IF(B190&lt;($B$4*5/10),($B$4*5/10)*(MIN(C190,($B$4*5/10))^3-B190^3)-(MIN(C190,($B$4*5/10))^4-B190^4)/4,0)+IF(C190&gt;($B$4*5/10),($B$4*5/10)^2*(1.5*(C190^2-MAX(B190,($B$4*5/10))^2)-($B$4*5/10)*(C190-MAX(B190,($B$4*5/10)))),0))*1000,0)</f>
        <v>0</v>
      </c>
      <c r="AG190" s="120">
        <f>IF(AND(J190="OK",ISNUMBER($B$5),$B$5&gt;0,ISNUMBER($B$3),$B$3&gt;0),F190/(6*$B$3*1000000*$B$5)*(IF(B190&lt;($B$4*6/10),($B$4*6/10)*(MIN(C190,($B$4*6/10))^3-B190^3)-(MIN(C190,($B$4*6/10))^4-B190^4)/4,0)+IF(C190&gt;($B$4*6/10),($B$4*6/10)^2*(1.5*(C190^2-MAX(B190,($B$4*6/10))^2)-($B$4*6/10)*(C190-MAX(B190,($B$4*6/10)))),0))*1000,0)</f>
        <v>0</v>
      </c>
      <c r="AH190" s="120">
        <f>IF(AND(J190="OK",ISNUMBER($B$5),$B$5&gt;0,ISNUMBER($B$3),$B$3&gt;0),F190/(6*$B$3*1000000*$B$5)*(IF(B190&lt;($B$4*7/10),($B$4*7/10)*(MIN(C190,($B$4*7/10))^3-B190^3)-(MIN(C190,($B$4*7/10))^4-B190^4)/4,0)+IF(C190&gt;($B$4*7/10),($B$4*7/10)^2*(1.5*(C190^2-MAX(B190,($B$4*7/10))^2)-($B$4*7/10)*(C190-MAX(B190,($B$4*7/10)))),0))*1000,0)</f>
        <v>0</v>
      </c>
      <c r="AI190" s="120">
        <f>IF(AND(J190="OK",ISNUMBER($B$5),$B$5&gt;0,ISNUMBER($B$3),$B$3&gt;0),F190/(6*$B$3*1000000*$B$5)*(IF(B190&lt;($B$4*8/10),($B$4*8/10)*(MIN(C190,($B$4*8/10))^3-B190^3)-(MIN(C190,($B$4*8/10))^4-B190^4)/4,0)+IF(C190&gt;($B$4*8/10),($B$4*8/10)^2*(1.5*(C190^2-MAX(B190,($B$4*8/10))^2)-($B$4*8/10)*(C190-MAX(B190,($B$4*8/10)))),0))*1000,0)</f>
        <v>0</v>
      </c>
      <c r="AJ190" s="120">
        <f>IF(AND(J190="OK",ISNUMBER($B$5),$B$5&gt;0,ISNUMBER($B$3),$B$3&gt;0),F190/(6*$B$3*1000000*$B$5)*(IF(B190&lt;($B$4*9/10),($B$4*9/10)*(MIN(C190,($B$4*9/10))^3-B190^3)-(MIN(C190,($B$4*9/10))^4-B190^4)/4,0)+IF(C190&gt;($B$4*9/10),($B$4*9/10)^2*(1.5*(C190^2-MAX(B190,($B$4*9/10))^2)-($B$4*9/10)*(C190-MAX(B190,($B$4*9/10)))),0))*1000,0)</f>
        <v>0</v>
      </c>
      <c r="AK190" s="120">
        <f>IF(AND(J190="OK",ISNUMBER($B$5),$B$5&gt;0,ISNUMBER($B$3),$B$3&gt;0),F190/(6*$B$3*1000000*$B$5)*(IF(B190&lt;($B$4*10/10),($B$4*10/10)*(MIN(C190,($B$4*10/10))^3-B190^3)-(MIN(C190,($B$4*10/10))^4-B190^4)/4,0)+IF(C190&gt;($B$4*10/10),($B$4*10/10)^2*(1.5*(C190^2-MAX(B190,($B$4*10/10))^2)-($B$4*10/10)*(C190-MAX(B190,($B$4*10/10)))),0))*1000,0)</f>
        <v>0</v>
      </c>
      <c r="AM190" s="120">
        <f>IF(AND(V190="OK",ISNUMBER($N$5),$N$5&gt;0,ISNUMBER($N$3),$N$3&gt;0),R190/(6*$N$3*1000000*$N$5)*(IF(N190&lt;($N$4*0/10),($N$4*0/10)*(MIN(O190,($N$4*0/10))^3-N190^3)-(MIN(O190,($N$4*0/10))^4-N190^4)/4,0)+IF(O190&gt;($N$4*0/10),($N$4*0/10)^2*(1.5*(O190^2-MAX(N190,($N$4*0/10))^2)-($N$4*0/10)*(O190-MAX(N190,($N$4*0/10)))),0))*1000,0)</f>
        <v>0</v>
      </c>
      <c r="AN190" s="120">
        <f>IF(AND(V190="OK",ISNUMBER($N$5),$N$5&gt;0,ISNUMBER($N$3),$N$3&gt;0),R190/(6*$N$3*1000000*$N$5)*(IF(N190&lt;($N$4*1/10),($N$4*1/10)*(MIN(O190,($N$4*1/10))^3-N190^3)-(MIN(O190,($N$4*1/10))^4-N190^4)/4,0)+IF(O190&gt;($N$4*1/10),($N$4*1/10)^2*(1.5*(O190^2-MAX(N190,($N$4*1/10))^2)-($N$4*1/10)*(O190-MAX(N190,($N$4*1/10)))),0))*1000,0)</f>
        <v>0</v>
      </c>
      <c r="AO190" s="120">
        <f>IF(AND(V190="OK",ISNUMBER($N$5),$N$5&gt;0,ISNUMBER($N$3),$N$3&gt;0),R190/(6*$N$3*1000000*$N$5)*(IF(N190&lt;($N$4*2/10),($N$4*2/10)*(MIN(O190,($N$4*2/10))^3-N190^3)-(MIN(O190,($N$4*2/10))^4-N190^4)/4,0)+IF(O190&gt;($N$4*2/10),($N$4*2/10)^2*(1.5*(O190^2-MAX(N190,($N$4*2/10))^2)-($N$4*2/10)*(O190-MAX(N190,($N$4*2/10)))),0))*1000,0)</f>
        <v>0</v>
      </c>
      <c r="AP190" s="120">
        <f>IF(AND(V190="OK",ISNUMBER($N$5),$N$5&gt;0,ISNUMBER($N$3),$N$3&gt;0),R190/(6*$N$3*1000000*$N$5)*(IF(N190&lt;($N$4*3/10),($N$4*3/10)*(MIN(O190,($N$4*3/10))^3-N190^3)-(MIN(O190,($N$4*3/10))^4-N190^4)/4,0)+IF(O190&gt;($N$4*3/10),($N$4*3/10)^2*(1.5*(O190^2-MAX(N190,($N$4*3/10))^2)-($N$4*3/10)*(O190-MAX(N190,($N$4*3/10)))),0))*1000,0)</f>
        <v>0</v>
      </c>
      <c r="AQ190" s="120">
        <f>IF(AND(V190="OK",ISNUMBER($N$5),$N$5&gt;0,ISNUMBER($N$3),$N$3&gt;0),R190/(6*$N$3*1000000*$N$5)*(IF(N190&lt;($N$4*4/10),($N$4*4/10)*(MIN(O190,($N$4*4/10))^3-N190^3)-(MIN(O190,($N$4*4/10))^4-N190^4)/4,0)+IF(O190&gt;($N$4*4/10),($N$4*4/10)^2*(1.5*(O190^2-MAX(N190,($N$4*4/10))^2)-($N$4*4/10)*(O190-MAX(N190,($N$4*4/10)))),0))*1000,0)</f>
        <v>0</v>
      </c>
      <c r="AR190" s="120">
        <f>IF(AND(V190="OK",ISNUMBER($N$5),$N$5&gt;0,ISNUMBER($N$3),$N$3&gt;0),R190/(6*$N$3*1000000*$N$5)*(IF(N190&lt;($N$4*5/10),($N$4*5/10)*(MIN(O190,($N$4*5/10))^3-N190^3)-(MIN(O190,($N$4*5/10))^4-N190^4)/4,0)+IF(O190&gt;($N$4*5/10),($N$4*5/10)^2*(1.5*(O190^2-MAX(N190,($N$4*5/10))^2)-($N$4*5/10)*(O190-MAX(N190,($N$4*5/10)))),0))*1000,0)</f>
        <v>0</v>
      </c>
      <c r="AS190" s="120">
        <f>IF(AND(V190="OK",ISNUMBER($N$5),$N$5&gt;0,ISNUMBER($N$3),$N$3&gt;0),R190/(6*$N$3*1000000*$N$5)*(IF(N190&lt;($N$4*6/10),($N$4*6/10)*(MIN(O190,($N$4*6/10))^3-N190^3)-(MIN(O190,($N$4*6/10))^4-N190^4)/4,0)+IF(O190&gt;($N$4*6/10),($N$4*6/10)^2*(1.5*(O190^2-MAX(N190,($N$4*6/10))^2)-($N$4*6/10)*(O190-MAX(N190,($N$4*6/10)))),0))*1000,0)</f>
        <v>0</v>
      </c>
      <c r="AT190" s="120">
        <f>IF(AND(V190="OK",ISNUMBER($N$5),$N$5&gt;0,ISNUMBER($N$3),$N$3&gt;0),R190/(6*$N$3*1000000*$N$5)*(IF(N190&lt;($N$4*7/10),($N$4*7/10)*(MIN(O190,($N$4*7/10))^3-N190^3)-(MIN(O190,($N$4*7/10))^4-N190^4)/4,0)+IF(O190&gt;($N$4*7/10),($N$4*7/10)^2*(1.5*(O190^2-MAX(N190,($N$4*7/10))^2)-($N$4*7/10)*(O190-MAX(N190,($N$4*7/10)))),0))*1000,0)</f>
        <v>0</v>
      </c>
      <c r="AU190" s="120">
        <f>IF(AND(V190="OK",ISNUMBER($N$5),$N$5&gt;0,ISNUMBER($N$3),$N$3&gt;0),R190/(6*$N$3*1000000*$N$5)*(IF(N190&lt;($N$4*8/10),($N$4*8/10)*(MIN(O190,($N$4*8/10))^3-N190^3)-(MIN(O190,($N$4*8/10))^4-N190^4)/4,0)+IF(O190&gt;($N$4*8/10),($N$4*8/10)^2*(1.5*(O190^2-MAX(N190,($N$4*8/10))^2)-($N$4*8/10)*(O190-MAX(N190,($N$4*8/10)))),0))*1000,0)</f>
        <v>0</v>
      </c>
      <c r="AV190" s="120">
        <f>IF(AND(V190="OK",ISNUMBER($N$5),$N$5&gt;0,ISNUMBER($N$3),$N$3&gt;0),R190/(6*$N$3*1000000*$N$5)*(IF(N190&lt;($N$4*9/10),($N$4*9/10)*(MIN(O190,($N$4*9/10))^3-N190^3)-(MIN(O190,($N$4*9/10))^4-N190^4)/4,0)+IF(O190&gt;($N$4*9/10),($N$4*9/10)^2*(1.5*(O190^2-MAX(N190,($N$4*9/10))^2)-($N$4*9/10)*(O190-MAX(N190,($N$4*9/10)))),0))*1000,0)</f>
        <v>0</v>
      </c>
      <c r="AW190" s="120">
        <f>IF(AND(V190="OK",ISNUMBER($N$5),$N$5&gt;0,ISNUMBER($N$3),$N$3&gt;0),R190/(6*$N$3*1000000*$N$5)*(IF(N190&lt;($N$4*10/10),($N$4*10/10)*(MIN(O190,($N$4*10/10))^3-N190^3)-(MIN(O190,($N$4*10/10))^4-N190^4)/4,0)+IF(O190&gt;($N$4*10/10),($N$4*10/10)^2*(1.5*(O190^2-MAX(N190,($N$4*10/10))^2)-($N$4*10/10)*(O190-MAX(N190,($N$4*10/10)))),0))*1000,0)</f>
        <v>0</v>
      </c>
    </row>
    <row r="191" spans="1:49">
      <c r="A191" s="124"/>
      <c r="B191" s="125"/>
      <c r="C191" s="125"/>
      <c r="D191" s="125"/>
      <c r="E191" s="125"/>
      <c r="F191" s="126" t="str">
        <f>IF(J191="OK",D191*E191,"")</f>
        <v/>
      </c>
      <c r="G191" s="126" t="str">
        <f>IF(J191="OK",F191*(C191-B191),"")</f>
        <v/>
      </c>
      <c r="H191" s="126" t="str">
        <f>IF(J191="OK",G191*(C191+B191)/2,"")</f>
        <v/>
      </c>
      <c r="I191" s="126" t="str">
        <f>IF(AND(J191="OK",ISNUMBER($B$5),$B$5&gt;0,ISNUMBER($B$3),$B$3&gt;0),F191*(4*$B$4*(C191^3-B191^3)-(C191^4-B191^4))/(24*$B$3*1000000*$B$5)*1000,"")</f>
        <v/>
      </c>
      <c r="J191" s="120" t="str">
        <f>IF(COUNTA(A191:E191)=0,"",IF(AND(COUNT(B191:E191)=4,B191&gt;=0,C191&gt;B191,C191&lt;=$B$4,D191&gt;=0,E191&gt;0),IF(COUNTIFS($B$13:$B$190,"&lt;"&amp;C191,$C$13:$C$190,"&gt;"&amp;B191)&gt;0,"OVERLAP","OK"),"CHECK INPUTS"))</f>
        <v/>
      </c>
      <c r="M191" s="124"/>
      <c r="N191" s="125"/>
      <c r="O191" s="125"/>
      <c r="P191" s="125"/>
      <c r="Q191" s="125"/>
      <c r="R191" s="126" t="str">
        <f>IF(V191="OK",P191*Q191,"")</f>
        <v/>
      </c>
      <c r="S191" s="126" t="str">
        <f>IF(V191="OK",R191*(O191-N191),"")</f>
        <v/>
      </c>
      <c r="T191" s="126" t="str">
        <f>IF(V191="OK",S191*(O191+N191)/2,"")</f>
        <v/>
      </c>
      <c r="U191" s="126" t="str">
        <f>IF(AND(V191="OK",ISNUMBER($N$5),$N$5&gt;0,ISNUMBER($N$3),$N$3&gt;0),R191*(4*$N$4*(O191^3-N191^3)-(O191^4-N191^4))/(24*$N$3*1000000*$N$5)*1000,"")</f>
        <v/>
      </c>
      <c r="V191" s="120" t="str">
        <f>IF(COUNTA(M191:Q191)=0,"",IF(AND(COUNT(N191:Q191)=4,N191&gt;=0,O191&gt;N191,O191&lt;=$N$4,P191&gt;=0,Q191&gt;0),IF(COUNTIFS($N$13:$N$190,"&lt;"&amp;O191,$O$13:$O$190,"&gt;"&amp;N191)&gt;0,"OVERLAP","OK"),"CHECK INPUTS"))</f>
        <v/>
      </c>
      <c r="AA191" s="120">
        <f>IF(AND(J191="OK",ISNUMBER($B$5),$B$5&gt;0,ISNUMBER($B$3),$B$3&gt;0),F191/(6*$B$3*1000000*$B$5)*(IF(B191&lt;($B$4*0/10),($B$4*0/10)*(MIN(C191,($B$4*0/10))^3-B191^3)-(MIN(C191,($B$4*0/10))^4-B191^4)/4,0)+IF(C191&gt;($B$4*0/10),($B$4*0/10)^2*(1.5*(C191^2-MAX(B191,($B$4*0/10))^2)-($B$4*0/10)*(C191-MAX(B191,($B$4*0/10)))),0))*1000,0)</f>
        <v>0</v>
      </c>
      <c r="AB191" s="120">
        <f>IF(AND(J191="OK",ISNUMBER($B$5),$B$5&gt;0,ISNUMBER($B$3),$B$3&gt;0),F191/(6*$B$3*1000000*$B$5)*(IF(B191&lt;($B$4*1/10),($B$4*1/10)*(MIN(C191,($B$4*1/10))^3-B191^3)-(MIN(C191,($B$4*1/10))^4-B191^4)/4,0)+IF(C191&gt;($B$4*1/10),($B$4*1/10)^2*(1.5*(C191^2-MAX(B191,($B$4*1/10))^2)-($B$4*1/10)*(C191-MAX(B191,($B$4*1/10)))),0))*1000,0)</f>
        <v>0</v>
      </c>
      <c r="AC191" s="120">
        <f>IF(AND(J191="OK",ISNUMBER($B$5),$B$5&gt;0,ISNUMBER($B$3),$B$3&gt;0),F191/(6*$B$3*1000000*$B$5)*(IF(B191&lt;($B$4*2/10),($B$4*2/10)*(MIN(C191,($B$4*2/10))^3-B191^3)-(MIN(C191,($B$4*2/10))^4-B191^4)/4,0)+IF(C191&gt;($B$4*2/10),($B$4*2/10)^2*(1.5*(C191^2-MAX(B191,($B$4*2/10))^2)-($B$4*2/10)*(C191-MAX(B191,($B$4*2/10)))),0))*1000,0)</f>
        <v>0</v>
      </c>
      <c r="AD191" s="120">
        <f>IF(AND(J191="OK",ISNUMBER($B$5),$B$5&gt;0,ISNUMBER($B$3),$B$3&gt;0),F191/(6*$B$3*1000000*$B$5)*(IF(B191&lt;($B$4*3/10),($B$4*3/10)*(MIN(C191,($B$4*3/10))^3-B191^3)-(MIN(C191,($B$4*3/10))^4-B191^4)/4,0)+IF(C191&gt;($B$4*3/10),($B$4*3/10)^2*(1.5*(C191^2-MAX(B191,($B$4*3/10))^2)-($B$4*3/10)*(C191-MAX(B191,($B$4*3/10)))),0))*1000,0)</f>
        <v>0</v>
      </c>
      <c r="AE191" s="120">
        <f>IF(AND(J191="OK",ISNUMBER($B$5),$B$5&gt;0,ISNUMBER($B$3),$B$3&gt;0),F191/(6*$B$3*1000000*$B$5)*(IF(B191&lt;($B$4*4/10),($B$4*4/10)*(MIN(C191,($B$4*4/10))^3-B191^3)-(MIN(C191,($B$4*4/10))^4-B191^4)/4,0)+IF(C191&gt;($B$4*4/10),($B$4*4/10)^2*(1.5*(C191^2-MAX(B191,($B$4*4/10))^2)-($B$4*4/10)*(C191-MAX(B191,($B$4*4/10)))),0))*1000,0)</f>
        <v>0</v>
      </c>
      <c r="AF191" s="120">
        <f>IF(AND(J191="OK",ISNUMBER($B$5),$B$5&gt;0,ISNUMBER($B$3),$B$3&gt;0),F191/(6*$B$3*1000000*$B$5)*(IF(B191&lt;($B$4*5/10),($B$4*5/10)*(MIN(C191,($B$4*5/10))^3-B191^3)-(MIN(C191,($B$4*5/10))^4-B191^4)/4,0)+IF(C191&gt;($B$4*5/10),($B$4*5/10)^2*(1.5*(C191^2-MAX(B191,($B$4*5/10))^2)-($B$4*5/10)*(C191-MAX(B191,($B$4*5/10)))),0))*1000,0)</f>
        <v>0</v>
      </c>
      <c r="AG191" s="120">
        <f>IF(AND(J191="OK",ISNUMBER($B$5),$B$5&gt;0,ISNUMBER($B$3),$B$3&gt;0),F191/(6*$B$3*1000000*$B$5)*(IF(B191&lt;($B$4*6/10),($B$4*6/10)*(MIN(C191,($B$4*6/10))^3-B191^3)-(MIN(C191,($B$4*6/10))^4-B191^4)/4,0)+IF(C191&gt;($B$4*6/10),($B$4*6/10)^2*(1.5*(C191^2-MAX(B191,($B$4*6/10))^2)-($B$4*6/10)*(C191-MAX(B191,($B$4*6/10)))),0))*1000,0)</f>
        <v>0</v>
      </c>
      <c r="AH191" s="120">
        <f>IF(AND(J191="OK",ISNUMBER($B$5),$B$5&gt;0,ISNUMBER($B$3),$B$3&gt;0),F191/(6*$B$3*1000000*$B$5)*(IF(B191&lt;($B$4*7/10),($B$4*7/10)*(MIN(C191,($B$4*7/10))^3-B191^3)-(MIN(C191,($B$4*7/10))^4-B191^4)/4,0)+IF(C191&gt;($B$4*7/10),($B$4*7/10)^2*(1.5*(C191^2-MAX(B191,($B$4*7/10))^2)-($B$4*7/10)*(C191-MAX(B191,($B$4*7/10)))),0))*1000,0)</f>
        <v>0</v>
      </c>
      <c r="AI191" s="120">
        <f>IF(AND(J191="OK",ISNUMBER($B$5),$B$5&gt;0,ISNUMBER($B$3),$B$3&gt;0),F191/(6*$B$3*1000000*$B$5)*(IF(B191&lt;($B$4*8/10),($B$4*8/10)*(MIN(C191,($B$4*8/10))^3-B191^3)-(MIN(C191,($B$4*8/10))^4-B191^4)/4,0)+IF(C191&gt;($B$4*8/10),($B$4*8/10)^2*(1.5*(C191^2-MAX(B191,($B$4*8/10))^2)-($B$4*8/10)*(C191-MAX(B191,($B$4*8/10)))),0))*1000,0)</f>
        <v>0</v>
      </c>
      <c r="AJ191" s="120">
        <f>IF(AND(J191="OK",ISNUMBER($B$5),$B$5&gt;0,ISNUMBER($B$3),$B$3&gt;0),F191/(6*$B$3*1000000*$B$5)*(IF(B191&lt;($B$4*9/10),($B$4*9/10)*(MIN(C191,($B$4*9/10))^3-B191^3)-(MIN(C191,($B$4*9/10))^4-B191^4)/4,0)+IF(C191&gt;($B$4*9/10),($B$4*9/10)^2*(1.5*(C191^2-MAX(B191,($B$4*9/10))^2)-($B$4*9/10)*(C191-MAX(B191,($B$4*9/10)))),0))*1000,0)</f>
        <v>0</v>
      </c>
      <c r="AK191" s="120">
        <f>IF(AND(J191="OK",ISNUMBER($B$5),$B$5&gt;0,ISNUMBER($B$3),$B$3&gt;0),F191/(6*$B$3*1000000*$B$5)*(IF(B191&lt;($B$4*10/10),($B$4*10/10)*(MIN(C191,($B$4*10/10))^3-B191^3)-(MIN(C191,($B$4*10/10))^4-B191^4)/4,0)+IF(C191&gt;($B$4*10/10),($B$4*10/10)^2*(1.5*(C191^2-MAX(B191,($B$4*10/10))^2)-($B$4*10/10)*(C191-MAX(B191,($B$4*10/10)))),0))*1000,0)</f>
        <v>0</v>
      </c>
      <c r="AM191" s="120">
        <f>IF(AND(V191="OK",ISNUMBER($N$5),$N$5&gt;0,ISNUMBER($N$3),$N$3&gt;0),R191/(6*$N$3*1000000*$N$5)*(IF(N191&lt;($N$4*0/10),($N$4*0/10)*(MIN(O191,($N$4*0/10))^3-N191^3)-(MIN(O191,($N$4*0/10))^4-N191^4)/4,0)+IF(O191&gt;($N$4*0/10),($N$4*0/10)^2*(1.5*(O191^2-MAX(N191,($N$4*0/10))^2)-($N$4*0/10)*(O191-MAX(N191,($N$4*0/10)))),0))*1000,0)</f>
        <v>0</v>
      </c>
      <c r="AN191" s="120">
        <f>IF(AND(V191="OK",ISNUMBER($N$5),$N$5&gt;0,ISNUMBER($N$3),$N$3&gt;0),R191/(6*$N$3*1000000*$N$5)*(IF(N191&lt;($N$4*1/10),($N$4*1/10)*(MIN(O191,($N$4*1/10))^3-N191^3)-(MIN(O191,($N$4*1/10))^4-N191^4)/4,0)+IF(O191&gt;($N$4*1/10),($N$4*1/10)^2*(1.5*(O191^2-MAX(N191,($N$4*1/10))^2)-($N$4*1/10)*(O191-MAX(N191,($N$4*1/10)))),0))*1000,0)</f>
        <v>0</v>
      </c>
      <c r="AO191" s="120">
        <f>IF(AND(V191="OK",ISNUMBER($N$5),$N$5&gt;0,ISNUMBER($N$3),$N$3&gt;0),R191/(6*$N$3*1000000*$N$5)*(IF(N191&lt;($N$4*2/10),($N$4*2/10)*(MIN(O191,($N$4*2/10))^3-N191^3)-(MIN(O191,($N$4*2/10))^4-N191^4)/4,0)+IF(O191&gt;($N$4*2/10),($N$4*2/10)^2*(1.5*(O191^2-MAX(N191,($N$4*2/10))^2)-($N$4*2/10)*(O191-MAX(N191,($N$4*2/10)))),0))*1000,0)</f>
        <v>0</v>
      </c>
      <c r="AP191" s="120">
        <f>IF(AND(V191="OK",ISNUMBER($N$5),$N$5&gt;0,ISNUMBER($N$3),$N$3&gt;0),R191/(6*$N$3*1000000*$N$5)*(IF(N191&lt;($N$4*3/10),($N$4*3/10)*(MIN(O191,($N$4*3/10))^3-N191^3)-(MIN(O191,($N$4*3/10))^4-N191^4)/4,0)+IF(O191&gt;($N$4*3/10),($N$4*3/10)^2*(1.5*(O191^2-MAX(N191,($N$4*3/10))^2)-($N$4*3/10)*(O191-MAX(N191,($N$4*3/10)))),0))*1000,0)</f>
        <v>0</v>
      </c>
      <c r="AQ191" s="120">
        <f>IF(AND(V191="OK",ISNUMBER($N$5),$N$5&gt;0,ISNUMBER($N$3),$N$3&gt;0),R191/(6*$N$3*1000000*$N$5)*(IF(N191&lt;($N$4*4/10),($N$4*4/10)*(MIN(O191,($N$4*4/10))^3-N191^3)-(MIN(O191,($N$4*4/10))^4-N191^4)/4,0)+IF(O191&gt;($N$4*4/10),($N$4*4/10)^2*(1.5*(O191^2-MAX(N191,($N$4*4/10))^2)-($N$4*4/10)*(O191-MAX(N191,($N$4*4/10)))),0))*1000,0)</f>
        <v>0</v>
      </c>
      <c r="AR191" s="120">
        <f>IF(AND(V191="OK",ISNUMBER($N$5),$N$5&gt;0,ISNUMBER($N$3),$N$3&gt;0),R191/(6*$N$3*1000000*$N$5)*(IF(N191&lt;($N$4*5/10),($N$4*5/10)*(MIN(O191,($N$4*5/10))^3-N191^3)-(MIN(O191,($N$4*5/10))^4-N191^4)/4,0)+IF(O191&gt;($N$4*5/10),($N$4*5/10)^2*(1.5*(O191^2-MAX(N191,($N$4*5/10))^2)-($N$4*5/10)*(O191-MAX(N191,($N$4*5/10)))),0))*1000,0)</f>
        <v>0</v>
      </c>
      <c r="AS191" s="120">
        <f>IF(AND(V191="OK",ISNUMBER($N$5),$N$5&gt;0,ISNUMBER($N$3),$N$3&gt;0),R191/(6*$N$3*1000000*$N$5)*(IF(N191&lt;($N$4*6/10),($N$4*6/10)*(MIN(O191,($N$4*6/10))^3-N191^3)-(MIN(O191,($N$4*6/10))^4-N191^4)/4,0)+IF(O191&gt;($N$4*6/10),($N$4*6/10)^2*(1.5*(O191^2-MAX(N191,($N$4*6/10))^2)-($N$4*6/10)*(O191-MAX(N191,($N$4*6/10)))),0))*1000,0)</f>
        <v>0</v>
      </c>
      <c r="AT191" s="120">
        <f>IF(AND(V191="OK",ISNUMBER($N$5),$N$5&gt;0,ISNUMBER($N$3),$N$3&gt;0),R191/(6*$N$3*1000000*$N$5)*(IF(N191&lt;($N$4*7/10),($N$4*7/10)*(MIN(O191,($N$4*7/10))^3-N191^3)-(MIN(O191,($N$4*7/10))^4-N191^4)/4,0)+IF(O191&gt;($N$4*7/10),($N$4*7/10)^2*(1.5*(O191^2-MAX(N191,($N$4*7/10))^2)-($N$4*7/10)*(O191-MAX(N191,($N$4*7/10)))),0))*1000,0)</f>
        <v>0</v>
      </c>
      <c r="AU191" s="120">
        <f>IF(AND(V191="OK",ISNUMBER($N$5),$N$5&gt;0,ISNUMBER($N$3),$N$3&gt;0),R191/(6*$N$3*1000000*$N$5)*(IF(N191&lt;($N$4*8/10),($N$4*8/10)*(MIN(O191,($N$4*8/10))^3-N191^3)-(MIN(O191,($N$4*8/10))^4-N191^4)/4,0)+IF(O191&gt;($N$4*8/10),($N$4*8/10)^2*(1.5*(O191^2-MAX(N191,($N$4*8/10))^2)-($N$4*8/10)*(O191-MAX(N191,($N$4*8/10)))),0))*1000,0)</f>
        <v>0</v>
      </c>
      <c r="AV191" s="120">
        <f>IF(AND(V191="OK",ISNUMBER($N$5),$N$5&gt;0,ISNUMBER($N$3),$N$3&gt;0),R191/(6*$N$3*1000000*$N$5)*(IF(N191&lt;($N$4*9/10),($N$4*9/10)*(MIN(O191,($N$4*9/10))^3-N191^3)-(MIN(O191,($N$4*9/10))^4-N191^4)/4,0)+IF(O191&gt;($N$4*9/10),($N$4*9/10)^2*(1.5*(O191^2-MAX(N191,($N$4*9/10))^2)-($N$4*9/10)*(O191-MAX(N191,($N$4*9/10)))),0))*1000,0)</f>
        <v>0</v>
      </c>
      <c r="AW191" s="120">
        <f>IF(AND(V191="OK",ISNUMBER($N$5),$N$5&gt;0,ISNUMBER($N$3),$N$3&gt;0),R191/(6*$N$3*1000000*$N$5)*(IF(N191&lt;($N$4*10/10),($N$4*10/10)*(MIN(O191,($N$4*10/10))^3-N191^3)-(MIN(O191,($N$4*10/10))^4-N191^4)/4,0)+IF(O191&gt;($N$4*10/10),($N$4*10/10)^2*(1.5*(O191^2-MAX(N191,($N$4*10/10))^2)-($N$4*10/10)*(O191-MAX(N191,($N$4*10/10)))),0))*1000,0)</f>
        <v>0</v>
      </c>
    </row>
    <row r="192" spans="1:49">
      <c r="A192" s="124"/>
      <c r="B192" s="125"/>
      <c r="C192" s="125"/>
      <c r="D192" s="125"/>
      <c r="E192" s="125"/>
      <c r="F192" s="126" t="str">
        <f>IF(J192="OK",D192*E192,"")</f>
        <v/>
      </c>
      <c r="G192" s="126" t="str">
        <f>IF(J192="OK",F192*(C192-B192),"")</f>
        <v/>
      </c>
      <c r="H192" s="126" t="str">
        <f>IF(J192="OK",G192*(C192+B192)/2,"")</f>
        <v/>
      </c>
      <c r="I192" s="126" t="str">
        <f>IF(AND(J192="OK",ISNUMBER($B$5),$B$5&gt;0,ISNUMBER($B$3),$B$3&gt;0),F192*(4*$B$4*(C192^3-B192^3)-(C192^4-B192^4))/(24*$B$3*1000000*$B$5)*1000,"")</f>
        <v/>
      </c>
      <c r="J192" s="120" t="str">
        <f>IF(COUNTA(A192:E192)=0,"",IF(AND(COUNT(B192:E192)=4,B192&gt;=0,C192&gt;B192,C192&lt;=$B$4,D192&gt;=0,E192&gt;0),IF(COUNTIFS($B$13:$B$191,"&lt;"&amp;C192,$C$13:$C$191,"&gt;"&amp;B192)&gt;0,"OVERLAP","OK"),"CHECK INPUTS"))</f>
        <v/>
      </c>
      <c r="M192" s="124"/>
      <c r="N192" s="125"/>
      <c r="O192" s="125"/>
      <c r="P192" s="125"/>
      <c r="Q192" s="125"/>
      <c r="R192" s="126" t="str">
        <f>IF(V192="OK",P192*Q192,"")</f>
        <v/>
      </c>
      <c r="S192" s="126" t="str">
        <f>IF(V192="OK",R192*(O192-N192),"")</f>
        <v/>
      </c>
      <c r="T192" s="126" t="str">
        <f>IF(V192="OK",S192*(O192+N192)/2,"")</f>
        <v/>
      </c>
      <c r="U192" s="126" t="str">
        <f>IF(AND(V192="OK",ISNUMBER($N$5),$N$5&gt;0,ISNUMBER($N$3),$N$3&gt;0),R192*(4*$N$4*(O192^3-N192^3)-(O192^4-N192^4))/(24*$N$3*1000000*$N$5)*1000,"")</f>
        <v/>
      </c>
      <c r="V192" s="120" t="str">
        <f>IF(COUNTA(M192:Q192)=0,"",IF(AND(COUNT(N192:Q192)=4,N192&gt;=0,O192&gt;N192,O192&lt;=$N$4,P192&gt;=0,Q192&gt;0),IF(COUNTIFS($N$13:$N$191,"&lt;"&amp;O192,$O$13:$O$191,"&gt;"&amp;N192)&gt;0,"OVERLAP","OK"),"CHECK INPUTS"))</f>
        <v/>
      </c>
      <c r="AA192" s="120">
        <f>IF(AND(J192="OK",ISNUMBER($B$5),$B$5&gt;0,ISNUMBER($B$3),$B$3&gt;0),F192/(6*$B$3*1000000*$B$5)*(IF(B192&lt;($B$4*0/10),($B$4*0/10)*(MIN(C192,($B$4*0/10))^3-B192^3)-(MIN(C192,($B$4*0/10))^4-B192^4)/4,0)+IF(C192&gt;($B$4*0/10),($B$4*0/10)^2*(1.5*(C192^2-MAX(B192,($B$4*0/10))^2)-($B$4*0/10)*(C192-MAX(B192,($B$4*0/10)))),0))*1000,0)</f>
        <v>0</v>
      </c>
      <c r="AB192" s="120">
        <f>IF(AND(J192="OK",ISNUMBER($B$5),$B$5&gt;0,ISNUMBER($B$3),$B$3&gt;0),F192/(6*$B$3*1000000*$B$5)*(IF(B192&lt;($B$4*1/10),($B$4*1/10)*(MIN(C192,($B$4*1/10))^3-B192^3)-(MIN(C192,($B$4*1/10))^4-B192^4)/4,0)+IF(C192&gt;($B$4*1/10),($B$4*1/10)^2*(1.5*(C192^2-MAX(B192,($B$4*1/10))^2)-($B$4*1/10)*(C192-MAX(B192,($B$4*1/10)))),0))*1000,0)</f>
        <v>0</v>
      </c>
      <c r="AC192" s="120">
        <f>IF(AND(J192="OK",ISNUMBER($B$5),$B$5&gt;0,ISNUMBER($B$3),$B$3&gt;0),F192/(6*$B$3*1000000*$B$5)*(IF(B192&lt;($B$4*2/10),($B$4*2/10)*(MIN(C192,($B$4*2/10))^3-B192^3)-(MIN(C192,($B$4*2/10))^4-B192^4)/4,0)+IF(C192&gt;($B$4*2/10),($B$4*2/10)^2*(1.5*(C192^2-MAX(B192,($B$4*2/10))^2)-($B$4*2/10)*(C192-MAX(B192,($B$4*2/10)))),0))*1000,0)</f>
        <v>0</v>
      </c>
      <c r="AD192" s="120">
        <f>IF(AND(J192="OK",ISNUMBER($B$5),$B$5&gt;0,ISNUMBER($B$3),$B$3&gt;0),F192/(6*$B$3*1000000*$B$5)*(IF(B192&lt;($B$4*3/10),($B$4*3/10)*(MIN(C192,($B$4*3/10))^3-B192^3)-(MIN(C192,($B$4*3/10))^4-B192^4)/4,0)+IF(C192&gt;($B$4*3/10),($B$4*3/10)^2*(1.5*(C192^2-MAX(B192,($B$4*3/10))^2)-($B$4*3/10)*(C192-MAX(B192,($B$4*3/10)))),0))*1000,0)</f>
        <v>0</v>
      </c>
      <c r="AE192" s="120">
        <f>IF(AND(J192="OK",ISNUMBER($B$5),$B$5&gt;0,ISNUMBER($B$3),$B$3&gt;0),F192/(6*$B$3*1000000*$B$5)*(IF(B192&lt;($B$4*4/10),($B$4*4/10)*(MIN(C192,($B$4*4/10))^3-B192^3)-(MIN(C192,($B$4*4/10))^4-B192^4)/4,0)+IF(C192&gt;($B$4*4/10),($B$4*4/10)^2*(1.5*(C192^2-MAX(B192,($B$4*4/10))^2)-($B$4*4/10)*(C192-MAX(B192,($B$4*4/10)))),0))*1000,0)</f>
        <v>0</v>
      </c>
      <c r="AF192" s="120">
        <f>IF(AND(J192="OK",ISNUMBER($B$5),$B$5&gt;0,ISNUMBER($B$3),$B$3&gt;0),F192/(6*$B$3*1000000*$B$5)*(IF(B192&lt;($B$4*5/10),($B$4*5/10)*(MIN(C192,($B$4*5/10))^3-B192^3)-(MIN(C192,($B$4*5/10))^4-B192^4)/4,0)+IF(C192&gt;($B$4*5/10),($B$4*5/10)^2*(1.5*(C192^2-MAX(B192,($B$4*5/10))^2)-($B$4*5/10)*(C192-MAX(B192,($B$4*5/10)))),0))*1000,0)</f>
        <v>0</v>
      </c>
      <c r="AG192" s="120">
        <f>IF(AND(J192="OK",ISNUMBER($B$5),$B$5&gt;0,ISNUMBER($B$3),$B$3&gt;0),F192/(6*$B$3*1000000*$B$5)*(IF(B192&lt;($B$4*6/10),($B$4*6/10)*(MIN(C192,($B$4*6/10))^3-B192^3)-(MIN(C192,($B$4*6/10))^4-B192^4)/4,0)+IF(C192&gt;($B$4*6/10),($B$4*6/10)^2*(1.5*(C192^2-MAX(B192,($B$4*6/10))^2)-($B$4*6/10)*(C192-MAX(B192,($B$4*6/10)))),0))*1000,0)</f>
        <v>0</v>
      </c>
      <c r="AH192" s="120">
        <f>IF(AND(J192="OK",ISNUMBER($B$5),$B$5&gt;0,ISNUMBER($B$3),$B$3&gt;0),F192/(6*$B$3*1000000*$B$5)*(IF(B192&lt;($B$4*7/10),($B$4*7/10)*(MIN(C192,($B$4*7/10))^3-B192^3)-(MIN(C192,($B$4*7/10))^4-B192^4)/4,0)+IF(C192&gt;($B$4*7/10),($B$4*7/10)^2*(1.5*(C192^2-MAX(B192,($B$4*7/10))^2)-($B$4*7/10)*(C192-MAX(B192,($B$4*7/10)))),0))*1000,0)</f>
        <v>0</v>
      </c>
      <c r="AI192" s="120">
        <f>IF(AND(J192="OK",ISNUMBER($B$5),$B$5&gt;0,ISNUMBER($B$3),$B$3&gt;0),F192/(6*$B$3*1000000*$B$5)*(IF(B192&lt;($B$4*8/10),($B$4*8/10)*(MIN(C192,($B$4*8/10))^3-B192^3)-(MIN(C192,($B$4*8/10))^4-B192^4)/4,0)+IF(C192&gt;($B$4*8/10),($B$4*8/10)^2*(1.5*(C192^2-MAX(B192,($B$4*8/10))^2)-($B$4*8/10)*(C192-MAX(B192,($B$4*8/10)))),0))*1000,0)</f>
        <v>0</v>
      </c>
      <c r="AJ192" s="120">
        <f>IF(AND(J192="OK",ISNUMBER($B$5),$B$5&gt;0,ISNUMBER($B$3),$B$3&gt;0),F192/(6*$B$3*1000000*$B$5)*(IF(B192&lt;($B$4*9/10),($B$4*9/10)*(MIN(C192,($B$4*9/10))^3-B192^3)-(MIN(C192,($B$4*9/10))^4-B192^4)/4,0)+IF(C192&gt;($B$4*9/10),($B$4*9/10)^2*(1.5*(C192^2-MAX(B192,($B$4*9/10))^2)-($B$4*9/10)*(C192-MAX(B192,($B$4*9/10)))),0))*1000,0)</f>
        <v>0</v>
      </c>
      <c r="AK192" s="120">
        <f>IF(AND(J192="OK",ISNUMBER($B$5),$B$5&gt;0,ISNUMBER($B$3),$B$3&gt;0),F192/(6*$B$3*1000000*$B$5)*(IF(B192&lt;($B$4*10/10),($B$4*10/10)*(MIN(C192,($B$4*10/10))^3-B192^3)-(MIN(C192,($B$4*10/10))^4-B192^4)/4,0)+IF(C192&gt;($B$4*10/10),($B$4*10/10)^2*(1.5*(C192^2-MAX(B192,($B$4*10/10))^2)-($B$4*10/10)*(C192-MAX(B192,($B$4*10/10)))),0))*1000,0)</f>
        <v>0</v>
      </c>
      <c r="AM192" s="120">
        <f>IF(AND(V192="OK",ISNUMBER($N$5),$N$5&gt;0,ISNUMBER($N$3),$N$3&gt;0),R192/(6*$N$3*1000000*$N$5)*(IF(N192&lt;($N$4*0/10),($N$4*0/10)*(MIN(O192,($N$4*0/10))^3-N192^3)-(MIN(O192,($N$4*0/10))^4-N192^4)/4,0)+IF(O192&gt;($N$4*0/10),($N$4*0/10)^2*(1.5*(O192^2-MAX(N192,($N$4*0/10))^2)-($N$4*0/10)*(O192-MAX(N192,($N$4*0/10)))),0))*1000,0)</f>
        <v>0</v>
      </c>
      <c r="AN192" s="120">
        <f>IF(AND(V192="OK",ISNUMBER($N$5),$N$5&gt;0,ISNUMBER($N$3),$N$3&gt;0),R192/(6*$N$3*1000000*$N$5)*(IF(N192&lt;($N$4*1/10),($N$4*1/10)*(MIN(O192,($N$4*1/10))^3-N192^3)-(MIN(O192,($N$4*1/10))^4-N192^4)/4,0)+IF(O192&gt;($N$4*1/10),($N$4*1/10)^2*(1.5*(O192^2-MAX(N192,($N$4*1/10))^2)-($N$4*1/10)*(O192-MAX(N192,($N$4*1/10)))),0))*1000,0)</f>
        <v>0</v>
      </c>
      <c r="AO192" s="120">
        <f>IF(AND(V192="OK",ISNUMBER($N$5),$N$5&gt;0,ISNUMBER($N$3),$N$3&gt;0),R192/(6*$N$3*1000000*$N$5)*(IF(N192&lt;($N$4*2/10),($N$4*2/10)*(MIN(O192,($N$4*2/10))^3-N192^3)-(MIN(O192,($N$4*2/10))^4-N192^4)/4,0)+IF(O192&gt;($N$4*2/10),($N$4*2/10)^2*(1.5*(O192^2-MAX(N192,($N$4*2/10))^2)-($N$4*2/10)*(O192-MAX(N192,($N$4*2/10)))),0))*1000,0)</f>
        <v>0</v>
      </c>
      <c r="AP192" s="120">
        <f>IF(AND(V192="OK",ISNUMBER($N$5),$N$5&gt;0,ISNUMBER($N$3),$N$3&gt;0),R192/(6*$N$3*1000000*$N$5)*(IF(N192&lt;($N$4*3/10),($N$4*3/10)*(MIN(O192,($N$4*3/10))^3-N192^3)-(MIN(O192,($N$4*3/10))^4-N192^4)/4,0)+IF(O192&gt;($N$4*3/10),($N$4*3/10)^2*(1.5*(O192^2-MAX(N192,($N$4*3/10))^2)-($N$4*3/10)*(O192-MAX(N192,($N$4*3/10)))),0))*1000,0)</f>
        <v>0</v>
      </c>
      <c r="AQ192" s="120">
        <f>IF(AND(V192="OK",ISNUMBER($N$5),$N$5&gt;0,ISNUMBER($N$3),$N$3&gt;0),R192/(6*$N$3*1000000*$N$5)*(IF(N192&lt;($N$4*4/10),($N$4*4/10)*(MIN(O192,($N$4*4/10))^3-N192^3)-(MIN(O192,($N$4*4/10))^4-N192^4)/4,0)+IF(O192&gt;($N$4*4/10),($N$4*4/10)^2*(1.5*(O192^2-MAX(N192,($N$4*4/10))^2)-($N$4*4/10)*(O192-MAX(N192,($N$4*4/10)))),0))*1000,0)</f>
        <v>0</v>
      </c>
      <c r="AR192" s="120">
        <f>IF(AND(V192="OK",ISNUMBER($N$5),$N$5&gt;0,ISNUMBER($N$3),$N$3&gt;0),R192/(6*$N$3*1000000*$N$5)*(IF(N192&lt;($N$4*5/10),($N$4*5/10)*(MIN(O192,($N$4*5/10))^3-N192^3)-(MIN(O192,($N$4*5/10))^4-N192^4)/4,0)+IF(O192&gt;($N$4*5/10),($N$4*5/10)^2*(1.5*(O192^2-MAX(N192,($N$4*5/10))^2)-($N$4*5/10)*(O192-MAX(N192,($N$4*5/10)))),0))*1000,0)</f>
        <v>0</v>
      </c>
      <c r="AS192" s="120">
        <f>IF(AND(V192="OK",ISNUMBER($N$5),$N$5&gt;0,ISNUMBER($N$3),$N$3&gt;0),R192/(6*$N$3*1000000*$N$5)*(IF(N192&lt;($N$4*6/10),($N$4*6/10)*(MIN(O192,($N$4*6/10))^3-N192^3)-(MIN(O192,($N$4*6/10))^4-N192^4)/4,0)+IF(O192&gt;($N$4*6/10),($N$4*6/10)^2*(1.5*(O192^2-MAX(N192,($N$4*6/10))^2)-($N$4*6/10)*(O192-MAX(N192,($N$4*6/10)))),0))*1000,0)</f>
        <v>0</v>
      </c>
      <c r="AT192" s="120">
        <f>IF(AND(V192="OK",ISNUMBER($N$5),$N$5&gt;0,ISNUMBER($N$3),$N$3&gt;0),R192/(6*$N$3*1000000*$N$5)*(IF(N192&lt;($N$4*7/10),($N$4*7/10)*(MIN(O192,($N$4*7/10))^3-N192^3)-(MIN(O192,($N$4*7/10))^4-N192^4)/4,0)+IF(O192&gt;($N$4*7/10),($N$4*7/10)^2*(1.5*(O192^2-MAX(N192,($N$4*7/10))^2)-($N$4*7/10)*(O192-MAX(N192,($N$4*7/10)))),0))*1000,0)</f>
        <v>0</v>
      </c>
      <c r="AU192" s="120">
        <f>IF(AND(V192="OK",ISNUMBER($N$5),$N$5&gt;0,ISNUMBER($N$3),$N$3&gt;0),R192/(6*$N$3*1000000*$N$5)*(IF(N192&lt;($N$4*8/10),($N$4*8/10)*(MIN(O192,($N$4*8/10))^3-N192^3)-(MIN(O192,($N$4*8/10))^4-N192^4)/4,0)+IF(O192&gt;($N$4*8/10),($N$4*8/10)^2*(1.5*(O192^2-MAX(N192,($N$4*8/10))^2)-($N$4*8/10)*(O192-MAX(N192,($N$4*8/10)))),0))*1000,0)</f>
        <v>0</v>
      </c>
      <c r="AV192" s="120">
        <f>IF(AND(V192="OK",ISNUMBER($N$5),$N$5&gt;0,ISNUMBER($N$3),$N$3&gt;0),R192/(6*$N$3*1000000*$N$5)*(IF(N192&lt;($N$4*9/10),($N$4*9/10)*(MIN(O192,($N$4*9/10))^3-N192^3)-(MIN(O192,($N$4*9/10))^4-N192^4)/4,0)+IF(O192&gt;($N$4*9/10),($N$4*9/10)^2*(1.5*(O192^2-MAX(N192,($N$4*9/10))^2)-($N$4*9/10)*(O192-MAX(N192,($N$4*9/10)))),0))*1000,0)</f>
        <v>0</v>
      </c>
      <c r="AW192" s="120">
        <f>IF(AND(V192="OK",ISNUMBER($N$5),$N$5&gt;0,ISNUMBER($N$3),$N$3&gt;0),R192/(6*$N$3*1000000*$N$5)*(IF(N192&lt;($N$4*10/10),($N$4*10/10)*(MIN(O192,($N$4*10/10))^3-N192^3)-(MIN(O192,($N$4*10/10))^4-N192^4)/4,0)+IF(O192&gt;($N$4*10/10),($N$4*10/10)^2*(1.5*(O192^2-MAX(N192,($N$4*10/10))^2)-($N$4*10/10)*(O192-MAX(N192,($N$4*10/10)))),0))*1000,0)</f>
        <v>0</v>
      </c>
    </row>
    <row r="193" spans="1:49">
      <c r="A193" s="124"/>
      <c r="B193" s="125"/>
      <c r="C193" s="125"/>
      <c r="D193" s="125"/>
      <c r="E193" s="125"/>
      <c r="F193" s="126" t="str">
        <f>IF(J193="OK",D193*E193,"")</f>
        <v/>
      </c>
      <c r="G193" s="126" t="str">
        <f>IF(J193="OK",F193*(C193-B193),"")</f>
        <v/>
      </c>
      <c r="H193" s="126" t="str">
        <f>IF(J193="OK",G193*(C193+B193)/2,"")</f>
        <v/>
      </c>
      <c r="I193" s="126" t="str">
        <f>IF(AND(J193="OK",ISNUMBER($B$5),$B$5&gt;0,ISNUMBER($B$3),$B$3&gt;0),F193*(4*$B$4*(C193^3-B193^3)-(C193^4-B193^4))/(24*$B$3*1000000*$B$5)*1000,"")</f>
        <v/>
      </c>
      <c r="J193" s="120" t="str">
        <f>IF(COUNTA(A193:E193)=0,"",IF(AND(COUNT(B193:E193)=4,B193&gt;=0,C193&gt;B193,C193&lt;=$B$4,D193&gt;=0,E193&gt;0),IF(COUNTIFS($B$13:$B$192,"&lt;"&amp;C193,$C$13:$C$192,"&gt;"&amp;B193)&gt;0,"OVERLAP","OK"),"CHECK INPUTS"))</f>
        <v/>
      </c>
      <c r="M193" s="124"/>
      <c r="N193" s="125"/>
      <c r="O193" s="125"/>
      <c r="P193" s="125"/>
      <c r="Q193" s="125"/>
      <c r="R193" s="126" t="str">
        <f>IF(V193="OK",P193*Q193,"")</f>
        <v/>
      </c>
      <c r="S193" s="126" t="str">
        <f>IF(V193="OK",R193*(O193-N193),"")</f>
        <v/>
      </c>
      <c r="T193" s="126" t="str">
        <f>IF(V193="OK",S193*(O193+N193)/2,"")</f>
        <v/>
      </c>
      <c r="U193" s="126" t="str">
        <f>IF(AND(V193="OK",ISNUMBER($N$5),$N$5&gt;0,ISNUMBER($N$3),$N$3&gt;0),R193*(4*$N$4*(O193^3-N193^3)-(O193^4-N193^4))/(24*$N$3*1000000*$N$5)*1000,"")</f>
        <v/>
      </c>
      <c r="V193" s="120" t="str">
        <f>IF(COUNTA(M193:Q193)=0,"",IF(AND(COUNT(N193:Q193)=4,N193&gt;=0,O193&gt;N193,O193&lt;=$N$4,P193&gt;=0,Q193&gt;0),IF(COUNTIFS($N$13:$N$192,"&lt;"&amp;O193,$O$13:$O$192,"&gt;"&amp;N193)&gt;0,"OVERLAP","OK"),"CHECK INPUTS"))</f>
        <v/>
      </c>
      <c r="AA193" s="120">
        <f>IF(AND(J193="OK",ISNUMBER($B$5),$B$5&gt;0,ISNUMBER($B$3),$B$3&gt;0),F193/(6*$B$3*1000000*$B$5)*(IF(B193&lt;($B$4*0/10),($B$4*0/10)*(MIN(C193,($B$4*0/10))^3-B193^3)-(MIN(C193,($B$4*0/10))^4-B193^4)/4,0)+IF(C193&gt;($B$4*0/10),($B$4*0/10)^2*(1.5*(C193^2-MAX(B193,($B$4*0/10))^2)-($B$4*0/10)*(C193-MAX(B193,($B$4*0/10)))),0))*1000,0)</f>
        <v>0</v>
      </c>
      <c r="AB193" s="120">
        <f>IF(AND(J193="OK",ISNUMBER($B$5),$B$5&gt;0,ISNUMBER($B$3),$B$3&gt;0),F193/(6*$B$3*1000000*$B$5)*(IF(B193&lt;($B$4*1/10),($B$4*1/10)*(MIN(C193,($B$4*1/10))^3-B193^3)-(MIN(C193,($B$4*1/10))^4-B193^4)/4,0)+IF(C193&gt;($B$4*1/10),($B$4*1/10)^2*(1.5*(C193^2-MAX(B193,($B$4*1/10))^2)-($B$4*1/10)*(C193-MAX(B193,($B$4*1/10)))),0))*1000,0)</f>
        <v>0</v>
      </c>
      <c r="AC193" s="120">
        <f>IF(AND(J193="OK",ISNUMBER($B$5),$B$5&gt;0,ISNUMBER($B$3),$B$3&gt;0),F193/(6*$B$3*1000000*$B$5)*(IF(B193&lt;($B$4*2/10),($B$4*2/10)*(MIN(C193,($B$4*2/10))^3-B193^3)-(MIN(C193,($B$4*2/10))^4-B193^4)/4,0)+IF(C193&gt;($B$4*2/10),($B$4*2/10)^2*(1.5*(C193^2-MAX(B193,($B$4*2/10))^2)-($B$4*2/10)*(C193-MAX(B193,($B$4*2/10)))),0))*1000,0)</f>
        <v>0</v>
      </c>
      <c r="AD193" s="120">
        <f>IF(AND(J193="OK",ISNUMBER($B$5),$B$5&gt;0,ISNUMBER($B$3),$B$3&gt;0),F193/(6*$B$3*1000000*$B$5)*(IF(B193&lt;($B$4*3/10),($B$4*3/10)*(MIN(C193,($B$4*3/10))^3-B193^3)-(MIN(C193,($B$4*3/10))^4-B193^4)/4,0)+IF(C193&gt;($B$4*3/10),($B$4*3/10)^2*(1.5*(C193^2-MAX(B193,($B$4*3/10))^2)-($B$4*3/10)*(C193-MAX(B193,($B$4*3/10)))),0))*1000,0)</f>
        <v>0</v>
      </c>
      <c r="AE193" s="120">
        <f>IF(AND(J193="OK",ISNUMBER($B$5),$B$5&gt;0,ISNUMBER($B$3),$B$3&gt;0),F193/(6*$B$3*1000000*$B$5)*(IF(B193&lt;($B$4*4/10),($B$4*4/10)*(MIN(C193,($B$4*4/10))^3-B193^3)-(MIN(C193,($B$4*4/10))^4-B193^4)/4,0)+IF(C193&gt;($B$4*4/10),($B$4*4/10)^2*(1.5*(C193^2-MAX(B193,($B$4*4/10))^2)-($B$4*4/10)*(C193-MAX(B193,($B$4*4/10)))),0))*1000,0)</f>
        <v>0</v>
      </c>
      <c r="AF193" s="120">
        <f>IF(AND(J193="OK",ISNUMBER($B$5),$B$5&gt;0,ISNUMBER($B$3),$B$3&gt;0),F193/(6*$B$3*1000000*$B$5)*(IF(B193&lt;($B$4*5/10),($B$4*5/10)*(MIN(C193,($B$4*5/10))^3-B193^3)-(MIN(C193,($B$4*5/10))^4-B193^4)/4,0)+IF(C193&gt;($B$4*5/10),($B$4*5/10)^2*(1.5*(C193^2-MAX(B193,($B$4*5/10))^2)-($B$4*5/10)*(C193-MAX(B193,($B$4*5/10)))),0))*1000,0)</f>
        <v>0</v>
      </c>
      <c r="AG193" s="120">
        <f>IF(AND(J193="OK",ISNUMBER($B$5),$B$5&gt;0,ISNUMBER($B$3),$B$3&gt;0),F193/(6*$B$3*1000000*$B$5)*(IF(B193&lt;($B$4*6/10),($B$4*6/10)*(MIN(C193,($B$4*6/10))^3-B193^3)-(MIN(C193,($B$4*6/10))^4-B193^4)/4,0)+IF(C193&gt;($B$4*6/10),($B$4*6/10)^2*(1.5*(C193^2-MAX(B193,($B$4*6/10))^2)-($B$4*6/10)*(C193-MAX(B193,($B$4*6/10)))),0))*1000,0)</f>
        <v>0</v>
      </c>
      <c r="AH193" s="120">
        <f>IF(AND(J193="OK",ISNUMBER($B$5),$B$5&gt;0,ISNUMBER($B$3),$B$3&gt;0),F193/(6*$B$3*1000000*$B$5)*(IF(B193&lt;($B$4*7/10),($B$4*7/10)*(MIN(C193,($B$4*7/10))^3-B193^3)-(MIN(C193,($B$4*7/10))^4-B193^4)/4,0)+IF(C193&gt;($B$4*7/10),($B$4*7/10)^2*(1.5*(C193^2-MAX(B193,($B$4*7/10))^2)-($B$4*7/10)*(C193-MAX(B193,($B$4*7/10)))),0))*1000,0)</f>
        <v>0</v>
      </c>
      <c r="AI193" s="120">
        <f>IF(AND(J193="OK",ISNUMBER($B$5),$B$5&gt;0,ISNUMBER($B$3),$B$3&gt;0),F193/(6*$B$3*1000000*$B$5)*(IF(B193&lt;($B$4*8/10),($B$4*8/10)*(MIN(C193,($B$4*8/10))^3-B193^3)-(MIN(C193,($B$4*8/10))^4-B193^4)/4,0)+IF(C193&gt;($B$4*8/10),($B$4*8/10)^2*(1.5*(C193^2-MAX(B193,($B$4*8/10))^2)-($B$4*8/10)*(C193-MAX(B193,($B$4*8/10)))),0))*1000,0)</f>
        <v>0</v>
      </c>
      <c r="AJ193" s="120">
        <f>IF(AND(J193="OK",ISNUMBER($B$5),$B$5&gt;0,ISNUMBER($B$3),$B$3&gt;0),F193/(6*$B$3*1000000*$B$5)*(IF(B193&lt;($B$4*9/10),($B$4*9/10)*(MIN(C193,($B$4*9/10))^3-B193^3)-(MIN(C193,($B$4*9/10))^4-B193^4)/4,0)+IF(C193&gt;($B$4*9/10),($B$4*9/10)^2*(1.5*(C193^2-MAX(B193,($B$4*9/10))^2)-($B$4*9/10)*(C193-MAX(B193,($B$4*9/10)))),0))*1000,0)</f>
        <v>0</v>
      </c>
      <c r="AK193" s="120">
        <f>IF(AND(J193="OK",ISNUMBER($B$5),$B$5&gt;0,ISNUMBER($B$3),$B$3&gt;0),F193/(6*$B$3*1000000*$B$5)*(IF(B193&lt;($B$4*10/10),($B$4*10/10)*(MIN(C193,($B$4*10/10))^3-B193^3)-(MIN(C193,($B$4*10/10))^4-B193^4)/4,0)+IF(C193&gt;($B$4*10/10),($B$4*10/10)^2*(1.5*(C193^2-MAX(B193,($B$4*10/10))^2)-($B$4*10/10)*(C193-MAX(B193,($B$4*10/10)))),0))*1000,0)</f>
        <v>0</v>
      </c>
      <c r="AM193" s="120">
        <f>IF(AND(V193="OK",ISNUMBER($N$5),$N$5&gt;0,ISNUMBER($N$3),$N$3&gt;0),R193/(6*$N$3*1000000*$N$5)*(IF(N193&lt;($N$4*0/10),($N$4*0/10)*(MIN(O193,($N$4*0/10))^3-N193^3)-(MIN(O193,($N$4*0/10))^4-N193^4)/4,0)+IF(O193&gt;($N$4*0/10),($N$4*0/10)^2*(1.5*(O193^2-MAX(N193,($N$4*0/10))^2)-($N$4*0/10)*(O193-MAX(N193,($N$4*0/10)))),0))*1000,0)</f>
        <v>0</v>
      </c>
      <c r="AN193" s="120">
        <f>IF(AND(V193="OK",ISNUMBER($N$5),$N$5&gt;0,ISNUMBER($N$3),$N$3&gt;0),R193/(6*$N$3*1000000*$N$5)*(IF(N193&lt;($N$4*1/10),($N$4*1/10)*(MIN(O193,($N$4*1/10))^3-N193^3)-(MIN(O193,($N$4*1/10))^4-N193^4)/4,0)+IF(O193&gt;($N$4*1/10),($N$4*1/10)^2*(1.5*(O193^2-MAX(N193,($N$4*1/10))^2)-($N$4*1/10)*(O193-MAX(N193,($N$4*1/10)))),0))*1000,0)</f>
        <v>0</v>
      </c>
      <c r="AO193" s="120">
        <f>IF(AND(V193="OK",ISNUMBER($N$5),$N$5&gt;0,ISNUMBER($N$3),$N$3&gt;0),R193/(6*$N$3*1000000*$N$5)*(IF(N193&lt;($N$4*2/10),($N$4*2/10)*(MIN(O193,($N$4*2/10))^3-N193^3)-(MIN(O193,($N$4*2/10))^4-N193^4)/4,0)+IF(O193&gt;($N$4*2/10),($N$4*2/10)^2*(1.5*(O193^2-MAX(N193,($N$4*2/10))^2)-($N$4*2/10)*(O193-MAX(N193,($N$4*2/10)))),0))*1000,0)</f>
        <v>0</v>
      </c>
      <c r="AP193" s="120">
        <f>IF(AND(V193="OK",ISNUMBER($N$5),$N$5&gt;0,ISNUMBER($N$3),$N$3&gt;0),R193/(6*$N$3*1000000*$N$5)*(IF(N193&lt;($N$4*3/10),($N$4*3/10)*(MIN(O193,($N$4*3/10))^3-N193^3)-(MIN(O193,($N$4*3/10))^4-N193^4)/4,0)+IF(O193&gt;($N$4*3/10),($N$4*3/10)^2*(1.5*(O193^2-MAX(N193,($N$4*3/10))^2)-($N$4*3/10)*(O193-MAX(N193,($N$4*3/10)))),0))*1000,0)</f>
        <v>0</v>
      </c>
      <c r="AQ193" s="120">
        <f>IF(AND(V193="OK",ISNUMBER($N$5),$N$5&gt;0,ISNUMBER($N$3),$N$3&gt;0),R193/(6*$N$3*1000000*$N$5)*(IF(N193&lt;($N$4*4/10),($N$4*4/10)*(MIN(O193,($N$4*4/10))^3-N193^3)-(MIN(O193,($N$4*4/10))^4-N193^4)/4,0)+IF(O193&gt;($N$4*4/10),($N$4*4/10)^2*(1.5*(O193^2-MAX(N193,($N$4*4/10))^2)-($N$4*4/10)*(O193-MAX(N193,($N$4*4/10)))),0))*1000,0)</f>
        <v>0</v>
      </c>
      <c r="AR193" s="120">
        <f>IF(AND(V193="OK",ISNUMBER($N$5),$N$5&gt;0,ISNUMBER($N$3),$N$3&gt;0),R193/(6*$N$3*1000000*$N$5)*(IF(N193&lt;($N$4*5/10),($N$4*5/10)*(MIN(O193,($N$4*5/10))^3-N193^3)-(MIN(O193,($N$4*5/10))^4-N193^4)/4,0)+IF(O193&gt;($N$4*5/10),($N$4*5/10)^2*(1.5*(O193^2-MAX(N193,($N$4*5/10))^2)-($N$4*5/10)*(O193-MAX(N193,($N$4*5/10)))),0))*1000,0)</f>
        <v>0</v>
      </c>
      <c r="AS193" s="120">
        <f>IF(AND(V193="OK",ISNUMBER($N$5),$N$5&gt;0,ISNUMBER($N$3),$N$3&gt;0),R193/(6*$N$3*1000000*$N$5)*(IF(N193&lt;($N$4*6/10),($N$4*6/10)*(MIN(O193,($N$4*6/10))^3-N193^3)-(MIN(O193,($N$4*6/10))^4-N193^4)/4,0)+IF(O193&gt;($N$4*6/10),($N$4*6/10)^2*(1.5*(O193^2-MAX(N193,($N$4*6/10))^2)-($N$4*6/10)*(O193-MAX(N193,($N$4*6/10)))),0))*1000,0)</f>
        <v>0</v>
      </c>
      <c r="AT193" s="120">
        <f>IF(AND(V193="OK",ISNUMBER($N$5),$N$5&gt;0,ISNUMBER($N$3),$N$3&gt;0),R193/(6*$N$3*1000000*$N$5)*(IF(N193&lt;($N$4*7/10),($N$4*7/10)*(MIN(O193,($N$4*7/10))^3-N193^3)-(MIN(O193,($N$4*7/10))^4-N193^4)/4,0)+IF(O193&gt;($N$4*7/10),($N$4*7/10)^2*(1.5*(O193^2-MAX(N193,($N$4*7/10))^2)-($N$4*7/10)*(O193-MAX(N193,($N$4*7/10)))),0))*1000,0)</f>
        <v>0</v>
      </c>
      <c r="AU193" s="120">
        <f>IF(AND(V193="OK",ISNUMBER($N$5),$N$5&gt;0,ISNUMBER($N$3),$N$3&gt;0),R193/(6*$N$3*1000000*$N$5)*(IF(N193&lt;($N$4*8/10),($N$4*8/10)*(MIN(O193,($N$4*8/10))^3-N193^3)-(MIN(O193,($N$4*8/10))^4-N193^4)/4,0)+IF(O193&gt;($N$4*8/10),($N$4*8/10)^2*(1.5*(O193^2-MAX(N193,($N$4*8/10))^2)-($N$4*8/10)*(O193-MAX(N193,($N$4*8/10)))),0))*1000,0)</f>
        <v>0</v>
      </c>
      <c r="AV193" s="120">
        <f>IF(AND(V193="OK",ISNUMBER($N$5),$N$5&gt;0,ISNUMBER($N$3),$N$3&gt;0),R193/(6*$N$3*1000000*$N$5)*(IF(N193&lt;($N$4*9/10),($N$4*9/10)*(MIN(O193,($N$4*9/10))^3-N193^3)-(MIN(O193,($N$4*9/10))^4-N193^4)/4,0)+IF(O193&gt;($N$4*9/10),($N$4*9/10)^2*(1.5*(O193^2-MAX(N193,($N$4*9/10))^2)-($N$4*9/10)*(O193-MAX(N193,($N$4*9/10)))),0))*1000,0)</f>
        <v>0</v>
      </c>
      <c r="AW193" s="120">
        <f>IF(AND(V193="OK",ISNUMBER($N$5),$N$5&gt;0,ISNUMBER($N$3),$N$3&gt;0),R193/(6*$N$3*1000000*$N$5)*(IF(N193&lt;($N$4*10/10),($N$4*10/10)*(MIN(O193,($N$4*10/10))^3-N193^3)-(MIN(O193,($N$4*10/10))^4-N193^4)/4,0)+IF(O193&gt;($N$4*10/10),($N$4*10/10)^2*(1.5*(O193^2-MAX(N193,($N$4*10/10))^2)-($N$4*10/10)*(O193-MAX(N193,($N$4*10/10)))),0))*1000,0)</f>
        <v>0</v>
      </c>
    </row>
    <row r="194" spans="1:49">
      <c r="A194" s="124"/>
      <c r="B194" s="125"/>
      <c r="C194" s="125"/>
      <c r="D194" s="125"/>
      <c r="E194" s="125"/>
      <c r="F194" s="126" t="str">
        <f>IF(J194="OK",D194*E194,"")</f>
        <v/>
      </c>
      <c r="G194" s="126" t="str">
        <f>IF(J194="OK",F194*(C194-B194),"")</f>
        <v/>
      </c>
      <c r="H194" s="126" t="str">
        <f>IF(J194="OK",G194*(C194+B194)/2,"")</f>
        <v/>
      </c>
      <c r="I194" s="126" t="str">
        <f>IF(AND(J194="OK",ISNUMBER($B$5),$B$5&gt;0,ISNUMBER($B$3),$B$3&gt;0),F194*(4*$B$4*(C194^3-B194^3)-(C194^4-B194^4))/(24*$B$3*1000000*$B$5)*1000,"")</f>
        <v/>
      </c>
      <c r="J194" s="120" t="str">
        <f>IF(COUNTA(A194:E194)=0,"",IF(AND(COUNT(B194:E194)=4,B194&gt;=0,C194&gt;B194,C194&lt;=$B$4,D194&gt;=0,E194&gt;0),IF(COUNTIFS($B$13:$B$193,"&lt;"&amp;C194,$C$13:$C$193,"&gt;"&amp;B194)&gt;0,"OVERLAP","OK"),"CHECK INPUTS"))</f>
        <v/>
      </c>
      <c r="M194" s="124"/>
      <c r="N194" s="125"/>
      <c r="O194" s="125"/>
      <c r="P194" s="125"/>
      <c r="Q194" s="125"/>
      <c r="R194" s="126" t="str">
        <f>IF(V194="OK",P194*Q194,"")</f>
        <v/>
      </c>
      <c r="S194" s="126" t="str">
        <f>IF(V194="OK",R194*(O194-N194),"")</f>
        <v/>
      </c>
      <c r="T194" s="126" t="str">
        <f>IF(V194="OK",S194*(O194+N194)/2,"")</f>
        <v/>
      </c>
      <c r="U194" s="126" t="str">
        <f>IF(AND(V194="OK",ISNUMBER($N$5),$N$5&gt;0,ISNUMBER($N$3),$N$3&gt;0),R194*(4*$N$4*(O194^3-N194^3)-(O194^4-N194^4))/(24*$N$3*1000000*$N$5)*1000,"")</f>
        <v/>
      </c>
      <c r="V194" s="120" t="str">
        <f>IF(COUNTA(M194:Q194)=0,"",IF(AND(COUNT(N194:Q194)=4,N194&gt;=0,O194&gt;N194,O194&lt;=$N$4,P194&gt;=0,Q194&gt;0),IF(COUNTIFS($N$13:$N$193,"&lt;"&amp;O194,$O$13:$O$193,"&gt;"&amp;N194)&gt;0,"OVERLAP","OK"),"CHECK INPUTS"))</f>
        <v/>
      </c>
      <c r="AA194" s="120">
        <f>IF(AND(J194="OK",ISNUMBER($B$5),$B$5&gt;0,ISNUMBER($B$3),$B$3&gt;0),F194/(6*$B$3*1000000*$B$5)*(IF(B194&lt;($B$4*0/10),($B$4*0/10)*(MIN(C194,($B$4*0/10))^3-B194^3)-(MIN(C194,($B$4*0/10))^4-B194^4)/4,0)+IF(C194&gt;($B$4*0/10),($B$4*0/10)^2*(1.5*(C194^2-MAX(B194,($B$4*0/10))^2)-($B$4*0/10)*(C194-MAX(B194,($B$4*0/10)))),0))*1000,0)</f>
        <v>0</v>
      </c>
      <c r="AB194" s="120">
        <f>IF(AND(J194="OK",ISNUMBER($B$5),$B$5&gt;0,ISNUMBER($B$3),$B$3&gt;0),F194/(6*$B$3*1000000*$B$5)*(IF(B194&lt;($B$4*1/10),($B$4*1/10)*(MIN(C194,($B$4*1/10))^3-B194^3)-(MIN(C194,($B$4*1/10))^4-B194^4)/4,0)+IF(C194&gt;($B$4*1/10),($B$4*1/10)^2*(1.5*(C194^2-MAX(B194,($B$4*1/10))^2)-($B$4*1/10)*(C194-MAX(B194,($B$4*1/10)))),0))*1000,0)</f>
        <v>0</v>
      </c>
      <c r="AC194" s="120">
        <f>IF(AND(J194="OK",ISNUMBER($B$5),$B$5&gt;0,ISNUMBER($B$3),$B$3&gt;0),F194/(6*$B$3*1000000*$B$5)*(IF(B194&lt;($B$4*2/10),($B$4*2/10)*(MIN(C194,($B$4*2/10))^3-B194^3)-(MIN(C194,($B$4*2/10))^4-B194^4)/4,0)+IF(C194&gt;($B$4*2/10),($B$4*2/10)^2*(1.5*(C194^2-MAX(B194,($B$4*2/10))^2)-($B$4*2/10)*(C194-MAX(B194,($B$4*2/10)))),0))*1000,0)</f>
        <v>0</v>
      </c>
      <c r="AD194" s="120">
        <f>IF(AND(J194="OK",ISNUMBER($B$5),$B$5&gt;0,ISNUMBER($B$3),$B$3&gt;0),F194/(6*$B$3*1000000*$B$5)*(IF(B194&lt;($B$4*3/10),($B$4*3/10)*(MIN(C194,($B$4*3/10))^3-B194^3)-(MIN(C194,($B$4*3/10))^4-B194^4)/4,0)+IF(C194&gt;($B$4*3/10),($B$4*3/10)^2*(1.5*(C194^2-MAX(B194,($B$4*3/10))^2)-($B$4*3/10)*(C194-MAX(B194,($B$4*3/10)))),0))*1000,0)</f>
        <v>0</v>
      </c>
      <c r="AE194" s="120">
        <f>IF(AND(J194="OK",ISNUMBER($B$5),$B$5&gt;0,ISNUMBER($B$3),$B$3&gt;0),F194/(6*$B$3*1000000*$B$5)*(IF(B194&lt;($B$4*4/10),($B$4*4/10)*(MIN(C194,($B$4*4/10))^3-B194^3)-(MIN(C194,($B$4*4/10))^4-B194^4)/4,0)+IF(C194&gt;($B$4*4/10),($B$4*4/10)^2*(1.5*(C194^2-MAX(B194,($B$4*4/10))^2)-($B$4*4/10)*(C194-MAX(B194,($B$4*4/10)))),0))*1000,0)</f>
        <v>0</v>
      </c>
      <c r="AF194" s="120">
        <f>IF(AND(J194="OK",ISNUMBER($B$5),$B$5&gt;0,ISNUMBER($B$3),$B$3&gt;0),F194/(6*$B$3*1000000*$B$5)*(IF(B194&lt;($B$4*5/10),($B$4*5/10)*(MIN(C194,($B$4*5/10))^3-B194^3)-(MIN(C194,($B$4*5/10))^4-B194^4)/4,0)+IF(C194&gt;($B$4*5/10),($B$4*5/10)^2*(1.5*(C194^2-MAX(B194,($B$4*5/10))^2)-($B$4*5/10)*(C194-MAX(B194,($B$4*5/10)))),0))*1000,0)</f>
        <v>0</v>
      </c>
      <c r="AG194" s="120">
        <f>IF(AND(J194="OK",ISNUMBER($B$5),$B$5&gt;0,ISNUMBER($B$3),$B$3&gt;0),F194/(6*$B$3*1000000*$B$5)*(IF(B194&lt;($B$4*6/10),($B$4*6/10)*(MIN(C194,($B$4*6/10))^3-B194^3)-(MIN(C194,($B$4*6/10))^4-B194^4)/4,0)+IF(C194&gt;($B$4*6/10),($B$4*6/10)^2*(1.5*(C194^2-MAX(B194,($B$4*6/10))^2)-($B$4*6/10)*(C194-MAX(B194,($B$4*6/10)))),0))*1000,0)</f>
        <v>0</v>
      </c>
      <c r="AH194" s="120">
        <f>IF(AND(J194="OK",ISNUMBER($B$5),$B$5&gt;0,ISNUMBER($B$3),$B$3&gt;0),F194/(6*$B$3*1000000*$B$5)*(IF(B194&lt;($B$4*7/10),($B$4*7/10)*(MIN(C194,($B$4*7/10))^3-B194^3)-(MIN(C194,($B$4*7/10))^4-B194^4)/4,0)+IF(C194&gt;($B$4*7/10),($B$4*7/10)^2*(1.5*(C194^2-MAX(B194,($B$4*7/10))^2)-($B$4*7/10)*(C194-MAX(B194,($B$4*7/10)))),0))*1000,0)</f>
        <v>0</v>
      </c>
      <c r="AI194" s="120">
        <f>IF(AND(J194="OK",ISNUMBER($B$5),$B$5&gt;0,ISNUMBER($B$3),$B$3&gt;0),F194/(6*$B$3*1000000*$B$5)*(IF(B194&lt;($B$4*8/10),($B$4*8/10)*(MIN(C194,($B$4*8/10))^3-B194^3)-(MIN(C194,($B$4*8/10))^4-B194^4)/4,0)+IF(C194&gt;($B$4*8/10),($B$4*8/10)^2*(1.5*(C194^2-MAX(B194,($B$4*8/10))^2)-($B$4*8/10)*(C194-MAX(B194,($B$4*8/10)))),0))*1000,0)</f>
        <v>0</v>
      </c>
      <c r="AJ194" s="120">
        <f>IF(AND(J194="OK",ISNUMBER($B$5),$B$5&gt;0,ISNUMBER($B$3),$B$3&gt;0),F194/(6*$B$3*1000000*$B$5)*(IF(B194&lt;($B$4*9/10),($B$4*9/10)*(MIN(C194,($B$4*9/10))^3-B194^3)-(MIN(C194,($B$4*9/10))^4-B194^4)/4,0)+IF(C194&gt;($B$4*9/10),($B$4*9/10)^2*(1.5*(C194^2-MAX(B194,($B$4*9/10))^2)-($B$4*9/10)*(C194-MAX(B194,($B$4*9/10)))),0))*1000,0)</f>
        <v>0</v>
      </c>
      <c r="AK194" s="120">
        <f>IF(AND(J194="OK",ISNUMBER($B$5),$B$5&gt;0,ISNUMBER($B$3),$B$3&gt;0),F194/(6*$B$3*1000000*$B$5)*(IF(B194&lt;($B$4*10/10),($B$4*10/10)*(MIN(C194,($B$4*10/10))^3-B194^3)-(MIN(C194,($B$4*10/10))^4-B194^4)/4,0)+IF(C194&gt;($B$4*10/10),($B$4*10/10)^2*(1.5*(C194^2-MAX(B194,($B$4*10/10))^2)-($B$4*10/10)*(C194-MAX(B194,($B$4*10/10)))),0))*1000,0)</f>
        <v>0</v>
      </c>
      <c r="AM194" s="120">
        <f>IF(AND(V194="OK",ISNUMBER($N$5),$N$5&gt;0,ISNUMBER($N$3),$N$3&gt;0),R194/(6*$N$3*1000000*$N$5)*(IF(N194&lt;($N$4*0/10),($N$4*0/10)*(MIN(O194,($N$4*0/10))^3-N194^3)-(MIN(O194,($N$4*0/10))^4-N194^4)/4,0)+IF(O194&gt;($N$4*0/10),($N$4*0/10)^2*(1.5*(O194^2-MAX(N194,($N$4*0/10))^2)-($N$4*0/10)*(O194-MAX(N194,($N$4*0/10)))),0))*1000,0)</f>
        <v>0</v>
      </c>
      <c r="AN194" s="120">
        <f>IF(AND(V194="OK",ISNUMBER($N$5),$N$5&gt;0,ISNUMBER($N$3),$N$3&gt;0),R194/(6*$N$3*1000000*$N$5)*(IF(N194&lt;($N$4*1/10),($N$4*1/10)*(MIN(O194,($N$4*1/10))^3-N194^3)-(MIN(O194,($N$4*1/10))^4-N194^4)/4,0)+IF(O194&gt;($N$4*1/10),($N$4*1/10)^2*(1.5*(O194^2-MAX(N194,($N$4*1/10))^2)-($N$4*1/10)*(O194-MAX(N194,($N$4*1/10)))),0))*1000,0)</f>
        <v>0</v>
      </c>
      <c r="AO194" s="120">
        <f>IF(AND(V194="OK",ISNUMBER($N$5),$N$5&gt;0,ISNUMBER($N$3),$N$3&gt;0),R194/(6*$N$3*1000000*$N$5)*(IF(N194&lt;($N$4*2/10),($N$4*2/10)*(MIN(O194,($N$4*2/10))^3-N194^3)-(MIN(O194,($N$4*2/10))^4-N194^4)/4,0)+IF(O194&gt;($N$4*2/10),($N$4*2/10)^2*(1.5*(O194^2-MAX(N194,($N$4*2/10))^2)-($N$4*2/10)*(O194-MAX(N194,($N$4*2/10)))),0))*1000,0)</f>
        <v>0</v>
      </c>
      <c r="AP194" s="120">
        <f>IF(AND(V194="OK",ISNUMBER($N$5),$N$5&gt;0,ISNUMBER($N$3),$N$3&gt;0),R194/(6*$N$3*1000000*$N$5)*(IF(N194&lt;($N$4*3/10),($N$4*3/10)*(MIN(O194,($N$4*3/10))^3-N194^3)-(MIN(O194,($N$4*3/10))^4-N194^4)/4,0)+IF(O194&gt;($N$4*3/10),($N$4*3/10)^2*(1.5*(O194^2-MAX(N194,($N$4*3/10))^2)-($N$4*3/10)*(O194-MAX(N194,($N$4*3/10)))),0))*1000,0)</f>
        <v>0</v>
      </c>
      <c r="AQ194" s="120">
        <f>IF(AND(V194="OK",ISNUMBER($N$5),$N$5&gt;0,ISNUMBER($N$3),$N$3&gt;0),R194/(6*$N$3*1000000*$N$5)*(IF(N194&lt;($N$4*4/10),($N$4*4/10)*(MIN(O194,($N$4*4/10))^3-N194^3)-(MIN(O194,($N$4*4/10))^4-N194^4)/4,0)+IF(O194&gt;($N$4*4/10),($N$4*4/10)^2*(1.5*(O194^2-MAX(N194,($N$4*4/10))^2)-($N$4*4/10)*(O194-MAX(N194,($N$4*4/10)))),0))*1000,0)</f>
        <v>0</v>
      </c>
      <c r="AR194" s="120">
        <f>IF(AND(V194="OK",ISNUMBER($N$5),$N$5&gt;0,ISNUMBER($N$3),$N$3&gt;0),R194/(6*$N$3*1000000*$N$5)*(IF(N194&lt;($N$4*5/10),($N$4*5/10)*(MIN(O194,($N$4*5/10))^3-N194^3)-(MIN(O194,($N$4*5/10))^4-N194^4)/4,0)+IF(O194&gt;($N$4*5/10),($N$4*5/10)^2*(1.5*(O194^2-MAX(N194,($N$4*5/10))^2)-($N$4*5/10)*(O194-MAX(N194,($N$4*5/10)))),0))*1000,0)</f>
        <v>0</v>
      </c>
      <c r="AS194" s="120">
        <f>IF(AND(V194="OK",ISNUMBER($N$5),$N$5&gt;0,ISNUMBER($N$3),$N$3&gt;0),R194/(6*$N$3*1000000*$N$5)*(IF(N194&lt;($N$4*6/10),($N$4*6/10)*(MIN(O194,($N$4*6/10))^3-N194^3)-(MIN(O194,($N$4*6/10))^4-N194^4)/4,0)+IF(O194&gt;($N$4*6/10),($N$4*6/10)^2*(1.5*(O194^2-MAX(N194,($N$4*6/10))^2)-($N$4*6/10)*(O194-MAX(N194,($N$4*6/10)))),0))*1000,0)</f>
        <v>0</v>
      </c>
      <c r="AT194" s="120">
        <f>IF(AND(V194="OK",ISNUMBER($N$5),$N$5&gt;0,ISNUMBER($N$3),$N$3&gt;0),R194/(6*$N$3*1000000*$N$5)*(IF(N194&lt;($N$4*7/10),($N$4*7/10)*(MIN(O194,($N$4*7/10))^3-N194^3)-(MIN(O194,($N$4*7/10))^4-N194^4)/4,0)+IF(O194&gt;($N$4*7/10),($N$4*7/10)^2*(1.5*(O194^2-MAX(N194,($N$4*7/10))^2)-($N$4*7/10)*(O194-MAX(N194,($N$4*7/10)))),0))*1000,0)</f>
        <v>0</v>
      </c>
      <c r="AU194" s="120">
        <f>IF(AND(V194="OK",ISNUMBER($N$5),$N$5&gt;0,ISNUMBER($N$3),$N$3&gt;0),R194/(6*$N$3*1000000*$N$5)*(IF(N194&lt;($N$4*8/10),($N$4*8/10)*(MIN(O194,($N$4*8/10))^3-N194^3)-(MIN(O194,($N$4*8/10))^4-N194^4)/4,0)+IF(O194&gt;($N$4*8/10),($N$4*8/10)^2*(1.5*(O194^2-MAX(N194,($N$4*8/10))^2)-($N$4*8/10)*(O194-MAX(N194,($N$4*8/10)))),0))*1000,0)</f>
        <v>0</v>
      </c>
      <c r="AV194" s="120">
        <f>IF(AND(V194="OK",ISNUMBER($N$5),$N$5&gt;0,ISNUMBER($N$3),$N$3&gt;0),R194/(6*$N$3*1000000*$N$5)*(IF(N194&lt;($N$4*9/10),($N$4*9/10)*(MIN(O194,($N$4*9/10))^3-N194^3)-(MIN(O194,($N$4*9/10))^4-N194^4)/4,0)+IF(O194&gt;($N$4*9/10),($N$4*9/10)^2*(1.5*(O194^2-MAX(N194,($N$4*9/10))^2)-($N$4*9/10)*(O194-MAX(N194,($N$4*9/10)))),0))*1000,0)</f>
        <v>0</v>
      </c>
      <c r="AW194" s="120">
        <f>IF(AND(V194="OK",ISNUMBER($N$5),$N$5&gt;0,ISNUMBER($N$3),$N$3&gt;0),R194/(6*$N$3*1000000*$N$5)*(IF(N194&lt;($N$4*10/10),($N$4*10/10)*(MIN(O194,($N$4*10/10))^3-N194^3)-(MIN(O194,($N$4*10/10))^4-N194^4)/4,0)+IF(O194&gt;($N$4*10/10),($N$4*10/10)^2*(1.5*(O194^2-MAX(N194,($N$4*10/10))^2)-($N$4*10/10)*(O194-MAX(N194,($N$4*10/10)))),0))*1000,0)</f>
        <v>0</v>
      </c>
    </row>
    <row r="195" spans="1:49">
      <c r="A195" s="124"/>
      <c r="B195" s="125"/>
      <c r="C195" s="125"/>
      <c r="D195" s="125"/>
      <c r="E195" s="125"/>
      <c r="F195" s="126" t="str">
        <f>IF(J195="OK",D195*E195,"")</f>
        <v/>
      </c>
      <c r="G195" s="126" t="str">
        <f>IF(J195="OK",F195*(C195-B195),"")</f>
        <v/>
      </c>
      <c r="H195" s="126" t="str">
        <f>IF(J195="OK",G195*(C195+B195)/2,"")</f>
        <v/>
      </c>
      <c r="I195" s="126" t="str">
        <f>IF(AND(J195="OK",ISNUMBER($B$5),$B$5&gt;0,ISNUMBER($B$3),$B$3&gt;0),F195*(4*$B$4*(C195^3-B195^3)-(C195^4-B195^4))/(24*$B$3*1000000*$B$5)*1000,"")</f>
        <v/>
      </c>
      <c r="J195" s="120" t="str">
        <f>IF(COUNTA(A195:E195)=0,"",IF(AND(COUNT(B195:E195)=4,B195&gt;=0,C195&gt;B195,C195&lt;=$B$4,D195&gt;=0,E195&gt;0),IF(COUNTIFS($B$13:$B$194,"&lt;"&amp;C195,$C$13:$C$194,"&gt;"&amp;B195)&gt;0,"OVERLAP","OK"),"CHECK INPUTS"))</f>
        <v/>
      </c>
      <c r="M195" s="124"/>
      <c r="N195" s="125"/>
      <c r="O195" s="125"/>
      <c r="P195" s="125"/>
      <c r="Q195" s="125"/>
      <c r="R195" s="126" t="str">
        <f>IF(V195="OK",P195*Q195,"")</f>
        <v/>
      </c>
      <c r="S195" s="126" t="str">
        <f>IF(V195="OK",R195*(O195-N195),"")</f>
        <v/>
      </c>
      <c r="T195" s="126" t="str">
        <f>IF(V195="OK",S195*(O195+N195)/2,"")</f>
        <v/>
      </c>
      <c r="U195" s="126" t="str">
        <f>IF(AND(V195="OK",ISNUMBER($N$5),$N$5&gt;0,ISNUMBER($N$3),$N$3&gt;0),R195*(4*$N$4*(O195^3-N195^3)-(O195^4-N195^4))/(24*$N$3*1000000*$N$5)*1000,"")</f>
        <v/>
      </c>
      <c r="V195" s="120" t="str">
        <f>IF(COUNTA(M195:Q195)=0,"",IF(AND(COUNT(N195:Q195)=4,N195&gt;=0,O195&gt;N195,O195&lt;=$N$4,P195&gt;=0,Q195&gt;0),IF(COUNTIFS($N$13:$N$194,"&lt;"&amp;O195,$O$13:$O$194,"&gt;"&amp;N195)&gt;0,"OVERLAP","OK"),"CHECK INPUTS"))</f>
        <v/>
      </c>
      <c r="AA195" s="120">
        <f>IF(AND(J195="OK",ISNUMBER($B$5),$B$5&gt;0,ISNUMBER($B$3),$B$3&gt;0),F195/(6*$B$3*1000000*$B$5)*(IF(B195&lt;($B$4*0/10),($B$4*0/10)*(MIN(C195,($B$4*0/10))^3-B195^3)-(MIN(C195,($B$4*0/10))^4-B195^4)/4,0)+IF(C195&gt;($B$4*0/10),($B$4*0/10)^2*(1.5*(C195^2-MAX(B195,($B$4*0/10))^2)-($B$4*0/10)*(C195-MAX(B195,($B$4*0/10)))),0))*1000,0)</f>
        <v>0</v>
      </c>
      <c r="AB195" s="120">
        <f>IF(AND(J195="OK",ISNUMBER($B$5),$B$5&gt;0,ISNUMBER($B$3),$B$3&gt;0),F195/(6*$B$3*1000000*$B$5)*(IF(B195&lt;($B$4*1/10),($B$4*1/10)*(MIN(C195,($B$4*1/10))^3-B195^3)-(MIN(C195,($B$4*1/10))^4-B195^4)/4,0)+IF(C195&gt;($B$4*1/10),($B$4*1/10)^2*(1.5*(C195^2-MAX(B195,($B$4*1/10))^2)-($B$4*1/10)*(C195-MAX(B195,($B$4*1/10)))),0))*1000,0)</f>
        <v>0</v>
      </c>
      <c r="AC195" s="120">
        <f>IF(AND(J195="OK",ISNUMBER($B$5),$B$5&gt;0,ISNUMBER($B$3),$B$3&gt;0),F195/(6*$B$3*1000000*$B$5)*(IF(B195&lt;($B$4*2/10),($B$4*2/10)*(MIN(C195,($B$4*2/10))^3-B195^3)-(MIN(C195,($B$4*2/10))^4-B195^4)/4,0)+IF(C195&gt;($B$4*2/10),($B$4*2/10)^2*(1.5*(C195^2-MAX(B195,($B$4*2/10))^2)-($B$4*2/10)*(C195-MAX(B195,($B$4*2/10)))),0))*1000,0)</f>
        <v>0</v>
      </c>
      <c r="AD195" s="120">
        <f>IF(AND(J195="OK",ISNUMBER($B$5),$B$5&gt;0,ISNUMBER($B$3),$B$3&gt;0),F195/(6*$B$3*1000000*$B$5)*(IF(B195&lt;($B$4*3/10),($B$4*3/10)*(MIN(C195,($B$4*3/10))^3-B195^3)-(MIN(C195,($B$4*3/10))^4-B195^4)/4,0)+IF(C195&gt;($B$4*3/10),($B$4*3/10)^2*(1.5*(C195^2-MAX(B195,($B$4*3/10))^2)-($B$4*3/10)*(C195-MAX(B195,($B$4*3/10)))),0))*1000,0)</f>
        <v>0</v>
      </c>
      <c r="AE195" s="120">
        <f>IF(AND(J195="OK",ISNUMBER($B$5),$B$5&gt;0,ISNUMBER($B$3),$B$3&gt;0),F195/(6*$B$3*1000000*$B$5)*(IF(B195&lt;($B$4*4/10),($B$4*4/10)*(MIN(C195,($B$4*4/10))^3-B195^3)-(MIN(C195,($B$4*4/10))^4-B195^4)/4,0)+IF(C195&gt;($B$4*4/10),($B$4*4/10)^2*(1.5*(C195^2-MAX(B195,($B$4*4/10))^2)-($B$4*4/10)*(C195-MAX(B195,($B$4*4/10)))),0))*1000,0)</f>
        <v>0</v>
      </c>
      <c r="AF195" s="120">
        <f>IF(AND(J195="OK",ISNUMBER($B$5),$B$5&gt;0,ISNUMBER($B$3),$B$3&gt;0),F195/(6*$B$3*1000000*$B$5)*(IF(B195&lt;($B$4*5/10),($B$4*5/10)*(MIN(C195,($B$4*5/10))^3-B195^3)-(MIN(C195,($B$4*5/10))^4-B195^4)/4,0)+IF(C195&gt;($B$4*5/10),($B$4*5/10)^2*(1.5*(C195^2-MAX(B195,($B$4*5/10))^2)-($B$4*5/10)*(C195-MAX(B195,($B$4*5/10)))),0))*1000,0)</f>
        <v>0</v>
      </c>
      <c r="AG195" s="120">
        <f>IF(AND(J195="OK",ISNUMBER($B$5),$B$5&gt;0,ISNUMBER($B$3),$B$3&gt;0),F195/(6*$B$3*1000000*$B$5)*(IF(B195&lt;($B$4*6/10),($B$4*6/10)*(MIN(C195,($B$4*6/10))^3-B195^3)-(MIN(C195,($B$4*6/10))^4-B195^4)/4,0)+IF(C195&gt;($B$4*6/10),($B$4*6/10)^2*(1.5*(C195^2-MAX(B195,($B$4*6/10))^2)-($B$4*6/10)*(C195-MAX(B195,($B$4*6/10)))),0))*1000,0)</f>
        <v>0</v>
      </c>
      <c r="AH195" s="120">
        <f>IF(AND(J195="OK",ISNUMBER($B$5),$B$5&gt;0,ISNUMBER($B$3),$B$3&gt;0),F195/(6*$B$3*1000000*$B$5)*(IF(B195&lt;($B$4*7/10),($B$4*7/10)*(MIN(C195,($B$4*7/10))^3-B195^3)-(MIN(C195,($B$4*7/10))^4-B195^4)/4,0)+IF(C195&gt;($B$4*7/10),($B$4*7/10)^2*(1.5*(C195^2-MAX(B195,($B$4*7/10))^2)-($B$4*7/10)*(C195-MAX(B195,($B$4*7/10)))),0))*1000,0)</f>
        <v>0</v>
      </c>
      <c r="AI195" s="120">
        <f>IF(AND(J195="OK",ISNUMBER($B$5),$B$5&gt;0,ISNUMBER($B$3),$B$3&gt;0),F195/(6*$B$3*1000000*$B$5)*(IF(B195&lt;($B$4*8/10),($B$4*8/10)*(MIN(C195,($B$4*8/10))^3-B195^3)-(MIN(C195,($B$4*8/10))^4-B195^4)/4,0)+IF(C195&gt;($B$4*8/10),($B$4*8/10)^2*(1.5*(C195^2-MAX(B195,($B$4*8/10))^2)-($B$4*8/10)*(C195-MAX(B195,($B$4*8/10)))),0))*1000,0)</f>
        <v>0</v>
      </c>
      <c r="AJ195" s="120">
        <f>IF(AND(J195="OK",ISNUMBER($B$5),$B$5&gt;0,ISNUMBER($B$3),$B$3&gt;0),F195/(6*$B$3*1000000*$B$5)*(IF(B195&lt;($B$4*9/10),($B$4*9/10)*(MIN(C195,($B$4*9/10))^3-B195^3)-(MIN(C195,($B$4*9/10))^4-B195^4)/4,0)+IF(C195&gt;($B$4*9/10),($B$4*9/10)^2*(1.5*(C195^2-MAX(B195,($B$4*9/10))^2)-($B$4*9/10)*(C195-MAX(B195,($B$4*9/10)))),0))*1000,0)</f>
        <v>0</v>
      </c>
      <c r="AK195" s="120">
        <f>IF(AND(J195="OK",ISNUMBER($B$5),$B$5&gt;0,ISNUMBER($B$3),$B$3&gt;0),F195/(6*$B$3*1000000*$B$5)*(IF(B195&lt;($B$4*10/10),($B$4*10/10)*(MIN(C195,($B$4*10/10))^3-B195^3)-(MIN(C195,($B$4*10/10))^4-B195^4)/4,0)+IF(C195&gt;($B$4*10/10),($B$4*10/10)^2*(1.5*(C195^2-MAX(B195,($B$4*10/10))^2)-($B$4*10/10)*(C195-MAX(B195,($B$4*10/10)))),0))*1000,0)</f>
        <v>0</v>
      </c>
      <c r="AM195" s="120">
        <f>IF(AND(V195="OK",ISNUMBER($N$5),$N$5&gt;0,ISNUMBER($N$3),$N$3&gt;0),R195/(6*$N$3*1000000*$N$5)*(IF(N195&lt;($N$4*0/10),($N$4*0/10)*(MIN(O195,($N$4*0/10))^3-N195^3)-(MIN(O195,($N$4*0/10))^4-N195^4)/4,0)+IF(O195&gt;($N$4*0/10),($N$4*0/10)^2*(1.5*(O195^2-MAX(N195,($N$4*0/10))^2)-($N$4*0/10)*(O195-MAX(N195,($N$4*0/10)))),0))*1000,0)</f>
        <v>0</v>
      </c>
      <c r="AN195" s="120">
        <f>IF(AND(V195="OK",ISNUMBER($N$5),$N$5&gt;0,ISNUMBER($N$3),$N$3&gt;0),R195/(6*$N$3*1000000*$N$5)*(IF(N195&lt;($N$4*1/10),($N$4*1/10)*(MIN(O195,($N$4*1/10))^3-N195^3)-(MIN(O195,($N$4*1/10))^4-N195^4)/4,0)+IF(O195&gt;($N$4*1/10),($N$4*1/10)^2*(1.5*(O195^2-MAX(N195,($N$4*1/10))^2)-($N$4*1/10)*(O195-MAX(N195,($N$4*1/10)))),0))*1000,0)</f>
        <v>0</v>
      </c>
      <c r="AO195" s="120">
        <f>IF(AND(V195="OK",ISNUMBER($N$5),$N$5&gt;0,ISNUMBER($N$3),$N$3&gt;0),R195/(6*$N$3*1000000*$N$5)*(IF(N195&lt;($N$4*2/10),($N$4*2/10)*(MIN(O195,($N$4*2/10))^3-N195^3)-(MIN(O195,($N$4*2/10))^4-N195^4)/4,0)+IF(O195&gt;($N$4*2/10),($N$4*2/10)^2*(1.5*(O195^2-MAX(N195,($N$4*2/10))^2)-($N$4*2/10)*(O195-MAX(N195,($N$4*2/10)))),0))*1000,0)</f>
        <v>0</v>
      </c>
      <c r="AP195" s="120">
        <f>IF(AND(V195="OK",ISNUMBER($N$5),$N$5&gt;0,ISNUMBER($N$3),$N$3&gt;0),R195/(6*$N$3*1000000*$N$5)*(IF(N195&lt;($N$4*3/10),($N$4*3/10)*(MIN(O195,($N$4*3/10))^3-N195^3)-(MIN(O195,($N$4*3/10))^4-N195^4)/4,0)+IF(O195&gt;($N$4*3/10),($N$4*3/10)^2*(1.5*(O195^2-MAX(N195,($N$4*3/10))^2)-($N$4*3/10)*(O195-MAX(N195,($N$4*3/10)))),0))*1000,0)</f>
        <v>0</v>
      </c>
      <c r="AQ195" s="120">
        <f>IF(AND(V195="OK",ISNUMBER($N$5),$N$5&gt;0,ISNUMBER($N$3),$N$3&gt;0),R195/(6*$N$3*1000000*$N$5)*(IF(N195&lt;($N$4*4/10),($N$4*4/10)*(MIN(O195,($N$4*4/10))^3-N195^3)-(MIN(O195,($N$4*4/10))^4-N195^4)/4,0)+IF(O195&gt;($N$4*4/10),($N$4*4/10)^2*(1.5*(O195^2-MAX(N195,($N$4*4/10))^2)-($N$4*4/10)*(O195-MAX(N195,($N$4*4/10)))),0))*1000,0)</f>
        <v>0</v>
      </c>
      <c r="AR195" s="120">
        <f>IF(AND(V195="OK",ISNUMBER($N$5),$N$5&gt;0,ISNUMBER($N$3),$N$3&gt;0),R195/(6*$N$3*1000000*$N$5)*(IF(N195&lt;($N$4*5/10),($N$4*5/10)*(MIN(O195,($N$4*5/10))^3-N195^3)-(MIN(O195,($N$4*5/10))^4-N195^4)/4,0)+IF(O195&gt;($N$4*5/10),($N$4*5/10)^2*(1.5*(O195^2-MAX(N195,($N$4*5/10))^2)-($N$4*5/10)*(O195-MAX(N195,($N$4*5/10)))),0))*1000,0)</f>
        <v>0</v>
      </c>
      <c r="AS195" s="120">
        <f>IF(AND(V195="OK",ISNUMBER($N$5),$N$5&gt;0,ISNUMBER($N$3),$N$3&gt;0),R195/(6*$N$3*1000000*$N$5)*(IF(N195&lt;($N$4*6/10),($N$4*6/10)*(MIN(O195,($N$4*6/10))^3-N195^3)-(MIN(O195,($N$4*6/10))^4-N195^4)/4,0)+IF(O195&gt;($N$4*6/10),($N$4*6/10)^2*(1.5*(O195^2-MAX(N195,($N$4*6/10))^2)-($N$4*6/10)*(O195-MAX(N195,($N$4*6/10)))),0))*1000,0)</f>
        <v>0</v>
      </c>
      <c r="AT195" s="120">
        <f>IF(AND(V195="OK",ISNUMBER($N$5),$N$5&gt;0,ISNUMBER($N$3),$N$3&gt;0),R195/(6*$N$3*1000000*$N$5)*(IF(N195&lt;($N$4*7/10),($N$4*7/10)*(MIN(O195,($N$4*7/10))^3-N195^3)-(MIN(O195,($N$4*7/10))^4-N195^4)/4,0)+IF(O195&gt;($N$4*7/10),($N$4*7/10)^2*(1.5*(O195^2-MAX(N195,($N$4*7/10))^2)-($N$4*7/10)*(O195-MAX(N195,($N$4*7/10)))),0))*1000,0)</f>
        <v>0</v>
      </c>
      <c r="AU195" s="120">
        <f>IF(AND(V195="OK",ISNUMBER($N$5),$N$5&gt;0,ISNUMBER($N$3),$N$3&gt;0),R195/(6*$N$3*1000000*$N$5)*(IF(N195&lt;($N$4*8/10),($N$4*8/10)*(MIN(O195,($N$4*8/10))^3-N195^3)-(MIN(O195,($N$4*8/10))^4-N195^4)/4,0)+IF(O195&gt;($N$4*8/10),($N$4*8/10)^2*(1.5*(O195^2-MAX(N195,($N$4*8/10))^2)-($N$4*8/10)*(O195-MAX(N195,($N$4*8/10)))),0))*1000,0)</f>
        <v>0</v>
      </c>
      <c r="AV195" s="120">
        <f>IF(AND(V195="OK",ISNUMBER($N$5),$N$5&gt;0,ISNUMBER($N$3),$N$3&gt;0),R195/(6*$N$3*1000000*$N$5)*(IF(N195&lt;($N$4*9/10),($N$4*9/10)*(MIN(O195,($N$4*9/10))^3-N195^3)-(MIN(O195,($N$4*9/10))^4-N195^4)/4,0)+IF(O195&gt;($N$4*9/10),($N$4*9/10)^2*(1.5*(O195^2-MAX(N195,($N$4*9/10))^2)-($N$4*9/10)*(O195-MAX(N195,($N$4*9/10)))),0))*1000,0)</f>
        <v>0</v>
      </c>
      <c r="AW195" s="120">
        <f>IF(AND(V195="OK",ISNUMBER($N$5),$N$5&gt;0,ISNUMBER($N$3),$N$3&gt;0),R195/(6*$N$3*1000000*$N$5)*(IF(N195&lt;($N$4*10/10),($N$4*10/10)*(MIN(O195,($N$4*10/10))^3-N195^3)-(MIN(O195,($N$4*10/10))^4-N195^4)/4,0)+IF(O195&gt;($N$4*10/10),($N$4*10/10)^2*(1.5*(O195^2-MAX(N195,($N$4*10/10))^2)-($N$4*10/10)*(O195-MAX(N195,($N$4*10/10)))),0))*1000,0)</f>
        <v>0</v>
      </c>
    </row>
    <row r="196" spans="1:49">
      <c r="A196" s="124"/>
      <c r="B196" s="125"/>
      <c r="C196" s="125"/>
      <c r="D196" s="125"/>
      <c r="E196" s="125"/>
      <c r="F196" s="126" t="str">
        <f>IF(J196="OK",D196*E196,"")</f>
        <v/>
      </c>
      <c r="G196" s="126" t="str">
        <f>IF(J196="OK",F196*(C196-B196),"")</f>
        <v/>
      </c>
      <c r="H196" s="126" t="str">
        <f>IF(J196="OK",G196*(C196+B196)/2,"")</f>
        <v/>
      </c>
      <c r="I196" s="126" t="str">
        <f>IF(AND(J196="OK",ISNUMBER($B$5),$B$5&gt;0,ISNUMBER($B$3),$B$3&gt;0),F196*(4*$B$4*(C196^3-B196^3)-(C196^4-B196^4))/(24*$B$3*1000000*$B$5)*1000,"")</f>
        <v/>
      </c>
      <c r="J196" s="120" t="str">
        <f>IF(COUNTA(A196:E196)=0,"",IF(AND(COUNT(B196:E196)=4,B196&gt;=0,C196&gt;B196,C196&lt;=$B$4,D196&gt;=0,E196&gt;0),IF(COUNTIFS($B$13:$B$195,"&lt;"&amp;C196,$C$13:$C$195,"&gt;"&amp;B196)&gt;0,"OVERLAP","OK"),"CHECK INPUTS"))</f>
        <v/>
      </c>
      <c r="M196" s="124"/>
      <c r="N196" s="125"/>
      <c r="O196" s="125"/>
      <c r="P196" s="125"/>
      <c r="Q196" s="125"/>
      <c r="R196" s="126" t="str">
        <f>IF(V196="OK",P196*Q196,"")</f>
        <v/>
      </c>
      <c r="S196" s="126" t="str">
        <f>IF(V196="OK",R196*(O196-N196),"")</f>
        <v/>
      </c>
      <c r="T196" s="126" t="str">
        <f>IF(V196="OK",S196*(O196+N196)/2,"")</f>
        <v/>
      </c>
      <c r="U196" s="126" t="str">
        <f>IF(AND(V196="OK",ISNUMBER($N$5),$N$5&gt;0,ISNUMBER($N$3),$N$3&gt;0),R196*(4*$N$4*(O196^3-N196^3)-(O196^4-N196^4))/(24*$N$3*1000000*$N$5)*1000,"")</f>
        <v/>
      </c>
      <c r="V196" s="120" t="str">
        <f>IF(COUNTA(M196:Q196)=0,"",IF(AND(COUNT(N196:Q196)=4,N196&gt;=0,O196&gt;N196,O196&lt;=$N$4,P196&gt;=0,Q196&gt;0),IF(COUNTIFS($N$13:$N$195,"&lt;"&amp;O196,$O$13:$O$195,"&gt;"&amp;N196)&gt;0,"OVERLAP","OK"),"CHECK INPUTS"))</f>
        <v/>
      </c>
      <c r="AA196" s="120">
        <f>IF(AND(J196="OK",ISNUMBER($B$5),$B$5&gt;0,ISNUMBER($B$3),$B$3&gt;0),F196/(6*$B$3*1000000*$B$5)*(IF(B196&lt;($B$4*0/10),($B$4*0/10)*(MIN(C196,($B$4*0/10))^3-B196^3)-(MIN(C196,($B$4*0/10))^4-B196^4)/4,0)+IF(C196&gt;($B$4*0/10),($B$4*0/10)^2*(1.5*(C196^2-MAX(B196,($B$4*0/10))^2)-($B$4*0/10)*(C196-MAX(B196,($B$4*0/10)))),0))*1000,0)</f>
        <v>0</v>
      </c>
      <c r="AB196" s="120">
        <f>IF(AND(J196="OK",ISNUMBER($B$5),$B$5&gt;0,ISNUMBER($B$3),$B$3&gt;0),F196/(6*$B$3*1000000*$B$5)*(IF(B196&lt;($B$4*1/10),($B$4*1/10)*(MIN(C196,($B$4*1/10))^3-B196^3)-(MIN(C196,($B$4*1/10))^4-B196^4)/4,0)+IF(C196&gt;($B$4*1/10),($B$4*1/10)^2*(1.5*(C196^2-MAX(B196,($B$4*1/10))^2)-($B$4*1/10)*(C196-MAX(B196,($B$4*1/10)))),0))*1000,0)</f>
        <v>0</v>
      </c>
      <c r="AC196" s="120">
        <f>IF(AND(J196="OK",ISNUMBER($B$5),$B$5&gt;0,ISNUMBER($B$3),$B$3&gt;0),F196/(6*$B$3*1000000*$B$5)*(IF(B196&lt;($B$4*2/10),($B$4*2/10)*(MIN(C196,($B$4*2/10))^3-B196^3)-(MIN(C196,($B$4*2/10))^4-B196^4)/4,0)+IF(C196&gt;($B$4*2/10),($B$4*2/10)^2*(1.5*(C196^2-MAX(B196,($B$4*2/10))^2)-($B$4*2/10)*(C196-MAX(B196,($B$4*2/10)))),0))*1000,0)</f>
        <v>0</v>
      </c>
      <c r="AD196" s="120">
        <f>IF(AND(J196="OK",ISNUMBER($B$5),$B$5&gt;0,ISNUMBER($B$3),$B$3&gt;0),F196/(6*$B$3*1000000*$B$5)*(IF(B196&lt;($B$4*3/10),($B$4*3/10)*(MIN(C196,($B$4*3/10))^3-B196^3)-(MIN(C196,($B$4*3/10))^4-B196^4)/4,0)+IF(C196&gt;($B$4*3/10),($B$4*3/10)^2*(1.5*(C196^2-MAX(B196,($B$4*3/10))^2)-($B$4*3/10)*(C196-MAX(B196,($B$4*3/10)))),0))*1000,0)</f>
        <v>0</v>
      </c>
      <c r="AE196" s="120">
        <f>IF(AND(J196="OK",ISNUMBER($B$5),$B$5&gt;0,ISNUMBER($B$3),$B$3&gt;0),F196/(6*$B$3*1000000*$B$5)*(IF(B196&lt;($B$4*4/10),($B$4*4/10)*(MIN(C196,($B$4*4/10))^3-B196^3)-(MIN(C196,($B$4*4/10))^4-B196^4)/4,0)+IF(C196&gt;($B$4*4/10),($B$4*4/10)^2*(1.5*(C196^2-MAX(B196,($B$4*4/10))^2)-($B$4*4/10)*(C196-MAX(B196,($B$4*4/10)))),0))*1000,0)</f>
        <v>0</v>
      </c>
      <c r="AF196" s="120">
        <f>IF(AND(J196="OK",ISNUMBER($B$5),$B$5&gt;0,ISNUMBER($B$3),$B$3&gt;0),F196/(6*$B$3*1000000*$B$5)*(IF(B196&lt;($B$4*5/10),($B$4*5/10)*(MIN(C196,($B$4*5/10))^3-B196^3)-(MIN(C196,($B$4*5/10))^4-B196^4)/4,0)+IF(C196&gt;($B$4*5/10),($B$4*5/10)^2*(1.5*(C196^2-MAX(B196,($B$4*5/10))^2)-($B$4*5/10)*(C196-MAX(B196,($B$4*5/10)))),0))*1000,0)</f>
        <v>0</v>
      </c>
      <c r="AG196" s="120">
        <f>IF(AND(J196="OK",ISNUMBER($B$5),$B$5&gt;0,ISNUMBER($B$3),$B$3&gt;0),F196/(6*$B$3*1000000*$B$5)*(IF(B196&lt;($B$4*6/10),($B$4*6/10)*(MIN(C196,($B$4*6/10))^3-B196^3)-(MIN(C196,($B$4*6/10))^4-B196^4)/4,0)+IF(C196&gt;($B$4*6/10),($B$4*6/10)^2*(1.5*(C196^2-MAX(B196,($B$4*6/10))^2)-($B$4*6/10)*(C196-MAX(B196,($B$4*6/10)))),0))*1000,0)</f>
        <v>0</v>
      </c>
      <c r="AH196" s="120">
        <f>IF(AND(J196="OK",ISNUMBER($B$5),$B$5&gt;0,ISNUMBER($B$3),$B$3&gt;0),F196/(6*$B$3*1000000*$B$5)*(IF(B196&lt;($B$4*7/10),($B$4*7/10)*(MIN(C196,($B$4*7/10))^3-B196^3)-(MIN(C196,($B$4*7/10))^4-B196^4)/4,0)+IF(C196&gt;($B$4*7/10),($B$4*7/10)^2*(1.5*(C196^2-MAX(B196,($B$4*7/10))^2)-($B$4*7/10)*(C196-MAX(B196,($B$4*7/10)))),0))*1000,0)</f>
        <v>0</v>
      </c>
      <c r="AI196" s="120">
        <f>IF(AND(J196="OK",ISNUMBER($B$5),$B$5&gt;0,ISNUMBER($B$3),$B$3&gt;0),F196/(6*$B$3*1000000*$B$5)*(IF(B196&lt;($B$4*8/10),($B$4*8/10)*(MIN(C196,($B$4*8/10))^3-B196^3)-(MIN(C196,($B$4*8/10))^4-B196^4)/4,0)+IF(C196&gt;($B$4*8/10),($B$4*8/10)^2*(1.5*(C196^2-MAX(B196,($B$4*8/10))^2)-($B$4*8/10)*(C196-MAX(B196,($B$4*8/10)))),0))*1000,0)</f>
        <v>0</v>
      </c>
      <c r="AJ196" s="120">
        <f>IF(AND(J196="OK",ISNUMBER($B$5),$B$5&gt;0,ISNUMBER($B$3),$B$3&gt;0),F196/(6*$B$3*1000000*$B$5)*(IF(B196&lt;($B$4*9/10),($B$4*9/10)*(MIN(C196,($B$4*9/10))^3-B196^3)-(MIN(C196,($B$4*9/10))^4-B196^4)/4,0)+IF(C196&gt;($B$4*9/10),($B$4*9/10)^2*(1.5*(C196^2-MAX(B196,($B$4*9/10))^2)-($B$4*9/10)*(C196-MAX(B196,($B$4*9/10)))),0))*1000,0)</f>
        <v>0</v>
      </c>
      <c r="AK196" s="120">
        <f>IF(AND(J196="OK",ISNUMBER($B$5),$B$5&gt;0,ISNUMBER($B$3),$B$3&gt;0),F196/(6*$B$3*1000000*$B$5)*(IF(B196&lt;($B$4*10/10),($B$4*10/10)*(MIN(C196,($B$4*10/10))^3-B196^3)-(MIN(C196,($B$4*10/10))^4-B196^4)/4,0)+IF(C196&gt;($B$4*10/10),($B$4*10/10)^2*(1.5*(C196^2-MAX(B196,($B$4*10/10))^2)-($B$4*10/10)*(C196-MAX(B196,($B$4*10/10)))),0))*1000,0)</f>
        <v>0</v>
      </c>
      <c r="AM196" s="120">
        <f>IF(AND(V196="OK",ISNUMBER($N$5),$N$5&gt;0,ISNUMBER($N$3),$N$3&gt;0),R196/(6*$N$3*1000000*$N$5)*(IF(N196&lt;($N$4*0/10),($N$4*0/10)*(MIN(O196,($N$4*0/10))^3-N196^3)-(MIN(O196,($N$4*0/10))^4-N196^4)/4,0)+IF(O196&gt;($N$4*0/10),($N$4*0/10)^2*(1.5*(O196^2-MAX(N196,($N$4*0/10))^2)-($N$4*0/10)*(O196-MAX(N196,($N$4*0/10)))),0))*1000,0)</f>
        <v>0</v>
      </c>
      <c r="AN196" s="120">
        <f>IF(AND(V196="OK",ISNUMBER($N$5),$N$5&gt;0,ISNUMBER($N$3),$N$3&gt;0),R196/(6*$N$3*1000000*$N$5)*(IF(N196&lt;($N$4*1/10),($N$4*1/10)*(MIN(O196,($N$4*1/10))^3-N196^3)-(MIN(O196,($N$4*1/10))^4-N196^4)/4,0)+IF(O196&gt;($N$4*1/10),($N$4*1/10)^2*(1.5*(O196^2-MAX(N196,($N$4*1/10))^2)-($N$4*1/10)*(O196-MAX(N196,($N$4*1/10)))),0))*1000,0)</f>
        <v>0</v>
      </c>
      <c r="AO196" s="120">
        <f>IF(AND(V196="OK",ISNUMBER($N$5),$N$5&gt;0,ISNUMBER($N$3),$N$3&gt;0),R196/(6*$N$3*1000000*$N$5)*(IF(N196&lt;($N$4*2/10),($N$4*2/10)*(MIN(O196,($N$4*2/10))^3-N196^3)-(MIN(O196,($N$4*2/10))^4-N196^4)/4,0)+IF(O196&gt;($N$4*2/10),($N$4*2/10)^2*(1.5*(O196^2-MAX(N196,($N$4*2/10))^2)-($N$4*2/10)*(O196-MAX(N196,($N$4*2/10)))),0))*1000,0)</f>
        <v>0</v>
      </c>
      <c r="AP196" s="120">
        <f>IF(AND(V196="OK",ISNUMBER($N$5),$N$5&gt;0,ISNUMBER($N$3),$N$3&gt;0),R196/(6*$N$3*1000000*$N$5)*(IF(N196&lt;($N$4*3/10),($N$4*3/10)*(MIN(O196,($N$4*3/10))^3-N196^3)-(MIN(O196,($N$4*3/10))^4-N196^4)/4,0)+IF(O196&gt;($N$4*3/10),($N$4*3/10)^2*(1.5*(O196^2-MAX(N196,($N$4*3/10))^2)-($N$4*3/10)*(O196-MAX(N196,($N$4*3/10)))),0))*1000,0)</f>
        <v>0</v>
      </c>
      <c r="AQ196" s="120">
        <f>IF(AND(V196="OK",ISNUMBER($N$5),$N$5&gt;0,ISNUMBER($N$3),$N$3&gt;0),R196/(6*$N$3*1000000*$N$5)*(IF(N196&lt;($N$4*4/10),($N$4*4/10)*(MIN(O196,($N$4*4/10))^3-N196^3)-(MIN(O196,($N$4*4/10))^4-N196^4)/4,0)+IF(O196&gt;($N$4*4/10),($N$4*4/10)^2*(1.5*(O196^2-MAX(N196,($N$4*4/10))^2)-($N$4*4/10)*(O196-MAX(N196,($N$4*4/10)))),0))*1000,0)</f>
        <v>0</v>
      </c>
      <c r="AR196" s="120">
        <f>IF(AND(V196="OK",ISNUMBER($N$5),$N$5&gt;0,ISNUMBER($N$3),$N$3&gt;0),R196/(6*$N$3*1000000*$N$5)*(IF(N196&lt;($N$4*5/10),($N$4*5/10)*(MIN(O196,($N$4*5/10))^3-N196^3)-(MIN(O196,($N$4*5/10))^4-N196^4)/4,0)+IF(O196&gt;($N$4*5/10),($N$4*5/10)^2*(1.5*(O196^2-MAX(N196,($N$4*5/10))^2)-($N$4*5/10)*(O196-MAX(N196,($N$4*5/10)))),0))*1000,0)</f>
        <v>0</v>
      </c>
      <c r="AS196" s="120">
        <f>IF(AND(V196="OK",ISNUMBER($N$5),$N$5&gt;0,ISNUMBER($N$3),$N$3&gt;0),R196/(6*$N$3*1000000*$N$5)*(IF(N196&lt;($N$4*6/10),($N$4*6/10)*(MIN(O196,($N$4*6/10))^3-N196^3)-(MIN(O196,($N$4*6/10))^4-N196^4)/4,0)+IF(O196&gt;($N$4*6/10),($N$4*6/10)^2*(1.5*(O196^2-MAX(N196,($N$4*6/10))^2)-($N$4*6/10)*(O196-MAX(N196,($N$4*6/10)))),0))*1000,0)</f>
        <v>0</v>
      </c>
      <c r="AT196" s="120">
        <f>IF(AND(V196="OK",ISNUMBER($N$5),$N$5&gt;0,ISNUMBER($N$3),$N$3&gt;0),R196/(6*$N$3*1000000*$N$5)*(IF(N196&lt;($N$4*7/10),($N$4*7/10)*(MIN(O196,($N$4*7/10))^3-N196^3)-(MIN(O196,($N$4*7/10))^4-N196^4)/4,0)+IF(O196&gt;($N$4*7/10),($N$4*7/10)^2*(1.5*(O196^2-MAX(N196,($N$4*7/10))^2)-($N$4*7/10)*(O196-MAX(N196,($N$4*7/10)))),0))*1000,0)</f>
        <v>0</v>
      </c>
      <c r="AU196" s="120">
        <f>IF(AND(V196="OK",ISNUMBER($N$5),$N$5&gt;0,ISNUMBER($N$3),$N$3&gt;0),R196/(6*$N$3*1000000*$N$5)*(IF(N196&lt;($N$4*8/10),($N$4*8/10)*(MIN(O196,($N$4*8/10))^3-N196^3)-(MIN(O196,($N$4*8/10))^4-N196^4)/4,0)+IF(O196&gt;($N$4*8/10),($N$4*8/10)^2*(1.5*(O196^2-MAX(N196,($N$4*8/10))^2)-($N$4*8/10)*(O196-MAX(N196,($N$4*8/10)))),0))*1000,0)</f>
        <v>0</v>
      </c>
      <c r="AV196" s="120">
        <f>IF(AND(V196="OK",ISNUMBER($N$5),$N$5&gt;0,ISNUMBER($N$3),$N$3&gt;0),R196/(6*$N$3*1000000*$N$5)*(IF(N196&lt;($N$4*9/10),($N$4*9/10)*(MIN(O196,($N$4*9/10))^3-N196^3)-(MIN(O196,($N$4*9/10))^4-N196^4)/4,0)+IF(O196&gt;($N$4*9/10),($N$4*9/10)^2*(1.5*(O196^2-MAX(N196,($N$4*9/10))^2)-($N$4*9/10)*(O196-MAX(N196,($N$4*9/10)))),0))*1000,0)</f>
        <v>0</v>
      </c>
      <c r="AW196" s="120">
        <f>IF(AND(V196="OK",ISNUMBER($N$5),$N$5&gt;0,ISNUMBER($N$3),$N$3&gt;0),R196/(6*$N$3*1000000*$N$5)*(IF(N196&lt;($N$4*10/10),($N$4*10/10)*(MIN(O196,($N$4*10/10))^3-N196^3)-(MIN(O196,($N$4*10/10))^4-N196^4)/4,0)+IF(O196&gt;($N$4*10/10),($N$4*10/10)^2*(1.5*(O196^2-MAX(N196,($N$4*10/10))^2)-($N$4*10/10)*(O196-MAX(N196,($N$4*10/10)))),0))*1000,0)</f>
        <v>0</v>
      </c>
    </row>
    <row r="197" spans="1:49">
      <c r="A197" s="124"/>
      <c r="B197" s="125"/>
      <c r="C197" s="125"/>
      <c r="D197" s="125"/>
      <c r="E197" s="125"/>
      <c r="F197" s="126" t="str">
        <f>IF(J197="OK",D197*E197,"")</f>
        <v/>
      </c>
      <c r="G197" s="126" t="str">
        <f>IF(J197="OK",F197*(C197-B197),"")</f>
        <v/>
      </c>
      <c r="H197" s="126" t="str">
        <f>IF(J197="OK",G197*(C197+B197)/2,"")</f>
        <v/>
      </c>
      <c r="I197" s="126" t="str">
        <f>IF(AND(J197="OK",ISNUMBER($B$5),$B$5&gt;0,ISNUMBER($B$3),$B$3&gt;0),F197*(4*$B$4*(C197^3-B197^3)-(C197^4-B197^4))/(24*$B$3*1000000*$B$5)*1000,"")</f>
        <v/>
      </c>
      <c r="J197" s="120" t="str">
        <f>IF(COUNTA(A197:E197)=0,"",IF(AND(COUNT(B197:E197)=4,B197&gt;=0,C197&gt;B197,C197&lt;=$B$4,D197&gt;=0,E197&gt;0),IF(COUNTIFS($B$13:$B$196,"&lt;"&amp;C197,$C$13:$C$196,"&gt;"&amp;B197)&gt;0,"OVERLAP","OK"),"CHECK INPUTS"))</f>
        <v/>
      </c>
      <c r="M197" s="124"/>
      <c r="N197" s="125"/>
      <c r="O197" s="125"/>
      <c r="P197" s="125"/>
      <c r="Q197" s="125"/>
      <c r="R197" s="126" t="str">
        <f>IF(V197="OK",P197*Q197,"")</f>
        <v/>
      </c>
      <c r="S197" s="126" t="str">
        <f>IF(V197="OK",R197*(O197-N197),"")</f>
        <v/>
      </c>
      <c r="T197" s="126" t="str">
        <f>IF(V197="OK",S197*(O197+N197)/2,"")</f>
        <v/>
      </c>
      <c r="U197" s="126" t="str">
        <f>IF(AND(V197="OK",ISNUMBER($N$5),$N$5&gt;0,ISNUMBER($N$3),$N$3&gt;0),R197*(4*$N$4*(O197^3-N197^3)-(O197^4-N197^4))/(24*$N$3*1000000*$N$5)*1000,"")</f>
        <v/>
      </c>
      <c r="V197" s="120" t="str">
        <f>IF(COUNTA(M197:Q197)=0,"",IF(AND(COUNT(N197:Q197)=4,N197&gt;=0,O197&gt;N197,O197&lt;=$N$4,P197&gt;=0,Q197&gt;0),IF(COUNTIFS($N$13:$N$196,"&lt;"&amp;O197,$O$13:$O$196,"&gt;"&amp;N197)&gt;0,"OVERLAP","OK"),"CHECK INPUTS"))</f>
        <v/>
      </c>
      <c r="AA197" s="120">
        <f>IF(AND(J197="OK",ISNUMBER($B$5),$B$5&gt;0,ISNUMBER($B$3),$B$3&gt;0),F197/(6*$B$3*1000000*$B$5)*(IF(B197&lt;($B$4*0/10),($B$4*0/10)*(MIN(C197,($B$4*0/10))^3-B197^3)-(MIN(C197,($B$4*0/10))^4-B197^4)/4,0)+IF(C197&gt;($B$4*0/10),($B$4*0/10)^2*(1.5*(C197^2-MAX(B197,($B$4*0/10))^2)-($B$4*0/10)*(C197-MAX(B197,($B$4*0/10)))),0))*1000,0)</f>
        <v>0</v>
      </c>
      <c r="AB197" s="120">
        <f>IF(AND(J197="OK",ISNUMBER($B$5),$B$5&gt;0,ISNUMBER($B$3),$B$3&gt;0),F197/(6*$B$3*1000000*$B$5)*(IF(B197&lt;($B$4*1/10),($B$4*1/10)*(MIN(C197,($B$4*1/10))^3-B197^3)-(MIN(C197,($B$4*1/10))^4-B197^4)/4,0)+IF(C197&gt;($B$4*1/10),($B$4*1/10)^2*(1.5*(C197^2-MAX(B197,($B$4*1/10))^2)-($B$4*1/10)*(C197-MAX(B197,($B$4*1/10)))),0))*1000,0)</f>
        <v>0</v>
      </c>
      <c r="AC197" s="120">
        <f>IF(AND(J197="OK",ISNUMBER($B$5),$B$5&gt;0,ISNUMBER($B$3),$B$3&gt;0),F197/(6*$B$3*1000000*$B$5)*(IF(B197&lt;($B$4*2/10),($B$4*2/10)*(MIN(C197,($B$4*2/10))^3-B197^3)-(MIN(C197,($B$4*2/10))^4-B197^4)/4,0)+IF(C197&gt;($B$4*2/10),($B$4*2/10)^2*(1.5*(C197^2-MAX(B197,($B$4*2/10))^2)-($B$4*2/10)*(C197-MAX(B197,($B$4*2/10)))),0))*1000,0)</f>
        <v>0</v>
      </c>
      <c r="AD197" s="120">
        <f>IF(AND(J197="OK",ISNUMBER($B$5),$B$5&gt;0,ISNUMBER($B$3),$B$3&gt;0),F197/(6*$B$3*1000000*$B$5)*(IF(B197&lt;($B$4*3/10),($B$4*3/10)*(MIN(C197,($B$4*3/10))^3-B197^3)-(MIN(C197,($B$4*3/10))^4-B197^4)/4,0)+IF(C197&gt;($B$4*3/10),($B$4*3/10)^2*(1.5*(C197^2-MAX(B197,($B$4*3/10))^2)-($B$4*3/10)*(C197-MAX(B197,($B$4*3/10)))),0))*1000,0)</f>
        <v>0</v>
      </c>
      <c r="AE197" s="120">
        <f>IF(AND(J197="OK",ISNUMBER($B$5),$B$5&gt;0,ISNUMBER($B$3),$B$3&gt;0),F197/(6*$B$3*1000000*$B$5)*(IF(B197&lt;($B$4*4/10),($B$4*4/10)*(MIN(C197,($B$4*4/10))^3-B197^3)-(MIN(C197,($B$4*4/10))^4-B197^4)/4,0)+IF(C197&gt;($B$4*4/10),($B$4*4/10)^2*(1.5*(C197^2-MAX(B197,($B$4*4/10))^2)-($B$4*4/10)*(C197-MAX(B197,($B$4*4/10)))),0))*1000,0)</f>
        <v>0</v>
      </c>
      <c r="AF197" s="120">
        <f>IF(AND(J197="OK",ISNUMBER($B$5),$B$5&gt;0,ISNUMBER($B$3),$B$3&gt;0),F197/(6*$B$3*1000000*$B$5)*(IF(B197&lt;($B$4*5/10),($B$4*5/10)*(MIN(C197,($B$4*5/10))^3-B197^3)-(MIN(C197,($B$4*5/10))^4-B197^4)/4,0)+IF(C197&gt;($B$4*5/10),($B$4*5/10)^2*(1.5*(C197^2-MAX(B197,($B$4*5/10))^2)-($B$4*5/10)*(C197-MAX(B197,($B$4*5/10)))),0))*1000,0)</f>
        <v>0</v>
      </c>
      <c r="AG197" s="120">
        <f>IF(AND(J197="OK",ISNUMBER($B$5),$B$5&gt;0,ISNUMBER($B$3),$B$3&gt;0),F197/(6*$B$3*1000000*$B$5)*(IF(B197&lt;($B$4*6/10),($B$4*6/10)*(MIN(C197,($B$4*6/10))^3-B197^3)-(MIN(C197,($B$4*6/10))^4-B197^4)/4,0)+IF(C197&gt;($B$4*6/10),($B$4*6/10)^2*(1.5*(C197^2-MAX(B197,($B$4*6/10))^2)-($B$4*6/10)*(C197-MAX(B197,($B$4*6/10)))),0))*1000,0)</f>
        <v>0</v>
      </c>
      <c r="AH197" s="120">
        <f>IF(AND(J197="OK",ISNUMBER($B$5),$B$5&gt;0,ISNUMBER($B$3),$B$3&gt;0),F197/(6*$B$3*1000000*$B$5)*(IF(B197&lt;($B$4*7/10),($B$4*7/10)*(MIN(C197,($B$4*7/10))^3-B197^3)-(MIN(C197,($B$4*7/10))^4-B197^4)/4,0)+IF(C197&gt;($B$4*7/10),($B$4*7/10)^2*(1.5*(C197^2-MAX(B197,($B$4*7/10))^2)-($B$4*7/10)*(C197-MAX(B197,($B$4*7/10)))),0))*1000,0)</f>
        <v>0</v>
      </c>
      <c r="AI197" s="120">
        <f>IF(AND(J197="OK",ISNUMBER($B$5),$B$5&gt;0,ISNUMBER($B$3),$B$3&gt;0),F197/(6*$B$3*1000000*$B$5)*(IF(B197&lt;($B$4*8/10),($B$4*8/10)*(MIN(C197,($B$4*8/10))^3-B197^3)-(MIN(C197,($B$4*8/10))^4-B197^4)/4,0)+IF(C197&gt;($B$4*8/10),($B$4*8/10)^2*(1.5*(C197^2-MAX(B197,($B$4*8/10))^2)-($B$4*8/10)*(C197-MAX(B197,($B$4*8/10)))),0))*1000,0)</f>
        <v>0</v>
      </c>
      <c r="AJ197" s="120">
        <f>IF(AND(J197="OK",ISNUMBER($B$5),$B$5&gt;0,ISNUMBER($B$3),$B$3&gt;0),F197/(6*$B$3*1000000*$B$5)*(IF(B197&lt;($B$4*9/10),($B$4*9/10)*(MIN(C197,($B$4*9/10))^3-B197^3)-(MIN(C197,($B$4*9/10))^4-B197^4)/4,0)+IF(C197&gt;($B$4*9/10),($B$4*9/10)^2*(1.5*(C197^2-MAX(B197,($B$4*9/10))^2)-($B$4*9/10)*(C197-MAX(B197,($B$4*9/10)))),0))*1000,0)</f>
        <v>0</v>
      </c>
      <c r="AK197" s="120">
        <f>IF(AND(J197="OK",ISNUMBER($B$5),$B$5&gt;0,ISNUMBER($B$3),$B$3&gt;0),F197/(6*$B$3*1000000*$B$5)*(IF(B197&lt;($B$4*10/10),($B$4*10/10)*(MIN(C197,($B$4*10/10))^3-B197^3)-(MIN(C197,($B$4*10/10))^4-B197^4)/4,0)+IF(C197&gt;($B$4*10/10),($B$4*10/10)^2*(1.5*(C197^2-MAX(B197,($B$4*10/10))^2)-($B$4*10/10)*(C197-MAX(B197,($B$4*10/10)))),0))*1000,0)</f>
        <v>0</v>
      </c>
      <c r="AM197" s="120">
        <f>IF(AND(V197="OK",ISNUMBER($N$5),$N$5&gt;0,ISNUMBER($N$3),$N$3&gt;0),R197/(6*$N$3*1000000*$N$5)*(IF(N197&lt;($N$4*0/10),($N$4*0/10)*(MIN(O197,($N$4*0/10))^3-N197^3)-(MIN(O197,($N$4*0/10))^4-N197^4)/4,0)+IF(O197&gt;($N$4*0/10),($N$4*0/10)^2*(1.5*(O197^2-MAX(N197,($N$4*0/10))^2)-($N$4*0/10)*(O197-MAX(N197,($N$4*0/10)))),0))*1000,0)</f>
        <v>0</v>
      </c>
      <c r="AN197" s="120">
        <f>IF(AND(V197="OK",ISNUMBER($N$5),$N$5&gt;0,ISNUMBER($N$3),$N$3&gt;0),R197/(6*$N$3*1000000*$N$5)*(IF(N197&lt;($N$4*1/10),($N$4*1/10)*(MIN(O197,($N$4*1/10))^3-N197^3)-(MIN(O197,($N$4*1/10))^4-N197^4)/4,0)+IF(O197&gt;($N$4*1/10),($N$4*1/10)^2*(1.5*(O197^2-MAX(N197,($N$4*1/10))^2)-($N$4*1/10)*(O197-MAX(N197,($N$4*1/10)))),0))*1000,0)</f>
        <v>0</v>
      </c>
      <c r="AO197" s="120">
        <f>IF(AND(V197="OK",ISNUMBER($N$5),$N$5&gt;0,ISNUMBER($N$3),$N$3&gt;0),R197/(6*$N$3*1000000*$N$5)*(IF(N197&lt;($N$4*2/10),($N$4*2/10)*(MIN(O197,($N$4*2/10))^3-N197^3)-(MIN(O197,($N$4*2/10))^4-N197^4)/4,0)+IF(O197&gt;($N$4*2/10),($N$4*2/10)^2*(1.5*(O197^2-MAX(N197,($N$4*2/10))^2)-($N$4*2/10)*(O197-MAX(N197,($N$4*2/10)))),0))*1000,0)</f>
        <v>0</v>
      </c>
      <c r="AP197" s="120">
        <f>IF(AND(V197="OK",ISNUMBER($N$5),$N$5&gt;0,ISNUMBER($N$3),$N$3&gt;0),R197/(6*$N$3*1000000*$N$5)*(IF(N197&lt;($N$4*3/10),($N$4*3/10)*(MIN(O197,($N$4*3/10))^3-N197^3)-(MIN(O197,($N$4*3/10))^4-N197^4)/4,0)+IF(O197&gt;($N$4*3/10),($N$4*3/10)^2*(1.5*(O197^2-MAX(N197,($N$4*3/10))^2)-($N$4*3/10)*(O197-MAX(N197,($N$4*3/10)))),0))*1000,0)</f>
        <v>0</v>
      </c>
      <c r="AQ197" s="120">
        <f>IF(AND(V197="OK",ISNUMBER($N$5),$N$5&gt;0,ISNUMBER($N$3),$N$3&gt;0),R197/(6*$N$3*1000000*$N$5)*(IF(N197&lt;($N$4*4/10),($N$4*4/10)*(MIN(O197,($N$4*4/10))^3-N197^3)-(MIN(O197,($N$4*4/10))^4-N197^4)/4,0)+IF(O197&gt;($N$4*4/10),($N$4*4/10)^2*(1.5*(O197^2-MAX(N197,($N$4*4/10))^2)-($N$4*4/10)*(O197-MAX(N197,($N$4*4/10)))),0))*1000,0)</f>
        <v>0</v>
      </c>
      <c r="AR197" s="120">
        <f>IF(AND(V197="OK",ISNUMBER($N$5),$N$5&gt;0,ISNUMBER($N$3),$N$3&gt;0),R197/(6*$N$3*1000000*$N$5)*(IF(N197&lt;($N$4*5/10),($N$4*5/10)*(MIN(O197,($N$4*5/10))^3-N197^3)-(MIN(O197,($N$4*5/10))^4-N197^4)/4,0)+IF(O197&gt;($N$4*5/10),($N$4*5/10)^2*(1.5*(O197^2-MAX(N197,($N$4*5/10))^2)-($N$4*5/10)*(O197-MAX(N197,($N$4*5/10)))),0))*1000,0)</f>
        <v>0</v>
      </c>
      <c r="AS197" s="120">
        <f>IF(AND(V197="OK",ISNUMBER($N$5),$N$5&gt;0,ISNUMBER($N$3),$N$3&gt;0),R197/(6*$N$3*1000000*$N$5)*(IF(N197&lt;($N$4*6/10),($N$4*6/10)*(MIN(O197,($N$4*6/10))^3-N197^3)-(MIN(O197,($N$4*6/10))^4-N197^4)/4,0)+IF(O197&gt;($N$4*6/10),($N$4*6/10)^2*(1.5*(O197^2-MAX(N197,($N$4*6/10))^2)-($N$4*6/10)*(O197-MAX(N197,($N$4*6/10)))),0))*1000,0)</f>
        <v>0</v>
      </c>
      <c r="AT197" s="120">
        <f>IF(AND(V197="OK",ISNUMBER($N$5),$N$5&gt;0,ISNUMBER($N$3),$N$3&gt;0),R197/(6*$N$3*1000000*$N$5)*(IF(N197&lt;($N$4*7/10),($N$4*7/10)*(MIN(O197,($N$4*7/10))^3-N197^3)-(MIN(O197,($N$4*7/10))^4-N197^4)/4,0)+IF(O197&gt;($N$4*7/10),($N$4*7/10)^2*(1.5*(O197^2-MAX(N197,($N$4*7/10))^2)-($N$4*7/10)*(O197-MAX(N197,($N$4*7/10)))),0))*1000,0)</f>
        <v>0</v>
      </c>
      <c r="AU197" s="120">
        <f>IF(AND(V197="OK",ISNUMBER($N$5),$N$5&gt;0,ISNUMBER($N$3),$N$3&gt;0),R197/(6*$N$3*1000000*$N$5)*(IF(N197&lt;($N$4*8/10),($N$4*8/10)*(MIN(O197,($N$4*8/10))^3-N197^3)-(MIN(O197,($N$4*8/10))^4-N197^4)/4,0)+IF(O197&gt;($N$4*8/10),($N$4*8/10)^2*(1.5*(O197^2-MAX(N197,($N$4*8/10))^2)-($N$4*8/10)*(O197-MAX(N197,($N$4*8/10)))),0))*1000,0)</f>
        <v>0</v>
      </c>
      <c r="AV197" s="120">
        <f>IF(AND(V197="OK",ISNUMBER($N$5),$N$5&gt;0,ISNUMBER($N$3),$N$3&gt;0),R197/(6*$N$3*1000000*$N$5)*(IF(N197&lt;($N$4*9/10),($N$4*9/10)*(MIN(O197,($N$4*9/10))^3-N197^3)-(MIN(O197,($N$4*9/10))^4-N197^4)/4,0)+IF(O197&gt;($N$4*9/10),($N$4*9/10)^2*(1.5*(O197^2-MAX(N197,($N$4*9/10))^2)-($N$4*9/10)*(O197-MAX(N197,($N$4*9/10)))),0))*1000,0)</f>
        <v>0</v>
      </c>
      <c r="AW197" s="120">
        <f>IF(AND(V197="OK",ISNUMBER($N$5),$N$5&gt;0,ISNUMBER($N$3),$N$3&gt;0),R197/(6*$N$3*1000000*$N$5)*(IF(N197&lt;($N$4*10/10),($N$4*10/10)*(MIN(O197,($N$4*10/10))^3-N197^3)-(MIN(O197,($N$4*10/10))^4-N197^4)/4,0)+IF(O197&gt;($N$4*10/10),($N$4*10/10)^2*(1.5*(O197^2-MAX(N197,($N$4*10/10))^2)-($N$4*10/10)*(O197-MAX(N197,($N$4*10/10)))),0))*1000,0)</f>
        <v>0</v>
      </c>
    </row>
    <row r="198" spans="1:49">
      <c r="A198" s="124"/>
      <c r="B198" s="125"/>
      <c r="C198" s="125"/>
      <c r="D198" s="125"/>
      <c r="E198" s="125"/>
      <c r="F198" s="126" t="str">
        <f>IF(J198="OK",D198*E198,"")</f>
        <v/>
      </c>
      <c r="G198" s="126" t="str">
        <f>IF(J198="OK",F198*(C198-B198),"")</f>
        <v/>
      </c>
      <c r="H198" s="126" t="str">
        <f>IF(J198="OK",G198*(C198+B198)/2,"")</f>
        <v/>
      </c>
      <c r="I198" s="126" t="str">
        <f>IF(AND(J198="OK",ISNUMBER($B$5),$B$5&gt;0,ISNUMBER($B$3),$B$3&gt;0),F198*(4*$B$4*(C198^3-B198^3)-(C198^4-B198^4))/(24*$B$3*1000000*$B$5)*1000,"")</f>
        <v/>
      </c>
      <c r="J198" s="120" t="str">
        <f>IF(COUNTA(A198:E198)=0,"",IF(AND(COUNT(B198:E198)=4,B198&gt;=0,C198&gt;B198,C198&lt;=$B$4,D198&gt;=0,E198&gt;0),IF(COUNTIFS($B$13:$B$197,"&lt;"&amp;C198,$C$13:$C$197,"&gt;"&amp;B198)&gt;0,"OVERLAP","OK"),"CHECK INPUTS"))</f>
        <v/>
      </c>
      <c r="M198" s="124"/>
      <c r="N198" s="125"/>
      <c r="O198" s="125"/>
      <c r="P198" s="125"/>
      <c r="Q198" s="125"/>
      <c r="R198" s="126" t="str">
        <f>IF(V198="OK",P198*Q198,"")</f>
        <v/>
      </c>
      <c r="S198" s="126" t="str">
        <f>IF(V198="OK",R198*(O198-N198),"")</f>
        <v/>
      </c>
      <c r="T198" s="126" t="str">
        <f>IF(V198="OK",S198*(O198+N198)/2,"")</f>
        <v/>
      </c>
      <c r="U198" s="126" t="str">
        <f>IF(AND(V198="OK",ISNUMBER($N$5),$N$5&gt;0,ISNUMBER($N$3),$N$3&gt;0),R198*(4*$N$4*(O198^3-N198^3)-(O198^4-N198^4))/(24*$N$3*1000000*$N$5)*1000,"")</f>
        <v/>
      </c>
      <c r="V198" s="120" t="str">
        <f>IF(COUNTA(M198:Q198)=0,"",IF(AND(COUNT(N198:Q198)=4,N198&gt;=0,O198&gt;N198,O198&lt;=$N$4,P198&gt;=0,Q198&gt;0),IF(COUNTIFS($N$13:$N$197,"&lt;"&amp;O198,$O$13:$O$197,"&gt;"&amp;N198)&gt;0,"OVERLAP","OK"),"CHECK INPUTS"))</f>
        <v/>
      </c>
      <c r="AA198" s="120">
        <f>IF(AND(J198="OK",ISNUMBER($B$5),$B$5&gt;0,ISNUMBER($B$3),$B$3&gt;0),F198/(6*$B$3*1000000*$B$5)*(IF(B198&lt;($B$4*0/10),($B$4*0/10)*(MIN(C198,($B$4*0/10))^3-B198^3)-(MIN(C198,($B$4*0/10))^4-B198^4)/4,0)+IF(C198&gt;($B$4*0/10),($B$4*0/10)^2*(1.5*(C198^2-MAX(B198,($B$4*0/10))^2)-($B$4*0/10)*(C198-MAX(B198,($B$4*0/10)))),0))*1000,0)</f>
        <v>0</v>
      </c>
      <c r="AB198" s="120">
        <f>IF(AND(J198="OK",ISNUMBER($B$5),$B$5&gt;0,ISNUMBER($B$3),$B$3&gt;0),F198/(6*$B$3*1000000*$B$5)*(IF(B198&lt;($B$4*1/10),($B$4*1/10)*(MIN(C198,($B$4*1/10))^3-B198^3)-(MIN(C198,($B$4*1/10))^4-B198^4)/4,0)+IF(C198&gt;($B$4*1/10),($B$4*1/10)^2*(1.5*(C198^2-MAX(B198,($B$4*1/10))^2)-($B$4*1/10)*(C198-MAX(B198,($B$4*1/10)))),0))*1000,0)</f>
        <v>0</v>
      </c>
      <c r="AC198" s="120">
        <f>IF(AND(J198="OK",ISNUMBER($B$5),$B$5&gt;0,ISNUMBER($B$3),$B$3&gt;0),F198/(6*$B$3*1000000*$B$5)*(IF(B198&lt;($B$4*2/10),($B$4*2/10)*(MIN(C198,($B$4*2/10))^3-B198^3)-(MIN(C198,($B$4*2/10))^4-B198^4)/4,0)+IF(C198&gt;($B$4*2/10),($B$4*2/10)^2*(1.5*(C198^2-MAX(B198,($B$4*2/10))^2)-($B$4*2/10)*(C198-MAX(B198,($B$4*2/10)))),0))*1000,0)</f>
        <v>0</v>
      </c>
      <c r="AD198" s="120">
        <f>IF(AND(J198="OK",ISNUMBER($B$5),$B$5&gt;0,ISNUMBER($B$3),$B$3&gt;0),F198/(6*$B$3*1000000*$B$5)*(IF(B198&lt;($B$4*3/10),($B$4*3/10)*(MIN(C198,($B$4*3/10))^3-B198^3)-(MIN(C198,($B$4*3/10))^4-B198^4)/4,0)+IF(C198&gt;($B$4*3/10),($B$4*3/10)^2*(1.5*(C198^2-MAX(B198,($B$4*3/10))^2)-($B$4*3/10)*(C198-MAX(B198,($B$4*3/10)))),0))*1000,0)</f>
        <v>0</v>
      </c>
      <c r="AE198" s="120">
        <f>IF(AND(J198="OK",ISNUMBER($B$5),$B$5&gt;0,ISNUMBER($B$3),$B$3&gt;0),F198/(6*$B$3*1000000*$B$5)*(IF(B198&lt;($B$4*4/10),($B$4*4/10)*(MIN(C198,($B$4*4/10))^3-B198^3)-(MIN(C198,($B$4*4/10))^4-B198^4)/4,0)+IF(C198&gt;($B$4*4/10),($B$4*4/10)^2*(1.5*(C198^2-MAX(B198,($B$4*4/10))^2)-($B$4*4/10)*(C198-MAX(B198,($B$4*4/10)))),0))*1000,0)</f>
        <v>0</v>
      </c>
      <c r="AF198" s="120">
        <f>IF(AND(J198="OK",ISNUMBER($B$5),$B$5&gt;0,ISNUMBER($B$3),$B$3&gt;0),F198/(6*$B$3*1000000*$B$5)*(IF(B198&lt;($B$4*5/10),($B$4*5/10)*(MIN(C198,($B$4*5/10))^3-B198^3)-(MIN(C198,($B$4*5/10))^4-B198^4)/4,0)+IF(C198&gt;($B$4*5/10),($B$4*5/10)^2*(1.5*(C198^2-MAX(B198,($B$4*5/10))^2)-($B$4*5/10)*(C198-MAX(B198,($B$4*5/10)))),0))*1000,0)</f>
        <v>0</v>
      </c>
      <c r="AG198" s="120">
        <f>IF(AND(J198="OK",ISNUMBER($B$5),$B$5&gt;0,ISNUMBER($B$3),$B$3&gt;0),F198/(6*$B$3*1000000*$B$5)*(IF(B198&lt;($B$4*6/10),($B$4*6/10)*(MIN(C198,($B$4*6/10))^3-B198^3)-(MIN(C198,($B$4*6/10))^4-B198^4)/4,0)+IF(C198&gt;($B$4*6/10),($B$4*6/10)^2*(1.5*(C198^2-MAX(B198,($B$4*6/10))^2)-($B$4*6/10)*(C198-MAX(B198,($B$4*6/10)))),0))*1000,0)</f>
        <v>0</v>
      </c>
      <c r="AH198" s="120">
        <f>IF(AND(J198="OK",ISNUMBER($B$5),$B$5&gt;0,ISNUMBER($B$3),$B$3&gt;0),F198/(6*$B$3*1000000*$B$5)*(IF(B198&lt;($B$4*7/10),($B$4*7/10)*(MIN(C198,($B$4*7/10))^3-B198^3)-(MIN(C198,($B$4*7/10))^4-B198^4)/4,0)+IF(C198&gt;($B$4*7/10),($B$4*7/10)^2*(1.5*(C198^2-MAX(B198,($B$4*7/10))^2)-($B$4*7/10)*(C198-MAX(B198,($B$4*7/10)))),0))*1000,0)</f>
        <v>0</v>
      </c>
      <c r="AI198" s="120">
        <f>IF(AND(J198="OK",ISNUMBER($B$5),$B$5&gt;0,ISNUMBER($B$3),$B$3&gt;0),F198/(6*$B$3*1000000*$B$5)*(IF(B198&lt;($B$4*8/10),($B$4*8/10)*(MIN(C198,($B$4*8/10))^3-B198^3)-(MIN(C198,($B$4*8/10))^4-B198^4)/4,0)+IF(C198&gt;($B$4*8/10),($B$4*8/10)^2*(1.5*(C198^2-MAX(B198,($B$4*8/10))^2)-($B$4*8/10)*(C198-MAX(B198,($B$4*8/10)))),0))*1000,0)</f>
        <v>0</v>
      </c>
      <c r="AJ198" s="120">
        <f>IF(AND(J198="OK",ISNUMBER($B$5),$B$5&gt;0,ISNUMBER($B$3),$B$3&gt;0),F198/(6*$B$3*1000000*$B$5)*(IF(B198&lt;($B$4*9/10),($B$4*9/10)*(MIN(C198,($B$4*9/10))^3-B198^3)-(MIN(C198,($B$4*9/10))^4-B198^4)/4,0)+IF(C198&gt;($B$4*9/10),($B$4*9/10)^2*(1.5*(C198^2-MAX(B198,($B$4*9/10))^2)-($B$4*9/10)*(C198-MAX(B198,($B$4*9/10)))),0))*1000,0)</f>
        <v>0</v>
      </c>
      <c r="AK198" s="120">
        <f>IF(AND(J198="OK",ISNUMBER($B$5),$B$5&gt;0,ISNUMBER($B$3),$B$3&gt;0),F198/(6*$B$3*1000000*$B$5)*(IF(B198&lt;($B$4*10/10),($B$4*10/10)*(MIN(C198,($B$4*10/10))^3-B198^3)-(MIN(C198,($B$4*10/10))^4-B198^4)/4,0)+IF(C198&gt;($B$4*10/10),($B$4*10/10)^2*(1.5*(C198^2-MAX(B198,($B$4*10/10))^2)-($B$4*10/10)*(C198-MAX(B198,($B$4*10/10)))),0))*1000,0)</f>
        <v>0</v>
      </c>
      <c r="AM198" s="120">
        <f>IF(AND(V198="OK",ISNUMBER($N$5),$N$5&gt;0,ISNUMBER($N$3),$N$3&gt;0),R198/(6*$N$3*1000000*$N$5)*(IF(N198&lt;($N$4*0/10),($N$4*0/10)*(MIN(O198,($N$4*0/10))^3-N198^3)-(MIN(O198,($N$4*0/10))^4-N198^4)/4,0)+IF(O198&gt;($N$4*0/10),($N$4*0/10)^2*(1.5*(O198^2-MAX(N198,($N$4*0/10))^2)-($N$4*0/10)*(O198-MAX(N198,($N$4*0/10)))),0))*1000,0)</f>
        <v>0</v>
      </c>
      <c r="AN198" s="120">
        <f>IF(AND(V198="OK",ISNUMBER($N$5),$N$5&gt;0,ISNUMBER($N$3),$N$3&gt;0),R198/(6*$N$3*1000000*$N$5)*(IF(N198&lt;($N$4*1/10),($N$4*1/10)*(MIN(O198,($N$4*1/10))^3-N198^3)-(MIN(O198,($N$4*1/10))^4-N198^4)/4,0)+IF(O198&gt;($N$4*1/10),($N$4*1/10)^2*(1.5*(O198^2-MAX(N198,($N$4*1/10))^2)-($N$4*1/10)*(O198-MAX(N198,($N$4*1/10)))),0))*1000,0)</f>
        <v>0</v>
      </c>
      <c r="AO198" s="120">
        <f>IF(AND(V198="OK",ISNUMBER($N$5),$N$5&gt;0,ISNUMBER($N$3),$N$3&gt;0),R198/(6*$N$3*1000000*$N$5)*(IF(N198&lt;($N$4*2/10),($N$4*2/10)*(MIN(O198,($N$4*2/10))^3-N198^3)-(MIN(O198,($N$4*2/10))^4-N198^4)/4,0)+IF(O198&gt;($N$4*2/10),($N$4*2/10)^2*(1.5*(O198^2-MAX(N198,($N$4*2/10))^2)-($N$4*2/10)*(O198-MAX(N198,($N$4*2/10)))),0))*1000,0)</f>
        <v>0</v>
      </c>
      <c r="AP198" s="120">
        <f>IF(AND(V198="OK",ISNUMBER($N$5),$N$5&gt;0,ISNUMBER($N$3),$N$3&gt;0),R198/(6*$N$3*1000000*$N$5)*(IF(N198&lt;($N$4*3/10),($N$4*3/10)*(MIN(O198,($N$4*3/10))^3-N198^3)-(MIN(O198,($N$4*3/10))^4-N198^4)/4,0)+IF(O198&gt;($N$4*3/10),($N$4*3/10)^2*(1.5*(O198^2-MAX(N198,($N$4*3/10))^2)-($N$4*3/10)*(O198-MAX(N198,($N$4*3/10)))),0))*1000,0)</f>
        <v>0</v>
      </c>
      <c r="AQ198" s="120">
        <f>IF(AND(V198="OK",ISNUMBER($N$5),$N$5&gt;0,ISNUMBER($N$3),$N$3&gt;0),R198/(6*$N$3*1000000*$N$5)*(IF(N198&lt;($N$4*4/10),($N$4*4/10)*(MIN(O198,($N$4*4/10))^3-N198^3)-(MIN(O198,($N$4*4/10))^4-N198^4)/4,0)+IF(O198&gt;($N$4*4/10),($N$4*4/10)^2*(1.5*(O198^2-MAX(N198,($N$4*4/10))^2)-($N$4*4/10)*(O198-MAX(N198,($N$4*4/10)))),0))*1000,0)</f>
        <v>0</v>
      </c>
      <c r="AR198" s="120">
        <f>IF(AND(V198="OK",ISNUMBER($N$5),$N$5&gt;0,ISNUMBER($N$3),$N$3&gt;0),R198/(6*$N$3*1000000*$N$5)*(IF(N198&lt;($N$4*5/10),($N$4*5/10)*(MIN(O198,($N$4*5/10))^3-N198^3)-(MIN(O198,($N$4*5/10))^4-N198^4)/4,0)+IF(O198&gt;($N$4*5/10),($N$4*5/10)^2*(1.5*(O198^2-MAX(N198,($N$4*5/10))^2)-($N$4*5/10)*(O198-MAX(N198,($N$4*5/10)))),0))*1000,0)</f>
        <v>0</v>
      </c>
      <c r="AS198" s="120">
        <f>IF(AND(V198="OK",ISNUMBER($N$5),$N$5&gt;0,ISNUMBER($N$3),$N$3&gt;0),R198/(6*$N$3*1000000*$N$5)*(IF(N198&lt;($N$4*6/10),($N$4*6/10)*(MIN(O198,($N$4*6/10))^3-N198^3)-(MIN(O198,($N$4*6/10))^4-N198^4)/4,0)+IF(O198&gt;($N$4*6/10),($N$4*6/10)^2*(1.5*(O198^2-MAX(N198,($N$4*6/10))^2)-($N$4*6/10)*(O198-MAX(N198,($N$4*6/10)))),0))*1000,0)</f>
        <v>0</v>
      </c>
      <c r="AT198" s="120">
        <f>IF(AND(V198="OK",ISNUMBER($N$5),$N$5&gt;0,ISNUMBER($N$3),$N$3&gt;0),R198/(6*$N$3*1000000*$N$5)*(IF(N198&lt;($N$4*7/10),($N$4*7/10)*(MIN(O198,($N$4*7/10))^3-N198^3)-(MIN(O198,($N$4*7/10))^4-N198^4)/4,0)+IF(O198&gt;($N$4*7/10),($N$4*7/10)^2*(1.5*(O198^2-MAX(N198,($N$4*7/10))^2)-($N$4*7/10)*(O198-MAX(N198,($N$4*7/10)))),0))*1000,0)</f>
        <v>0</v>
      </c>
      <c r="AU198" s="120">
        <f>IF(AND(V198="OK",ISNUMBER($N$5),$N$5&gt;0,ISNUMBER($N$3),$N$3&gt;0),R198/(6*$N$3*1000000*$N$5)*(IF(N198&lt;($N$4*8/10),($N$4*8/10)*(MIN(O198,($N$4*8/10))^3-N198^3)-(MIN(O198,($N$4*8/10))^4-N198^4)/4,0)+IF(O198&gt;($N$4*8/10),($N$4*8/10)^2*(1.5*(O198^2-MAX(N198,($N$4*8/10))^2)-($N$4*8/10)*(O198-MAX(N198,($N$4*8/10)))),0))*1000,0)</f>
        <v>0</v>
      </c>
      <c r="AV198" s="120">
        <f>IF(AND(V198="OK",ISNUMBER($N$5),$N$5&gt;0,ISNUMBER($N$3),$N$3&gt;0),R198/(6*$N$3*1000000*$N$5)*(IF(N198&lt;($N$4*9/10),($N$4*9/10)*(MIN(O198,($N$4*9/10))^3-N198^3)-(MIN(O198,($N$4*9/10))^4-N198^4)/4,0)+IF(O198&gt;($N$4*9/10),($N$4*9/10)^2*(1.5*(O198^2-MAX(N198,($N$4*9/10))^2)-($N$4*9/10)*(O198-MAX(N198,($N$4*9/10)))),0))*1000,0)</f>
        <v>0</v>
      </c>
      <c r="AW198" s="120">
        <f>IF(AND(V198="OK",ISNUMBER($N$5),$N$5&gt;0,ISNUMBER($N$3),$N$3&gt;0),R198/(6*$N$3*1000000*$N$5)*(IF(N198&lt;($N$4*10/10),($N$4*10/10)*(MIN(O198,($N$4*10/10))^3-N198^3)-(MIN(O198,($N$4*10/10))^4-N198^4)/4,0)+IF(O198&gt;($N$4*10/10),($N$4*10/10)^2*(1.5*(O198^2-MAX(N198,($N$4*10/10))^2)-($N$4*10/10)*(O198-MAX(N198,($N$4*10/10)))),0))*1000,0)</f>
        <v>0</v>
      </c>
    </row>
    <row r="199" spans="1:49">
      <c r="A199" s="124"/>
      <c r="B199" s="125"/>
      <c r="C199" s="125"/>
      <c r="D199" s="125"/>
      <c r="E199" s="125"/>
      <c r="F199" s="126" t="str">
        <f>IF(J199="OK",D199*E199,"")</f>
        <v/>
      </c>
      <c r="G199" s="126" t="str">
        <f>IF(J199="OK",F199*(C199-B199),"")</f>
        <v/>
      </c>
      <c r="H199" s="126" t="str">
        <f>IF(J199="OK",G199*(C199+B199)/2,"")</f>
        <v/>
      </c>
      <c r="I199" s="126" t="str">
        <f>IF(AND(J199="OK",ISNUMBER($B$5),$B$5&gt;0,ISNUMBER($B$3),$B$3&gt;0),F199*(4*$B$4*(C199^3-B199^3)-(C199^4-B199^4))/(24*$B$3*1000000*$B$5)*1000,"")</f>
        <v/>
      </c>
      <c r="J199" s="120" t="str">
        <f>IF(COUNTA(A199:E199)=0,"",IF(AND(COUNT(B199:E199)=4,B199&gt;=0,C199&gt;B199,C199&lt;=$B$4,D199&gt;=0,E199&gt;0),IF(COUNTIFS($B$13:$B$198,"&lt;"&amp;C199,$C$13:$C$198,"&gt;"&amp;B199)&gt;0,"OVERLAP","OK"),"CHECK INPUTS"))</f>
        <v/>
      </c>
      <c r="M199" s="124"/>
      <c r="N199" s="125"/>
      <c r="O199" s="125"/>
      <c r="P199" s="125"/>
      <c r="Q199" s="125"/>
      <c r="R199" s="126" t="str">
        <f>IF(V199="OK",P199*Q199,"")</f>
        <v/>
      </c>
      <c r="S199" s="126" t="str">
        <f>IF(V199="OK",R199*(O199-N199),"")</f>
        <v/>
      </c>
      <c r="T199" s="126" t="str">
        <f>IF(V199="OK",S199*(O199+N199)/2,"")</f>
        <v/>
      </c>
      <c r="U199" s="126" t="str">
        <f>IF(AND(V199="OK",ISNUMBER($N$5),$N$5&gt;0,ISNUMBER($N$3),$N$3&gt;0),R199*(4*$N$4*(O199^3-N199^3)-(O199^4-N199^4))/(24*$N$3*1000000*$N$5)*1000,"")</f>
        <v/>
      </c>
      <c r="V199" s="120" t="str">
        <f>IF(COUNTA(M199:Q199)=0,"",IF(AND(COUNT(N199:Q199)=4,N199&gt;=0,O199&gt;N199,O199&lt;=$N$4,P199&gt;=0,Q199&gt;0),IF(COUNTIFS($N$13:$N$198,"&lt;"&amp;O199,$O$13:$O$198,"&gt;"&amp;N199)&gt;0,"OVERLAP","OK"),"CHECK INPUTS"))</f>
        <v/>
      </c>
      <c r="AA199" s="120">
        <f>IF(AND(J199="OK",ISNUMBER($B$5),$B$5&gt;0,ISNUMBER($B$3),$B$3&gt;0),F199/(6*$B$3*1000000*$B$5)*(IF(B199&lt;($B$4*0/10),($B$4*0/10)*(MIN(C199,($B$4*0/10))^3-B199^3)-(MIN(C199,($B$4*0/10))^4-B199^4)/4,0)+IF(C199&gt;($B$4*0/10),($B$4*0/10)^2*(1.5*(C199^2-MAX(B199,($B$4*0/10))^2)-($B$4*0/10)*(C199-MAX(B199,($B$4*0/10)))),0))*1000,0)</f>
        <v>0</v>
      </c>
      <c r="AB199" s="120">
        <f>IF(AND(J199="OK",ISNUMBER($B$5),$B$5&gt;0,ISNUMBER($B$3),$B$3&gt;0),F199/(6*$B$3*1000000*$B$5)*(IF(B199&lt;($B$4*1/10),($B$4*1/10)*(MIN(C199,($B$4*1/10))^3-B199^3)-(MIN(C199,($B$4*1/10))^4-B199^4)/4,0)+IF(C199&gt;($B$4*1/10),($B$4*1/10)^2*(1.5*(C199^2-MAX(B199,($B$4*1/10))^2)-($B$4*1/10)*(C199-MAX(B199,($B$4*1/10)))),0))*1000,0)</f>
        <v>0</v>
      </c>
      <c r="AC199" s="120">
        <f>IF(AND(J199="OK",ISNUMBER($B$5),$B$5&gt;0,ISNUMBER($B$3),$B$3&gt;0),F199/(6*$B$3*1000000*$B$5)*(IF(B199&lt;($B$4*2/10),($B$4*2/10)*(MIN(C199,($B$4*2/10))^3-B199^3)-(MIN(C199,($B$4*2/10))^4-B199^4)/4,0)+IF(C199&gt;($B$4*2/10),($B$4*2/10)^2*(1.5*(C199^2-MAX(B199,($B$4*2/10))^2)-($B$4*2/10)*(C199-MAX(B199,($B$4*2/10)))),0))*1000,0)</f>
        <v>0</v>
      </c>
      <c r="AD199" s="120">
        <f>IF(AND(J199="OK",ISNUMBER($B$5),$B$5&gt;0,ISNUMBER($B$3),$B$3&gt;0),F199/(6*$B$3*1000000*$B$5)*(IF(B199&lt;($B$4*3/10),($B$4*3/10)*(MIN(C199,($B$4*3/10))^3-B199^3)-(MIN(C199,($B$4*3/10))^4-B199^4)/4,0)+IF(C199&gt;($B$4*3/10),($B$4*3/10)^2*(1.5*(C199^2-MAX(B199,($B$4*3/10))^2)-($B$4*3/10)*(C199-MAX(B199,($B$4*3/10)))),0))*1000,0)</f>
        <v>0</v>
      </c>
      <c r="AE199" s="120">
        <f>IF(AND(J199="OK",ISNUMBER($B$5),$B$5&gt;0,ISNUMBER($B$3),$B$3&gt;0),F199/(6*$B$3*1000000*$B$5)*(IF(B199&lt;($B$4*4/10),($B$4*4/10)*(MIN(C199,($B$4*4/10))^3-B199^3)-(MIN(C199,($B$4*4/10))^4-B199^4)/4,0)+IF(C199&gt;($B$4*4/10),($B$4*4/10)^2*(1.5*(C199^2-MAX(B199,($B$4*4/10))^2)-($B$4*4/10)*(C199-MAX(B199,($B$4*4/10)))),0))*1000,0)</f>
        <v>0</v>
      </c>
      <c r="AF199" s="120">
        <f>IF(AND(J199="OK",ISNUMBER($B$5),$B$5&gt;0,ISNUMBER($B$3),$B$3&gt;0),F199/(6*$B$3*1000000*$B$5)*(IF(B199&lt;($B$4*5/10),($B$4*5/10)*(MIN(C199,($B$4*5/10))^3-B199^3)-(MIN(C199,($B$4*5/10))^4-B199^4)/4,0)+IF(C199&gt;($B$4*5/10),($B$4*5/10)^2*(1.5*(C199^2-MAX(B199,($B$4*5/10))^2)-($B$4*5/10)*(C199-MAX(B199,($B$4*5/10)))),0))*1000,0)</f>
        <v>0</v>
      </c>
      <c r="AG199" s="120">
        <f>IF(AND(J199="OK",ISNUMBER($B$5),$B$5&gt;0,ISNUMBER($B$3),$B$3&gt;0),F199/(6*$B$3*1000000*$B$5)*(IF(B199&lt;($B$4*6/10),($B$4*6/10)*(MIN(C199,($B$4*6/10))^3-B199^3)-(MIN(C199,($B$4*6/10))^4-B199^4)/4,0)+IF(C199&gt;($B$4*6/10),($B$4*6/10)^2*(1.5*(C199^2-MAX(B199,($B$4*6/10))^2)-($B$4*6/10)*(C199-MAX(B199,($B$4*6/10)))),0))*1000,0)</f>
        <v>0</v>
      </c>
      <c r="AH199" s="120">
        <f>IF(AND(J199="OK",ISNUMBER($B$5),$B$5&gt;0,ISNUMBER($B$3),$B$3&gt;0),F199/(6*$B$3*1000000*$B$5)*(IF(B199&lt;($B$4*7/10),($B$4*7/10)*(MIN(C199,($B$4*7/10))^3-B199^3)-(MIN(C199,($B$4*7/10))^4-B199^4)/4,0)+IF(C199&gt;($B$4*7/10),($B$4*7/10)^2*(1.5*(C199^2-MAX(B199,($B$4*7/10))^2)-($B$4*7/10)*(C199-MAX(B199,($B$4*7/10)))),0))*1000,0)</f>
        <v>0</v>
      </c>
      <c r="AI199" s="120">
        <f>IF(AND(J199="OK",ISNUMBER($B$5),$B$5&gt;0,ISNUMBER($B$3),$B$3&gt;0),F199/(6*$B$3*1000000*$B$5)*(IF(B199&lt;($B$4*8/10),($B$4*8/10)*(MIN(C199,($B$4*8/10))^3-B199^3)-(MIN(C199,($B$4*8/10))^4-B199^4)/4,0)+IF(C199&gt;($B$4*8/10),($B$4*8/10)^2*(1.5*(C199^2-MAX(B199,($B$4*8/10))^2)-($B$4*8/10)*(C199-MAX(B199,($B$4*8/10)))),0))*1000,0)</f>
        <v>0</v>
      </c>
      <c r="AJ199" s="120">
        <f>IF(AND(J199="OK",ISNUMBER($B$5),$B$5&gt;0,ISNUMBER($B$3),$B$3&gt;0),F199/(6*$B$3*1000000*$B$5)*(IF(B199&lt;($B$4*9/10),($B$4*9/10)*(MIN(C199,($B$4*9/10))^3-B199^3)-(MIN(C199,($B$4*9/10))^4-B199^4)/4,0)+IF(C199&gt;($B$4*9/10),($B$4*9/10)^2*(1.5*(C199^2-MAX(B199,($B$4*9/10))^2)-($B$4*9/10)*(C199-MAX(B199,($B$4*9/10)))),0))*1000,0)</f>
        <v>0</v>
      </c>
      <c r="AK199" s="120">
        <f>IF(AND(J199="OK",ISNUMBER($B$5),$B$5&gt;0,ISNUMBER($B$3),$B$3&gt;0),F199/(6*$B$3*1000000*$B$5)*(IF(B199&lt;($B$4*10/10),($B$4*10/10)*(MIN(C199,($B$4*10/10))^3-B199^3)-(MIN(C199,($B$4*10/10))^4-B199^4)/4,0)+IF(C199&gt;($B$4*10/10),($B$4*10/10)^2*(1.5*(C199^2-MAX(B199,($B$4*10/10))^2)-($B$4*10/10)*(C199-MAX(B199,($B$4*10/10)))),0))*1000,0)</f>
        <v>0</v>
      </c>
      <c r="AM199" s="120">
        <f>IF(AND(V199="OK",ISNUMBER($N$5),$N$5&gt;0,ISNUMBER($N$3),$N$3&gt;0),R199/(6*$N$3*1000000*$N$5)*(IF(N199&lt;($N$4*0/10),($N$4*0/10)*(MIN(O199,($N$4*0/10))^3-N199^3)-(MIN(O199,($N$4*0/10))^4-N199^4)/4,0)+IF(O199&gt;($N$4*0/10),($N$4*0/10)^2*(1.5*(O199^2-MAX(N199,($N$4*0/10))^2)-($N$4*0/10)*(O199-MAX(N199,($N$4*0/10)))),0))*1000,0)</f>
        <v>0</v>
      </c>
      <c r="AN199" s="120">
        <f>IF(AND(V199="OK",ISNUMBER($N$5),$N$5&gt;0,ISNUMBER($N$3),$N$3&gt;0),R199/(6*$N$3*1000000*$N$5)*(IF(N199&lt;($N$4*1/10),($N$4*1/10)*(MIN(O199,($N$4*1/10))^3-N199^3)-(MIN(O199,($N$4*1/10))^4-N199^4)/4,0)+IF(O199&gt;($N$4*1/10),($N$4*1/10)^2*(1.5*(O199^2-MAX(N199,($N$4*1/10))^2)-($N$4*1/10)*(O199-MAX(N199,($N$4*1/10)))),0))*1000,0)</f>
        <v>0</v>
      </c>
      <c r="AO199" s="120">
        <f>IF(AND(V199="OK",ISNUMBER($N$5),$N$5&gt;0,ISNUMBER($N$3),$N$3&gt;0),R199/(6*$N$3*1000000*$N$5)*(IF(N199&lt;($N$4*2/10),($N$4*2/10)*(MIN(O199,($N$4*2/10))^3-N199^3)-(MIN(O199,($N$4*2/10))^4-N199^4)/4,0)+IF(O199&gt;($N$4*2/10),($N$4*2/10)^2*(1.5*(O199^2-MAX(N199,($N$4*2/10))^2)-($N$4*2/10)*(O199-MAX(N199,($N$4*2/10)))),0))*1000,0)</f>
        <v>0</v>
      </c>
      <c r="AP199" s="120">
        <f>IF(AND(V199="OK",ISNUMBER($N$5),$N$5&gt;0,ISNUMBER($N$3),$N$3&gt;0),R199/(6*$N$3*1000000*$N$5)*(IF(N199&lt;($N$4*3/10),($N$4*3/10)*(MIN(O199,($N$4*3/10))^3-N199^3)-(MIN(O199,($N$4*3/10))^4-N199^4)/4,0)+IF(O199&gt;($N$4*3/10),($N$4*3/10)^2*(1.5*(O199^2-MAX(N199,($N$4*3/10))^2)-($N$4*3/10)*(O199-MAX(N199,($N$4*3/10)))),0))*1000,0)</f>
        <v>0</v>
      </c>
      <c r="AQ199" s="120">
        <f>IF(AND(V199="OK",ISNUMBER($N$5),$N$5&gt;0,ISNUMBER($N$3),$N$3&gt;0),R199/(6*$N$3*1000000*$N$5)*(IF(N199&lt;($N$4*4/10),($N$4*4/10)*(MIN(O199,($N$4*4/10))^3-N199^3)-(MIN(O199,($N$4*4/10))^4-N199^4)/4,0)+IF(O199&gt;($N$4*4/10),($N$4*4/10)^2*(1.5*(O199^2-MAX(N199,($N$4*4/10))^2)-($N$4*4/10)*(O199-MAX(N199,($N$4*4/10)))),0))*1000,0)</f>
        <v>0</v>
      </c>
      <c r="AR199" s="120">
        <f>IF(AND(V199="OK",ISNUMBER($N$5),$N$5&gt;0,ISNUMBER($N$3),$N$3&gt;0),R199/(6*$N$3*1000000*$N$5)*(IF(N199&lt;($N$4*5/10),($N$4*5/10)*(MIN(O199,($N$4*5/10))^3-N199^3)-(MIN(O199,($N$4*5/10))^4-N199^4)/4,0)+IF(O199&gt;($N$4*5/10),($N$4*5/10)^2*(1.5*(O199^2-MAX(N199,($N$4*5/10))^2)-($N$4*5/10)*(O199-MAX(N199,($N$4*5/10)))),0))*1000,0)</f>
        <v>0</v>
      </c>
      <c r="AS199" s="120">
        <f>IF(AND(V199="OK",ISNUMBER($N$5),$N$5&gt;0,ISNUMBER($N$3),$N$3&gt;0),R199/(6*$N$3*1000000*$N$5)*(IF(N199&lt;($N$4*6/10),($N$4*6/10)*(MIN(O199,($N$4*6/10))^3-N199^3)-(MIN(O199,($N$4*6/10))^4-N199^4)/4,0)+IF(O199&gt;($N$4*6/10),($N$4*6/10)^2*(1.5*(O199^2-MAX(N199,($N$4*6/10))^2)-($N$4*6/10)*(O199-MAX(N199,($N$4*6/10)))),0))*1000,0)</f>
        <v>0</v>
      </c>
      <c r="AT199" s="120">
        <f>IF(AND(V199="OK",ISNUMBER($N$5),$N$5&gt;0,ISNUMBER($N$3),$N$3&gt;0),R199/(6*$N$3*1000000*$N$5)*(IF(N199&lt;($N$4*7/10),($N$4*7/10)*(MIN(O199,($N$4*7/10))^3-N199^3)-(MIN(O199,($N$4*7/10))^4-N199^4)/4,0)+IF(O199&gt;($N$4*7/10),($N$4*7/10)^2*(1.5*(O199^2-MAX(N199,($N$4*7/10))^2)-($N$4*7/10)*(O199-MAX(N199,($N$4*7/10)))),0))*1000,0)</f>
        <v>0</v>
      </c>
      <c r="AU199" s="120">
        <f>IF(AND(V199="OK",ISNUMBER($N$5),$N$5&gt;0,ISNUMBER($N$3),$N$3&gt;0),R199/(6*$N$3*1000000*$N$5)*(IF(N199&lt;($N$4*8/10),($N$4*8/10)*(MIN(O199,($N$4*8/10))^3-N199^3)-(MIN(O199,($N$4*8/10))^4-N199^4)/4,0)+IF(O199&gt;($N$4*8/10),($N$4*8/10)^2*(1.5*(O199^2-MAX(N199,($N$4*8/10))^2)-($N$4*8/10)*(O199-MAX(N199,($N$4*8/10)))),0))*1000,0)</f>
        <v>0</v>
      </c>
      <c r="AV199" s="120">
        <f>IF(AND(V199="OK",ISNUMBER($N$5),$N$5&gt;0,ISNUMBER($N$3),$N$3&gt;0),R199/(6*$N$3*1000000*$N$5)*(IF(N199&lt;($N$4*9/10),($N$4*9/10)*(MIN(O199,($N$4*9/10))^3-N199^3)-(MIN(O199,($N$4*9/10))^4-N199^4)/4,0)+IF(O199&gt;($N$4*9/10),($N$4*9/10)^2*(1.5*(O199^2-MAX(N199,($N$4*9/10))^2)-($N$4*9/10)*(O199-MAX(N199,($N$4*9/10)))),0))*1000,0)</f>
        <v>0</v>
      </c>
      <c r="AW199" s="120">
        <f>IF(AND(V199="OK",ISNUMBER($N$5),$N$5&gt;0,ISNUMBER($N$3),$N$3&gt;0),R199/(6*$N$3*1000000*$N$5)*(IF(N199&lt;($N$4*10/10),($N$4*10/10)*(MIN(O199,($N$4*10/10))^3-N199^3)-(MIN(O199,($N$4*10/10))^4-N199^4)/4,0)+IF(O199&gt;($N$4*10/10),($N$4*10/10)^2*(1.5*(O199^2-MAX(N199,($N$4*10/10))^2)-($N$4*10/10)*(O199-MAX(N199,($N$4*10/10)))),0))*1000,0)</f>
        <v>0</v>
      </c>
    </row>
    <row r="200" spans="1:49">
      <c r="A200" s="124"/>
      <c r="B200" s="125"/>
      <c r="C200" s="125"/>
      <c r="D200" s="125"/>
      <c r="E200" s="125"/>
      <c r="F200" s="126" t="str">
        <f>IF(J200="OK",D200*E200,"")</f>
        <v/>
      </c>
      <c r="G200" s="126" t="str">
        <f>IF(J200="OK",F200*(C200-B200),"")</f>
        <v/>
      </c>
      <c r="H200" s="126" t="str">
        <f>IF(J200="OK",G200*(C200+B200)/2,"")</f>
        <v/>
      </c>
      <c r="I200" s="126" t="str">
        <f>IF(AND(J200="OK",ISNUMBER($B$5),$B$5&gt;0,ISNUMBER($B$3),$B$3&gt;0),F200*(4*$B$4*(C200^3-B200^3)-(C200^4-B200^4))/(24*$B$3*1000000*$B$5)*1000,"")</f>
        <v/>
      </c>
      <c r="J200" s="120" t="str">
        <f>IF(COUNTA(A200:E200)=0,"",IF(AND(COUNT(B200:E200)=4,B200&gt;=0,C200&gt;B200,C200&lt;=$B$4,D200&gt;=0,E200&gt;0),IF(COUNTIFS($B$13:$B$199,"&lt;"&amp;C200,$C$13:$C$199,"&gt;"&amp;B200)&gt;0,"OVERLAP","OK"),"CHECK INPUTS"))</f>
        <v/>
      </c>
      <c r="M200" s="124"/>
      <c r="N200" s="125"/>
      <c r="O200" s="125"/>
      <c r="P200" s="125"/>
      <c r="Q200" s="125"/>
      <c r="R200" s="126" t="str">
        <f>IF(V200="OK",P200*Q200,"")</f>
        <v/>
      </c>
      <c r="S200" s="126" t="str">
        <f>IF(V200="OK",R200*(O200-N200),"")</f>
        <v/>
      </c>
      <c r="T200" s="126" t="str">
        <f>IF(V200="OK",S200*(O200+N200)/2,"")</f>
        <v/>
      </c>
      <c r="U200" s="126" t="str">
        <f>IF(AND(V200="OK",ISNUMBER($N$5),$N$5&gt;0,ISNUMBER($N$3),$N$3&gt;0),R200*(4*$N$4*(O200^3-N200^3)-(O200^4-N200^4))/(24*$N$3*1000000*$N$5)*1000,"")</f>
        <v/>
      </c>
      <c r="V200" s="120" t="str">
        <f>IF(COUNTA(M200:Q200)=0,"",IF(AND(COUNT(N200:Q200)=4,N200&gt;=0,O200&gt;N200,O200&lt;=$N$4,P200&gt;=0,Q200&gt;0),IF(COUNTIFS($N$13:$N$199,"&lt;"&amp;O200,$O$13:$O$199,"&gt;"&amp;N200)&gt;0,"OVERLAP","OK"),"CHECK INPUTS"))</f>
        <v/>
      </c>
      <c r="AA200" s="120">
        <f>IF(AND(J200="OK",ISNUMBER($B$5),$B$5&gt;0,ISNUMBER($B$3),$B$3&gt;0),F200/(6*$B$3*1000000*$B$5)*(IF(B200&lt;($B$4*0/10),($B$4*0/10)*(MIN(C200,($B$4*0/10))^3-B200^3)-(MIN(C200,($B$4*0/10))^4-B200^4)/4,0)+IF(C200&gt;($B$4*0/10),($B$4*0/10)^2*(1.5*(C200^2-MAX(B200,($B$4*0/10))^2)-($B$4*0/10)*(C200-MAX(B200,($B$4*0/10)))),0))*1000,0)</f>
        <v>0</v>
      </c>
      <c r="AB200" s="120">
        <f>IF(AND(J200="OK",ISNUMBER($B$5),$B$5&gt;0,ISNUMBER($B$3),$B$3&gt;0),F200/(6*$B$3*1000000*$B$5)*(IF(B200&lt;($B$4*1/10),($B$4*1/10)*(MIN(C200,($B$4*1/10))^3-B200^3)-(MIN(C200,($B$4*1/10))^4-B200^4)/4,0)+IF(C200&gt;($B$4*1/10),($B$4*1/10)^2*(1.5*(C200^2-MAX(B200,($B$4*1/10))^2)-($B$4*1/10)*(C200-MAX(B200,($B$4*1/10)))),0))*1000,0)</f>
        <v>0</v>
      </c>
      <c r="AC200" s="120">
        <f>IF(AND(J200="OK",ISNUMBER($B$5),$B$5&gt;0,ISNUMBER($B$3),$B$3&gt;0),F200/(6*$B$3*1000000*$B$5)*(IF(B200&lt;($B$4*2/10),($B$4*2/10)*(MIN(C200,($B$4*2/10))^3-B200^3)-(MIN(C200,($B$4*2/10))^4-B200^4)/4,0)+IF(C200&gt;($B$4*2/10),($B$4*2/10)^2*(1.5*(C200^2-MAX(B200,($B$4*2/10))^2)-($B$4*2/10)*(C200-MAX(B200,($B$4*2/10)))),0))*1000,0)</f>
        <v>0</v>
      </c>
      <c r="AD200" s="120">
        <f>IF(AND(J200="OK",ISNUMBER($B$5),$B$5&gt;0,ISNUMBER($B$3),$B$3&gt;0),F200/(6*$B$3*1000000*$B$5)*(IF(B200&lt;($B$4*3/10),($B$4*3/10)*(MIN(C200,($B$4*3/10))^3-B200^3)-(MIN(C200,($B$4*3/10))^4-B200^4)/4,0)+IF(C200&gt;($B$4*3/10),($B$4*3/10)^2*(1.5*(C200^2-MAX(B200,($B$4*3/10))^2)-($B$4*3/10)*(C200-MAX(B200,($B$4*3/10)))),0))*1000,0)</f>
        <v>0</v>
      </c>
      <c r="AE200" s="120">
        <f>IF(AND(J200="OK",ISNUMBER($B$5),$B$5&gt;0,ISNUMBER($B$3),$B$3&gt;0),F200/(6*$B$3*1000000*$B$5)*(IF(B200&lt;($B$4*4/10),($B$4*4/10)*(MIN(C200,($B$4*4/10))^3-B200^3)-(MIN(C200,($B$4*4/10))^4-B200^4)/4,0)+IF(C200&gt;($B$4*4/10),($B$4*4/10)^2*(1.5*(C200^2-MAX(B200,($B$4*4/10))^2)-($B$4*4/10)*(C200-MAX(B200,($B$4*4/10)))),0))*1000,0)</f>
        <v>0</v>
      </c>
      <c r="AF200" s="120">
        <f>IF(AND(J200="OK",ISNUMBER($B$5),$B$5&gt;0,ISNUMBER($B$3),$B$3&gt;0),F200/(6*$B$3*1000000*$B$5)*(IF(B200&lt;($B$4*5/10),($B$4*5/10)*(MIN(C200,($B$4*5/10))^3-B200^3)-(MIN(C200,($B$4*5/10))^4-B200^4)/4,0)+IF(C200&gt;($B$4*5/10),($B$4*5/10)^2*(1.5*(C200^2-MAX(B200,($B$4*5/10))^2)-($B$4*5/10)*(C200-MAX(B200,($B$4*5/10)))),0))*1000,0)</f>
        <v>0</v>
      </c>
      <c r="AG200" s="120">
        <f>IF(AND(J200="OK",ISNUMBER($B$5),$B$5&gt;0,ISNUMBER($B$3),$B$3&gt;0),F200/(6*$B$3*1000000*$B$5)*(IF(B200&lt;($B$4*6/10),($B$4*6/10)*(MIN(C200,($B$4*6/10))^3-B200^3)-(MIN(C200,($B$4*6/10))^4-B200^4)/4,0)+IF(C200&gt;($B$4*6/10),($B$4*6/10)^2*(1.5*(C200^2-MAX(B200,($B$4*6/10))^2)-($B$4*6/10)*(C200-MAX(B200,($B$4*6/10)))),0))*1000,0)</f>
        <v>0</v>
      </c>
      <c r="AH200" s="120">
        <f>IF(AND(J200="OK",ISNUMBER($B$5),$B$5&gt;0,ISNUMBER($B$3),$B$3&gt;0),F200/(6*$B$3*1000000*$B$5)*(IF(B200&lt;($B$4*7/10),($B$4*7/10)*(MIN(C200,($B$4*7/10))^3-B200^3)-(MIN(C200,($B$4*7/10))^4-B200^4)/4,0)+IF(C200&gt;($B$4*7/10),($B$4*7/10)^2*(1.5*(C200^2-MAX(B200,($B$4*7/10))^2)-($B$4*7/10)*(C200-MAX(B200,($B$4*7/10)))),0))*1000,0)</f>
        <v>0</v>
      </c>
      <c r="AI200" s="120">
        <f>IF(AND(J200="OK",ISNUMBER($B$5),$B$5&gt;0,ISNUMBER($B$3),$B$3&gt;0),F200/(6*$B$3*1000000*$B$5)*(IF(B200&lt;($B$4*8/10),($B$4*8/10)*(MIN(C200,($B$4*8/10))^3-B200^3)-(MIN(C200,($B$4*8/10))^4-B200^4)/4,0)+IF(C200&gt;($B$4*8/10),($B$4*8/10)^2*(1.5*(C200^2-MAX(B200,($B$4*8/10))^2)-($B$4*8/10)*(C200-MAX(B200,($B$4*8/10)))),0))*1000,0)</f>
        <v>0</v>
      </c>
      <c r="AJ200" s="120">
        <f>IF(AND(J200="OK",ISNUMBER($B$5),$B$5&gt;0,ISNUMBER($B$3),$B$3&gt;0),F200/(6*$B$3*1000000*$B$5)*(IF(B200&lt;($B$4*9/10),($B$4*9/10)*(MIN(C200,($B$4*9/10))^3-B200^3)-(MIN(C200,($B$4*9/10))^4-B200^4)/4,0)+IF(C200&gt;($B$4*9/10),($B$4*9/10)^2*(1.5*(C200^2-MAX(B200,($B$4*9/10))^2)-($B$4*9/10)*(C200-MAX(B200,($B$4*9/10)))),0))*1000,0)</f>
        <v>0</v>
      </c>
      <c r="AK200" s="120">
        <f>IF(AND(J200="OK",ISNUMBER($B$5),$B$5&gt;0,ISNUMBER($B$3),$B$3&gt;0),F200/(6*$B$3*1000000*$B$5)*(IF(B200&lt;($B$4*10/10),($B$4*10/10)*(MIN(C200,($B$4*10/10))^3-B200^3)-(MIN(C200,($B$4*10/10))^4-B200^4)/4,0)+IF(C200&gt;($B$4*10/10),($B$4*10/10)^2*(1.5*(C200^2-MAX(B200,($B$4*10/10))^2)-($B$4*10/10)*(C200-MAX(B200,($B$4*10/10)))),0))*1000,0)</f>
        <v>0</v>
      </c>
      <c r="AM200" s="120">
        <f>IF(AND(V200="OK",ISNUMBER($N$5),$N$5&gt;0,ISNUMBER($N$3),$N$3&gt;0),R200/(6*$N$3*1000000*$N$5)*(IF(N200&lt;($N$4*0/10),($N$4*0/10)*(MIN(O200,($N$4*0/10))^3-N200^3)-(MIN(O200,($N$4*0/10))^4-N200^4)/4,0)+IF(O200&gt;($N$4*0/10),($N$4*0/10)^2*(1.5*(O200^2-MAX(N200,($N$4*0/10))^2)-($N$4*0/10)*(O200-MAX(N200,($N$4*0/10)))),0))*1000,0)</f>
        <v>0</v>
      </c>
      <c r="AN200" s="120">
        <f>IF(AND(V200="OK",ISNUMBER($N$5),$N$5&gt;0,ISNUMBER($N$3),$N$3&gt;0),R200/(6*$N$3*1000000*$N$5)*(IF(N200&lt;($N$4*1/10),($N$4*1/10)*(MIN(O200,($N$4*1/10))^3-N200^3)-(MIN(O200,($N$4*1/10))^4-N200^4)/4,0)+IF(O200&gt;($N$4*1/10),($N$4*1/10)^2*(1.5*(O200^2-MAX(N200,($N$4*1/10))^2)-($N$4*1/10)*(O200-MAX(N200,($N$4*1/10)))),0))*1000,0)</f>
        <v>0</v>
      </c>
      <c r="AO200" s="120">
        <f>IF(AND(V200="OK",ISNUMBER($N$5),$N$5&gt;0,ISNUMBER($N$3),$N$3&gt;0),R200/(6*$N$3*1000000*$N$5)*(IF(N200&lt;($N$4*2/10),($N$4*2/10)*(MIN(O200,($N$4*2/10))^3-N200^3)-(MIN(O200,($N$4*2/10))^4-N200^4)/4,0)+IF(O200&gt;($N$4*2/10),($N$4*2/10)^2*(1.5*(O200^2-MAX(N200,($N$4*2/10))^2)-($N$4*2/10)*(O200-MAX(N200,($N$4*2/10)))),0))*1000,0)</f>
        <v>0</v>
      </c>
      <c r="AP200" s="120">
        <f>IF(AND(V200="OK",ISNUMBER($N$5),$N$5&gt;0,ISNUMBER($N$3),$N$3&gt;0),R200/(6*$N$3*1000000*$N$5)*(IF(N200&lt;($N$4*3/10),($N$4*3/10)*(MIN(O200,($N$4*3/10))^3-N200^3)-(MIN(O200,($N$4*3/10))^4-N200^4)/4,0)+IF(O200&gt;($N$4*3/10),($N$4*3/10)^2*(1.5*(O200^2-MAX(N200,($N$4*3/10))^2)-($N$4*3/10)*(O200-MAX(N200,($N$4*3/10)))),0))*1000,0)</f>
        <v>0</v>
      </c>
      <c r="AQ200" s="120">
        <f>IF(AND(V200="OK",ISNUMBER($N$5),$N$5&gt;0,ISNUMBER($N$3),$N$3&gt;0),R200/(6*$N$3*1000000*$N$5)*(IF(N200&lt;($N$4*4/10),($N$4*4/10)*(MIN(O200,($N$4*4/10))^3-N200^3)-(MIN(O200,($N$4*4/10))^4-N200^4)/4,0)+IF(O200&gt;($N$4*4/10),($N$4*4/10)^2*(1.5*(O200^2-MAX(N200,($N$4*4/10))^2)-($N$4*4/10)*(O200-MAX(N200,($N$4*4/10)))),0))*1000,0)</f>
        <v>0</v>
      </c>
      <c r="AR200" s="120">
        <f>IF(AND(V200="OK",ISNUMBER($N$5),$N$5&gt;0,ISNUMBER($N$3),$N$3&gt;0),R200/(6*$N$3*1000000*$N$5)*(IF(N200&lt;($N$4*5/10),($N$4*5/10)*(MIN(O200,($N$4*5/10))^3-N200^3)-(MIN(O200,($N$4*5/10))^4-N200^4)/4,0)+IF(O200&gt;($N$4*5/10),($N$4*5/10)^2*(1.5*(O200^2-MAX(N200,($N$4*5/10))^2)-($N$4*5/10)*(O200-MAX(N200,($N$4*5/10)))),0))*1000,0)</f>
        <v>0</v>
      </c>
      <c r="AS200" s="120">
        <f>IF(AND(V200="OK",ISNUMBER($N$5),$N$5&gt;0,ISNUMBER($N$3),$N$3&gt;0),R200/(6*$N$3*1000000*$N$5)*(IF(N200&lt;($N$4*6/10),($N$4*6/10)*(MIN(O200,($N$4*6/10))^3-N200^3)-(MIN(O200,($N$4*6/10))^4-N200^4)/4,0)+IF(O200&gt;($N$4*6/10),($N$4*6/10)^2*(1.5*(O200^2-MAX(N200,($N$4*6/10))^2)-($N$4*6/10)*(O200-MAX(N200,($N$4*6/10)))),0))*1000,0)</f>
        <v>0</v>
      </c>
      <c r="AT200" s="120">
        <f>IF(AND(V200="OK",ISNUMBER($N$5),$N$5&gt;0,ISNUMBER($N$3),$N$3&gt;0),R200/(6*$N$3*1000000*$N$5)*(IF(N200&lt;($N$4*7/10),($N$4*7/10)*(MIN(O200,($N$4*7/10))^3-N200^3)-(MIN(O200,($N$4*7/10))^4-N200^4)/4,0)+IF(O200&gt;($N$4*7/10),($N$4*7/10)^2*(1.5*(O200^2-MAX(N200,($N$4*7/10))^2)-($N$4*7/10)*(O200-MAX(N200,($N$4*7/10)))),0))*1000,0)</f>
        <v>0</v>
      </c>
      <c r="AU200" s="120">
        <f>IF(AND(V200="OK",ISNUMBER($N$5),$N$5&gt;0,ISNUMBER($N$3),$N$3&gt;0),R200/(6*$N$3*1000000*$N$5)*(IF(N200&lt;($N$4*8/10),($N$4*8/10)*(MIN(O200,($N$4*8/10))^3-N200^3)-(MIN(O200,($N$4*8/10))^4-N200^4)/4,0)+IF(O200&gt;($N$4*8/10),($N$4*8/10)^2*(1.5*(O200^2-MAX(N200,($N$4*8/10))^2)-($N$4*8/10)*(O200-MAX(N200,($N$4*8/10)))),0))*1000,0)</f>
        <v>0</v>
      </c>
      <c r="AV200" s="120">
        <f>IF(AND(V200="OK",ISNUMBER($N$5),$N$5&gt;0,ISNUMBER($N$3),$N$3&gt;0),R200/(6*$N$3*1000000*$N$5)*(IF(N200&lt;($N$4*9/10),($N$4*9/10)*(MIN(O200,($N$4*9/10))^3-N200^3)-(MIN(O200,($N$4*9/10))^4-N200^4)/4,0)+IF(O200&gt;($N$4*9/10),($N$4*9/10)^2*(1.5*(O200^2-MAX(N200,($N$4*9/10))^2)-($N$4*9/10)*(O200-MAX(N200,($N$4*9/10)))),0))*1000,0)</f>
        <v>0</v>
      </c>
      <c r="AW200" s="120">
        <f>IF(AND(V200="OK",ISNUMBER($N$5),$N$5&gt;0,ISNUMBER($N$3),$N$3&gt;0),R200/(6*$N$3*1000000*$N$5)*(IF(N200&lt;($N$4*10/10),($N$4*10/10)*(MIN(O200,($N$4*10/10))^3-N200^3)-(MIN(O200,($N$4*10/10))^4-N200^4)/4,0)+IF(O200&gt;($N$4*10/10),($N$4*10/10)^2*(1.5*(O200^2-MAX(N200,($N$4*10/10))^2)-($N$4*10/10)*(O200-MAX(N200,($N$4*10/10)))),0))*1000,0)</f>
        <v>0</v>
      </c>
    </row>
    <row r="201" spans="1:49">
      <c r="A201" s="124"/>
      <c r="B201" s="125"/>
      <c r="C201" s="125"/>
      <c r="D201" s="125"/>
      <c r="E201" s="125"/>
      <c r="F201" s="126" t="str">
        <f>IF(J201="OK",D201*E201,"")</f>
        <v/>
      </c>
      <c r="G201" s="126" t="str">
        <f>IF(J201="OK",F201*(C201-B201),"")</f>
        <v/>
      </c>
      <c r="H201" s="126" t="str">
        <f>IF(J201="OK",G201*(C201+B201)/2,"")</f>
        <v/>
      </c>
      <c r="I201" s="126" t="str">
        <f>IF(AND(J201="OK",ISNUMBER($B$5),$B$5&gt;0,ISNUMBER($B$3),$B$3&gt;0),F201*(4*$B$4*(C201^3-B201^3)-(C201^4-B201^4))/(24*$B$3*1000000*$B$5)*1000,"")</f>
        <v/>
      </c>
      <c r="J201" s="120" t="str">
        <f>IF(COUNTA(A201:E201)=0,"",IF(AND(COUNT(B201:E201)=4,B201&gt;=0,C201&gt;B201,C201&lt;=$B$4,D201&gt;=0,E201&gt;0),IF(COUNTIFS($B$13:$B$200,"&lt;"&amp;C201,$C$13:$C$200,"&gt;"&amp;B201)&gt;0,"OVERLAP","OK"),"CHECK INPUTS"))</f>
        <v/>
      </c>
      <c r="M201" s="124"/>
      <c r="N201" s="125"/>
      <c r="O201" s="125"/>
      <c r="P201" s="125"/>
      <c r="Q201" s="125"/>
      <c r="R201" s="126" t="str">
        <f>IF(V201="OK",P201*Q201,"")</f>
        <v/>
      </c>
      <c r="S201" s="126" t="str">
        <f>IF(V201="OK",R201*(O201-N201),"")</f>
        <v/>
      </c>
      <c r="T201" s="126" t="str">
        <f>IF(V201="OK",S201*(O201+N201)/2,"")</f>
        <v/>
      </c>
      <c r="U201" s="126" t="str">
        <f>IF(AND(V201="OK",ISNUMBER($N$5),$N$5&gt;0,ISNUMBER($N$3),$N$3&gt;0),R201*(4*$N$4*(O201^3-N201^3)-(O201^4-N201^4))/(24*$N$3*1000000*$N$5)*1000,"")</f>
        <v/>
      </c>
      <c r="V201" s="120" t="str">
        <f>IF(COUNTA(M201:Q201)=0,"",IF(AND(COUNT(N201:Q201)=4,N201&gt;=0,O201&gt;N201,O201&lt;=$N$4,P201&gt;=0,Q201&gt;0),IF(COUNTIFS($N$13:$N$200,"&lt;"&amp;O201,$O$13:$O$200,"&gt;"&amp;N201)&gt;0,"OVERLAP","OK"),"CHECK INPUTS"))</f>
        <v/>
      </c>
      <c r="AA201" s="120">
        <f>IF(AND(J201="OK",ISNUMBER($B$5),$B$5&gt;0,ISNUMBER($B$3),$B$3&gt;0),F201/(6*$B$3*1000000*$B$5)*(IF(B201&lt;($B$4*0/10),($B$4*0/10)*(MIN(C201,($B$4*0/10))^3-B201^3)-(MIN(C201,($B$4*0/10))^4-B201^4)/4,0)+IF(C201&gt;($B$4*0/10),($B$4*0/10)^2*(1.5*(C201^2-MAX(B201,($B$4*0/10))^2)-($B$4*0/10)*(C201-MAX(B201,($B$4*0/10)))),0))*1000,0)</f>
        <v>0</v>
      </c>
      <c r="AB201" s="120">
        <f>IF(AND(J201="OK",ISNUMBER($B$5),$B$5&gt;0,ISNUMBER($B$3),$B$3&gt;0),F201/(6*$B$3*1000000*$B$5)*(IF(B201&lt;($B$4*1/10),($B$4*1/10)*(MIN(C201,($B$4*1/10))^3-B201^3)-(MIN(C201,($B$4*1/10))^4-B201^4)/4,0)+IF(C201&gt;($B$4*1/10),($B$4*1/10)^2*(1.5*(C201^2-MAX(B201,($B$4*1/10))^2)-($B$4*1/10)*(C201-MAX(B201,($B$4*1/10)))),0))*1000,0)</f>
        <v>0</v>
      </c>
      <c r="AC201" s="120">
        <f>IF(AND(J201="OK",ISNUMBER($B$5),$B$5&gt;0,ISNUMBER($B$3),$B$3&gt;0),F201/(6*$B$3*1000000*$B$5)*(IF(B201&lt;($B$4*2/10),($B$4*2/10)*(MIN(C201,($B$4*2/10))^3-B201^3)-(MIN(C201,($B$4*2/10))^4-B201^4)/4,0)+IF(C201&gt;($B$4*2/10),($B$4*2/10)^2*(1.5*(C201^2-MAX(B201,($B$4*2/10))^2)-($B$4*2/10)*(C201-MAX(B201,($B$4*2/10)))),0))*1000,0)</f>
        <v>0</v>
      </c>
      <c r="AD201" s="120">
        <f>IF(AND(J201="OK",ISNUMBER($B$5),$B$5&gt;0,ISNUMBER($B$3),$B$3&gt;0),F201/(6*$B$3*1000000*$B$5)*(IF(B201&lt;($B$4*3/10),($B$4*3/10)*(MIN(C201,($B$4*3/10))^3-B201^3)-(MIN(C201,($B$4*3/10))^4-B201^4)/4,0)+IF(C201&gt;($B$4*3/10),($B$4*3/10)^2*(1.5*(C201^2-MAX(B201,($B$4*3/10))^2)-($B$4*3/10)*(C201-MAX(B201,($B$4*3/10)))),0))*1000,0)</f>
        <v>0</v>
      </c>
      <c r="AE201" s="120">
        <f>IF(AND(J201="OK",ISNUMBER($B$5),$B$5&gt;0,ISNUMBER($B$3),$B$3&gt;0),F201/(6*$B$3*1000000*$B$5)*(IF(B201&lt;($B$4*4/10),($B$4*4/10)*(MIN(C201,($B$4*4/10))^3-B201^3)-(MIN(C201,($B$4*4/10))^4-B201^4)/4,0)+IF(C201&gt;($B$4*4/10),($B$4*4/10)^2*(1.5*(C201^2-MAX(B201,($B$4*4/10))^2)-($B$4*4/10)*(C201-MAX(B201,($B$4*4/10)))),0))*1000,0)</f>
        <v>0</v>
      </c>
      <c r="AF201" s="120">
        <f>IF(AND(J201="OK",ISNUMBER($B$5),$B$5&gt;0,ISNUMBER($B$3),$B$3&gt;0),F201/(6*$B$3*1000000*$B$5)*(IF(B201&lt;($B$4*5/10),($B$4*5/10)*(MIN(C201,($B$4*5/10))^3-B201^3)-(MIN(C201,($B$4*5/10))^4-B201^4)/4,0)+IF(C201&gt;($B$4*5/10),($B$4*5/10)^2*(1.5*(C201^2-MAX(B201,($B$4*5/10))^2)-($B$4*5/10)*(C201-MAX(B201,($B$4*5/10)))),0))*1000,0)</f>
        <v>0</v>
      </c>
      <c r="AG201" s="120">
        <f>IF(AND(J201="OK",ISNUMBER($B$5),$B$5&gt;0,ISNUMBER($B$3),$B$3&gt;0),F201/(6*$B$3*1000000*$B$5)*(IF(B201&lt;($B$4*6/10),($B$4*6/10)*(MIN(C201,($B$4*6/10))^3-B201^3)-(MIN(C201,($B$4*6/10))^4-B201^4)/4,0)+IF(C201&gt;($B$4*6/10),($B$4*6/10)^2*(1.5*(C201^2-MAX(B201,($B$4*6/10))^2)-($B$4*6/10)*(C201-MAX(B201,($B$4*6/10)))),0))*1000,0)</f>
        <v>0</v>
      </c>
      <c r="AH201" s="120">
        <f>IF(AND(J201="OK",ISNUMBER($B$5),$B$5&gt;0,ISNUMBER($B$3),$B$3&gt;0),F201/(6*$B$3*1000000*$B$5)*(IF(B201&lt;($B$4*7/10),($B$4*7/10)*(MIN(C201,($B$4*7/10))^3-B201^3)-(MIN(C201,($B$4*7/10))^4-B201^4)/4,0)+IF(C201&gt;($B$4*7/10),($B$4*7/10)^2*(1.5*(C201^2-MAX(B201,($B$4*7/10))^2)-($B$4*7/10)*(C201-MAX(B201,($B$4*7/10)))),0))*1000,0)</f>
        <v>0</v>
      </c>
      <c r="AI201" s="120">
        <f>IF(AND(J201="OK",ISNUMBER($B$5),$B$5&gt;0,ISNUMBER($B$3),$B$3&gt;0),F201/(6*$B$3*1000000*$B$5)*(IF(B201&lt;($B$4*8/10),($B$4*8/10)*(MIN(C201,($B$4*8/10))^3-B201^3)-(MIN(C201,($B$4*8/10))^4-B201^4)/4,0)+IF(C201&gt;($B$4*8/10),($B$4*8/10)^2*(1.5*(C201^2-MAX(B201,($B$4*8/10))^2)-($B$4*8/10)*(C201-MAX(B201,($B$4*8/10)))),0))*1000,0)</f>
        <v>0</v>
      </c>
      <c r="AJ201" s="120">
        <f>IF(AND(J201="OK",ISNUMBER($B$5),$B$5&gt;0,ISNUMBER($B$3),$B$3&gt;0),F201/(6*$B$3*1000000*$B$5)*(IF(B201&lt;($B$4*9/10),($B$4*9/10)*(MIN(C201,($B$4*9/10))^3-B201^3)-(MIN(C201,($B$4*9/10))^4-B201^4)/4,0)+IF(C201&gt;($B$4*9/10),($B$4*9/10)^2*(1.5*(C201^2-MAX(B201,($B$4*9/10))^2)-($B$4*9/10)*(C201-MAX(B201,($B$4*9/10)))),0))*1000,0)</f>
        <v>0</v>
      </c>
      <c r="AK201" s="120">
        <f>IF(AND(J201="OK",ISNUMBER($B$5),$B$5&gt;0,ISNUMBER($B$3),$B$3&gt;0),F201/(6*$B$3*1000000*$B$5)*(IF(B201&lt;($B$4*10/10),($B$4*10/10)*(MIN(C201,($B$4*10/10))^3-B201^3)-(MIN(C201,($B$4*10/10))^4-B201^4)/4,0)+IF(C201&gt;($B$4*10/10),($B$4*10/10)^2*(1.5*(C201^2-MAX(B201,($B$4*10/10))^2)-($B$4*10/10)*(C201-MAX(B201,($B$4*10/10)))),0))*1000,0)</f>
        <v>0</v>
      </c>
      <c r="AM201" s="120">
        <f>IF(AND(V201="OK",ISNUMBER($N$5),$N$5&gt;0,ISNUMBER($N$3),$N$3&gt;0),R201/(6*$N$3*1000000*$N$5)*(IF(N201&lt;($N$4*0/10),($N$4*0/10)*(MIN(O201,($N$4*0/10))^3-N201^3)-(MIN(O201,($N$4*0/10))^4-N201^4)/4,0)+IF(O201&gt;($N$4*0/10),($N$4*0/10)^2*(1.5*(O201^2-MAX(N201,($N$4*0/10))^2)-($N$4*0/10)*(O201-MAX(N201,($N$4*0/10)))),0))*1000,0)</f>
        <v>0</v>
      </c>
      <c r="AN201" s="120">
        <f>IF(AND(V201="OK",ISNUMBER($N$5),$N$5&gt;0,ISNUMBER($N$3),$N$3&gt;0),R201/(6*$N$3*1000000*$N$5)*(IF(N201&lt;($N$4*1/10),($N$4*1/10)*(MIN(O201,($N$4*1/10))^3-N201^3)-(MIN(O201,($N$4*1/10))^4-N201^4)/4,0)+IF(O201&gt;($N$4*1/10),($N$4*1/10)^2*(1.5*(O201^2-MAX(N201,($N$4*1/10))^2)-($N$4*1/10)*(O201-MAX(N201,($N$4*1/10)))),0))*1000,0)</f>
        <v>0</v>
      </c>
      <c r="AO201" s="120">
        <f>IF(AND(V201="OK",ISNUMBER($N$5),$N$5&gt;0,ISNUMBER($N$3),$N$3&gt;0),R201/(6*$N$3*1000000*$N$5)*(IF(N201&lt;($N$4*2/10),($N$4*2/10)*(MIN(O201,($N$4*2/10))^3-N201^3)-(MIN(O201,($N$4*2/10))^4-N201^4)/4,0)+IF(O201&gt;($N$4*2/10),($N$4*2/10)^2*(1.5*(O201^2-MAX(N201,($N$4*2/10))^2)-($N$4*2/10)*(O201-MAX(N201,($N$4*2/10)))),0))*1000,0)</f>
        <v>0</v>
      </c>
      <c r="AP201" s="120">
        <f>IF(AND(V201="OK",ISNUMBER($N$5),$N$5&gt;0,ISNUMBER($N$3),$N$3&gt;0),R201/(6*$N$3*1000000*$N$5)*(IF(N201&lt;($N$4*3/10),($N$4*3/10)*(MIN(O201,($N$4*3/10))^3-N201^3)-(MIN(O201,($N$4*3/10))^4-N201^4)/4,0)+IF(O201&gt;($N$4*3/10),($N$4*3/10)^2*(1.5*(O201^2-MAX(N201,($N$4*3/10))^2)-($N$4*3/10)*(O201-MAX(N201,($N$4*3/10)))),0))*1000,0)</f>
        <v>0</v>
      </c>
      <c r="AQ201" s="120">
        <f>IF(AND(V201="OK",ISNUMBER($N$5),$N$5&gt;0,ISNUMBER($N$3),$N$3&gt;0),R201/(6*$N$3*1000000*$N$5)*(IF(N201&lt;($N$4*4/10),($N$4*4/10)*(MIN(O201,($N$4*4/10))^3-N201^3)-(MIN(O201,($N$4*4/10))^4-N201^4)/4,0)+IF(O201&gt;($N$4*4/10),($N$4*4/10)^2*(1.5*(O201^2-MAX(N201,($N$4*4/10))^2)-($N$4*4/10)*(O201-MAX(N201,($N$4*4/10)))),0))*1000,0)</f>
        <v>0</v>
      </c>
      <c r="AR201" s="120">
        <f>IF(AND(V201="OK",ISNUMBER($N$5),$N$5&gt;0,ISNUMBER($N$3),$N$3&gt;0),R201/(6*$N$3*1000000*$N$5)*(IF(N201&lt;($N$4*5/10),($N$4*5/10)*(MIN(O201,($N$4*5/10))^3-N201^3)-(MIN(O201,($N$4*5/10))^4-N201^4)/4,0)+IF(O201&gt;($N$4*5/10),($N$4*5/10)^2*(1.5*(O201^2-MAX(N201,($N$4*5/10))^2)-($N$4*5/10)*(O201-MAX(N201,($N$4*5/10)))),0))*1000,0)</f>
        <v>0</v>
      </c>
      <c r="AS201" s="120">
        <f>IF(AND(V201="OK",ISNUMBER($N$5),$N$5&gt;0,ISNUMBER($N$3),$N$3&gt;0),R201/(6*$N$3*1000000*$N$5)*(IF(N201&lt;($N$4*6/10),($N$4*6/10)*(MIN(O201,($N$4*6/10))^3-N201^3)-(MIN(O201,($N$4*6/10))^4-N201^4)/4,0)+IF(O201&gt;($N$4*6/10),($N$4*6/10)^2*(1.5*(O201^2-MAX(N201,($N$4*6/10))^2)-($N$4*6/10)*(O201-MAX(N201,($N$4*6/10)))),0))*1000,0)</f>
        <v>0</v>
      </c>
      <c r="AT201" s="120">
        <f>IF(AND(V201="OK",ISNUMBER($N$5),$N$5&gt;0,ISNUMBER($N$3),$N$3&gt;0),R201/(6*$N$3*1000000*$N$5)*(IF(N201&lt;($N$4*7/10),($N$4*7/10)*(MIN(O201,($N$4*7/10))^3-N201^3)-(MIN(O201,($N$4*7/10))^4-N201^4)/4,0)+IF(O201&gt;($N$4*7/10),($N$4*7/10)^2*(1.5*(O201^2-MAX(N201,($N$4*7/10))^2)-($N$4*7/10)*(O201-MAX(N201,($N$4*7/10)))),0))*1000,0)</f>
        <v>0</v>
      </c>
      <c r="AU201" s="120">
        <f>IF(AND(V201="OK",ISNUMBER($N$5),$N$5&gt;0,ISNUMBER($N$3),$N$3&gt;0),R201/(6*$N$3*1000000*$N$5)*(IF(N201&lt;($N$4*8/10),($N$4*8/10)*(MIN(O201,($N$4*8/10))^3-N201^3)-(MIN(O201,($N$4*8/10))^4-N201^4)/4,0)+IF(O201&gt;($N$4*8/10),($N$4*8/10)^2*(1.5*(O201^2-MAX(N201,($N$4*8/10))^2)-($N$4*8/10)*(O201-MAX(N201,($N$4*8/10)))),0))*1000,0)</f>
        <v>0</v>
      </c>
      <c r="AV201" s="120">
        <f>IF(AND(V201="OK",ISNUMBER($N$5),$N$5&gt;0,ISNUMBER($N$3),$N$3&gt;0),R201/(6*$N$3*1000000*$N$5)*(IF(N201&lt;($N$4*9/10),($N$4*9/10)*(MIN(O201,($N$4*9/10))^3-N201^3)-(MIN(O201,($N$4*9/10))^4-N201^4)/4,0)+IF(O201&gt;($N$4*9/10),($N$4*9/10)^2*(1.5*(O201^2-MAX(N201,($N$4*9/10))^2)-($N$4*9/10)*(O201-MAX(N201,($N$4*9/10)))),0))*1000,0)</f>
        <v>0</v>
      </c>
      <c r="AW201" s="120">
        <f>IF(AND(V201="OK",ISNUMBER($N$5),$N$5&gt;0,ISNUMBER($N$3),$N$3&gt;0),R201/(6*$N$3*1000000*$N$5)*(IF(N201&lt;($N$4*10/10),($N$4*10/10)*(MIN(O201,($N$4*10/10))^3-N201^3)-(MIN(O201,($N$4*10/10))^4-N201^4)/4,0)+IF(O201&gt;($N$4*10/10),($N$4*10/10)^2*(1.5*(O201^2-MAX(N201,($N$4*10/10))^2)-($N$4*10/10)*(O201-MAX(N201,($N$4*10/10)))),0))*1000,0)</f>
        <v>0</v>
      </c>
    </row>
    <row r="202" spans="1:49">
      <c r="A202" s="124"/>
      <c r="B202" s="125"/>
      <c r="C202" s="125"/>
      <c r="D202" s="125"/>
      <c r="E202" s="125"/>
      <c r="F202" s="126" t="str">
        <f>IF(J202="OK",D202*E202,"")</f>
        <v/>
      </c>
      <c r="G202" s="126" t="str">
        <f>IF(J202="OK",F202*(C202-B202),"")</f>
        <v/>
      </c>
      <c r="H202" s="126" t="str">
        <f>IF(J202="OK",G202*(C202+B202)/2,"")</f>
        <v/>
      </c>
      <c r="I202" s="126" t="str">
        <f>IF(AND(J202="OK",ISNUMBER($B$5),$B$5&gt;0,ISNUMBER($B$3),$B$3&gt;0),F202*(4*$B$4*(C202^3-B202^3)-(C202^4-B202^4))/(24*$B$3*1000000*$B$5)*1000,"")</f>
        <v/>
      </c>
      <c r="J202" s="120" t="str">
        <f>IF(COUNTA(A202:E202)=0,"",IF(AND(COUNT(B202:E202)=4,B202&gt;=0,C202&gt;B202,C202&lt;=$B$4,D202&gt;=0,E202&gt;0),IF(COUNTIFS($B$13:$B$201,"&lt;"&amp;C202,$C$13:$C$201,"&gt;"&amp;B202)&gt;0,"OVERLAP","OK"),"CHECK INPUTS"))</f>
        <v/>
      </c>
      <c r="M202" s="124"/>
      <c r="N202" s="125"/>
      <c r="O202" s="125"/>
      <c r="P202" s="125"/>
      <c r="Q202" s="125"/>
      <c r="R202" s="126" t="str">
        <f>IF(V202="OK",P202*Q202,"")</f>
        <v/>
      </c>
      <c r="S202" s="126" t="str">
        <f>IF(V202="OK",R202*(O202-N202),"")</f>
        <v/>
      </c>
      <c r="T202" s="126" t="str">
        <f>IF(V202="OK",S202*(O202+N202)/2,"")</f>
        <v/>
      </c>
      <c r="U202" s="126" t="str">
        <f>IF(AND(V202="OK",ISNUMBER($N$5),$N$5&gt;0,ISNUMBER($N$3),$N$3&gt;0),R202*(4*$N$4*(O202^3-N202^3)-(O202^4-N202^4))/(24*$N$3*1000000*$N$5)*1000,"")</f>
        <v/>
      </c>
      <c r="V202" s="120" t="str">
        <f>IF(COUNTA(M202:Q202)=0,"",IF(AND(COUNT(N202:Q202)=4,N202&gt;=0,O202&gt;N202,O202&lt;=$N$4,P202&gt;=0,Q202&gt;0),IF(COUNTIFS($N$13:$N$201,"&lt;"&amp;O202,$O$13:$O$201,"&gt;"&amp;N202)&gt;0,"OVERLAP","OK"),"CHECK INPUTS"))</f>
        <v/>
      </c>
      <c r="AA202" s="120">
        <f>IF(AND(J202="OK",ISNUMBER($B$5),$B$5&gt;0,ISNUMBER($B$3),$B$3&gt;0),F202/(6*$B$3*1000000*$B$5)*(IF(B202&lt;($B$4*0/10),($B$4*0/10)*(MIN(C202,($B$4*0/10))^3-B202^3)-(MIN(C202,($B$4*0/10))^4-B202^4)/4,0)+IF(C202&gt;($B$4*0/10),($B$4*0/10)^2*(1.5*(C202^2-MAX(B202,($B$4*0/10))^2)-($B$4*0/10)*(C202-MAX(B202,($B$4*0/10)))),0))*1000,0)</f>
        <v>0</v>
      </c>
      <c r="AB202" s="120">
        <f>IF(AND(J202="OK",ISNUMBER($B$5),$B$5&gt;0,ISNUMBER($B$3),$B$3&gt;0),F202/(6*$B$3*1000000*$B$5)*(IF(B202&lt;($B$4*1/10),($B$4*1/10)*(MIN(C202,($B$4*1/10))^3-B202^3)-(MIN(C202,($B$4*1/10))^4-B202^4)/4,0)+IF(C202&gt;($B$4*1/10),($B$4*1/10)^2*(1.5*(C202^2-MAX(B202,($B$4*1/10))^2)-($B$4*1/10)*(C202-MAX(B202,($B$4*1/10)))),0))*1000,0)</f>
        <v>0</v>
      </c>
      <c r="AC202" s="120">
        <f>IF(AND(J202="OK",ISNUMBER($B$5),$B$5&gt;0,ISNUMBER($B$3),$B$3&gt;0),F202/(6*$B$3*1000000*$B$5)*(IF(B202&lt;($B$4*2/10),($B$4*2/10)*(MIN(C202,($B$4*2/10))^3-B202^3)-(MIN(C202,($B$4*2/10))^4-B202^4)/4,0)+IF(C202&gt;($B$4*2/10),($B$4*2/10)^2*(1.5*(C202^2-MAX(B202,($B$4*2/10))^2)-($B$4*2/10)*(C202-MAX(B202,($B$4*2/10)))),0))*1000,0)</f>
        <v>0</v>
      </c>
      <c r="AD202" s="120">
        <f>IF(AND(J202="OK",ISNUMBER($B$5),$B$5&gt;0,ISNUMBER($B$3),$B$3&gt;0),F202/(6*$B$3*1000000*$B$5)*(IF(B202&lt;($B$4*3/10),($B$4*3/10)*(MIN(C202,($B$4*3/10))^3-B202^3)-(MIN(C202,($B$4*3/10))^4-B202^4)/4,0)+IF(C202&gt;($B$4*3/10),($B$4*3/10)^2*(1.5*(C202^2-MAX(B202,($B$4*3/10))^2)-($B$4*3/10)*(C202-MAX(B202,($B$4*3/10)))),0))*1000,0)</f>
        <v>0</v>
      </c>
      <c r="AE202" s="120">
        <f>IF(AND(J202="OK",ISNUMBER($B$5),$B$5&gt;0,ISNUMBER($B$3),$B$3&gt;0),F202/(6*$B$3*1000000*$B$5)*(IF(B202&lt;($B$4*4/10),($B$4*4/10)*(MIN(C202,($B$4*4/10))^3-B202^3)-(MIN(C202,($B$4*4/10))^4-B202^4)/4,0)+IF(C202&gt;($B$4*4/10),($B$4*4/10)^2*(1.5*(C202^2-MAX(B202,($B$4*4/10))^2)-($B$4*4/10)*(C202-MAX(B202,($B$4*4/10)))),0))*1000,0)</f>
        <v>0</v>
      </c>
      <c r="AF202" s="120">
        <f>IF(AND(J202="OK",ISNUMBER($B$5),$B$5&gt;0,ISNUMBER($B$3),$B$3&gt;0),F202/(6*$B$3*1000000*$B$5)*(IF(B202&lt;($B$4*5/10),($B$4*5/10)*(MIN(C202,($B$4*5/10))^3-B202^3)-(MIN(C202,($B$4*5/10))^4-B202^4)/4,0)+IF(C202&gt;($B$4*5/10),($B$4*5/10)^2*(1.5*(C202^2-MAX(B202,($B$4*5/10))^2)-($B$4*5/10)*(C202-MAX(B202,($B$4*5/10)))),0))*1000,0)</f>
        <v>0</v>
      </c>
      <c r="AG202" s="120">
        <f>IF(AND(J202="OK",ISNUMBER($B$5),$B$5&gt;0,ISNUMBER($B$3),$B$3&gt;0),F202/(6*$B$3*1000000*$B$5)*(IF(B202&lt;($B$4*6/10),($B$4*6/10)*(MIN(C202,($B$4*6/10))^3-B202^3)-(MIN(C202,($B$4*6/10))^4-B202^4)/4,0)+IF(C202&gt;($B$4*6/10),($B$4*6/10)^2*(1.5*(C202^2-MAX(B202,($B$4*6/10))^2)-($B$4*6/10)*(C202-MAX(B202,($B$4*6/10)))),0))*1000,0)</f>
        <v>0</v>
      </c>
      <c r="AH202" s="120">
        <f>IF(AND(J202="OK",ISNUMBER($B$5),$B$5&gt;0,ISNUMBER($B$3),$B$3&gt;0),F202/(6*$B$3*1000000*$B$5)*(IF(B202&lt;($B$4*7/10),($B$4*7/10)*(MIN(C202,($B$4*7/10))^3-B202^3)-(MIN(C202,($B$4*7/10))^4-B202^4)/4,0)+IF(C202&gt;($B$4*7/10),($B$4*7/10)^2*(1.5*(C202^2-MAX(B202,($B$4*7/10))^2)-($B$4*7/10)*(C202-MAX(B202,($B$4*7/10)))),0))*1000,0)</f>
        <v>0</v>
      </c>
      <c r="AI202" s="120">
        <f>IF(AND(J202="OK",ISNUMBER($B$5),$B$5&gt;0,ISNUMBER($B$3),$B$3&gt;0),F202/(6*$B$3*1000000*$B$5)*(IF(B202&lt;($B$4*8/10),($B$4*8/10)*(MIN(C202,($B$4*8/10))^3-B202^3)-(MIN(C202,($B$4*8/10))^4-B202^4)/4,0)+IF(C202&gt;($B$4*8/10),($B$4*8/10)^2*(1.5*(C202^2-MAX(B202,($B$4*8/10))^2)-($B$4*8/10)*(C202-MAX(B202,($B$4*8/10)))),0))*1000,0)</f>
        <v>0</v>
      </c>
      <c r="AJ202" s="120">
        <f>IF(AND(J202="OK",ISNUMBER($B$5),$B$5&gt;0,ISNUMBER($B$3),$B$3&gt;0),F202/(6*$B$3*1000000*$B$5)*(IF(B202&lt;($B$4*9/10),($B$4*9/10)*(MIN(C202,($B$4*9/10))^3-B202^3)-(MIN(C202,($B$4*9/10))^4-B202^4)/4,0)+IF(C202&gt;($B$4*9/10),($B$4*9/10)^2*(1.5*(C202^2-MAX(B202,($B$4*9/10))^2)-($B$4*9/10)*(C202-MAX(B202,($B$4*9/10)))),0))*1000,0)</f>
        <v>0</v>
      </c>
      <c r="AK202" s="120">
        <f>IF(AND(J202="OK",ISNUMBER($B$5),$B$5&gt;0,ISNUMBER($B$3),$B$3&gt;0),F202/(6*$B$3*1000000*$B$5)*(IF(B202&lt;($B$4*10/10),($B$4*10/10)*(MIN(C202,($B$4*10/10))^3-B202^3)-(MIN(C202,($B$4*10/10))^4-B202^4)/4,0)+IF(C202&gt;($B$4*10/10),($B$4*10/10)^2*(1.5*(C202^2-MAX(B202,($B$4*10/10))^2)-($B$4*10/10)*(C202-MAX(B202,($B$4*10/10)))),0))*1000,0)</f>
        <v>0</v>
      </c>
      <c r="AM202" s="120">
        <f>IF(AND(V202="OK",ISNUMBER($N$5),$N$5&gt;0,ISNUMBER($N$3),$N$3&gt;0),R202/(6*$N$3*1000000*$N$5)*(IF(N202&lt;($N$4*0/10),($N$4*0/10)*(MIN(O202,($N$4*0/10))^3-N202^3)-(MIN(O202,($N$4*0/10))^4-N202^4)/4,0)+IF(O202&gt;($N$4*0/10),($N$4*0/10)^2*(1.5*(O202^2-MAX(N202,($N$4*0/10))^2)-($N$4*0/10)*(O202-MAX(N202,($N$4*0/10)))),0))*1000,0)</f>
        <v>0</v>
      </c>
      <c r="AN202" s="120">
        <f>IF(AND(V202="OK",ISNUMBER($N$5),$N$5&gt;0,ISNUMBER($N$3),$N$3&gt;0),R202/(6*$N$3*1000000*$N$5)*(IF(N202&lt;($N$4*1/10),($N$4*1/10)*(MIN(O202,($N$4*1/10))^3-N202^3)-(MIN(O202,($N$4*1/10))^4-N202^4)/4,0)+IF(O202&gt;($N$4*1/10),($N$4*1/10)^2*(1.5*(O202^2-MAX(N202,($N$4*1/10))^2)-($N$4*1/10)*(O202-MAX(N202,($N$4*1/10)))),0))*1000,0)</f>
        <v>0</v>
      </c>
      <c r="AO202" s="120">
        <f>IF(AND(V202="OK",ISNUMBER($N$5),$N$5&gt;0,ISNUMBER($N$3),$N$3&gt;0),R202/(6*$N$3*1000000*$N$5)*(IF(N202&lt;($N$4*2/10),($N$4*2/10)*(MIN(O202,($N$4*2/10))^3-N202^3)-(MIN(O202,($N$4*2/10))^4-N202^4)/4,0)+IF(O202&gt;($N$4*2/10),($N$4*2/10)^2*(1.5*(O202^2-MAX(N202,($N$4*2/10))^2)-($N$4*2/10)*(O202-MAX(N202,($N$4*2/10)))),0))*1000,0)</f>
        <v>0</v>
      </c>
      <c r="AP202" s="120">
        <f>IF(AND(V202="OK",ISNUMBER($N$5),$N$5&gt;0,ISNUMBER($N$3),$N$3&gt;0),R202/(6*$N$3*1000000*$N$5)*(IF(N202&lt;($N$4*3/10),($N$4*3/10)*(MIN(O202,($N$4*3/10))^3-N202^3)-(MIN(O202,($N$4*3/10))^4-N202^4)/4,0)+IF(O202&gt;($N$4*3/10),($N$4*3/10)^2*(1.5*(O202^2-MAX(N202,($N$4*3/10))^2)-($N$4*3/10)*(O202-MAX(N202,($N$4*3/10)))),0))*1000,0)</f>
        <v>0</v>
      </c>
      <c r="AQ202" s="120">
        <f>IF(AND(V202="OK",ISNUMBER($N$5),$N$5&gt;0,ISNUMBER($N$3),$N$3&gt;0),R202/(6*$N$3*1000000*$N$5)*(IF(N202&lt;($N$4*4/10),($N$4*4/10)*(MIN(O202,($N$4*4/10))^3-N202^3)-(MIN(O202,($N$4*4/10))^4-N202^4)/4,0)+IF(O202&gt;($N$4*4/10),($N$4*4/10)^2*(1.5*(O202^2-MAX(N202,($N$4*4/10))^2)-($N$4*4/10)*(O202-MAX(N202,($N$4*4/10)))),0))*1000,0)</f>
        <v>0</v>
      </c>
      <c r="AR202" s="120">
        <f>IF(AND(V202="OK",ISNUMBER($N$5),$N$5&gt;0,ISNUMBER($N$3),$N$3&gt;0),R202/(6*$N$3*1000000*$N$5)*(IF(N202&lt;($N$4*5/10),($N$4*5/10)*(MIN(O202,($N$4*5/10))^3-N202^3)-(MIN(O202,($N$4*5/10))^4-N202^4)/4,0)+IF(O202&gt;($N$4*5/10),($N$4*5/10)^2*(1.5*(O202^2-MAX(N202,($N$4*5/10))^2)-($N$4*5/10)*(O202-MAX(N202,($N$4*5/10)))),0))*1000,0)</f>
        <v>0</v>
      </c>
      <c r="AS202" s="120">
        <f>IF(AND(V202="OK",ISNUMBER($N$5),$N$5&gt;0,ISNUMBER($N$3),$N$3&gt;0),R202/(6*$N$3*1000000*$N$5)*(IF(N202&lt;($N$4*6/10),($N$4*6/10)*(MIN(O202,($N$4*6/10))^3-N202^3)-(MIN(O202,($N$4*6/10))^4-N202^4)/4,0)+IF(O202&gt;($N$4*6/10),($N$4*6/10)^2*(1.5*(O202^2-MAX(N202,($N$4*6/10))^2)-($N$4*6/10)*(O202-MAX(N202,($N$4*6/10)))),0))*1000,0)</f>
        <v>0</v>
      </c>
      <c r="AT202" s="120">
        <f>IF(AND(V202="OK",ISNUMBER($N$5),$N$5&gt;0,ISNUMBER($N$3),$N$3&gt;0),R202/(6*$N$3*1000000*$N$5)*(IF(N202&lt;($N$4*7/10),($N$4*7/10)*(MIN(O202,($N$4*7/10))^3-N202^3)-(MIN(O202,($N$4*7/10))^4-N202^4)/4,0)+IF(O202&gt;($N$4*7/10),($N$4*7/10)^2*(1.5*(O202^2-MAX(N202,($N$4*7/10))^2)-($N$4*7/10)*(O202-MAX(N202,($N$4*7/10)))),0))*1000,0)</f>
        <v>0</v>
      </c>
      <c r="AU202" s="120">
        <f>IF(AND(V202="OK",ISNUMBER($N$5),$N$5&gt;0,ISNUMBER($N$3),$N$3&gt;0),R202/(6*$N$3*1000000*$N$5)*(IF(N202&lt;($N$4*8/10),($N$4*8/10)*(MIN(O202,($N$4*8/10))^3-N202^3)-(MIN(O202,($N$4*8/10))^4-N202^4)/4,0)+IF(O202&gt;($N$4*8/10),($N$4*8/10)^2*(1.5*(O202^2-MAX(N202,($N$4*8/10))^2)-($N$4*8/10)*(O202-MAX(N202,($N$4*8/10)))),0))*1000,0)</f>
        <v>0</v>
      </c>
      <c r="AV202" s="120">
        <f>IF(AND(V202="OK",ISNUMBER($N$5),$N$5&gt;0,ISNUMBER($N$3),$N$3&gt;0),R202/(6*$N$3*1000000*$N$5)*(IF(N202&lt;($N$4*9/10),($N$4*9/10)*(MIN(O202,($N$4*9/10))^3-N202^3)-(MIN(O202,($N$4*9/10))^4-N202^4)/4,0)+IF(O202&gt;($N$4*9/10),($N$4*9/10)^2*(1.5*(O202^2-MAX(N202,($N$4*9/10))^2)-($N$4*9/10)*(O202-MAX(N202,($N$4*9/10)))),0))*1000,0)</f>
        <v>0</v>
      </c>
      <c r="AW202" s="120">
        <f>IF(AND(V202="OK",ISNUMBER($N$5),$N$5&gt;0,ISNUMBER($N$3),$N$3&gt;0),R202/(6*$N$3*1000000*$N$5)*(IF(N202&lt;($N$4*10/10),($N$4*10/10)*(MIN(O202,($N$4*10/10))^3-N202^3)-(MIN(O202,($N$4*10/10))^4-N202^4)/4,0)+IF(O202&gt;($N$4*10/10),($N$4*10/10)^2*(1.5*(O202^2-MAX(N202,($N$4*10/10))^2)-($N$4*10/10)*(O202-MAX(N202,($N$4*10/10)))),0))*1000,0)</f>
        <v>0</v>
      </c>
    </row>
    <row r="203" spans="1:49">
      <c r="A203" s="124"/>
      <c r="B203" s="125"/>
      <c r="C203" s="125"/>
      <c r="D203" s="125"/>
      <c r="E203" s="125"/>
      <c r="F203" s="126" t="str">
        <f>IF(J203="OK",D203*E203,"")</f>
        <v/>
      </c>
      <c r="G203" s="126" t="str">
        <f>IF(J203="OK",F203*(C203-B203),"")</f>
        <v/>
      </c>
      <c r="H203" s="126" t="str">
        <f>IF(J203="OK",G203*(C203+B203)/2,"")</f>
        <v/>
      </c>
      <c r="I203" s="126" t="str">
        <f>IF(AND(J203="OK",ISNUMBER($B$5),$B$5&gt;0,ISNUMBER($B$3),$B$3&gt;0),F203*(4*$B$4*(C203^3-B203^3)-(C203^4-B203^4))/(24*$B$3*1000000*$B$5)*1000,"")</f>
        <v/>
      </c>
      <c r="J203" s="120" t="str">
        <f>IF(COUNTA(A203:E203)=0,"",IF(AND(COUNT(B203:E203)=4,B203&gt;=0,C203&gt;B203,C203&lt;=$B$4,D203&gt;=0,E203&gt;0),IF(COUNTIFS($B$13:$B$202,"&lt;"&amp;C203,$C$13:$C$202,"&gt;"&amp;B203)&gt;0,"OVERLAP","OK"),"CHECK INPUTS"))</f>
        <v/>
      </c>
      <c r="M203" s="124"/>
      <c r="N203" s="125"/>
      <c r="O203" s="125"/>
      <c r="P203" s="125"/>
      <c r="Q203" s="125"/>
      <c r="R203" s="126" t="str">
        <f>IF(V203="OK",P203*Q203,"")</f>
        <v/>
      </c>
      <c r="S203" s="126" t="str">
        <f>IF(V203="OK",R203*(O203-N203),"")</f>
        <v/>
      </c>
      <c r="T203" s="126" t="str">
        <f>IF(V203="OK",S203*(O203+N203)/2,"")</f>
        <v/>
      </c>
      <c r="U203" s="126" t="str">
        <f>IF(AND(V203="OK",ISNUMBER($N$5),$N$5&gt;0,ISNUMBER($N$3),$N$3&gt;0),R203*(4*$N$4*(O203^3-N203^3)-(O203^4-N203^4))/(24*$N$3*1000000*$N$5)*1000,"")</f>
        <v/>
      </c>
      <c r="V203" s="120" t="str">
        <f>IF(COUNTA(M203:Q203)=0,"",IF(AND(COUNT(N203:Q203)=4,N203&gt;=0,O203&gt;N203,O203&lt;=$N$4,P203&gt;=0,Q203&gt;0),IF(COUNTIFS($N$13:$N$202,"&lt;"&amp;O203,$O$13:$O$202,"&gt;"&amp;N203)&gt;0,"OVERLAP","OK"),"CHECK INPUTS"))</f>
        <v/>
      </c>
      <c r="AA203" s="120">
        <f>IF(AND(J203="OK",ISNUMBER($B$5),$B$5&gt;0,ISNUMBER($B$3),$B$3&gt;0),F203/(6*$B$3*1000000*$B$5)*(IF(B203&lt;($B$4*0/10),($B$4*0/10)*(MIN(C203,($B$4*0/10))^3-B203^3)-(MIN(C203,($B$4*0/10))^4-B203^4)/4,0)+IF(C203&gt;($B$4*0/10),($B$4*0/10)^2*(1.5*(C203^2-MAX(B203,($B$4*0/10))^2)-($B$4*0/10)*(C203-MAX(B203,($B$4*0/10)))),0))*1000,0)</f>
        <v>0</v>
      </c>
      <c r="AB203" s="120">
        <f>IF(AND(J203="OK",ISNUMBER($B$5),$B$5&gt;0,ISNUMBER($B$3),$B$3&gt;0),F203/(6*$B$3*1000000*$B$5)*(IF(B203&lt;($B$4*1/10),($B$4*1/10)*(MIN(C203,($B$4*1/10))^3-B203^3)-(MIN(C203,($B$4*1/10))^4-B203^4)/4,0)+IF(C203&gt;($B$4*1/10),($B$4*1/10)^2*(1.5*(C203^2-MAX(B203,($B$4*1/10))^2)-($B$4*1/10)*(C203-MAX(B203,($B$4*1/10)))),0))*1000,0)</f>
        <v>0</v>
      </c>
      <c r="AC203" s="120">
        <f>IF(AND(J203="OK",ISNUMBER($B$5),$B$5&gt;0,ISNUMBER($B$3),$B$3&gt;0),F203/(6*$B$3*1000000*$B$5)*(IF(B203&lt;($B$4*2/10),($B$4*2/10)*(MIN(C203,($B$4*2/10))^3-B203^3)-(MIN(C203,($B$4*2/10))^4-B203^4)/4,0)+IF(C203&gt;($B$4*2/10),($B$4*2/10)^2*(1.5*(C203^2-MAX(B203,($B$4*2/10))^2)-($B$4*2/10)*(C203-MAX(B203,($B$4*2/10)))),0))*1000,0)</f>
        <v>0</v>
      </c>
      <c r="AD203" s="120">
        <f>IF(AND(J203="OK",ISNUMBER($B$5),$B$5&gt;0,ISNUMBER($B$3),$B$3&gt;0),F203/(6*$B$3*1000000*$B$5)*(IF(B203&lt;($B$4*3/10),($B$4*3/10)*(MIN(C203,($B$4*3/10))^3-B203^3)-(MIN(C203,($B$4*3/10))^4-B203^4)/4,0)+IF(C203&gt;($B$4*3/10),($B$4*3/10)^2*(1.5*(C203^2-MAX(B203,($B$4*3/10))^2)-($B$4*3/10)*(C203-MAX(B203,($B$4*3/10)))),0))*1000,0)</f>
        <v>0</v>
      </c>
      <c r="AE203" s="120">
        <f>IF(AND(J203="OK",ISNUMBER($B$5),$B$5&gt;0,ISNUMBER($B$3),$B$3&gt;0),F203/(6*$B$3*1000000*$B$5)*(IF(B203&lt;($B$4*4/10),($B$4*4/10)*(MIN(C203,($B$4*4/10))^3-B203^3)-(MIN(C203,($B$4*4/10))^4-B203^4)/4,0)+IF(C203&gt;($B$4*4/10),($B$4*4/10)^2*(1.5*(C203^2-MAX(B203,($B$4*4/10))^2)-($B$4*4/10)*(C203-MAX(B203,($B$4*4/10)))),0))*1000,0)</f>
        <v>0</v>
      </c>
      <c r="AF203" s="120">
        <f>IF(AND(J203="OK",ISNUMBER($B$5),$B$5&gt;0,ISNUMBER($B$3),$B$3&gt;0),F203/(6*$B$3*1000000*$B$5)*(IF(B203&lt;($B$4*5/10),($B$4*5/10)*(MIN(C203,($B$4*5/10))^3-B203^3)-(MIN(C203,($B$4*5/10))^4-B203^4)/4,0)+IF(C203&gt;($B$4*5/10),($B$4*5/10)^2*(1.5*(C203^2-MAX(B203,($B$4*5/10))^2)-($B$4*5/10)*(C203-MAX(B203,($B$4*5/10)))),0))*1000,0)</f>
        <v>0</v>
      </c>
      <c r="AG203" s="120">
        <f>IF(AND(J203="OK",ISNUMBER($B$5),$B$5&gt;0,ISNUMBER($B$3),$B$3&gt;0),F203/(6*$B$3*1000000*$B$5)*(IF(B203&lt;($B$4*6/10),($B$4*6/10)*(MIN(C203,($B$4*6/10))^3-B203^3)-(MIN(C203,($B$4*6/10))^4-B203^4)/4,0)+IF(C203&gt;($B$4*6/10),($B$4*6/10)^2*(1.5*(C203^2-MAX(B203,($B$4*6/10))^2)-($B$4*6/10)*(C203-MAX(B203,($B$4*6/10)))),0))*1000,0)</f>
        <v>0</v>
      </c>
      <c r="AH203" s="120">
        <f>IF(AND(J203="OK",ISNUMBER($B$5),$B$5&gt;0,ISNUMBER($B$3),$B$3&gt;0),F203/(6*$B$3*1000000*$B$5)*(IF(B203&lt;($B$4*7/10),($B$4*7/10)*(MIN(C203,($B$4*7/10))^3-B203^3)-(MIN(C203,($B$4*7/10))^4-B203^4)/4,0)+IF(C203&gt;($B$4*7/10),($B$4*7/10)^2*(1.5*(C203^2-MAX(B203,($B$4*7/10))^2)-($B$4*7/10)*(C203-MAX(B203,($B$4*7/10)))),0))*1000,0)</f>
        <v>0</v>
      </c>
      <c r="AI203" s="120">
        <f>IF(AND(J203="OK",ISNUMBER($B$5),$B$5&gt;0,ISNUMBER($B$3),$B$3&gt;0),F203/(6*$B$3*1000000*$B$5)*(IF(B203&lt;($B$4*8/10),($B$4*8/10)*(MIN(C203,($B$4*8/10))^3-B203^3)-(MIN(C203,($B$4*8/10))^4-B203^4)/4,0)+IF(C203&gt;($B$4*8/10),($B$4*8/10)^2*(1.5*(C203^2-MAX(B203,($B$4*8/10))^2)-($B$4*8/10)*(C203-MAX(B203,($B$4*8/10)))),0))*1000,0)</f>
        <v>0</v>
      </c>
      <c r="AJ203" s="120">
        <f>IF(AND(J203="OK",ISNUMBER($B$5),$B$5&gt;0,ISNUMBER($B$3),$B$3&gt;0),F203/(6*$B$3*1000000*$B$5)*(IF(B203&lt;($B$4*9/10),($B$4*9/10)*(MIN(C203,($B$4*9/10))^3-B203^3)-(MIN(C203,($B$4*9/10))^4-B203^4)/4,0)+IF(C203&gt;($B$4*9/10),($B$4*9/10)^2*(1.5*(C203^2-MAX(B203,($B$4*9/10))^2)-($B$4*9/10)*(C203-MAX(B203,($B$4*9/10)))),0))*1000,0)</f>
        <v>0</v>
      </c>
      <c r="AK203" s="120">
        <f>IF(AND(J203="OK",ISNUMBER($B$5),$B$5&gt;0,ISNUMBER($B$3),$B$3&gt;0),F203/(6*$B$3*1000000*$B$5)*(IF(B203&lt;($B$4*10/10),($B$4*10/10)*(MIN(C203,($B$4*10/10))^3-B203^3)-(MIN(C203,($B$4*10/10))^4-B203^4)/4,0)+IF(C203&gt;($B$4*10/10),($B$4*10/10)^2*(1.5*(C203^2-MAX(B203,($B$4*10/10))^2)-($B$4*10/10)*(C203-MAX(B203,($B$4*10/10)))),0))*1000,0)</f>
        <v>0</v>
      </c>
      <c r="AM203" s="120">
        <f>IF(AND(V203="OK",ISNUMBER($N$5),$N$5&gt;0,ISNUMBER($N$3),$N$3&gt;0),R203/(6*$N$3*1000000*$N$5)*(IF(N203&lt;($N$4*0/10),($N$4*0/10)*(MIN(O203,($N$4*0/10))^3-N203^3)-(MIN(O203,($N$4*0/10))^4-N203^4)/4,0)+IF(O203&gt;($N$4*0/10),($N$4*0/10)^2*(1.5*(O203^2-MAX(N203,($N$4*0/10))^2)-($N$4*0/10)*(O203-MAX(N203,($N$4*0/10)))),0))*1000,0)</f>
        <v>0</v>
      </c>
      <c r="AN203" s="120">
        <f>IF(AND(V203="OK",ISNUMBER($N$5),$N$5&gt;0,ISNUMBER($N$3),$N$3&gt;0),R203/(6*$N$3*1000000*$N$5)*(IF(N203&lt;($N$4*1/10),($N$4*1/10)*(MIN(O203,($N$4*1/10))^3-N203^3)-(MIN(O203,($N$4*1/10))^4-N203^4)/4,0)+IF(O203&gt;($N$4*1/10),($N$4*1/10)^2*(1.5*(O203^2-MAX(N203,($N$4*1/10))^2)-($N$4*1/10)*(O203-MAX(N203,($N$4*1/10)))),0))*1000,0)</f>
        <v>0</v>
      </c>
      <c r="AO203" s="120">
        <f>IF(AND(V203="OK",ISNUMBER($N$5),$N$5&gt;0,ISNUMBER($N$3),$N$3&gt;0),R203/(6*$N$3*1000000*$N$5)*(IF(N203&lt;($N$4*2/10),($N$4*2/10)*(MIN(O203,($N$4*2/10))^3-N203^3)-(MIN(O203,($N$4*2/10))^4-N203^4)/4,0)+IF(O203&gt;($N$4*2/10),($N$4*2/10)^2*(1.5*(O203^2-MAX(N203,($N$4*2/10))^2)-($N$4*2/10)*(O203-MAX(N203,($N$4*2/10)))),0))*1000,0)</f>
        <v>0</v>
      </c>
      <c r="AP203" s="120">
        <f>IF(AND(V203="OK",ISNUMBER($N$5),$N$5&gt;0,ISNUMBER($N$3),$N$3&gt;0),R203/(6*$N$3*1000000*$N$5)*(IF(N203&lt;($N$4*3/10),($N$4*3/10)*(MIN(O203,($N$4*3/10))^3-N203^3)-(MIN(O203,($N$4*3/10))^4-N203^4)/4,0)+IF(O203&gt;($N$4*3/10),($N$4*3/10)^2*(1.5*(O203^2-MAX(N203,($N$4*3/10))^2)-($N$4*3/10)*(O203-MAX(N203,($N$4*3/10)))),0))*1000,0)</f>
        <v>0</v>
      </c>
      <c r="AQ203" s="120">
        <f>IF(AND(V203="OK",ISNUMBER($N$5),$N$5&gt;0,ISNUMBER($N$3),$N$3&gt;0),R203/(6*$N$3*1000000*$N$5)*(IF(N203&lt;($N$4*4/10),($N$4*4/10)*(MIN(O203,($N$4*4/10))^3-N203^3)-(MIN(O203,($N$4*4/10))^4-N203^4)/4,0)+IF(O203&gt;($N$4*4/10),($N$4*4/10)^2*(1.5*(O203^2-MAX(N203,($N$4*4/10))^2)-($N$4*4/10)*(O203-MAX(N203,($N$4*4/10)))),0))*1000,0)</f>
        <v>0</v>
      </c>
      <c r="AR203" s="120">
        <f>IF(AND(V203="OK",ISNUMBER($N$5),$N$5&gt;0,ISNUMBER($N$3),$N$3&gt;0),R203/(6*$N$3*1000000*$N$5)*(IF(N203&lt;($N$4*5/10),($N$4*5/10)*(MIN(O203,($N$4*5/10))^3-N203^3)-(MIN(O203,($N$4*5/10))^4-N203^4)/4,0)+IF(O203&gt;($N$4*5/10),($N$4*5/10)^2*(1.5*(O203^2-MAX(N203,($N$4*5/10))^2)-($N$4*5/10)*(O203-MAX(N203,($N$4*5/10)))),0))*1000,0)</f>
        <v>0</v>
      </c>
      <c r="AS203" s="120">
        <f>IF(AND(V203="OK",ISNUMBER($N$5),$N$5&gt;0,ISNUMBER($N$3),$N$3&gt;0),R203/(6*$N$3*1000000*$N$5)*(IF(N203&lt;($N$4*6/10),($N$4*6/10)*(MIN(O203,($N$4*6/10))^3-N203^3)-(MIN(O203,($N$4*6/10))^4-N203^4)/4,0)+IF(O203&gt;($N$4*6/10),($N$4*6/10)^2*(1.5*(O203^2-MAX(N203,($N$4*6/10))^2)-($N$4*6/10)*(O203-MAX(N203,($N$4*6/10)))),0))*1000,0)</f>
        <v>0</v>
      </c>
      <c r="AT203" s="120">
        <f>IF(AND(V203="OK",ISNUMBER($N$5),$N$5&gt;0,ISNUMBER($N$3),$N$3&gt;0),R203/(6*$N$3*1000000*$N$5)*(IF(N203&lt;($N$4*7/10),($N$4*7/10)*(MIN(O203,($N$4*7/10))^3-N203^3)-(MIN(O203,($N$4*7/10))^4-N203^4)/4,0)+IF(O203&gt;($N$4*7/10),($N$4*7/10)^2*(1.5*(O203^2-MAX(N203,($N$4*7/10))^2)-($N$4*7/10)*(O203-MAX(N203,($N$4*7/10)))),0))*1000,0)</f>
        <v>0</v>
      </c>
      <c r="AU203" s="120">
        <f>IF(AND(V203="OK",ISNUMBER($N$5),$N$5&gt;0,ISNUMBER($N$3),$N$3&gt;0),R203/(6*$N$3*1000000*$N$5)*(IF(N203&lt;($N$4*8/10),($N$4*8/10)*(MIN(O203,($N$4*8/10))^3-N203^3)-(MIN(O203,($N$4*8/10))^4-N203^4)/4,0)+IF(O203&gt;($N$4*8/10),($N$4*8/10)^2*(1.5*(O203^2-MAX(N203,($N$4*8/10))^2)-($N$4*8/10)*(O203-MAX(N203,($N$4*8/10)))),0))*1000,0)</f>
        <v>0</v>
      </c>
      <c r="AV203" s="120">
        <f>IF(AND(V203="OK",ISNUMBER($N$5),$N$5&gt;0,ISNUMBER($N$3),$N$3&gt;0),R203/(6*$N$3*1000000*$N$5)*(IF(N203&lt;($N$4*9/10),($N$4*9/10)*(MIN(O203,($N$4*9/10))^3-N203^3)-(MIN(O203,($N$4*9/10))^4-N203^4)/4,0)+IF(O203&gt;($N$4*9/10),($N$4*9/10)^2*(1.5*(O203^2-MAX(N203,($N$4*9/10))^2)-($N$4*9/10)*(O203-MAX(N203,($N$4*9/10)))),0))*1000,0)</f>
        <v>0</v>
      </c>
      <c r="AW203" s="120">
        <f>IF(AND(V203="OK",ISNUMBER($N$5),$N$5&gt;0,ISNUMBER($N$3),$N$3&gt;0),R203/(6*$N$3*1000000*$N$5)*(IF(N203&lt;($N$4*10/10),($N$4*10/10)*(MIN(O203,($N$4*10/10))^3-N203^3)-(MIN(O203,($N$4*10/10))^4-N203^4)/4,0)+IF(O203&gt;($N$4*10/10),($N$4*10/10)^2*(1.5*(O203^2-MAX(N203,($N$4*10/10))^2)-($N$4*10/10)*(O203-MAX(N203,($N$4*10/10)))),0))*1000,0)</f>
        <v>0</v>
      </c>
    </row>
    <row r="204" spans="1:49">
      <c r="A204" s="124"/>
      <c r="B204" s="125"/>
      <c r="C204" s="125"/>
      <c r="D204" s="125"/>
      <c r="E204" s="125"/>
      <c r="F204" s="126" t="str">
        <f>IF(J204="OK",D204*E204,"")</f>
        <v/>
      </c>
      <c r="G204" s="126" t="str">
        <f>IF(J204="OK",F204*(C204-B204),"")</f>
        <v/>
      </c>
      <c r="H204" s="126" t="str">
        <f>IF(J204="OK",G204*(C204+B204)/2,"")</f>
        <v/>
      </c>
      <c r="I204" s="126" t="str">
        <f>IF(AND(J204="OK",ISNUMBER($B$5),$B$5&gt;0,ISNUMBER($B$3),$B$3&gt;0),F204*(4*$B$4*(C204^3-B204^3)-(C204^4-B204^4))/(24*$B$3*1000000*$B$5)*1000,"")</f>
        <v/>
      </c>
      <c r="J204" s="120" t="str">
        <f>IF(COUNTA(A204:E204)=0,"",IF(AND(COUNT(B204:E204)=4,B204&gt;=0,C204&gt;B204,C204&lt;=$B$4,D204&gt;=0,E204&gt;0),IF(COUNTIFS($B$13:$B$203,"&lt;"&amp;C204,$C$13:$C$203,"&gt;"&amp;B204)&gt;0,"OVERLAP","OK"),"CHECK INPUTS"))</f>
        <v/>
      </c>
      <c r="M204" s="124"/>
      <c r="N204" s="125"/>
      <c r="O204" s="125"/>
      <c r="P204" s="125"/>
      <c r="Q204" s="125"/>
      <c r="R204" s="126" t="str">
        <f>IF(V204="OK",P204*Q204,"")</f>
        <v/>
      </c>
      <c r="S204" s="126" t="str">
        <f>IF(V204="OK",R204*(O204-N204),"")</f>
        <v/>
      </c>
      <c r="T204" s="126" t="str">
        <f>IF(V204="OK",S204*(O204+N204)/2,"")</f>
        <v/>
      </c>
      <c r="U204" s="126" t="str">
        <f>IF(AND(V204="OK",ISNUMBER($N$5),$N$5&gt;0,ISNUMBER($N$3),$N$3&gt;0),R204*(4*$N$4*(O204^3-N204^3)-(O204^4-N204^4))/(24*$N$3*1000000*$N$5)*1000,"")</f>
        <v/>
      </c>
      <c r="V204" s="120" t="str">
        <f>IF(COUNTA(M204:Q204)=0,"",IF(AND(COUNT(N204:Q204)=4,N204&gt;=0,O204&gt;N204,O204&lt;=$N$4,P204&gt;=0,Q204&gt;0),IF(COUNTIFS($N$13:$N$203,"&lt;"&amp;O204,$O$13:$O$203,"&gt;"&amp;N204)&gt;0,"OVERLAP","OK"),"CHECK INPUTS"))</f>
        <v/>
      </c>
      <c r="AA204" s="120">
        <f>IF(AND(J204="OK",ISNUMBER($B$5),$B$5&gt;0,ISNUMBER($B$3),$B$3&gt;0),F204/(6*$B$3*1000000*$B$5)*(IF(B204&lt;($B$4*0/10),($B$4*0/10)*(MIN(C204,($B$4*0/10))^3-B204^3)-(MIN(C204,($B$4*0/10))^4-B204^4)/4,0)+IF(C204&gt;($B$4*0/10),($B$4*0/10)^2*(1.5*(C204^2-MAX(B204,($B$4*0/10))^2)-($B$4*0/10)*(C204-MAX(B204,($B$4*0/10)))),0))*1000,0)</f>
        <v>0</v>
      </c>
      <c r="AB204" s="120">
        <f>IF(AND(J204="OK",ISNUMBER($B$5),$B$5&gt;0,ISNUMBER($B$3),$B$3&gt;0),F204/(6*$B$3*1000000*$B$5)*(IF(B204&lt;($B$4*1/10),($B$4*1/10)*(MIN(C204,($B$4*1/10))^3-B204^3)-(MIN(C204,($B$4*1/10))^4-B204^4)/4,0)+IF(C204&gt;($B$4*1/10),($B$4*1/10)^2*(1.5*(C204^2-MAX(B204,($B$4*1/10))^2)-($B$4*1/10)*(C204-MAX(B204,($B$4*1/10)))),0))*1000,0)</f>
        <v>0</v>
      </c>
      <c r="AC204" s="120">
        <f>IF(AND(J204="OK",ISNUMBER($B$5),$B$5&gt;0,ISNUMBER($B$3),$B$3&gt;0),F204/(6*$B$3*1000000*$B$5)*(IF(B204&lt;($B$4*2/10),($B$4*2/10)*(MIN(C204,($B$4*2/10))^3-B204^3)-(MIN(C204,($B$4*2/10))^4-B204^4)/4,0)+IF(C204&gt;($B$4*2/10),($B$4*2/10)^2*(1.5*(C204^2-MAX(B204,($B$4*2/10))^2)-($B$4*2/10)*(C204-MAX(B204,($B$4*2/10)))),0))*1000,0)</f>
        <v>0</v>
      </c>
      <c r="AD204" s="120">
        <f>IF(AND(J204="OK",ISNUMBER($B$5),$B$5&gt;0,ISNUMBER($B$3),$B$3&gt;0),F204/(6*$B$3*1000000*$B$5)*(IF(B204&lt;($B$4*3/10),($B$4*3/10)*(MIN(C204,($B$4*3/10))^3-B204^3)-(MIN(C204,($B$4*3/10))^4-B204^4)/4,0)+IF(C204&gt;($B$4*3/10),($B$4*3/10)^2*(1.5*(C204^2-MAX(B204,($B$4*3/10))^2)-($B$4*3/10)*(C204-MAX(B204,($B$4*3/10)))),0))*1000,0)</f>
        <v>0</v>
      </c>
      <c r="AE204" s="120">
        <f>IF(AND(J204="OK",ISNUMBER($B$5),$B$5&gt;0,ISNUMBER($B$3),$B$3&gt;0),F204/(6*$B$3*1000000*$B$5)*(IF(B204&lt;($B$4*4/10),($B$4*4/10)*(MIN(C204,($B$4*4/10))^3-B204^3)-(MIN(C204,($B$4*4/10))^4-B204^4)/4,0)+IF(C204&gt;($B$4*4/10),($B$4*4/10)^2*(1.5*(C204^2-MAX(B204,($B$4*4/10))^2)-($B$4*4/10)*(C204-MAX(B204,($B$4*4/10)))),0))*1000,0)</f>
        <v>0</v>
      </c>
      <c r="AF204" s="120">
        <f>IF(AND(J204="OK",ISNUMBER($B$5),$B$5&gt;0,ISNUMBER($B$3),$B$3&gt;0),F204/(6*$B$3*1000000*$B$5)*(IF(B204&lt;($B$4*5/10),($B$4*5/10)*(MIN(C204,($B$4*5/10))^3-B204^3)-(MIN(C204,($B$4*5/10))^4-B204^4)/4,0)+IF(C204&gt;($B$4*5/10),($B$4*5/10)^2*(1.5*(C204^2-MAX(B204,($B$4*5/10))^2)-($B$4*5/10)*(C204-MAX(B204,($B$4*5/10)))),0))*1000,0)</f>
        <v>0</v>
      </c>
      <c r="AG204" s="120">
        <f>IF(AND(J204="OK",ISNUMBER($B$5),$B$5&gt;0,ISNUMBER($B$3),$B$3&gt;0),F204/(6*$B$3*1000000*$B$5)*(IF(B204&lt;($B$4*6/10),($B$4*6/10)*(MIN(C204,($B$4*6/10))^3-B204^3)-(MIN(C204,($B$4*6/10))^4-B204^4)/4,0)+IF(C204&gt;($B$4*6/10),($B$4*6/10)^2*(1.5*(C204^2-MAX(B204,($B$4*6/10))^2)-($B$4*6/10)*(C204-MAX(B204,($B$4*6/10)))),0))*1000,0)</f>
        <v>0</v>
      </c>
      <c r="AH204" s="120">
        <f>IF(AND(J204="OK",ISNUMBER($B$5),$B$5&gt;0,ISNUMBER($B$3),$B$3&gt;0),F204/(6*$B$3*1000000*$B$5)*(IF(B204&lt;($B$4*7/10),($B$4*7/10)*(MIN(C204,($B$4*7/10))^3-B204^3)-(MIN(C204,($B$4*7/10))^4-B204^4)/4,0)+IF(C204&gt;($B$4*7/10),($B$4*7/10)^2*(1.5*(C204^2-MAX(B204,($B$4*7/10))^2)-($B$4*7/10)*(C204-MAX(B204,($B$4*7/10)))),0))*1000,0)</f>
        <v>0</v>
      </c>
      <c r="AI204" s="120">
        <f>IF(AND(J204="OK",ISNUMBER($B$5),$B$5&gt;0,ISNUMBER($B$3),$B$3&gt;0),F204/(6*$B$3*1000000*$B$5)*(IF(B204&lt;($B$4*8/10),($B$4*8/10)*(MIN(C204,($B$4*8/10))^3-B204^3)-(MIN(C204,($B$4*8/10))^4-B204^4)/4,0)+IF(C204&gt;($B$4*8/10),($B$4*8/10)^2*(1.5*(C204^2-MAX(B204,($B$4*8/10))^2)-($B$4*8/10)*(C204-MAX(B204,($B$4*8/10)))),0))*1000,0)</f>
        <v>0</v>
      </c>
      <c r="AJ204" s="120">
        <f>IF(AND(J204="OK",ISNUMBER($B$5),$B$5&gt;0,ISNUMBER($B$3),$B$3&gt;0),F204/(6*$B$3*1000000*$B$5)*(IF(B204&lt;($B$4*9/10),($B$4*9/10)*(MIN(C204,($B$4*9/10))^3-B204^3)-(MIN(C204,($B$4*9/10))^4-B204^4)/4,0)+IF(C204&gt;($B$4*9/10),($B$4*9/10)^2*(1.5*(C204^2-MAX(B204,($B$4*9/10))^2)-($B$4*9/10)*(C204-MAX(B204,($B$4*9/10)))),0))*1000,0)</f>
        <v>0</v>
      </c>
      <c r="AK204" s="120">
        <f>IF(AND(J204="OK",ISNUMBER($B$5),$B$5&gt;0,ISNUMBER($B$3),$B$3&gt;0),F204/(6*$B$3*1000000*$B$5)*(IF(B204&lt;($B$4*10/10),($B$4*10/10)*(MIN(C204,($B$4*10/10))^3-B204^3)-(MIN(C204,($B$4*10/10))^4-B204^4)/4,0)+IF(C204&gt;($B$4*10/10),($B$4*10/10)^2*(1.5*(C204^2-MAX(B204,($B$4*10/10))^2)-($B$4*10/10)*(C204-MAX(B204,($B$4*10/10)))),0))*1000,0)</f>
        <v>0</v>
      </c>
      <c r="AM204" s="120">
        <f>IF(AND(V204="OK",ISNUMBER($N$5),$N$5&gt;0,ISNUMBER($N$3),$N$3&gt;0),R204/(6*$N$3*1000000*$N$5)*(IF(N204&lt;($N$4*0/10),($N$4*0/10)*(MIN(O204,($N$4*0/10))^3-N204^3)-(MIN(O204,($N$4*0/10))^4-N204^4)/4,0)+IF(O204&gt;($N$4*0/10),($N$4*0/10)^2*(1.5*(O204^2-MAX(N204,($N$4*0/10))^2)-($N$4*0/10)*(O204-MAX(N204,($N$4*0/10)))),0))*1000,0)</f>
        <v>0</v>
      </c>
      <c r="AN204" s="120">
        <f>IF(AND(V204="OK",ISNUMBER($N$5),$N$5&gt;0,ISNUMBER($N$3),$N$3&gt;0),R204/(6*$N$3*1000000*$N$5)*(IF(N204&lt;($N$4*1/10),($N$4*1/10)*(MIN(O204,($N$4*1/10))^3-N204^3)-(MIN(O204,($N$4*1/10))^4-N204^4)/4,0)+IF(O204&gt;($N$4*1/10),($N$4*1/10)^2*(1.5*(O204^2-MAX(N204,($N$4*1/10))^2)-($N$4*1/10)*(O204-MAX(N204,($N$4*1/10)))),0))*1000,0)</f>
        <v>0</v>
      </c>
      <c r="AO204" s="120">
        <f>IF(AND(V204="OK",ISNUMBER($N$5),$N$5&gt;0,ISNUMBER($N$3),$N$3&gt;0),R204/(6*$N$3*1000000*$N$5)*(IF(N204&lt;($N$4*2/10),($N$4*2/10)*(MIN(O204,($N$4*2/10))^3-N204^3)-(MIN(O204,($N$4*2/10))^4-N204^4)/4,0)+IF(O204&gt;($N$4*2/10),($N$4*2/10)^2*(1.5*(O204^2-MAX(N204,($N$4*2/10))^2)-($N$4*2/10)*(O204-MAX(N204,($N$4*2/10)))),0))*1000,0)</f>
        <v>0</v>
      </c>
      <c r="AP204" s="120">
        <f>IF(AND(V204="OK",ISNUMBER($N$5),$N$5&gt;0,ISNUMBER($N$3),$N$3&gt;0),R204/(6*$N$3*1000000*$N$5)*(IF(N204&lt;($N$4*3/10),($N$4*3/10)*(MIN(O204,($N$4*3/10))^3-N204^3)-(MIN(O204,($N$4*3/10))^4-N204^4)/4,0)+IF(O204&gt;($N$4*3/10),($N$4*3/10)^2*(1.5*(O204^2-MAX(N204,($N$4*3/10))^2)-($N$4*3/10)*(O204-MAX(N204,($N$4*3/10)))),0))*1000,0)</f>
        <v>0</v>
      </c>
      <c r="AQ204" s="120">
        <f>IF(AND(V204="OK",ISNUMBER($N$5),$N$5&gt;0,ISNUMBER($N$3),$N$3&gt;0),R204/(6*$N$3*1000000*$N$5)*(IF(N204&lt;($N$4*4/10),($N$4*4/10)*(MIN(O204,($N$4*4/10))^3-N204^3)-(MIN(O204,($N$4*4/10))^4-N204^4)/4,0)+IF(O204&gt;($N$4*4/10),($N$4*4/10)^2*(1.5*(O204^2-MAX(N204,($N$4*4/10))^2)-($N$4*4/10)*(O204-MAX(N204,($N$4*4/10)))),0))*1000,0)</f>
        <v>0</v>
      </c>
      <c r="AR204" s="120">
        <f>IF(AND(V204="OK",ISNUMBER($N$5),$N$5&gt;0,ISNUMBER($N$3),$N$3&gt;0),R204/(6*$N$3*1000000*$N$5)*(IF(N204&lt;($N$4*5/10),($N$4*5/10)*(MIN(O204,($N$4*5/10))^3-N204^3)-(MIN(O204,($N$4*5/10))^4-N204^4)/4,0)+IF(O204&gt;($N$4*5/10),($N$4*5/10)^2*(1.5*(O204^2-MAX(N204,($N$4*5/10))^2)-($N$4*5/10)*(O204-MAX(N204,($N$4*5/10)))),0))*1000,0)</f>
        <v>0</v>
      </c>
      <c r="AS204" s="120">
        <f>IF(AND(V204="OK",ISNUMBER($N$5),$N$5&gt;0,ISNUMBER($N$3),$N$3&gt;0),R204/(6*$N$3*1000000*$N$5)*(IF(N204&lt;($N$4*6/10),($N$4*6/10)*(MIN(O204,($N$4*6/10))^3-N204^3)-(MIN(O204,($N$4*6/10))^4-N204^4)/4,0)+IF(O204&gt;($N$4*6/10),($N$4*6/10)^2*(1.5*(O204^2-MAX(N204,($N$4*6/10))^2)-($N$4*6/10)*(O204-MAX(N204,($N$4*6/10)))),0))*1000,0)</f>
        <v>0</v>
      </c>
      <c r="AT204" s="120">
        <f>IF(AND(V204="OK",ISNUMBER($N$5),$N$5&gt;0,ISNUMBER($N$3),$N$3&gt;0),R204/(6*$N$3*1000000*$N$5)*(IF(N204&lt;($N$4*7/10),($N$4*7/10)*(MIN(O204,($N$4*7/10))^3-N204^3)-(MIN(O204,($N$4*7/10))^4-N204^4)/4,0)+IF(O204&gt;($N$4*7/10),($N$4*7/10)^2*(1.5*(O204^2-MAX(N204,($N$4*7/10))^2)-($N$4*7/10)*(O204-MAX(N204,($N$4*7/10)))),0))*1000,0)</f>
        <v>0</v>
      </c>
      <c r="AU204" s="120">
        <f>IF(AND(V204="OK",ISNUMBER($N$5),$N$5&gt;0,ISNUMBER($N$3),$N$3&gt;0),R204/(6*$N$3*1000000*$N$5)*(IF(N204&lt;($N$4*8/10),($N$4*8/10)*(MIN(O204,($N$4*8/10))^3-N204^3)-(MIN(O204,($N$4*8/10))^4-N204^4)/4,0)+IF(O204&gt;($N$4*8/10),($N$4*8/10)^2*(1.5*(O204^2-MAX(N204,($N$4*8/10))^2)-($N$4*8/10)*(O204-MAX(N204,($N$4*8/10)))),0))*1000,0)</f>
        <v>0</v>
      </c>
      <c r="AV204" s="120">
        <f>IF(AND(V204="OK",ISNUMBER($N$5),$N$5&gt;0,ISNUMBER($N$3),$N$3&gt;0),R204/(6*$N$3*1000000*$N$5)*(IF(N204&lt;($N$4*9/10),($N$4*9/10)*(MIN(O204,($N$4*9/10))^3-N204^3)-(MIN(O204,($N$4*9/10))^4-N204^4)/4,0)+IF(O204&gt;($N$4*9/10),($N$4*9/10)^2*(1.5*(O204^2-MAX(N204,($N$4*9/10))^2)-($N$4*9/10)*(O204-MAX(N204,($N$4*9/10)))),0))*1000,0)</f>
        <v>0</v>
      </c>
      <c r="AW204" s="120">
        <f>IF(AND(V204="OK",ISNUMBER($N$5),$N$5&gt;0,ISNUMBER($N$3),$N$3&gt;0),R204/(6*$N$3*1000000*$N$5)*(IF(N204&lt;($N$4*10/10),($N$4*10/10)*(MIN(O204,($N$4*10/10))^3-N204^3)-(MIN(O204,($N$4*10/10))^4-N204^4)/4,0)+IF(O204&gt;($N$4*10/10),($N$4*10/10)^2*(1.5*(O204^2-MAX(N204,($N$4*10/10))^2)-($N$4*10/10)*(O204-MAX(N204,($N$4*10/10)))),0))*1000,0)</f>
        <v>0</v>
      </c>
    </row>
    <row r="205" spans="1:49">
      <c r="A205" s="124"/>
      <c r="B205" s="125"/>
      <c r="C205" s="125"/>
      <c r="D205" s="125"/>
      <c r="E205" s="125"/>
      <c r="F205" s="126" t="str">
        <f>IF(J205="OK",D205*E205,"")</f>
        <v/>
      </c>
      <c r="G205" s="126" t="str">
        <f>IF(J205="OK",F205*(C205-B205),"")</f>
        <v/>
      </c>
      <c r="H205" s="126" t="str">
        <f>IF(J205="OK",G205*(C205+B205)/2,"")</f>
        <v/>
      </c>
      <c r="I205" s="126" t="str">
        <f>IF(AND(J205="OK",ISNUMBER($B$5),$B$5&gt;0,ISNUMBER($B$3),$B$3&gt;0),F205*(4*$B$4*(C205^3-B205^3)-(C205^4-B205^4))/(24*$B$3*1000000*$B$5)*1000,"")</f>
        <v/>
      </c>
      <c r="J205" s="120" t="str">
        <f>IF(COUNTA(A205:E205)=0,"",IF(AND(COUNT(B205:E205)=4,B205&gt;=0,C205&gt;B205,C205&lt;=$B$4,D205&gt;=0,E205&gt;0),IF(COUNTIFS($B$13:$B$204,"&lt;"&amp;C205,$C$13:$C$204,"&gt;"&amp;B205)&gt;0,"OVERLAP","OK"),"CHECK INPUTS"))</f>
        <v/>
      </c>
      <c r="M205" s="124"/>
      <c r="N205" s="125"/>
      <c r="O205" s="125"/>
      <c r="P205" s="125"/>
      <c r="Q205" s="125"/>
      <c r="R205" s="126" t="str">
        <f>IF(V205="OK",P205*Q205,"")</f>
        <v/>
      </c>
      <c r="S205" s="126" t="str">
        <f>IF(V205="OK",R205*(O205-N205),"")</f>
        <v/>
      </c>
      <c r="T205" s="126" t="str">
        <f>IF(V205="OK",S205*(O205+N205)/2,"")</f>
        <v/>
      </c>
      <c r="U205" s="126" t="str">
        <f>IF(AND(V205="OK",ISNUMBER($N$5),$N$5&gt;0,ISNUMBER($N$3),$N$3&gt;0),R205*(4*$N$4*(O205^3-N205^3)-(O205^4-N205^4))/(24*$N$3*1000000*$N$5)*1000,"")</f>
        <v/>
      </c>
      <c r="V205" s="120" t="str">
        <f>IF(COUNTA(M205:Q205)=0,"",IF(AND(COUNT(N205:Q205)=4,N205&gt;=0,O205&gt;N205,O205&lt;=$N$4,P205&gt;=0,Q205&gt;0),IF(COUNTIFS($N$13:$N$204,"&lt;"&amp;O205,$O$13:$O$204,"&gt;"&amp;N205)&gt;0,"OVERLAP","OK"),"CHECK INPUTS"))</f>
        <v/>
      </c>
      <c r="AA205" s="120">
        <f>IF(AND(J205="OK",ISNUMBER($B$5),$B$5&gt;0,ISNUMBER($B$3),$B$3&gt;0),F205/(6*$B$3*1000000*$B$5)*(IF(B205&lt;($B$4*0/10),($B$4*0/10)*(MIN(C205,($B$4*0/10))^3-B205^3)-(MIN(C205,($B$4*0/10))^4-B205^4)/4,0)+IF(C205&gt;($B$4*0/10),($B$4*0/10)^2*(1.5*(C205^2-MAX(B205,($B$4*0/10))^2)-($B$4*0/10)*(C205-MAX(B205,($B$4*0/10)))),0))*1000,0)</f>
        <v>0</v>
      </c>
      <c r="AB205" s="120">
        <f>IF(AND(J205="OK",ISNUMBER($B$5),$B$5&gt;0,ISNUMBER($B$3),$B$3&gt;0),F205/(6*$B$3*1000000*$B$5)*(IF(B205&lt;($B$4*1/10),($B$4*1/10)*(MIN(C205,($B$4*1/10))^3-B205^3)-(MIN(C205,($B$4*1/10))^4-B205^4)/4,0)+IF(C205&gt;($B$4*1/10),($B$4*1/10)^2*(1.5*(C205^2-MAX(B205,($B$4*1/10))^2)-($B$4*1/10)*(C205-MAX(B205,($B$4*1/10)))),0))*1000,0)</f>
        <v>0</v>
      </c>
      <c r="AC205" s="120">
        <f>IF(AND(J205="OK",ISNUMBER($B$5),$B$5&gt;0,ISNUMBER($B$3),$B$3&gt;0),F205/(6*$B$3*1000000*$B$5)*(IF(B205&lt;($B$4*2/10),($B$4*2/10)*(MIN(C205,($B$4*2/10))^3-B205^3)-(MIN(C205,($B$4*2/10))^4-B205^4)/4,0)+IF(C205&gt;($B$4*2/10),($B$4*2/10)^2*(1.5*(C205^2-MAX(B205,($B$4*2/10))^2)-($B$4*2/10)*(C205-MAX(B205,($B$4*2/10)))),0))*1000,0)</f>
        <v>0</v>
      </c>
      <c r="AD205" s="120">
        <f>IF(AND(J205="OK",ISNUMBER($B$5),$B$5&gt;0,ISNUMBER($B$3),$B$3&gt;0),F205/(6*$B$3*1000000*$B$5)*(IF(B205&lt;($B$4*3/10),($B$4*3/10)*(MIN(C205,($B$4*3/10))^3-B205^3)-(MIN(C205,($B$4*3/10))^4-B205^4)/4,0)+IF(C205&gt;($B$4*3/10),($B$4*3/10)^2*(1.5*(C205^2-MAX(B205,($B$4*3/10))^2)-($B$4*3/10)*(C205-MAX(B205,($B$4*3/10)))),0))*1000,0)</f>
        <v>0</v>
      </c>
      <c r="AE205" s="120">
        <f>IF(AND(J205="OK",ISNUMBER($B$5),$B$5&gt;0,ISNUMBER($B$3),$B$3&gt;0),F205/(6*$B$3*1000000*$B$5)*(IF(B205&lt;($B$4*4/10),($B$4*4/10)*(MIN(C205,($B$4*4/10))^3-B205^3)-(MIN(C205,($B$4*4/10))^4-B205^4)/4,0)+IF(C205&gt;($B$4*4/10),($B$4*4/10)^2*(1.5*(C205^2-MAX(B205,($B$4*4/10))^2)-($B$4*4/10)*(C205-MAX(B205,($B$4*4/10)))),0))*1000,0)</f>
        <v>0</v>
      </c>
      <c r="AF205" s="120">
        <f>IF(AND(J205="OK",ISNUMBER($B$5),$B$5&gt;0,ISNUMBER($B$3),$B$3&gt;0),F205/(6*$B$3*1000000*$B$5)*(IF(B205&lt;($B$4*5/10),($B$4*5/10)*(MIN(C205,($B$4*5/10))^3-B205^3)-(MIN(C205,($B$4*5/10))^4-B205^4)/4,0)+IF(C205&gt;($B$4*5/10),($B$4*5/10)^2*(1.5*(C205^2-MAX(B205,($B$4*5/10))^2)-($B$4*5/10)*(C205-MAX(B205,($B$4*5/10)))),0))*1000,0)</f>
        <v>0</v>
      </c>
      <c r="AG205" s="120">
        <f>IF(AND(J205="OK",ISNUMBER($B$5),$B$5&gt;0,ISNUMBER($B$3),$B$3&gt;0),F205/(6*$B$3*1000000*$B$5)*(IF(B205&lt;($B$4*6/10),($B$4*6/10)*(MIN(C205,($B$4*6/10))^3-B205^3)-(MIN(C205,($B$4*6/10))^4-B205^4)/4,0)+IF(C205&gt;($B$4*6/10),($B$4*6/10)^2*(1.5*(C205^2-MAX(B205,($B$4*6/10))^2)-($B$4*6/10)*(C205-MAX(B205,($B$4*6/10)))),0))*1000,0)</f>
        <v>0</v>
      </c>
      <c r="AH205" s="120">
        <f>IF(AND(J205="OK",ISNUMBER($B$5),$B$5&gt;0,ISNUMBER($B$3),$B$3&gt;0),F205/(6*$B$3*1000000*$B$5)*(IF(B205&lt;($B$4*7/10),($B$4*7/10)*(MIN(C205,($B$4*7/10))^3-B205^3)-(MIN(C205,($B$4*7/10))^4-B205^4)/4,0)+IF(C205&gt;($B$4*7/10),($B$4*7/10)^2*(1.5*(C205^2-MAX(B205,($B$4*7/10))^2)-($B$4*7/10)*(C205-MAX(B205,($B$4*7/10)))),0))*1000,0)</f>
        <v>0</v>
      </c>
      <c r="AI205" s="120">
        <f>IF(AND(J205="OK",ISNUMBER($B$5),$B$5&gt;0,ISNUMBER($B$3),$B$3&gt;0),F205/(6*$B$3*1000000*$B$5)*(IF(B205&lt;($B$4*8/10),($B$4*8/10)*(MIN(C205,($B$4*8/10))^3-B205^3)-(MIN(C205,($B$4*8/10))^4-B205^4)/4,0)+IF(C205&gt;($B$4*8/10),($B$4*8/10)^2*(1.5*(C205^2-MAX(B205,($B$4*8/10))^2)-($B$4*8/10)*(C205-MAX(B205,($B$4*8/10)))),0))*1000,0)</f>
        <v>0</v>
      </c>
      <c r="AJ205" s="120">
        <f>IF(AND(J205="OK",ISNUMBER($B$5),$B$5&gt;0,ISNUMBER($B$3),$B$3&gt;0),F205/(6*$B$3*1000000*$B$5)*(IF(B205&lt;($B$4*9/10),($B$4*9/10)*(MIN(C205,($B$4*9/10))^3-B205^3)-(MIN(C205,($B$4*9/10))^4-B205^4)/4,0)+IF(C205&gt;($B$4*9/10),($B$4*9/10)^2*(1.5*(C205^2-MAX(B205,($B$4*9/10))^2)-($B$4*9/10)*(C205-MAX(B205,($B$4*9/10)))),0))*1000,0)</f>
        <v>0</v>
      </c>
      <c r="AK205" s="120">
        <f>IF(AND(J205="OK",ISNUMBER($B$5),$B$5&gt;0,ISNUMBER($B$3),$B$3&gt;0),F205/(6*$B$3*1000000*$B$5)*(IF(B205&lt;($B$4*10/10),($B$4*10/10)*(MIN(C205,($B$4*10/10))^3-B205^3)-(MIN(C205,($B$4*10/10))^4-B205^4)/4,0)+IF(C205&gt;($B$4*10/10),($B$4*10/10)^2*(1.5*(C205^2-MAX(B205,($B$4*10/10))^2)-($B$4*10/10)*(C205-MAX(B205,($B$4*10/10)))),0))*1000,0)</f>
        <v>0</v>
      </c>
      <c r="AM205" s="120">
        <f>IF(AND(V205="OK",ISNUMBER($N$5),$N$5&gt;0,ISNUMBER($N$3),$N$3&gt;0),R205/(6*$N$3*1000000*$N$5)*(IF(N205&lt;($N$4*0/10),($N$4*0/10)*(MIN(O205,($N$4*0/10))^3-N205^3)-(MIN(O205,($N$4*0/10))^4-N205^4)/4,0)+IF(O205&gt;($N$4*0/10),($N$4*0/10)^2*(1.5*(O205^2-MAX(N205,($N$4*0/10))^2)-($N$4*0/10)*(O205-MAX(N205,($N$4*0/10)))),0))*1000,0)</f>
        <v>0</v>
      </c>
      <c r="AN205" s="120">
        <f>IF(AND(V205="OK",ISNUMBER($N$5),$N$5&gt;0,ISNUMBER($N$3),$N$3&gt;0),R205/(6*$N$3*1000000*$N$5)*(IF(N205&lt;($N$4*1/10),($N$4*1/10)*(MIN(O205,($N$4*1/10))^3-N205^3)-(MIN(O205,($N$4*1/10))^4-N205^4)/4,0)+IF(O205&gt;($N$4*1/10),($N$4*1/10)^2*(1.5*(O205^2-MAX(N205,($N$4*1/10))^2)-($N$4*1/10)*(O205-MAX(N205,($N$4*1/10)))),0))*1000,0)</f>
        <v>0</v>
      </c>
      <c r="AO205" s="120">
        <f>IF(AND(V205="OK",ISNUMBER($N$5),$N$5&gt;0,ISNUMBER($N$3),$N$3&gt;0),R205/(6*$N$3*1000000*$N$5)*(IF(N205&lt;($N$4*2/10),($N$4*2/10)*(MIN(O205,($N$4*2/10))^3-N205^3)-(MIN(O205,($N$4*2/10))^4-N205^4)/4,0)+IF(O205&gt;($N$4*2/10),($N$4*2/10)^2*(1.5*(O205^2-MAX(N205,($N$4*2/10))^2)-($N$4*2/10)*(O205-MAX(N205,($N$4*2/10)))),0))*1000,0)</f>
        <v>0</v>
      </c>
      <c r="AP205" s="120">
        <f>IF(AND(V205="OK",ISNUMBER($N$5),$N$5&gt;0,ISNUMBER($N$3),$N$3&gt;0),R205/(6*$N$3*1000000*$N$5)*(IF(N205&lt;($N$4*3/10),($N$4*3/10)*(MIN(O205,($N$4*3/10))^3-N205^3)-(MIN(O205,($N$4*3/10))^4-N205^4)/4,0)+IF(O205&gt;($N$4*3/10),($N$4*3/10)^2*(1.5*(O205^2-MAX(N205,($N$4*3/10))^2)-($N$4*3/10)*(O205-MAX(N205,($N$4*3/10)))),0))*1000,0)</f>
        <v>0</v>
      </c>
      <c r="AQ205" s="120">
        <f>IF(AND(V205="OK",ISNUMBER($N$5),$N$5&gt;0,ISNUMBER($N$3),$N$3&gt;0),R205/(6*$N$3*1000000*$N$5)*(IF(N205&lt;($N$4*4/10),($N$4*4/10)*(MIN(O205,($N$4*4/10))^3-N205^3)-(MIN(O205,($N$4*4/10))^4-N205^4)/4,0)+IF(O205&gt;($N$4*4/10),($N$4*4/10)^2*(1.5*(O205^2-MAX(N205,($N$4*4/10))^2)-($N$4*4/10)*(O205-MAX(N205,($N$4*4/10)))),0))*1000,0)</f>
        <v>0</v>
      </c>
      <c r="AR205" s="120">
        <f>IF(AND(V205="OK",ISNUMBER($N$5),$N$5&gt;0,ISNUMBER($N$3),$N$3&gt;0),R205/(6*$N$3*1000000*$N$5)*(IF(N205&lt;($N$4*5/10),($N$4*5/10)*(MIN(O205,($N$4*5/10))^3-N205^3)-(MIN(O205,($N$4*5/10))^4-N205^4)/4,0)+IF(O205&gt;($N$4*5/10),($N$4*5/10)^2*(1.5*(O205^2-MAX(N205,($N$4*5/10))^2)-($N$4*5/10)*(O205-MAX(N205,($N$4*5/10)))),0))*1000,0)</f>
        <v>0</v>
      </c>
      <c r="AS205" s="120">
        <f>IF(AND(V205="OK",ISNUMBER($N$5),$N$5&gt;0,ISNUMBER($N$3),$N$3&gt;0),R205/(6*$N$3*1000000*$N$5)*(IF(N205&lt;($N$4*6/10),($N$4*6/10)*(MIN(O205,($N$4*6/10))^3-N205^3)-(MIN(O205,($N$4*6/10))^4-N205^4)/4,0)+IF(O205&gt;($N$4*6/10),($N$4*6/10)^2*(1.5*(O205^2-MAX(N205,($N$4*6/10))^2)-($N$4*6/10)*(O205-MAX(N205,($N$4*6/10)))),0))*1000,0)</f>
        <v>0</v>
      </c>
      <c r="AT205" s="120">
        <f>IF(AND(V205="OK",ISNUMBER($N$5),$N$5&gt;0,ISNUMBER($N$3),$N$3&gt;0),R205/(6*$N$3*1000000*$N$5)*(IF(N205&lt;($N$4*7/10),($N$4*7/10)*(MIN(O205,($N$4*7/10))^3-N205^3)-(MIN(O205,($N$4*7/10))^4-N205^4)/4,0)+IF(O205&gt;($N$4*7/10),($N$4*7/10)^2*(1.5*(O205^2-MAX(N205,($N$4*7/10))^2)-($N$4*7/10)*(O205-MAX(N205,($N$4*7/10)))),0))*1000,0)</f>
        <v>0</v>
      </c>
      <c r="AU205" s="120">
        <f>IF(AND(V205="OK",ISNUMBER($N$5),$N$5&gt;0,ISNUMBER($N$3),$N$3&gt;0),R205/(6*$N$3*1000000*$N$5)*(IF(N205&lt;($N$4*8/10),($N$4*8/10)*(MIN(O205,($N$4*8/10))^3-N205^3)-(MIN(O205,($N$4*8/10))^4-N205^4)/4,0)+IF(O205&gt;($N$4*8/10),($N$4*8/10)^2*(1.5*(O205^2-MAX(N205,($N$4*8/10))^2)-($N$4*8/10)*(O205-MAX(N205,($N$4*8/10)))),0))*1000,0)</f>
        <v>0</v>
      </c>
      <c r="AV205" s="120">
        <f>IF(AND(V205="OK",ISNUMBER($N$5),$N$5&gt;0,ISNUMBER($N$3),$N$3&gt;0),R205/(6*$N$3*1000000*$N$5)*(IF(N205&lt;($N$4*9/10),($N$4*9/10)*(MIN(O205,($N$4*9/10))^3-N205^3)-(MIN(O205,($N$4*9/10))^4-N205^4)/4,0)+IF(O205&gt;($N$4*9/10),($N$4*9/10)^2*(1.5*(O205^2-MAX(N205,($N$4*9/10))^2)-($N$4*9/10)*(O205-MAX(N205,($N$4*9/10)))),0))*1000,0)</f>
        <v>0</v>
      </c>
      <c r="AW205" s="120">
        <f>IF(AND(V205="OK",ISNUMBER($N$5),$N$5&gt;0,ISNUMBER($N$3),$N$3&gt;0),R205/(6*$N$3*1000000*$N$5)*(IF(N205&lt;($N$4*10/10),($N$4*10/10)*(MIN(O205,($N$4*10/10))^3-N205^3)-(MIN(O205,($N$4*10/10))^4-N205^4)/4,0)+IF(O205&gt;($N$4*10/10),($N$4*10/10)^2*(1.5*(O205^2-MAX(N205,($N$4*10/10))^2)-($N$4*10/10)*(O205-MAX(N205,($N$4*10/10)))),0))*1000,0)</f>
        <v>0</v>
      </c>
    </row>
    <row r="206" spans="1:49">
      <c r="A206" s="124"/>
      <c r="B206" s="125"/>
      <c r="C206" s="125"/>
      <c r="D206" s="125"/>
      <c r="E206" s="125"/>
      <c r="F206" s="126" t="str">
        <f>IF(J206="OK",D206*E206,"")</f>
        <v/>
      </c>
      <c r="G206" s="126" t="str">
        <f>IF(J206="OK",F206*(C206-B206),"")</f>
        <v/>
      </c>
      <c r="H206" s="126" t="str">
        <f>IF(J206="OK",G206*(C206+B206)/2,"")</f>
        <v/>
      </c>
      <c r="I206" s="126" t="str">
        <f>IF(AND(J206="OK",ISNUMBER($B$5),$B$5&gt;0,ISNUMBER($B$3),$B$3&gt;0),F206*(4*$B$4*(C206^3-B206^3)-(C206^4-B206^4))/(24*$B$3*1000000*$B$5)*1000,"")</f>
        <v/>
      </c>
      <c r="J206" s="120" t="str">
        <f>IF(COUNTA(A206:E206)=0,"",IF(AND(COUNT(B206:E206)=4,B206&gt;=0,C206&gt;B206,C206&lt;=$B$4,D206&gt;=0,E206&gt;0),IF(COUNTIFS($B$13:$B$205,"&lt;"&amp;C206,$C$13:$C$205,"&gt;"&amp;B206)&gt;0,"OVERLAP","OK"),"CHECK INPUTS"))</f>
        <v/>
      </c>
      <c r="M206" s="124"/>
      <c r="N206" s="125"/>
      <c r="O206" s="125"/>
      <c r="P206" s="125"/>
      <c r="Q206" s="125"/>
      <c r="R206" s="126" t="str">
        <f>IF(V206="OK",P206*Q206,"")</f>
        <v/>
      </c>
      <c r="S206" s="126" t="str">
        <f>IF(V206="OK",R206*(O206-N206),"")</f>
        <v/>
      </c>
      <c r="T206" s="126" t="str">
        <f>IF(V206="OK",S206*(O206+N206)/2,"")</f>
        <v/>
      </c>
      <c r="U206" s="126" t="str">
        <f>IF(AND(V206="OK",ISNUMBER($N$5),$N$5&gt;0,ISNUMBER($N$3),$N$3&gt;0),R206*(4*$N$4*(O206^3-N206^3)-(O206^4-N206^4))/(24*$N$3*1000000*$N$5)*1000,"")</f>
        <v/>
      </c>
      <c r="V206" s="120" t="str">
        <f>IF(COUNTA(M206:Q206)=0,"",IF(AND(COUNT(N206:Q206)=4,N206&gt;=0,O206&gt;N206,O206&lt;=$N$4,P206&gt;=0,Q206&gt;0),IF(COUNTIFS($N$13:$N$205,"&lt;"&amp;O206,$O$13:$O$205,"&gt;"&amp;N206)&gt;0,"OVERLAP","OK"),"CHECK INPUTS"))</f>
        <v/>
      </c>
      <c r="AA206" s="120">
        <f>IF(AND(J206="OK",ISNUMBER($B$5),$B$5&gt;0,ISNUMBER($B$3),$B$3&gt;0),F206/(6*$B$3*1000000*$B$5)*(IF(B206&lt;($B$4*0/10),($B$4*0/10)*(MIN(C206,($B$4*0/10))^3-B206^3)-(MIN(C206,($B$4*0/10))^4-B206^4)/4,0)+IF(C206&gt;($B$4*0/10),($B$4*0/10)^2*(1.5*(C206^2-MAX(B206,($B$4*0/10))^2)-($B$4*0/10)*(C206-MAX(B206,($B$4*0/10)))),0))*1000,0)</f>
        <v>0</v>
      </c>
      <c r="AB206" s="120">
        <f>IF(AND(J206="OK",ISNUMBER($B$5),$B$5&gt;0,ISNUMBER($B$3),$B$3&gt;0),F206/(6*$B$3*1000000*$B$5)*(IF(B206&lt;($B$4*1/10),($B$4*1/10)*(MIN(C206,($B$4*1/10))^3-B206^3)-(MIN(C206,($B$4*1/10))^4-B206^4)/4,0)+IF(C206&gt;($B$4*1/10),($B$4*1/10)^2*(1.5*(C206^2-MAX(B206,($B$4*1/10))^2)-($B$4*1/10)*(C206-MAX(B206,($B$4*1/10)))),0))*1000,0)</f>
        <v>0</v>
      </c>
      <c r="AC206" s="120">
        <f>IF(AND(J206="OK",ISNUMBER($B$5),$B$5&gt;0,ISNUMBER($B$3),$B$3&gt;0),F206/(6*$B$3*1000000*$B$5)*(IF(B206&lt;($B$4*2/10),($B$4*2/10)*(MIN(C206,($B$4*2/10))^3-B206^3)-(MIN(C206,($B$4*2/10))^4-B206^4)/4,0)+IF(C206&gt;($B$4*2/10),($B$4*2/10)^2*(1.5*(C206^2-MAX(B206,($B$4*2/10))^2)-($B$4*2/10)*(C206-MAX(B206,($B$4*2/10)))),0))*1000,0)</f>
        <v>0</v>
      </c>
      <c r="AD206" s="120">
        <f>IF(AND(J206="OK",ISNUMBER($B$5),$B$5&gt;0,ISNUMBER($B$3),$B$3&gt;0),F206/(6*$B$3*1000000*$B$5)*(IF(B206&lt;($B$4*3/10),($B$4*3/10)*(MIN(C206,($B$4*3/10))^3-B206^3)-(MIN(C206,($B$4*3/10))^4-B206^4)/4,0)+IF(C206&gt;($B$4*3/10),($B$4*3/10)^2*(1.5*(C206^2-MAX(B206,($B$4*3/10))^2)-($B$4*3/10)*(C206-MAX(B206,($B$4*3/10)))),0))*1000,0)</f>
        <v>0</v>
      </c>
      <c r="AE206" s="120">
        <f>IF(AND(J206="OK",ISNUMBER($B$5),$B$5&gt;0,ISNUMBER($B$3),$B$3&gt;0),F206/(6*$B$3*1000000*$B$5)*(IF(B206&lt;($B$4*4/10),($B$4*4/10)*(MIN(C206,($B$4*4/10))^3-B206^3)-(MIN(C206,($B$4*4/10))^4-B206^4)/4,0)+IF(C206&gt;($B$4*4/10),($B$4*4/10)^2*(1.5*(C206^2-MAX(B206,($B$4*4/10))^2)-($B$4*4/10)*(C206-MAX(B206,($B$4*4/10)))),0))*1000,0)</f>
        <v>0</v>
      </c>
      <c r="AF206" s="120">
        <f>IF(AND(J206="OK",ISNUMBER($B$5),$B$5&gt;0,ISNUMBER($B$3),$B$3&gt;0),F206/(6*$B$3*1000000*$B$5)*(IF(B206&lt;($B$4*5/10),($B$4*5/10)*(MIN(C206,($B$4*5/10))^3-B206^3)-(MIN(C206,($B$4*5/10))^4-B206^4)/4,0)+IF(C206&gt;($B$4*5/10),($B$4*5/10)^2*(1.5*(C206^2-MAX(B206,($B$4*5/10))^2)-($B$4*5/10)*(C206-MAX(B206,($B$4*5/10)))),0))*1000,0)</f>
        <v>0</v>
      </c>
      <c r="AG206" s="120">
        <f>IF(AND(J206="OK",ISNUMBER($B$5),$B$5&gt;0,ISNUMBER($B$3),$B$3&gt;0),F206/(6*$B$3*1000000*$B$5)*(IF(B206&lt;($B$4*6/10),($B$4*6/10)*(MIN(C206,($B$4*6/10))^3-B206^3)-(MIN(C206,($B$4*6/10))^4-B206^4)/4,0)+IF(C206&gt;($B$4*6/10),($B$4*6/10)^2*(1.5*(C206^2-MAX(B206,($B$4*6/10))^2)-($B$4*6/10)*(C206-MAX(B206,($B$4*6/10)))),0))*1000,0)</f>
        <v>0</v>
      </c>
      <c r="AH206" s="120">
        <f>IF(AND(J206="OK",ISNUMBER($B$5),$B$5&gt;0,ISNUMBER($B$3),$B$3&gt;0),F206/(6*$B$3*1000000*$B$5)*(IF(B206&lt;($B$4*7/10),($B$4*7/10)*(MIN(C206,($B$4*7/10))^3-B206^3)-(MIN(C206,($B$4*7/10))^4-B206^4)/4,0)+IF(C206&gt;($B$4*7/10),($B$4*7/10)^2*(1.5*(C206^2-MAX(B206,($B$4*7/10))^2)-($B$4*7/10)*(C206-MAX(B206,($B$4*7/10)))),0))*1000,0)</f>
        <v>0</v>
      </c>
      <c r="AI206" s="120">
        <f>IF(AND(J206="OK",ISNUMBER($B$5),$B$5&gt;0,ISNUMBER($B$3),$B$3&gt;0),F206/(6*$B$3*1000000*$B$5)*(IF(B206&lt;($B$4*8/10),($B$4*8/10)*(MIN(C206,($B$4*8/10))^3-B206^3)-(MIN(C206,($B$4*8/10))^4-B206^4)/4,0)+IF(C206&gt;($B$4*8/10),($B$4*8/10)^2*(1.5*(C206^2-MAX(B206,($B$4*8/10))^2)-($B$4*8/10)*(C206-MAX(B206,($B$4*8/10)))),0))*1000,0)</f>
        <v>0</v>
      </c>
      <c r="AJ206" s="120">
        <f>IF(AND(J206="OK",ISNUMBER($B$5),$B$5&gt;0,ISNUMBER($B$3),$B$3&gt;0),F206/(6*$B$3*1000000*$B$5)*(IF(B206&lt;($B$4*9/10),($B$4*9/10)*(MIN(C206,($B$4*9/10))^3-B206^3)-(MIN(C206,($B$4*9/10))^4-B206^4)/4,0)+IF(C206&gt;($B$4*9/10),($B$4*9/10)^2*(1.5*(C206^2-MAX(B206,($B$4*9/10))^2)-($B$4*9/10)*(C206-MAX(B206,($B$4*9/10)))),0))*1000,0)</f>
        <v>0</v>
      </c>
      <c r="AK206" s="120">
        <f>IF(AND(J206="OK",ISNUMBER($B$5),$B$5&gt;0,ISNUMBER($B$3),$B$3&gt;0),F206/(6*$B$3*1000000*$B$5)*(IF(B206&lt;($B$4*10/10),($B$4*10/10)*(MIN(C206,($B$4*10/10))^3-B206^3)-(MIN(C206,($B$4*10/10))^4-B206^4)/4,0)+IF(C206&gt;($B$4*10/10),($B$4*10/10)^2*(1.5*(C206^2-MAX(B206,($B$4*10/10))^2)-($B$4*10/10)*(C206-MAX(B206,($B$4*10/10)))),0))*1000,0)</f>
        <v>0</v>
      </c>
      <c r="AM206" s="120">
        <f>IF(AND(V206="OK",ISNUMBER($N$5),$N$5&gt;0,ISNUMBER($N$3),$N$3&gt;0),R206/(6*$N$3*1000000*$N$5)*(IF(N206&lt;($N$4*0/10),($N$4*0/10)*(MIN(O206,($N$4*0/10))^3-N206^3)-(MIN(O206,($N$4*0/10))^4-N206^4)/4,0)+IF(O206&gt;($N$4*0/10),($N$4*0/10)^2*(1.5*(O206^2-MAX(N206,($N$4*0/10))^2)-($N$4*0/10)*(O206-MAX(N206,($N$4*0/10)))),0))*1000,0)</f>
        <v>0</v>
      </c>
      <c r="AN206" s="120">
        <f>IF(AND(V206="OK",ISNUMBER($N$5),$N$5&gt;0,ISNUMBER($N$3),$N$3&gt;0),R206/(6*$N$3*1000000*$N$5)*(IF(N206&lt;($N$4*1/10),($N$4*1/10)*(MIN(O206,($N$4*1/10))^3-N206^3)-(MIN(O206,($N$4*1/10))^4-N206^4)/4,0)+IF(O206&gt;($N$4*1/10),($N$4*1/10)^2*(1.5*(O206^2-MAX(N206,($N$4*1/10))^2)-($N$4*1/10)*(O206-MAX(N206,($N$4*1/10)))),0))*1000,0)</f>
        <v>0</v>
      </c>
      <c r="AO206" s="120">
        <f>IF(AND(V206="OK",ISNUMBER($N$5),$N$5&gt;0,ISNUMBER($N$3),$N$3&gt;0),R206/(6*$N$3*1000000*$N$5)*(IF(N206&lt;($N$4*2/10),($N$4*2/10)*(MIN(O206,($N$4*2/10))^3-N206^3)-(MIN(O206,($N$4*2/10))^4-N206^4)/4,0)+IF(O206&gt;($N$4*2/10),($N$4*2/10)^2*(1.5*(O206^2-MAX(N206,($N$4*2/10))^2)-($N$4*2/10)*(O206-MAX(N206,($N$4*2/10)))),0))*1000,0)</f>
        <v>0</v>
      </c>
      <c r="AP206" s="120">
        <f>IF(AND(V206="OK",ISNUMBER($N$5),$N$5&gt;0,ISNUMBER($N$3),$N$3&gt;0),R206/(6*$N$3*1000000*$N$5)*(IF(N206&lt;($N$4*3/10),($N$4*3/10)*(MIN(O206,($N$4*3/10))^3-N206^3)-(MIN(O206,($N$4*3/10))^4-N206^4)/4,0)+IF(O206&gt;($N$4*3/10),($N$4*3/10)^2*(1.5*(O206^2-MAX(N206,($N$4*3/10))^2)-($N$4*3/10)*(O206-MAX(N206,($N$4*3/10)))),0))*1000,0)</f>
        <v>0</v>
      </c>
      <c r="AQ206" s="120">
        <f>IF(AND(V206="OK",ISNUMBER($N$5),$N$5&gt;0,ISNUMBER($N$3),$N$3&gt;0),R206/(6*$N$3*1000000*$N$5)*(IF(N206&lt;($N$4*4/10),($N$4*4/10)*(MIN(O206,($N$4*4/10))^3-N206^3)-(MIN(O206,($N$4*4/10))^4-N206^4)/4,0)+IF(O206&gt;($N$4*4/10),($N$4*4/10)^2*(1.5*(O206^2-MAX(N206,($N$4*4/10))^2)-($N$4*4/10)*(O206-MAX(N206,($N$4*4/10)))),0))*1000,0)</f>
        <v>0</v>
      </c>
      <c r="AR206" s="120">
        <f>IF(AND(V206="OK",ISNUMBER($N$5),$N$5&gt;0,ISNUMBER($N$3),$N$3&gt;0),R206/(6*$N$3*1000000*$N$5)*(IF(N206&lt;($N$4*5/10),($N$4*5/10)*(MIN(O206,($N$4*5/10))^3-N206^3)-(MIN(O206,($N$4*5/10))^4-N206^4)/4,0)+IF(O206&gt;($N$4*5/10),($N$4*5/10)^2*(1.5*(O206^2-MAX(N206,($N$4*5/10))^2)-($N$4*5/10)*(O206-MAX(N206,($N$4*5/10)))),0))*1000,0)</f>
        <v>0</v>
      </c>
      <c r="AS206" s="120">
        <f>IF(AND(V206="OK",ISNUMBER($N$5),$N$5&gt;0,ISNUMBER($N$3),$N$3&gt;0),R206/(6*$N$3*1000000*$N$5)*(IF(N206&lt;($N$4*6/10),($N$4*6/10)*(MIN(O206,($N$4*6/10))^3-N206^3)-(MIN(O206,($N$4*6/10))^4-N206^4)/4,0)+IF(O206&gt;($N$4*6/10),($N$4*6/10)^2*(1.5*(O206^2-MAX(N206,($N$4*6/10))^2)-($N$4*6/10)*(O206-MAX(N206,($N$4*6/10)))),0))*1000,0)</f>
        <v>0</v>
      </c>
      <c r="AT206" s="120">
        <f>IF(AND(V206="OK",ISNUMBER($N$5),$N$5&gt;0,ISNUMBER($N$3),$N$3&gt;0),R206/(6*$N$3*1000000*$N$5)*(IF(N206&lt;($N$4*7/10),($N$4*7/10)*(MIN(O206,($N$4*7/10))^3-N206^3)-(MIN(O206,($N$4*7/10))^4-N206^4)/4,0)+IF(O206&gt;($N$4*7/10),($N$4*7/10)^2*(1.5*(O206^2-MAX(N206,($N$4*7/10))^2)-($N$4*7/10)*(O206-MAX(N206,($N$4*7/10)))),0))*1000,0)</f>
        <v>0</v>
      </c>
      <c r="AU206" s="120">
        <f>IF(AND(V206="OK",ISNUMBER($N$5),$N$5&gt;0,ISNUMBER($N$3),$N$3&gt;0),R206/(6*$N$3*1000000*$N$5)*(IF(N206&lt;($N$4*8/10),($N$4*8/10)*(MIN(O206,($N$4*8/10))^3-N206^3)-(MIN(O206,($N$4*8/10))^4-N206^4)/4,0)+IF(O206&gt;($N$4*8/10),($N$4*8/10)^2*(1.5*(O206^2-MAX(N206,($N$4*8/10))^2)-($N$4*8/10)*(O206-MAX(N206,($N$4*8/10)))),0))*1000,0)</f>
        <v>0</v>
      </c>
      <c r="AV206" s="120">
        <f>IF(AND(V206="OK",ISNUMBER($N$5),$N$5&gt;0,ISNUMBER($N$3),$N$3&gt;0),R206/(6*$N$3*1000000*$N$5)*(IF(N206&lt;($N$4*9/10),($N$4*9/10)*(MIN(O206,($N$4*9/10))^3-N206^3)-(MIN(O206,($N$4*9/10))^4-N206^4)/4,0)+IF(O206&gt;($N$4*9/10),($N$4*9/10)^2*(1.5*(O206^2-MAX(N206,($N$4*9/10))^2)-($N$4*9/10)*(O206-MAX(N206,($N$4*9/10)))),0))*1000,0)</f>
        <v>0</v>
      </c>
      <c r="AW206" s="120">
        <f>IF(AND(V206="OK",ISNUMBER($N$5),$N$5&gt;0,ISNUMBER($N$3),$N$3&gt;0),R206/(6*$N$3*1000000*$N$5)*(IF(N206&lt;($N$4*10/10),($N$4*10/10)*(MIN(O206,($N$4*10/10))^3-N206^3)-(MIN(O206,($N$4*10/10))^4-N206^4)/4,0)+IF(O206&gt;($N$4*10/10),($N$4*10/10)^2*(1.5*(O206^2-MAX(N206,($N$4*10/10))^2)-($N$4*10/10)*(O206-MAX(N206,($N$4*10/10)))),0))*1000,0)</f>
        <v>0</v>
      </c>
    </row>
    <row r="207" spans="1:49">
      <c r="A207" s="124"/>
      <c r="B207" s="125"/>
      <c r="C207" s="125"/>
      <c r="D207" s="125"/>
      <c r="E207" s="125"/>
      <c r="F207" s="126" t="str">
        <f>IF(J207="OK",D207*E207,"")</f>
        <v/>
      </c>
      <c r="G207" s="126" t="str">
        <f>IF(J207="OK",F207*(C207-B207),"")</f>
        <v/>
      </c>
      <c r="H207" s="126" t="str">
        <f>IF(J207="OK",G207*(C207+B207)/2,"")</f>
        <v/>
      </c>
      <c r="I207" s="126" t="str">
        <f>IF(AND(J207="OK",ISNUMBER($B$5),$B$5&gt;0,ISNUMBER($B$3),$B$3&gt;0),F207*(4*$B$4*(C207^3-B207^3)-(C207^4-B207^4))/(24*$B$3*1000000*$B$5)*1000,"")</f>
        <v/>
      </c>
      <c r="J207" s="120" t="str">
        <f>IF(COUNTA(A207:E207)=0,"",IF(AND(COUNT(B207:E207)=4,B207&gt;=0,C207&gt;B207,C207&lt;=$B$4,D207&gt;=0,E207&gt;0),IF(COUNTIFS($B$13:$B$206,"&lt;"&amp;C207,$C$13:$C$206,"&gt;"&amp;B207)&gt;0,"OVERLAP","OK"),"CHECK INPUTS"))</f>
        <v/>
      </c>
      <c r="M207" s="124"/>
      <c r="N207" s="125"/>
      <c r="O207" s="125"/>
      <c r="P207" s="125"/>
      <c r="Q207" s="125"/>
      <c r="R207" s="126" t="str">
        <f>IF(V207="OK",P207*Q207,"")</f>
        <v/>
      </c>
      <c r="S207" s="126" t="str">
        <f>IF(V207="OK",R207*(O207-N207),"")</f>
        <v/>
      </c>
      <c r="T207" s="126" t="str">
        <f>IF(V207="OK",S207*(O207+N207)/2,"")</f>
        <v/>
      </c>
      <c r="U207" s="126" t="str">
        <f>IF(AND(V207="OK",ISNUMBER($N$5),$N$5&gt;0,ISNUMBER($N$3),$N$3&gt;0),R207*(4*$N$4*(O207^3-N207^3)-(O207^4-N207^4))/(24*$N$3*1000000*$N$5)*1000,"")</f>
        <v/>
      </c>
      <c r="V207" s="120" t="str">
        <f>IF(COUNTA(M207:Q207)=0,"",IF(AND(COUNT(N207:Q207)=4,N207&gt;=0,O207&gt;N207,O207&lt;=$N$4,P207&gt;=0,Q207&gt;0),IF(COUNTIFS($N$13:$N$206,"&lt;"&amp;O207,$O$13:$O$206,"&gt;"&amp;N207)&gt;0,"OVERLAP","OK"),"CHECK INPUTS"))</f>
        <v/>
      </c>
      <c r="AA207" s="120">
        <f>IF(AND(J207="OK",ISNUMBER($B$5),$B$5&gt;0,ISNUMBER($B$3),$B$3&gt;0),F207/(6*$B$3*1000000*$B$5)*(IF(B207&lt;($B$4*0/10),($B$4*0/10)*(MIN(C207,($B$4*0/10))^3-B207^3)-(MIN(C207,($B$4*0/10))^4-B207^4)/4,0)+IF(C207&gt;($B$4*0/10),($B$4*0/10)^2*(1.5*(C207^2-MAX(B207,($B$4*0/10))^2)-($B$4*0/10)*(C207-MAX(B207,($B$4*0/10)))),0))*1000,0)</f>
        <v>0</v>
      </c>
      <c r="AB207" s="120">
        <f>IF(AND(J207="OK",ISNUMBER($B$5),$B$5&gt;0,ISNUMBER($B$3),$B$3&gt;0),F207/(6*$B$3*1000000*$B$5)*(IF(B207&lt;($B$4*1/10),($B$4*1/10)*(MIN(C207,($B$4*1/10))^3-B207^3)-(MIN(C207,($B$4*1/10))^4-B207^4)/4,0)+IF(C207&gt;($B$4*1/10),($B$4*1/10)^2*(1.5*(C207^2-MAX(B207,($B$4*1/10))^2)-($B$4*1/10)*(C207-MAX(B207,($B$4*1/10)))),0))*1000,0)</f>
        <v>0</v>
      </c>
      <c r="AC207" s="120">
        <f>IF(AND(J207="OK",ISNUMBER($B$5),$B$5&gt;0,ISNUMBER($B$3),$B$3&gt;0),F207/(6*$B$3*1000000*$B$5)*(IF(B207&lt;($B$4*2/10),($B$4*2/10)*(MIN(C207,($B$4*2/10))^3-B207^3)-(MIN(C207,($B$4*2/10))^4-B207^4)/4,0)+IF(C207&gt;($B$4*2/10),($B$4*2/10)^2*(1.5*(C207^2-MAX(B207,($B$4*2/10))^2)-($B$4*2/10)*(C207-MAX(B207,($B$4*2/10)))),0))*1000,0)</f>
        <v>0</v>
      </c>
      <c r="AD207" s="120">
        <f>IF(AND(J207="OK",ISNUMBER($B$5),$B$5&gt;0,ISNUMBER($B$3),$B$3&gt;0),F207/(6*$B$3*1000000*$B$5)*(IF(B207&lt;($B$4*3/10),($B$4*3/10)*(MIN(C207,($B$4*3/10))^3-B207^3)-(MIN(C207,($B$4*3/10))^4-B207^4)/4,0)+IF(C207&gt;($B$4*3/10),($B$4*3/10)^2*(1.5*(C207^2-MAX(B207,($B$4*3/10))^2)-($B$4*3/10)*(C207-MAX(B207,($B$4*3/10)))),0))*1000,0)</f>
        <v>0</v>
      </c>
      <c r="AE207" s="120">
        <f>IF(AND(J207="OK",ISNUMBER($B$5),$B$5&gt;0,ISNUMBER($B$3),$B$3&gt;0),F207/(6*$B$3*1000000*$B$5)*(IF(B207&lt;($B$4*4/10),($B$4*4/10)*(MIN(C207,($B$4*4/10))^3-B207^3)-(MIN(C207,($B$4*4/10))^4-B207^4)/4,0)+IF(C207&gt;($B$4*4/10),($B$4*4/10)^2*(1.5*(C207^2-MAX(B207,($B$4*4/10))^2)-($B$4*4/10)*(C207-MAX(B207,($B$4*4/10)))),0))*1000,0)</f>
        <v>0</v>
      </c>
      <c r="AF207" s="120">
        <f>IF(AND(J207="OK",ISNUMBER($B$5),$B$5&gt;0,ISNUMBER($B$3),$B$3&gt;0),F207/(6*$B$3*1000000*$B$5)*(IF(B207&lt;($B$4*5/10),($B$4*5/10)*(MIN(C207,($B$4*5/10))^3-B207^3)-(MIN(C207,($B$4*5/10))^4-B207^4)/4,0)+IF(C207&gt;($B$4*5/10),($B$4*5/10)^2*(1.5*(C207^2-MAX(B207,($B$4*5/10))^2)-($B$4*5/10)*(C207-MAX(B207,($B$4*5/10)))),0))*1000,0)</f>
        <v>0</v>
      </c>
      <c r="AG207" s="120">
        <f>IF(AND(J207="OK",ISNUMBER($B$5),$B$5&gt;0,ISNUMBER($B$3),$B$3&gt;0),F207/(6*$B$3*1000000*$B$5)*(IF(B207&lt;($B$4*6/10),($B$4*6/10)*(MIN(C207,($B$4*6/10))^3-B207^3)-(MIN(C207,($B$4*6/10))^4-B207^4)/4,0)+IF(C207&gt;($B$4*6/10),($B$4*6/10)^2*(1.5*(C207^2-MAX(B207,($B$4*6/10))^2)-($B$4*6/10)*(C207-MAX(B207,($B$4*6/10)))),0))*1000,0)</f>
        <v>0</v>
      </c>
      <c r="AH207" s="120">
        <f>IF(AND(J207="OK",ISNUMBER($B$5),$B$5&gt;0,ISNUMBER($B$3),$B$3&gt;0),F207/(6*$B$3*1000000*$B$5)*(IF(B207&lt;($B$4*7/10),($B$4*7/10)*(MIN(C207,($B$4*7/10))^3-B207^3)-(MIN(C207,($B$4*7/10))^4-B207^4)/4,0)+IF(C207&gt;($B$4*7/10),($B$4*7/10)^2*(1.5*(C207^2-MAX(B207,($B$4*7/10))^2)-($B$4*7/10)*(C207-MAX(B207,($B$4*7/10)))),0))*1000,0)</f>
        <v>0</v>
      </c>
      <c r="AI207" s="120">
        <f>IF(AND(J207="OK",ISNUMBER($B$5),$B$5&gt;0,ISNUMBER($B$3),$B$3&gt;0),F207/(6*$B$3*1000000*$B$5)*(IF(B207&lt;($B$4*8/10),($B$4*8/10)*(MIN(C207,($B$4*8/10))^3-B207^3)-(MIN(C207,($B$4*8/10))^4-B207^4)/4,0)+IF(C207&gt;($B$4*8/10),($B$4*8/10)^2*(1.5*(C207^2-MAX(B207,($B$4*8/10))^2)-($B$4*8/10)*(C207-MAX(B207,($B$4*8/10)))),0))*1000,0)</f>
        <v>0</v>
      </c>
      <c r="AJ207" s="120">
        <f>IF(AND(J207="OK",ISNUMBER($B$5),$B$5&gt;0,ISNUMBER($B$3),$B$3&gt;0),F207/(6*$B$3*1000000*$B$5)*(IF(B207&lt;($B$4*9/10),($B$4*9/10)*(MIN(C207,($B$4*9/10))^3-B207^3)-(MIN(C207,($B$4*9/10))^4-B207^4)/4,0)+IF(C207&gt;($B$4*9/10),($B$4*9/10)^2*(1.5*(C207^2-MAX(B207,($B$4*9/10))^2)-($B$4*9/10)*(C207-MAX(B207,($B$4*9/10)))),0))*1000,0)</f>
        <v>0</v>
      </c>
      <c r="AK207" s="120">
        <f>IF(AND(J207="OK",ISNUMBER($B$5),$B$5&gt;0,ISNUMBER($B$3),$B$3&gt;0),F207/(6*$B$3*1000000*$B$5)*(IF(B207&lt;($B$4*10/10),($B$4*10/10)*(MIN(C207,($B$4*10/10))^3-B207^3)-(MIN(C207,($B$4*10/10))^4-B207^4)/4,0)+IF(C207&gt;($B$4*10/10),($B$4*10/10)^2*(1.5*(C207^2-MAX(B207,($B$4*10/10))^2)-($B$4*10/10)*(C207-MAX(B207,($B$4*10/10)))),0))*1000,0)</f>
        <v>0</v>
      </c>
      <c r="AM207" s="120">
        <f>IF(AND(V207="OK",ISNUMBER($N$5),$N$5&gt;0,ISNUMBER($N$3),$N$3&gt;0),R207/(6*$N$3*1000000*$N$5)*(IF(N207&lt;($N$4*0/10),($N$4*0/10)*(MIN(O207,($N$4*0/10))^3-N207^3)-(MIN(O207,($N$4*0/10))^4-N207^4)/4,0)+IF(O207&gt;($N$4*0/10),($N$4*0/10)^2*(1.5*(O207^2-MAX(N207,($N$4*0/10))^2)-($N$4*0/10)*(O207-MAX(N207,($N$4*0/10)))),0))*1000,0)</f>
        <v>0</v>
      </c>
      <c r="AN207" s="120">
        <f>IF(AND(V207="OK",ISNUMBER($N$5),$N$5&gt;0,ISNUMBER($N$3),$N$3&gt;0),R207/(6*$N$3*1000000*$N$5)*(IF(N207&lt;($N$4*1/10),($N$4*1/10)*(MIN(O207,($N$4*1/10))^3-N207^3)-(MIN(O207,($N$4*1/10))^4-N207^4)/4,0)+IF(O207&gt;($N$4*1/10),($N$4*1/10)^2*(1.5*(O207^2-MAX(N207,($N$4*1/10))^2)-($N$4*1/10)*(O207-MAX(N207,($N$4*1/10)))),0))*1000,0)</f>
        <v>0</v>
      </c>
      <c r="AO207" s="120">
        <f>IF(AND(V207="OK",ISNUMBER($N$5),$N$5&gt;0,ISNUMBER($N$3),$N$3&gt;0),R207/(6*$N$3*1000000*$N$5)*(IF(N207&lt;($N$4*2/10),($N$4*2/10)*(MIN(O207,($N$4*2/10))^3-N207^3)-(MIN(O207,($N$4*2/10))^4-N207^4)/4,0)+IF(O207&gt;($N$4*2/10),($N$4*2/10)^2*(1.5*(O207^2-MAX(N207,($N$4*2/10))^2)-($N$4*2/10)*(O207-MAX(N207,($N$4*2/10)))),0))*1000,0)</f>
        <v>0</v>
      </c>
      <c r="AP207" s="120">
        <f>IF(AND(V207="OK",ISNUMBER($N$5),$N$5&gt;0,ISNUMBER($N$3),$N$3&gt;0),R207/(6*$N$3*1000000*$N$5)*(IF(N207&lt;($N$4*3/10),($N$4*3/10)*(MIN(O207,($N$4*3/10))^3-N207^3)-(MIN(O207,($N$4*3/10))^4-N207^4)/4,0)+IF(O207&gt;($N$4*3/10),($N$4*3/10)^2*(1.5*(O207^2-MAX(N207,($N$4*3/10))^2)-($N$4*3/10)*(O207-MAX(N207,($N$4*3/10)))),0))*1000,0)</f>
        <v>0</v>
      </c>
      <c r="AQ207" s="120">
        <f>IF(AND(V207="OK",ISNUMBER($N$5),$N$5&gt;0,ISNUMBER($N$3),$N$3&gt;0),R207/(6*$N$3*1000000*$N$5)*(IF(N207&lt;($N$4*4/10),($N$4*4/10)*(MIN(O207,($N$4*4/10))^3-N207^3)-(MIN(O207,($N$4*4/10))^4-N207^4)/4,0)+IF(O207&gt;($N$4*4/10),($N$4*4/10)^2*(1.5*(O207^2-MAX(N207,($N$4*4/10))^2)-($N$4*4/10)*(O207-MAX(N207,($N$4*4/10)))),0))*1000,0)</f>
        <v>0</v>
      </c>
      <c r="AR207" s="120">
        <f>IF(AND(V207="OK",ISNUMBER($N$5),$N$5&gt;0,ISNUMBER($N$3),$N$3&gt;0),R207/(6*$N$3*1000000*$N$5)*(IF(N207&lt;($N$4*5/10),($N$4*5/10)*(MIN(O207,($N$4*5/10))^3-N207^3)-(MIN(O207,($N$4*5/10))^4-N207^4)/4,0)+IF(O207&gt;($N$4*5/10),($N$4*5/10)^2*(1.5*(O207^2-MAX(N207,($N$4*5/10))^2)-($N$4*5/10)*(O207-MAX(N207,($N$4*5/10)))),0))*1000,0)</f>
        <v>0</v>
      </c>
      <c r="AS207" s="120">
        <f>IF(AND(V207="OK",ISNUMBER($N$5),$N$5&gt;0,ISNUMBER($N$3),$N$3&gt;0),R207/(6*$N$3*1000000*$N$5)*(IF(N207&lt;($N$4*6/10),($N$4*6/10)*(MIN(O207,($N$4*6/10))^3-N207^3)-(MIN(O207,($N$4*6/10))^4-N207^4)/4,0)+IF(O207&gt;($N$4*6/10),($N$4*6/10)^2*(1.5*(O207^2-MAX(N207,($N$4*6/10))^2)-($N$4*6/10)*(O207-MAX(N207,($N$4*6/10)))),0))*1000,0)</f>
        <v>0</v>
      </c>
      <c r="AT207" s="120">
        <f>IF(AND(V207="OK",ISNUMBER($N$5),$N$5&gt;0,ISNUMBER($N$3),$N$3&gt;0),R207/(6*$N$3*1000000*$N$5)*(IF(N207&lt;($N$4*7/10),($N$4*7/10)*(MIN(O207,($N$4*7/10))^3-N207^3)-(MIN(O207,($N$4*7/10))^4-N207^4)/4,0)+IF(O207&gt;($N$4*7/10),($N$4*7/10)^2*(1.5*(O207^2-MAX(N207,($N$4*7/10))^2)-($N$4*7/10)*(O207-MAX(N207,($N$4*7/10)))),0))*1000,0)</f>
        <v>0</v>
      </c>
      <c r="AU207" s="120">
        <f>IF(AND(V207="OK",ISNUMBER($N$5),$N$5&gt;0,ISNUMBER($N$3),$N$3&gt;0),R207/(6*$N$3*1000000*$N$5)*(IF(N207&lt;($N$4*8/10),($N$4*8/10)*(MIN(O207,($N$4*8/10))^3-N207^3)-(MIN(O207,($N$4*8/10))^4-N207^4)/4,0)+IF(O207&gt;($N$4*8/10),($N$4*8/10)^2*(1.5*(O207^2-MAX(N207,($N$4*8/10))^2)-($N$4*8/10)*(O207-MAX(N207,($N$4*8/10)))),0))*1000,0)</f>
        <v>0</v>
      </c>
      <c r="AV207" s="120">
        <f>IF(AND(V207="OK",ISNUMBER($N$5),$N$5&gt;0,ISNUMBER($N$3),$N$3&gt;0),R207/(6*$N$3*1000000*$N$5)*(IF(N207&lt;($N$4*9/10),($N$4*9/10)*(MIN(O207,($N$4*9/10))^3-N207^3)-(MIN(O207,($N$4*9/10))^4-N207^4)/4,0)+IF(O207&gt;($N$4*9/10),($N$4*9/10)^2*(1.5*(O207^2-MAX(N207,($N$4*9/10))^2)-($N$4*9/10)*(O207-MAX(N207,($N$4*9/10)))),0))*1000,0)</f>
        <v>0</v>
      </c>
      <c r="AW207" s="120">
        <f>IF(AND(V207="OK",ISNUMBER($N$5),$N$5&gt;0,ISNUMBER($N$3),$N$3&gt;0),R207/(6*$N$3*1000000*$N$5)*(IF(N207&lt;($N$4*10/10),($N$4*10/10)*(MIN(O207,($N$4*10/10))^3-N207^3)-(MIN(O207,($N$4*10/10))^4-N207^4)/4,0)+IF(O207&gt;($N$4*10/10),($N$4*10/10)^2*(1.5*(O207^2-MAX(N207,($N$4*10/10))^2)-($N$4*10/10)*(O207-MAX(N207,($N$4*10/10)))),0))*1000,0)</f>
        <v>0</v>
      </c>
    </row>
    <row r="208" spans="1:49">
      <c r="A208" s="124"/>
      <c r="B208" s="125"/>
      <c r="C208" s="125"/>
      <c r="D208" s="125"/>
      <c r="E208" s="125"/>
      <c r="F208" s="126" t="str">
        <f>IF(J208="OK",D208*E208,"")</f>
        <v/>
      </c>
      <c r="G208" s="126" t="str">
        <f>IF(J208="OK",F208*(C208-B208),"")</f>
        <v/>
      </c>
      <c r="H208" s="126" t="str">
        <f>IF(J208="OK",G208*(C208+B208)/2,"")</f>
        <v/>
      </c>
      <c r="I208" s="126" t="str">
        <f>IF(AND(J208="OK",ISNUMBER($B$5),$B$5&gt;0,ISNUMBER($B$3),$B$3&gt;0),F208*(4*$B$4*(C208^3-B208^3)-(C208^4-B208^4))/(24*$B$3*1000000*$B$5)*1000,"")</f>
        <v/>
      </c>
      <c r="J208" s="120" t="str">
        <f>IF(COUNTA(A208:E208)=0,"",IF(AND(COUNT(B208:E208)=4,B208&gt;=0,C208&gt;B208,C208&lt;=$B$4,D208&gt;=0,E208&gt;0),IF(COUNTIFS($B$13:$B$207,"&lt;"&amp;C208,$C$13:$C$207,"&gt;"&amp;B208)&gt;0,"OVERLAP","OK"),"CHECK INPUTS"))</f>
        <v/>
      </c>
      <c r="M208" s="124"/>
      <c r="N208" s="125"/>
      <c r="O208" s="125"/>
      <c r="P208" s="125"/>
      <c r="Q208" s="125"/>
      <c r="R208" s="126" t="str">
        <f>IF(V208="OK",P208*Q208,"")</f>
        <v/>
      </c>
      <c r="S208" s="126" t="str">
        <f>IF(V208="OK",R208*(O208-N208),"")</f>
        <v/>
      </c>
      <c r="T208" s="126" t="str">
        <f>IF(V208="OK",S208*(O208+N208)/2,"")</f>
        <v/>
      </c>
      <c r="U208" s="126" t="str">
        <f>IF(AND(V208="OK",ISNUMBER($N$5),$N$5&gt;0,ISNUMBER($N$3),$N$3&gt;0),R208*(4*$N$4*(O208^3-N208^3)-(O208^4-N208^4))/(24*$N$3*1000000*$N$5)*1000,"")</f>
        <v/>
      </c>
      <c r="V208" s="120" t="str">
        <f>IF(COUNTA(M208:Q208)=0,"",IF(AND(COUNT(N208:Q208)=4,N208&gt;=0,O208&gt;N208,O208&lt;=$N$4,P208&gt;=0,Q208&gt;0),IF(COUNTIFS($N$13:$N$207,"&lt;"&amp;O208,$O$13:$O$207,"&gt;"&amp;N208)&gt;0,"OVERLAP","OK"),"CHECK INPUTS"))</f>
        <v/>
      </c>
      <c r="AA208" s="120">
        <f>IF(AND(J208="OK",ISNUMBER($B$5),$B$5&gt;0,ISNUMBER($B$3),$B$3&gt;0),F208/(6*$B$3*1000000*$B$5)*(IF(B208&lt;($B$4*0/10),($B$4*0/10)*(MIN(C208,($B$4*0/10))^3-B208^3)-(MIN(C208,($B$4*0/10))^4-B208^4)/4,0)+IF(C208&gt;($B$4*0/10),($B$4*0/10)^2*(1.5*(C208^2-MAX(B208,($B$4*0/10))^2)-($B$4*0/10)*(C208-MAX(B208,($B$4*0/10)))),0))*1000,0)</f>
        <v>0</v>
      </c>
      <c r="AB208" s="120">
        <f>IF(AND(J208="OK",ISNUMBER($B$5),$B$5&gt;0,ISNUMBER($B$3),$B$3&gt;0),F208/(6*$B$3*1000000*$B$5)*(IF(B208&lt;($B$4*1/10),($B$4*1/10)*(MIN(C208,($B$4*1/10))^3-B208^3)-(MIN(C208,($B$4*1/10))^4-B208^4)/4,0)+IF(C208&gt;($B$4*1/10),($B$4*1/10)^2*(1.5*(C208^2-MAX(B208,($B$4*1/10))^2)-($B$4*1/10)*(C208-MAX(B208,($B$4*1/10)))),0))*1000,0)</f>
        <v>0</v>
      </c>
      <c r="AC208" s="120">
        <f>IF(AND(J208="OK",ISNUMBER($B$5),$B$5&gt;0,ISNUMBER($B$3),$B$3&gt;0),F208/(6*$B$3*1000000*$B$5)*(IF(B208&lt;($B$4*2/10),($B$4*2/10)*(MIN(C208,($B$4*2/10))^3-B208^3)-(MIN(C208,($B$4*2/10))^4-B208^4)/4,0)+IF(C208&gt;($B$4*2/10),($B$4*2/10)^2*(1.5*(C208^2-MAX(B208,($B$4*2/10))^2)-($B$4*2/10)*(C208-MAX(B208,($B$4*2/10)))),0))*1000,0)</f>
        <v>0</v>
      </c>
      <c r="AD208" s="120">
        <f>IF(AND(J208="OK",ISNUMBER($B$5),$B$5&gt;0,ISNUMBER($B$3),$B$3&gt;0),F208/(6*$B$3*1000000*$B$5)*(IF(B208&lt;($B$4*3/10),($B$4*3/10)*(MIN(C208,($B$4*3/10))^3-B208^3)-(MIN(C208,($B$4*3/10))^4-B208^4)/4,0)+IF(C208&gt;($B$4*3/10),($B$4*3/10)^2*(1.5*(C208^2-MAX(B208,($B$4*3/10))^2)-($B$4*3/10)*(C208-MAX(B208,($B$4*3/10)))),0))*1000,0)</f>
        <v>0</v>
      </c>
      <c r="AE208" s="120">
        <f>IF(AND(J208="OK",ISNUMBER($B$5),$B$5&gt;0,ISNUMBER($B$3),$B$3&gt;0),F208/(6*$B$3*1000000*$B$5)*(IF(B208&lt;($B$4*4/10),($B$4*4/10)*(MIN(C208,($B$4*4/10))^3-B208^3)-(MIN(C208,($B$4*4/10))^4-B208^4)/4,0)+IF(C208&gt;($B$4*4/10),($B$4*4/10)^2*(1.5*(C208^2-MAX(B208,($B$4*4/10))^2)-($B$4*4/10)*(C208-MAX(B208,($B$4*4/10)))),0))*1000,0)</f>
        <v>0</v>
      </c>
      <c r="AF208" s="120">
        <f>IF(AND(J208="OK",ISNUMBER($B$5),$B$5&gt;0,ISNUMBER($B$3),$B$3&gt;0),F208/(6*$B$3*1000000*$B$5)*(IF(B208&lt;($B$4*5/10),($B$4*5/10)*(MIN(C208,($B$4*5/10))^3-B208^3)-(MIN(C208,($B$4*5/10))^4-B208^4)/4,0)+IF(C208&gt;($B$4*5/10),($B$4*5/10)^2*(1.5*(C208^2-MAX(B208,($B$4*5/10))^2)-($B$4*5/10)*(C208-MAX(B208,($B$4*5/10)))),0))*1000,0)</f>
        <v>0</v>
      </c>
      <c r="AG208" s="120">
        <f>IF(AND(J208="OK",ISNUMBER($B$5),$B$5&gt;0,ISNUMBER($B$3),$B$3&gt;0),F208/(6*$B$3*1000000*$B$5)*(IF(B208&lt;($B$4*6/10),($B$4*6/10)*(MIN(C208,($B$4*6/10))^3-B208^3)-(MIN(C208,($B$4*6/10))^4-B208^4)/4,0)+IF(C208&gt;($B$4*6/10),($B$4*6/10)^2*(1.5*(C208^2-MAX(B208,($B$4*6/10))^2)-($B$4*6/10)*(C208-MAX(B208,($B$4*6/10)))),0))*1000,0)</f>
        <v>0</v>
      </c>
      <c r="AH208" s="120">
        <f>IF(AND(J208="OK",ISNUMBER($B$5),$B$5&gt;0,ISNUMBER($B$3),$B$3&gt;0),F208/(6*$B$3*1000000*$B$5)*(IF(B208&lt;($B$4*7/10),($B$4*7/10)*(MIN(C208,($B$4*7/10))^3-B208^3)-(MIN(C208,($B$4*7/10))^4-B208^4)/4,0)+IF(C208&gt;($B$4*7/10),($B$4*7/10)^2*(1.5*(C208^2-MAX(B208,($B$4*7/10))^2)-($B$4*7/10)*(C208-MAX(B208,($B$4*7/10)))),0))*1000,0)</f>
        <v>0</v>
      </c>
      <c r="AI208" s="120">
        <f>IF(AND(J208="OK",ISNUMBER($B$5),$B$5&gt;0,ISNUMBER($B$3),$B$3&gt;0),F208/(6*$B$3*1000000*$B$5)*(IF(B208&lt;($B$4*8/10),($B$4*8/10)*(MIN(C208,($B$4*8/10))^3-B208^3)-(MIN(C208,($B$4*8/10))^4-B208^4)/4,0)+IF(C208&gt;($B$4*8/10),($B$4*8/10)^2*(1.5*(C208^2-MAX(B208,($B$4*8/10))^2)-($B$4*8/10)*(C208-MAX(B208,($B$4*8/10)))),0))*1000,0)</f>
        <v>0</v>
      </c>
      <c r="AJ208" s="120">
        <f>IF(AND(J208="OK",ISNUMBER($B$5),$B$5&gt;0,ISNUMBER($B$3),$B$3&gt;0),F208/(6*$B$3*1000000*$B$5)*(IF(B208&lt;($B$4*9/10),($B$4*9/10)*(MIN(C208,($B$4*9/10))^3-B208^3)-(MIN(C208,($B$4*9/10))^4-B208^4)/4,0)+IF(C208&gt;($B$4*9/10),($B$4*9/10)^2*(1.5*(C208^2-MAX(B208,($B$4*9/10))^2)-($B$4*9/10)*(C208-MAX(B208,($B$4*9/10)))),0))*1000,0)</f>
        <v>0</v>
      </c>
      <c r="AK208" s="120">
        <f>IF(AND(J208="OK",ISNUMBER($B$5),$B$5&gt;0,ISNUMBER($B$3),$B$3&gt;0),F208/(6*$B$3*1000000*$B$5)*(IF(B208&lt;($B$4*10/10),($B$4*10/10)*(MIN(C208,($B$4*10/10))^3-B208^3)-(MIN(C208,($B$4*10/10))^4-B208^4)/4,0)+IF(C208&gt;($B$4*10/10),($B$4*10/10)^2*(1.5*(C208^2-MAX(B208,($B$4*10/10))^2)-($B$4*10/10)*(C208-MAX(B208,($B$4*10/10)))),0))*1000,0)</f>
        <v>0</v>
      </c>
      <c r="AM208" s="120">
        <f>IF(AND(V208="OK",ISNUMBER($N$5),$N$5&gt;0,ISNUMBER($N$3),$N$3&gt;0),R208/(6*$N$3*1000000*$N$5)*(IF(N208&lt;($N$4*0/10),($N$4*0/10)*(MIN(O208,($N$4*0/10))^3-N208^3)-(MIN(O208,($N$4*0/10))^4-N208^4)/4,0)+IF(O208&gt;($N$4*0/10),($N$4*0/10)^2*(1.5*(O208^2-MAX(N208,($N$4*0/10))^2)-($N$4*0/10)*(O208-MAX(N208,($N$4*0/10)))),0))*1000,0)</f>
        <v>0</v>
      </c>
      <c r="AN208" s="120">
        <f>IF(AND(V208="OK",ISNUMBER($N$5),$N$5&gt;0,ISNUMBER($N$3),$N$3&gt;0),R208/(6*$N$3*1000000*$N$5)*(IF(N208&lt;($N$4*1/10),($N$4*1/10)*(MIN(O208,($N$4*1/10))^3-N208^3)-(MIN(O208,($N$4*1/10))^4-N208^4)/4,0)+IF(O208&gt;($N$4*1/10),($N$4*1/10)^2*(1.5*(O208^2-MAX(N208,($N$4*1/10))^2)-($N$4*1/10)*(O208-MAX(N208,($N$4*1/10)))),0))*1000,0)</f>
        <v>0</v>
      </c>
      <c r="AO208" s="120">
        <f>IF(AND(V208="OK",ISNUMBER($N$5),$N$5&gt;0,ISNUMBER($N$3),$N$3&gt;0),R208/(6*$N$3*1000000*$N$5)*(IF(N208&lt;($N$4*2/10),($N$4*2/10)*(MIN(O208,($N$4*2/10))^3-N208^3)-(MIN(O208,($N$4*2/10))^4-N208^4)/4,0)+IF(O208&gt;($N$4*2/10),($N$4*2/10)^2*(1.5*(O208^2-MAX(N208,($N$4*2/10))^2)-($N$4*2/10)*(O208-MAX(N208,($N$4*2/10)))),0))*1000,0)</f>
        <v>0</v>
      </c>
      <c r="AP208" s="120">
        <f>IF(AND(V208="OK",ISNUMBER($N$5),$N$5&gt;0,ISNUMBER($N$3),$N$3&gt;0),R208/(6*$N$3*1000000*$N$5)*(IF(N208&lt;($N$4*3/10),($N$4*3/10)*(MIN(O208,($N$4*3/10))^3-N208^3)-(MIN(O208,($N$4*3/10))^4-N208^4)/4,0)+IF(O208&gt;($N$4*3/10),($N$4*3/10)^2*(1.5*(O208^2-MAX(N208,($N$4*3/10))^2)-($N$4*3/10)*(O208-MAX(N208,($N$4*3/10)))),0))*1000,0)</f>
        <v>0</v>
      </c>
      <c r="AQ208" s="120">
        <f>IF(AND(V208="OK",ISNUMBER($N$5),$N$5&gt;0,ISNUMBER($N$3),$N$3&gt;0),R208/(6*$N$3*1000000*$N$5)*(IF(N208&lt;($N$4*4/10),($N$4*4/10)*(MIN(O208,($N$4*4/10))^3-N208^3)-(MIN(O208,($N$4*4/10))^4-N208^4)/4,0)+IF(O208&gt;($N$4*4/10),($N$4*4/10)^2*(1.5*(O208^2-MAX(N208,($N$4*4/10))^2)-($N$4*4/10)*(O208-MAX(N208,($N$4*4/10)))),0))*1000,0)</f>
        <v>0</v>
      </c>
      <c r="AR208" s="120">
        <f>IF(AND(V208="OK",ISNUMBER($N$5),$N$5&gt;0,ISNUMBER($N$3),$N$3&gt;0),R208/(6*$N$3*1000000*$N$5)*(IF(N208&lt;($N$4*5/10),($N$4*5/10)*(MIN(O208,($N$4*5/10))^3-N208^3)-(MIN(O208,($N$4*5/10))^4-N208^4)/4,0)+IF(O208&gt;($N$4*5/10),($N$4*5/10)^2*(1.5*(O208^2-MAX(N208,($N$4*5/10))^2)-($N$4*5/10)*(O208-MAX(N208,($N$4*5/10)))),0))*1000,0)</f>
        <v>0</v>
      </c>
      <c r="AS208" s="120">
        <f>IF(AND(V208="OK",ISNUMBER($N$5),$N$5&gt;0,ISNUMBER($N$3),$N$3&gt;0),R208/(6*$N$3*1000000*$N$5)*(IF(N208&lt;($N$4*6/10),($N$4*6/10)*(MIN(O208,($N$4*6/10))^3-N208^3)-(MIN(O208,($N$4*6/10))^4-N208^4)/4,0)+IF(O208&gt;($N$4*6/10),($N$4*6/10)^2*(1.5*(O208^2-MAX(N208,($N$4*6/10))^2)-($N$4*6/10)*(O208-MAX(N208,($N$4*6/10)))),0))*1000,0)</f>
        <v>0</v>
      </c>
      <c r="AT208" s="120">
        <f>IF(AND(V208="OK",ISNUMBER($N$5),$N$5&gt;0,ISNUMBER($N$3),$N$3&gt;0),R208/(6*$N$3*1000000*$N$5)*(IF(N208&lt;($N$4*7/10),($N$4*7/10)*(MIN(O208,($N$4*7/10))^3-N208^3)-(MIN(O208,($N$4*7/10))^4-N208^4)/4,0)+IF(O208&gt;($N$4*7/10),($N$4*7/10)^2*(1.5*(O208^2-MAX(N208,($N$4*7/10))^2)-($N$4*7/10)*(O208-MAX(N208,($N$4*7/10)))),0))*1000,0)</f>
        <v>0</v>
      </c>
      <c r="AU208" s="120">
        <f>IF(AND(V208="OK",ISNUMBER($N$5),$N$5&gt;0,ISNUMBER($N$3),$N$3&gt;0),R208/(6*$N$3*1000000*$N$5)*(IF(N208&lt;($N$4*8/10),($N$4*8/10)*(MIN(O208,($N$4*8/10))^3-N208^3)-(MIN(O208,($N$4*8/10))^4-N208^4)/4,0)+IF(O208&gt;($N$4*8/10),($N$4*8/10)^2*(1.5*(O208^2-MAX(N208,($N$4*8/10))^2)-($N$4*8/10)*(O208-MAX(N208,($N$4*8/10)))),0))*1000,0)</f>
        <v>0</v>
      </c>
      <c r="AV208" s="120">
        <f>IF(AND(V208="OK",ISNUMBER($N$5),$N$5&gt;0,ISNUMBER($N$3),$N$3&gt;0),R208/(6*$N$3*1000000*$N$5)*(IF(N208&lt;($N$4*9/10),($N$4*9/10)*(MIN(O208,($N$4*9/10))^3-N208^3)-(MIN(O208,($N$4*9/10))^4-N208^4)/4,0)+IF(O208&gt;($N$4*9/10),($N$4*9/10)^2*(1.5*(O208^2-MAX(N208,($N$4*9/10))^2)-($N$4*9/10)*(O208-MAX(N208,($N$4*9/10)))),0))*1000,0)</f>
        <v>0</v>
      </c>
      <c r="AW208" s="120">
        <f>IF(AND(V208="OK",ISNUMBER($N$5),$N$5&gt;0,ISNUMBER($N$3),$N$3&gt;0),R208/(6*$N$3*1000000*$N$5)*(IF(N208&lt;($N$4*10/10),($N$4*10/10)*(MIN(O208,($N$4*10/10))^3-N208^3)-(MIN(O208,($N$4*10/10))^4-N208^4)/4,0)+IF(O208&gt;($N$4*10/10),($N$4*10/10)^2*(1.5*(O208^2-MAX(N208,($N$4*10/10))^2)-($N$4*10/10)*(O208-MAX(N208,($N$4*10/10)))),0))*1000,0)</f>
        <v>0</v>
      </c>
    </row>
    <row r="209" spans="1:49">
      <c r="A209" s="124"/>
      <c r="B209" s="125"/>
      <c r="C209" s="125"/>
      <c r="D209" s="125"/>
      <c r="E209" s="125"/>
      <c r="F209" s="126" t="str">
        <f>IF(J209="OK",D209*E209,"")</f>
        <v/>
      </c>
      <c r="G209" s="126" t="str">
        <f>IF(J209="OK",F209*(C209-B209),"")</f>
        <v/>
      </c>
      <c r="H209" s="126" t="str">
        <f>IF(J209="OK",G209*(C209+B209)/2,"")</f>
        <v/>
      </c>
      <c r="I209" s="126" t="str">
        <f>IF(AND(J209="OK",ISNUMBER($B$5),$B$5&gt;0,ISNUMBER($B$3),$B$3&gt;0),F209*(4*$B$4*(C209^3-B209^3)-(C209^4-B209^4))/(24*$B$3*1000000*$B$5)*1000,"")</f>
        <v/>
      </c>
      <c r="J209" s="120" t="str">
        <f>IF(COUNTA(A209:E209)=0,"",IF(AND(COUNT(B209:E209)=4,B209&gt;=0,C209&gt;B209,C209&lt;=$B$4,D209&gt;=0,E209&gt;0),IF(COUNTIFS($B$13:$B$208,"&lt;"&amp;C209,$C$13:$C$208,"&gt;"&amp;B209)&gt;0,"OVERLAP","OK"),"CHECK INPUTS"))</f>
        <v/>
      </c>
      <c r="M209" s="124"/>
      <c r="N209" s="125"/>
      <c r="O209" s="125"/>
      <c r="P209" s="125"/>
      <c r="Q209" s="125"/>
      <c r="R209" s="126" t="str">
        <f>IF(V209="OK",P209*Q209,"")</f>
        <v/>
      </c>
      <c r="S209" s="126" t="str">
        <f>IF(V209="OK",R209*(O209-N209),"")</f>
        <v/>
      </c>
      <c r="T209" s="126" t="str">
        <f>IF(V209="OK",S209*(O209+N209)/2,"")</f>
        <v/>
      </c>
      <c r="U209" s="126" t="str">
        <f>IF(AND(V209="OK",ISNUMBER($N$5),$N$5&gt;0,ISNUMBER($N$3),$N$3&gt;0),R209*(4*$N$4*(O209^3-N209^3)-(O209^4-N209^4))/(24*$N$3*1000000*$N$5)*1000,"")</f>
        <v/>
      </c>
      <c r="V209" s="120" t="str">
        <f>IF(COUNTA(M209:Q209)=0,"",IF(AND(COUNT(N209:Q209)=4,N209&gt;=0,O209&gt;N209,O209&lt;=$N$4,P209&gt;=0,Q209&gt;0),IF(COUNTIFS($N$13:$N$208,"&lt;"&amp;O209,$O$13:$O$208,"&gt;"&amp;N209)&gt;0,"OVERLAP","OK"),"CHECK INPUTS"))</f>
        <v/>
      </c>
      <c r="AA209" s="120">
        <f>IF(AND(J209="OK",ISNUMBER($B$5),$B$5&gt;0,ISNUMBER($B$3),$B$3&gt;0),F209/(6*$B$3*1000000*$B$5)*(IF(B209&lt;($B$4*0/10),($B$4*0/10)*(MIN(C209,($B$4*0/10))^3-B209^3)-(MIN(C209,($B$4*0/10))^4-B209^4)/4,0)+IF(C209&gt;($B$4*0/10),($B$4*0/10)^2*(1.5*(C209^2-MAX(B209,($B$4*0/10))^2)-($B$4*0/10)*(C209-MAX(B209,($B$4*0/10)))),0))*1000,0)</f>
        <v>0</v>
      </c>
      <c r="AB209" s="120">
        <f>IF(AND(J209="OK",ISNUMBER($B$5),$B$5&gt;0,ISNUMBER($B$3),$B$3&gt;0),F209/(6*$B$3*1000000*$B$5)*(IF(B209&lt;($B$4*1/10),($B$4*1/10)*(MIN(C209,($B$4*1/10))^3-B209^3)-(MIN(C209,($B$4*1/10))^4-B209^4)/4,0)+IF(C209&gt;($B$4*1/10),($B$4*1/10)^2*(1.5*(C209^2-MAX(B209,($B$4*1/10))^2)-($B$4*1/10)*(C209-MAX(B209,($B$4*1/10)))),0))*1000,0)</f>
        <v>0</v>
      </c>
      <c r="AC209" s="120">
        <f>IF(AND(J209="OK",ISNUMBER($B$5),$B$5&gt;0,ISNUMBER($B$3),$B$3&gt;0),F209/(6*$B$3*1000000*$B$5)*(IF(B209&lt;($B$4*2/10),($B$4*2/10)*(MIN(C209,($B$4*2/10))^3-B209^3)-(MIN(C209,($B$4*2/10))^4-B209^4)/4,0)+IF(C209&gt;($B$4*2/10),($B$4*2/10)^2*(1.5*(C209^2-MAX(B209,($B$4*2/10))^2)-($B$4*2/10)*(C209-MAX(B209,($B$4*2/10)))),0))*1000,0)</f>
        <v>0</v>
      </c>
      <c r="AD209" s="120">
        <f>IF(AND(J209="OK",ISNUMBER($B$5),$B$5&gt;0,ISNUMBER($B$3),$B$3&gt;0),F209/(6*$B$3*1000000*$B$5)*(IF(B209&lt;($B$4*3/10),($B$4*3/10)*(MIN(C209,($B$4*3/10))^3-B209^3)-(MIN(C209,($B$4*3/10))^4-B209^4)/4,0)+IF(C209&gt;($B$4*3/10),($B$4*3/10)^2*(1.5*(C209^2-MAX(B209,($B$4*3/10))^2)-($B$4*3/10)*(C209-MAX(B209,($B$4*3/10)))),0))*1000,0)</f>
        <v>0</v>
      </c>
      <c r="AE209" s="120">
        <f>IF(AND(J209="OK",ISNUMBER($B$5),$B$5&gt;0,ISNUMBER($B$3),$B$3&gt;0),F209/(6*$B$3*1000000*$B$5)*(IF(B209&lt;($B$4*4/10),($B$4*4/10)*(MIN(C209,($B$4*4/10))^3-B209^3)-(MIN(C209,($B$4*4/10))^4-B209^4)/4,0)+IF(C209&gt;($B$4*4/10),($B$4*4/10)^2*(1.5*(C209^2-MAX(B209,($B$4*4/10))^2)-($B$4*4/10)*(C209-MAX(B209,($B$4*4/10)))),0))*1000,0)</f>
        <v>0</v>
      </c>
      <c r="AF209" s="120">
        <f>IF(AND(J209="OK",ISNUMBER($B$5),$B$5&gt;0,ISNUMBER($B$3),$B$3&gt;0),F209/(6*$B$3*1000000*$B$5)*(IF(B209&lt;($B$4*5/10),($B$4*5/10)*(MIN(C209,($B$4*5/10))^3-B209^3)-(MIN(C209,($B$4*5/10))^4-B209^4)/4,0)+IF(C209&gt;($B$4*5/10),($B$4*5/10)^2*(1.5*(C209^2-MAX(B209,($B$4*5/10))^2)-($B$4*5/10)*(C209-MAX(B209,($B$4*5/10)))),0))*1000,0)</f>
        <v>0</v>
      </c>
      <c r="AG209" s="120">
        <f>IF(AND(J209="OK",ISNUMBER($B$5),$B$5&gt;0,ISNUMBER($B$3),$B$3&gt;0),F209/(6*$B$3*1000000*$B$5)*(IF(B209&lt;($B$4*6/10),($B$4*6/10)*(MIN(C209,($B$4*6/10))^3-B209^3)-(MIN(C209,($B$4*6/10))^4-B209^4)/4,0)+IF(C209&gt;($B$4*6/10),($B$4*6/10)^2*(1.5*(C209^2-MAX(B209,($B$4*6/10))^2)-($B$4*6/10)*(C209-MAX(B209,($B$4*6/10)))),0))*1000,0)</f>
        <v>0</v>
      </c>
      <c r="AH209" s="120">
        <f>IF(AND(J209="OK",ISNUMBER($B$5),$B$5&gt;0,ISNUMBER($B$3),$B$3&gt;0),F209/(6*$B$3*1000000*$B$5)*(IF(B209&lt;($B$4*7/10),($B$4*7/10)*(MIN(C209,($B$4*7/10))^3-B209^3)-(MIN(C209,($B$4*7/10))^4-B209^4)/4,0)+IF(C209&gt;($B$4*7/10),($B$4*7/10)^2*(1.5*(C209^2-MAX(B209,($B$4*7/10))^2)-($B$4*7/10)*(C209-MAX(B209,($B$4*7/10)))),0))*1000,0)</f>
        <v>0</v>
      </c>
      <c r="AI209" s="120">
        <f>IF(AND(J209="OK",ISNUMBER($B$5),$B$5&gt;0,ISNUMBER($B$3),$B$3&gt;0),F209/(6*$B$3*1000000*$B$5)*(IF(B209&lt;($B$4*8/10),($B$4*8/10)*(MIN(C209,($B$4*8/10))^3-B209^3)-(MIN(C209,($B$4*8/10))^4-B209^4)/4,0)+IF(C209&gt;($B$4*8/10),($B$4*8/10)^2*(1.5*(C209^2-MAX(B209,($B$4*8/10))^2)-($B$4*8/10)*(C209-MAX(B209,($B$4*8/10)))),0))*1000,0)</f>
        <v>0</v>
      </c>
      <c r="AJ209" s="120">
        <f>IF(AND(J209="OK",ISNUMBER($B$5),$B$5&gt;0,ISNUMBER($B$3),$B$3&gt;0),F209/(6*$B$3*1000000*$B$5)*(IF(B209&lt;($B$4*9/10),($B$4*9/10)*(MIN(C209,($B$4*9/10))^3-B209^3)-(MIN(C209,($B$4*9/10))^4-B209^4)/4,0)+IF(C209&gt;($B$4*9/10),($B$4*9/10)^2*(1.5*(C209^2-MAX(B209,($B$4*9/10))^2)-($B$4*9/10)*(C209-MAX(B209,($B$4*9/10)))),0))*1000,0)</f>
        <v>0</v>
      </c>
      <c r="AK209" s="120">
        <f>IF(AND(J209="OK",ISNUMBER($B$5),$B$5&gt;0,ISNUMBER($B$3),$B$3&gt;0),F209/(6*$B$3*1000000*$B$5)*(IF(B209&lt;($B$4*10/10),($B$4*10/10)*(MIN(C209,($B$4*10/10))^3-B209^3)-(MIN(C209,($B$4*10/10))^4-B209^4)/4,0)+IF(C209&gt;($B$4*10/10),($B$4*10/10)^2*(1.5*(C209^2-MAX(B209,($B$4*10/10))^2)-($B$4*10/10)*(C209-MAX(B209,($B$4*10/10)))),0))*1000,0)</f>
        <v>0</v>
      </c>
      <c r="AM209" s="120">
        <f>IF(AND(V209="OK",ISNUMBER($N$5),$N$5&gt;0,ISNUMBER($N$3),$N$3&gt;0),R209/(6*$N$3*1000000*$N$5)*(IF(N209&lt;($N$4*0/10),($N$4*0/10)*(MIN(O209,($N$4*0/10))^3-N209^3)-(MIN(O209,($N$4*0/10))^4-N209^4)/4,0)+IF(O209&gt;($N$4*0/10),($N$4*0/10)^2*(1.5*(O209^2-MAX(N209,($N$4*0/10))^2)-($N$4*0/10)*(O209-MAX(N209,($N$4*0/10)))),0))*1000,0)</f>
        <v>0</v>
      </c>
      <c r="AN209" s="120">
        <f>IF(AND(V209="OK",ISNUMBER($N$5),$N$5&gt;0,ISNUMBER($N$3),$N$3&gt;0),R209/(6*$N$3*1000000*$N$5)*(IF(N209&lt;($N$4*1/10),($N$4*1/10)*(MIN(O209,($N$4*1/10))^3-N209^3)-(MIN(O209,($N$4*1/10))^4-N209^4)/4,0)+IF(O209&gt;($N$4*1/10),($N$4*1/10)^2*(1.5*(O209^2-MAX(N209,($N$4*1/10))^2)-($N$4*1/10)*(O209-MAX(N209,($N$4*1/10)))),0))*1000,0)</f>
        <v>0</v>
      </c>
      <c r="AO209" s="120">
        <f>IF(AND(V209="OK",ISNUMBER($N$5),$N$5&gt;0,ISNUMBER($N$3),$N$3&gt;0),R209/(6*$N$3*1000000*$N$5)*(IF(N209&lt;($N$4*2/10),($N$4*2/10)*(MIN(O209,($N$4*2/10))^3-N209^3)-(MIN(O209,($N$4*2/10))^4-N209^4)/4,0)+IF(O209&gt;($N$4*2/10),($N$4*2/10)^2*(1.5*(O209^2-MAX(N209,($N$4*2/10))^2)-($N$4*2/10)*(O209-MAX(N209,($N$4*2/10)))),0))*1000,0)</f>
        <v>0</v>
      </c>
      <c r="AP209" s="120">
        <f>IF(AND(V209="OK",ISNUMBER($N$5),$N$5&gt;0,ISNUMBER($N$3),$N$3&gt;0),R209/(6*$N$3*1000000*$N$5)*(IF(N209&lt;($N$4*3/10),($N$4*3/10)*(MIN(O209,($N$4*3/10))^3-N209^3)-(MIN(O209,($N$4*3/10))^4-N209^4)/4,0)+IF(O209&gt;($N$4*3/10),($N$4*3/10)^2*(1.5*(O209^2-MAX(N209,($N$4*3/10))^2)-($N$4*3/10)*(O209-MAX(N209,($N$4*3/10)))),0))*1000,0)</f>
        <v>0</v>
      </c>
      <c r="AQ209" s="120">
        <f>IF(AND(V209="OK",ISNUMBER($N$5),$N$5&gt;0,ISNUMBER($N$3),$N$3&gt;0),R209/(6*$N$3*1000000*$N$5)*(IF(N209&lt;($N$4*4/10),($N$4*4/10)*(MIN(O209,($N$4*4/10))^3-N209^3)-(MIN(O209,($N$4*4/10))^4-N209^4)/4,0)+IF(O209&gt;($N$4*4/10),($N$4*4/10)^2*(1.5*(O209^2-MAX(N209,($N$4*4/10))^2)-($N$4*4/10)*(O209-MAX(N209,($N$4*4/10)))),0))*1000,0)</f>
        <v>0</v>
      </c>
      <c r="AR209" s="120">
        <f>IF(AND(V209="OK",ISNUMBER($N$5),$N$5&gt;0,ISNUMBER($N$3),$N$3&gt;0),R209/(6*$N$3*1000000*$N$5)*(IF(N209&lt;($N$4*5/10),($N$4*5/10)*(MIN(O209,($N$4*5/10))^3-N209^3)-(MIN(O209,($N$4*5/10))^4-N209^4)/4,0)+IF(O209&gt;($N$4*5/10),($N$4*5/10)^2*(1.5*(O209^2-MAX(N209,($N$4*5/10))^2)-($N$4*5/10)*(O209-MAX(N209,($N$4*5/10)))),0))*1000,0)</f>
        <v>0</v>
      </c>
      <c r="AS209" s="120">
        <f>IF(AND(V209="OK",ISNUMBER($N$5),$N$5&gt;0,ISNUMBER($N$3),$N$3&gt;0),R209/(6*$N$3*1000000*$N$5)*(IF(N209&lt;($N$4*6/10),($N$4*6/10)*(MIN(O209,($N$4*6/10))^3-N209^3)-(MIN(O209,($N$4*6/10))^4-N209^4)/4,0)+IF(O209&gt;($N$4*6/10),($N$4*6/10)^2*(1.5*(O209^2-MAX(N209,($N$4*6/10))^2)-($N$4*6/10)*(O209-MAX(N209,($N$4*6/10)))),0))*1000,0)</f>
        <v>0</v>
      </c>
      <c r="AT209" s="120">
        <f>IF(AND(V209="OK",ISNUMBER($N$5),$N$5&gt;0,ISNUMBER($N$3),$N$3&gt;0),R209/(6*$N$3*1000000*$N$5)*(IF(N209&lt;($N$4*7/10),($N$4*7/10)*(MIN(O209,($N$4*7/10))^3-N209^3)-(MIN(O209,($N$4*7/10))^4-N209^4)/4,0)+IF(O209&gt;($N$4*7/10),($N$4*7/10)^2*(1.5*(O209^2-MAX(N209,($N$4*7/10))^2)-($N$4*7/10)*(O209-MAX(N209,($N$4*7/10)))),0))*1000,0)</f>
        <v>0</v>
      </c>
      <c r="AU209" s="120">
        <f>IF(AND(V209="OK",ISNUMBER($N$5),$N$5&gt;0,ISNUMBER($N$3),$N$3&gt;0),R209/(6*$N$3*1000000*$N$5)*(IF(N209&lt;($N$4*8/10),($N$4*8/10)*(MIN(O209,($N$4*8/10))^3-N209^3)-(MIN(O209,($N$4*8/10))^4-N209^4)/4,0)+IF(O209&gt;($N$4*8/10),($N$4*8/10)^2*(1.5*(O209^2-MAX(N209,($N$4*8/10))^2)-($N$4*8/10)*(O209-MAX(N209,($N$4*8/10)))),0))*1000,0)</f>
        <v>0</v>
      </c>
      <c r="AV209" s="120">
        <f>IF(AND(V209="OK",ISNUMBER($N$5),$N$5&gt;0,ISNUMBER($N$3),$N$3&gt;0),R209/(6*$N$3*1000000*$N$5)*(IF(N209&lt;($N$4*9/10),($N$4*9/10)*(MIN(O209,($N$4*9/10))^3-N209^3)-(MIN(O209,($N$4*9/10))^4-N209^4)/4,0)+IF(O209&gt;($N$4*9/10),($N$4*9/10)^2*(1.5*(O209^2-MAX(N209,($N$4*9/10))^2)-($N$4*9/10)*(O209-MAX(N209,($N$4*9/10)))),0))*1000,0)</f>
        <v>0</v>
      </c>
      <c r="AW209" s="120">
        <f>IF(AND(V209="OK",ISNUMBER($N$5),$N$5&gt;0,ISNUMBER($N$3),$N$3&gt;0),R209/(6*$N$3*1000000*$N$5)*(IF(N209&lt;($N$4*10/10),($N$4*10/10)*(MIN(O209,($N$4*10/10))^3-N209^3)-(MIN(O209,($N$4*10/10))^4-N209^4)/4,0)+IF(O209&gt;($N$4*10/10),($N$4*10/10)^2*(1.5*(O209^2-MAX(N209,($N$4*10/10))^2)-($N$4*10/10)*(O209-MAX(N209,($N$4*10/10)))),0))*1000,0)</f>
        <v>0</v>
      </c>
    </row>
    <row r="210" spans="1:49">
      <c r="A210" s="124"/>
      <c r="B210" s="125"/>
      <c r="C210" s="125"/>
      <c r="D210" s="125"/>
      <c r="E210" s="125"/>
      <c r="F210" s="126" t="str">
        <f>IF(J210="OK",D210*E210,"")</f>
        <v/>
      </c>
      <c r="G210" s="126" t="str">
        <f>IF(J210="OK",F210*(C210-B210),"")</f>
        <v/>
      </c>
      <c r="H210" s="126" t="str">
        <f>IF(J210="OK",G210*(C210+B210)/2,"")</f>
        <v/>
      </c>
      <c r="I210" s="126" t="str">
        <f>IF(AND(J210="OK",ISNUMBER($B$5),$B$5&gt;0,ISNUMBER($B$3),$B$3&gt;0),F210*(4*$B$4*(C210^3-B210^3)-(C210^4-B210^4))/(24*$B$3*1000000*$B$5)*1000,"")</f>
        <v/>
      </c>
      <c r="J210" s="120" t="str">
        <f>IF(COUNTA(A210:E210)=0,"",IF(AND(COUNT(B210:E210)=4,B210&gt;=0,C210&gt;B210,C210&lt;=$B$4,D210&gt;=0,E210&gt;0),IF(COUNTIFS($B$13:$B$209,"&lt;"&amp;C210,$C$13:$C$209,"&gt;"&amp;B210)&gt;0,"OVERLAP","OK"),"CHECK INPUTS"))</f>
        <v/>
      </c>
      <c r="M210" s="124"/>
      <c r="N210" s="125"/>
      <c r="O210" s="125"/>
      <c r="P210" s="125"/>
      <c r="Q210" s="125"/>
      <c r="R210" s="126" t="str">
        <f>IF(V210="OK",P210*Q210,"")</f>
        <v/>
      </c>
      <c r="S210" s="126" t="str">
        <f>IF(V210="OK",R210*(O210-N210),"")</f>
        <v/>
      </c>
      <c r="T210" s="126" t="str">
        <f>IF(V210="OK",S210*(O210+N210)/2,"")</f>
        <v/>
      </c>
      <c r="U210" s="126" t="str">
        <f>IF(AND(V210="OK",ISNUMBER($N$5),$N$5&gt;0,ISNUMBER($N$3),$N$3&gt;0),R210*(4*$N$4*(O210^3-N210^3)-(O210^4-N210^4))/(24*$N$3*1000000*$N$5)*1000,"")</f>
        <v/>
      </c>
      <c r="V210" s="120" t="str">
        <f>IF(COUNTA(M210:Q210)=0,"",IF(AND(COUNT(N210:Q210)=4,N210&gt;=0,O210&gt;N210,O210&lt;=$N$4,P210&gt;=0,Q210&gt;0),IF(COUNTIFS($N$13:$N$209,"&lt;"&amp;O210,$O$13:$O$209,"&gt;"&amp;N210)&gt;0,"OVERLAP","OK"),"CHECK INPUTS"))</f>
        <v/>
      </c>
      <c r="AA210" s="120">
        <f>IF(AND(J210="OK",ISNUMBER($B$5),$B$5&gt;0,ISNUMBER($B$3),$B$3&gt;0),F210/(6*$B$3*1000000*$B$5)*(IF(B210&lt;($B$4*0/10),($B$4*0/10)*(MIN(C210,($B$4*0/10))^3-B210^3)-(MIN(C210,($B$4*0/10))^4-B210^4)/4,0)+IF(C210&gt;($B$4*0/10),($B$4*0/10)^2*(1.5*(C210^2-MAX(B210,($B$4*0/10))^2)-($B$4*0/10)*(C210-MAX(B210,($B$4*0/10)))),0))*1000,0)</f>
        <v>0</v>
      </c>
      <c r="AB210" s="120">
        <f>IF(AND(J210="OK",ISNUMBER($B$5),$B$5&gt;0,ISNUMBER($B$3),$B$3&gt;0),F210/(6*$B$3*1000000*$B$5)*(IF(B210&lt;($B$4*1/10),($B$4*1/10)*(MIN(C210,($B$4*1/10))^3-B210^3)-(MIN(C210,($B$4*1/10))^4-B210^4)/4,0)+IF(C210&gt;($B$4*1/10),($B$4*1/10)^2*(1.5*(C210^2-MAX(B210,($B$4*1/10))^2)-($B$4*1/10)*(C210-MAX(B210,($B$4*1/10)))),0))*1000,0)</f>
        <v>0</v>
      </c>
      <c r="AC210" s="120">
        <f>IF(AND(J210="OK",ISNUMBER($B$5),$B$5&gt;0,ISNUMBER($B$3),$B$3&gt;0),F210/(6*$B$3*1000000*$B$5)*(IF(B210&lt;($B$4*2/10),($B$4*2/10)*(MIN(C210,($B$4*2/10))^3-B210^3)-(MIN(C210,($B$4*2/10))^4-B210^4)/4,0)+IF(C210&gt;($B$4*2/10),($B$4*2/10)^2*(1.5*(C210^2-MAX(B210,($B$4*2/10))^2)-($B$4*2/10)*(C210-MAX(B210,($B$4*2/10)))),0))*1000,0)</f>
        <v>0</v>
      </c>
      <c r="AD210" s="120">
        <f>IF(AND(J210="OK",ISNUMBER($B$5),$B$5&gt;0,ISNUMBER($B$3),$B$3&gt;0),F210/(6*$B$3*1000000*$B$5)*(IF(B210&lt;($B$4*3/10),($B$4*3/10)*(MIN(C210,($B$4*3/10))^3-B210^3)-(MIN(C210,($B$4*3/10))^4-B210^4)/4,0)+IF(C210&gt;($B$4*3/10),($B$4*3/10)^2*(1.5*(C210^2-MAX(B210,($B$4*3/10))^2)-($B$4*3/10)*(C210-MAX(B210,($B$4*3/10)))),0))*1000,0)</f>
        <v>0</v>
      </c>
      <c r="AE210" s="120">
        <f>IF(AND(J210="OK",ISNUMBER($B$5),$B$5&gt;0,ISNUMBER($B$3),$B$3&gt;0),F210/(6*$B$3*1000000*$B$5)*(IF(B210&lt;($B$4*4/10),($B$4*4/10)*(MIN(C210,($B$4*4/10))^3-B210^3)-(MIN(C210,($B$4*4/10))^4-B210^4)/4,0)+IF(C210&gt;($B$4*4/10),($B$4*4/10)^2*(1.5*(C210^2-MAX(B210,($B$4*4/10))^2)-($B$4*4/10)*(C210-MAX(B210,($B$4*4/10)))),0))*1000,0)</f>
        <v>0</v>
      </c>
      <c r="AF210" s="120">
        <f>IF(AND(J210="OK",ISNUMBER($B$5),$B$5&gt;0,ISNUMBER($B$3),$B$3&gt;0),F210/(6*$B$3*1000000*$B$5)*(IF(B210&lt;($B$4*5/10),($B$4*5/10)*(MIN(C210,($B$4*5/10))^3-B210^3)-(MIN(C210,($B$4*5/10))^4-B210^4)/4,0)+IF(C210&gt;($B$4*5/10),($B$4*5/10)^2*(1.5*(C210^2-MAX(B210,($B$4*5/10))^2)-($B$4*5/10)*(C210-MAX(B210,($B$4*5/10)))),0))*1000,0)</f>
        <v>0</v>
      </c>
      <c r="AG210" s="120">
        <f>IF(AND(J210="OK",ISNUMBER($B$5),$B$5&gt;0,ISNUMBER($B$3),$B$3&gt;0),F210/(6*$B$3*1000000*$B$5)*(IF(B210&lt;($B$4*6/10),($B$4*6/10)*(MIN(C210,($B$4*6/10))^3-B210^3)-(MIN(C210,($B$4*6/10))^4-B210^4)/4,0)+IF(C210&gt;($B$4*6/10),($B$4*6/10)^2*(1.5*(C210^2-MAX(B210,($B$4*6/10))^2)-($B$4*6/10)*(C210-MAX(B210,($B$4*6/10)))),0))*1000,0)</f>
        <v>0</v>
      </c>
      <c r="AH210" s="120">
        <f>IF(AND(J210="OK",ISNUMBER($B$5),$B$5&gt;0,ISNUMBER($B$3),$B$3&gt;0),F210/(6*$B$3*1000000*$B$5)*(IF(B210&lt;($B$4*7/10),($B$4*7/10)*(MIN(C210,($B$4*7/10))^3-B210^3)-(MIN(C210,($B$4*7/10))^4-B210^4)/4,0)+IF(C210&gt;($B$4*7/10),($B$4*7/10)^2*(1.5*(C210^2-MAX(B210,($B$4*7/10))^2)-($B$4*7/10)*(C210-MAX(B210,($B$4*7/10)))),0))*1000,0)</f>
        <v>0</v>
      </c>
      <c r="AI210" s="120">
        <f>IF(AND(J210="OK",ISNUMBER($B$5),$B$5&gt;0,ISNUMBER($B$3),$B$3&gt;0),F210/(6*$B$3*1000000*$B$5)*(IF(B210&lt;($B$4*8/10),($B$4*8/10)*(MIN(C210,($B$4*8/10))^3-B210^3)-(MIN(C210,($B$4*8/10))^4-B210^4)/4,0)+IF(C210&gt;($B$4*8/10),($B$4*8/10)^2*(1.5*(C210^2-MAX(B210,($B$4*8/10))^2)-($B$4*8/10)*(C210-MAX(B210,($B$4*8/10)))),0))*1000,0)</f>
        <v>0</v>
      </c>
      <c r="AJ210" s="120">
        <f>IF(AND(J210="OK",ISNUMBER($B$5),$B$5&gt;0,ISNUMBER($B$3),$B$3&gt;0),F210/(6*$B$3*1000000*$B$5)*(IF(B210&lt;($B$4*9/10),($B$4*9/10)*(MIN(C210,($B$4*9/10))^3-B210^3)-(MIN(C210,($B$4*9/10))^4-B210^4)/4,0)+IF(C210&gt;($B$4*9/10),($B$4*9/10)^2*(1.5*(C210^2-MAX(B210,($B$4*9/10))^2)-($B$4*9/10)*(C210-MAX(B210,($B$4*9/10)))),0))*1000,0)</f>
        <v>0</v>
      </c>
      <c r="AK210" s="120">
        <f>IF(AND(J210="OK",ISNUMBER($B$5),$B$5&gt;0,ISNUMBER($B$3),$B$3&gt;0),F210/(6*$B$3*1000000*$B$5)*(IF(B210&lt;($B$4*10/10),($B$4*10/10)*(MIN(C210,($B$4*10/10))^3-B210^3)-(MIN(C210,($B$4*10/10))^4-B210^4)/4,0)+IF(C210&gt;($B$4*10/10),($B$4*10/10)^2*(1.5*(C210^2-MAX(B210,($B$4*10/10))^2)-($B$4*10/10)*(C210-MAX(B210,($B$4*10/10)))),0))*1000,0)</f>
        <v>0</v>
      </c>
      <c r="AM210" s="120">
        <f>IF(AND(V210="OK",ISNUMBER($N$5),$N$5&gt;0,ISNUMBER($N$3),$N$3&gt;0),R210/(6*$N$3*1000000*$N$5)*(IF(N210&lt;($N$4*0/10),($N$4*0/10)*(MIN(O210,($N$4*0/10))^3-N210^3)-(MIN(O210,($N$4*0/10))^4-N210^4)/4,0)+IF(O210&gt;($N$4*0/10),($N$4*0/10)^2*(1.5*(O210^2-MAX(N210,($N$4*0/10))^2)-($N$4*0/10)*(O210-MAX(N210,($N$4*0/10)))),0))*1000,0)</f>
        <v>0</v>
      </c>
      <c r="AN210" s="120">
        <f>IF(AND(V210="OK",ISNUMBER($N$5),$N$5&gt;0,ISNUMBER($N$3),$N$3&gt;0),R210/(6*$N$3*1000000*$N$5)*(IF(N210&lt;($N$4*1/10),($N$4*1/10)*(MIN(O210,($N$4*1/10))^3-N210^3)-(MIN(O210,($N$4*1/10))^4-N210^4)/4,0)+IF(O210&gt;($N$4*1/10),($N$4*1/10)^2*(1.5*(O210^2-MAX(N210,($N$4*1/10))^2)-($N$4*1/10)*(O210-MAX(N210,($N$4*1/10)))),0))*1000,0)</f>
        <v>0</v>
      </c>
      <c r="AO210" s="120">
        <f>IF(AND(V210="OK",ISNUMBER($N$5),$N$5&gt;0,ISNUMBER($N$3),$N$3&gt;0),R210/(6*$N$3*1000000*$N$5)*(IF(N210&lt;($N$4*2/10),($N$4*2/10)*(MIN(O210,($N$4*2/10))^3-N210^3)-(MIN(O210,($N$4*2/10))^4-N210^4)/4,0)+IF(O210&gt;($N$4*2/10),($N$4*2/10)^2*(1.5*(O210^2-MAX(N210,($N$4*2/10))^2)-($N$4*2/10)*(O210-MAX(N210,($N$4*2/10)))),0))*1000,0)</f>
        <v>0</v>
      </c>
      <c r="AP210" s="120">
        <f>IF(AND(V210="OK",ISNUMBER($N$5),$N$5&gt;0,ISNUMBER($N$3),$N$3&gt;0),R210/(6*$N$3*1000000*$N$5)*(IF(N210&lt;($N$4*3/10),($N$4*3/10)*(MIN(O210,($N$4*3/10))^3-N210^3)-(MIN(O210,($N$4*3/10))^4-N210^4)/4,0)+IF(O210&gt;($N$4*3/10),($N$4*3/10)^2*(1.5*(O210^2-MAX(N210,($N$4*3/10))^2)-($N$4*3/10)*(O210-MAX(N210,($N$4*3/10)))),0))*1000,0)</f>
        <v>0</v>
      </c>
      <c r="AQ210" s="120">
        <f>IF(AND(V210="OK",ISNUMBER($N$5),$N$5&gt;0,ISNUMBER($N$3),$N$3&gt;0),R210/(6*$N$3*1000000*$N$5)*(IF(N210&lt;($N$4*4/10),($N$4*4/10)*(MIN(O210,($N$4*4/10))^3-N210^3)-(MIN(O210,($N$4*4/10))^4-N210^4)/4,0)+IF(O210&gt;($N$4*4/10),($N$4*4/10)^2*(1.5*(O210^2-MAX(N210,($N$4*4/10))^2)-($N$4*4/10)*(O210-MAX(N210,($N$4*4/10)))),0))*1000,0)</f>
        <v>0</v>
      </c>
      <c r="AR210" s="120">
        <f>IF(AND(V210="OK",ISNUMBER($N$5),$N$5&gt;0,ISNUMBER($N$3),$N$3&gt;0),R210/(6*$N$3*1000000*$N$5)*(IF(N210&lt;($N$4*5/10),($N$4*5/10)*(MIN(O210,($N$4*5/10))^3-N210^3)-(MIN(O210,($N$4*5/10))^4-N210^4)/4,0)+IF(O210&gt;($N$4*5/10),($N$4*5/10)^2*(1.5*(O210^2-MAX(N210,($N$4*5/10))^2)-($N$4*5/10)*(O210-MAX(N210,($N$4*5/10)))),0))*1000,0)</f>
        <v>0</v>
      </c>
      <c r="AS210" s="120">
        <f>IF(AND(V210="OK",ISNUMBER($N$5),$N$5&gt;0,ISNUMBER($N$3),$N$3&gt;0),R210/(6*$N$3*1000000*$N$5)*(IF(N210&lt;($N$4*6/10),($N$4*6/10)*(MIN(O210,($N$4*6/10))^3-N210^3)-(MIN(O210,($N$4*6/10))^4-N210^4)/4,0)+IF(O210&gt;($N$4*6/10),($N$4*6/10)^2*(1.5*(O210^2-MAX(N210,($N$4*6/10))^2)-($N$4*6/10)*(O210-MAX(N210,($N$4*6/10)))),0))*1000,0)</f>
        <v>0</v>
      </c>
      <c r="AT210" s="120">
        <f>IF(AND(V210="OK",ISNUMBER($N$5),$N$5&gt;0,ISNUMBER($N$3),$N$3&gt;0),R210/(6*$N$3*1000000*$N$5)*(IF(N210&lt;($N$4*7/10),($N$4*7/10)*(MIN(O210,($N$4*7/10))^3-N210^3)-(MIN(O210,($N$4*7/10))^4-N210^4)/4,0)+IF(O210&gt;($N$4*7/10),($N$4*7/10)^2*(1.5*(O210^2-MAX(N210,($N$4*7/10))^2)-($N$4*7/10)*(O210-MAX(N210,($N$4*7/10)))),0))*1000,0)</f>
        <v>0</v>
      </c>
      <c r="AU210" s="120">
        <f>IF(AND(V210="OK",ISNUMBER($N$5),$N$5&gt;0,ISNUMBER($N$3),$N$3&gt;0),R210/(6*$N$3*1000000*$N$5)*(IF(N210&lt;($N$4*8/10),($N$4*8/10)*(MIN(O210,($N$4*8/10))^3-N210^3)-(MIN(O210,($N$4*8/10))^4-N210^4)/4,0)+IF(O210&gt;($N$4*8/10),($N$4*8/10)^2*(1.5*(O210^2-MAX(N210,($N$4*8/10))^2)-($N$4*8/10)*(O210-MAX(N210,($N$4*8/10)))),0))*1000,0)</f>
        <v>0</v>
      </c>
      <c r="AV210" s="120">
        <f>IF(AND(V210="OK",ISNUMBER($N$5),$N$5&gt;0,ISNUMBER($N$3),$N$3&gt;0),R210/(6*$N$3*1000000*$N$5)*(IF(N210&lt;($N$4*9/10),($N$4*9/10)*(MIN(O210,($N$4*9/10))^3-N210^3)-(MIN(O210,($N$4*9/10))^4-N210^4)/4,0)+IF(O210&gt;($N$4*9/10),($N$4*9/10)^2*(1.5*(O210^2-MAX(N210,($N$4*9/10))^2)-($N$4*9/10)*(O210-MAX(N210,($N$4*9/10)))),0))*1000,0)</f>
        <v>0</v>
      </c>
      <c r="AW210" s="120">
        <f>IF(AND(V210="OK",ISNUMBER($N$5),$N$5&gt;0,ISNUMBER($N$3),$N$3&gt;0),R210/(6*$N$3*1000000*$N$5)*(IF(N210&lt;($N$4*10/10),($N$4*10/10)*(MIN(O210,($N$4*10/10))^3-N210^3)-(MIN(O210,($N$4*10/10))^4-N210^4)/4,0)+IF(O210&gt;($N$4*10/10),($N$4*10/10)^2*(1.5*(O210^2-MAX(N210,($N$4*10/10))^2)-($N$4*10/10)*(O210-MAX(N210,($N$4*10/10)))),0))*1000,0)</f>
        <v>0</v>
      </c>
    </row>
    <row r="211" spans="1:49">
      <c r="A211" s="124"/>
      <c r="B211" s="125"/>
      <c r="C211" s="125"/>
      <c r="D211" s="125"/>
      <c r="E211" s="125"/>
      <c r="F211" s="126" t="str">
        <f>IF(J211="OK",D211*E211,"")</f>
        <v/>
      </c>
      <c r="G211" s="126" t="str">
        <f>IF(J211="OK",F211*(C211-B211),"")</f>
        <v/>
      </c>
      <c r="H211" s="126" t="str">
        <f>IF(J211="OK",G211*(C211+B211)/2,"")</f>
        <v/>
      </c>
      <c r="I211" s="126" t="str">
        <f>IF(AND(J211="OK",ISNUMBER($B$5),$B$5&gt;0,ISNUMBER($B$3),$B$3&gt;0),F211*(4*$B$4*(C211^3-B211^3)-(C211^4-B211^4))/(24*$B$3*1000000*$B$5)*1000,"")</f>
        <v/>
      </c>
      <c r="J211" s="120" t="str">
        <f>IF(COUNTA(A211:E211)=0,"",IF(AND(COUNT(B211:E211)=4,B211&gt;=0,C211&gt;B211,C211&lt;=$B$4,D211&gt;=0,E211&gt;0),IF(COUNTIFS($B$13:$B$210,"&lt;"&amp;C211,$C$13:$C$210,"&gt;"&amp;B211)&gt;0,"OVERLAP","OK"),"CHECK INPUTS"))</f>
        <v/>
      </c>
      <c r="M211" s="124"/>
      <c r="N211" s="125"/>
      <c r="O211" s="125"/>
      <c r="P211" s="125"/>
      <c r="Q211" s="125"/>
      <c r="R211" s="126" t="str">
        <f>IF(V211="OK",P211*Q211,"")</f>
        <v/>
      </c>
      <c r="S211" s="126" t="str">
        <f>IF(V211="OK",R211*(O211-N211),"")</f>
        <v/>
      </c>
      <c r="T211" s="126" t="str">
        <f>IF(V211="OK",S211*(O211+N211)/2,"")</f>
        <v/>
      </c>
      <c r="U211" s="126" t="str">
        <f>IF(AND(V211="OK",ISNUMBER($N$5),$N$5&gt;0,ISNUMBER($N$3),$N$3&gt;0),R211*(4*$N$4*(O211^3-N211^3)-(O211^4-N211^4))/(24*$N$3*1000000*$N$5)*1000,"")</f>
        <v/>
      </c>
      <c r="V211" s="120" t="str">
        <f>IF(COUNTA(M211:Q211)=0,"",IF(AND(COUNT(N211:Q211)=4,N211&gt;=0,O211&gt;N211,O211&lt;=$N$4,P211&gt;=0,Q211&gt;0),IF(COUNTIFS($N$13:$N$210,"&lt;"&amp;O211,$O$13:$O$210,"&gt;"&amp;N211)&gt;0,"OVERLAP","OK"),"CHECK INPUTS"))</f>
        <v/>
      </c>
      <c r="AA211" s="120">
        <f>IF(AND(J211="OK",ISNUMBER($B$5),$B$5&gt;0,ISNUMBER($B$3),$B$3&gt;0),F211/(6*$B$3*1000000*$B$5)*(IF(B211&lt;($B$4*0/10),($B$4*0/10)*(MIN(C211,($B$4*0/10))^3-B211^3)-(MIN(C211,($B$4*0/10))^4-B211^4)/4,0)+IF(C211&gt;($B$4*0/10),($B$4*0/10)^2*(1.5*(C211^2-MAX(B211,($B$4*0/10))^2)-($B$4*0/10)*(C211-MAX(B211,($B$4*0/10)))),0))*1000,0)</f>
        <v>0</v>
      </c>
      <c r="AB211" s="120">
        <f>IF(AND(J211="OK",ISNUMBER($B$5),$B$5&gt;0,ISNUMBER($B$3),$B$3&gt;0),F211/(6*$B$3*1000000*$B$5)*(IF(B211&lt;($B$4*1/10),($B$4*1/10)*(MIN(C211,($B$4*1/10))^3-B211^3)-(MIN(C211,($B$4*1/10))^4-B211^4)/4,0)+IF(C211&gt;($B$4*1/10),($B$4*1/10)^2*(1.5*(C211^2-MAX(B211,($B$4*1/10))^2)-($B$4*1/10)*(C211-MAX(B211,($B$4*1/10)))),0))*1000,0)</f>
        <v>0</v>
      </c>
      <c r="AC211" s="120">
        <f>IF(AND(J211="OK",ISNUMBER($B$5),$B$5&gt;0,ISNUMBER($B$3),$B$3&gt;0),F211/(6*$B$3*1000000*$B$5)*(IF(B211&lt;($B$4*2/10),($B$4*2/10)*(MIN(C211,($B$4*2/10))^3-B211^3)-(MIN(C211,($B$4*2/10))^4-B211^4)/4,0)+IF(C211&gt;($B$4*2/10),($B$4*2/10)^2*(1.5*(C211^2-MAX(B211,($B$4*2/10))^2)-($B$4*2/10)*(C211-MAX(B211,($B$4*2/10)))),0))*1000,0)</f>
        <v>0</v>
      </c>
      <c r="AD211" s="120">
        <f>IF(AND(J211="OK",ISNUMBER($B$5),$B$5&gt;0,ISNUMBER($B$3),$B$3&gt;0),F211/(6*$B$3*1000000*$B$5)*(IF(B211&lt;($B$4*3/10),($B$4*3/10)*(MIN(C211,($B$4*3/10))^3-B211^3)-(MIN(C211,($B$4*3/10))^4-B211^4)/4,0)+IF(C211&gt;($B$4*3/10),($B$4*3/10)^2*(1.5*(C211^2-MAX(B211,($B$4*3/10))^2)-($B$4*3/10)*(C211-MAX(B211,($B$4*3/10)))),0))*1000,0)</f>
        <v>0</v>
      </c>
      <c r="AE211" s="120">
        <f>IF(AND(J211="OK",ISNUMBER($B$5),$B$5&gt;0,ISNUMBER($B$3),$B$3&gt;0),F211/(6*$B$3*1000000*$B$5)*(IF(B211&lt;($B$4*4/10),($B$4*4/10)*(MIN(C211,($B$4*4/10))^3-B211^3)-(MIN(C211,($B$4*4/10))^4-B211^4)/4,0)+IF(C211&gt;($B$4*4/10),($B$4*4/10)^2*(1.5*(C211^2-MAX(B211,($B$4*4/10))^2)-($B$4*4/10)*(C211-MAX(B211,($B$4*4/10)))),0))*1000,0)</f>
        <v>0</v>
      </c>
      <c r="AF211" s="120">
        <f>IF(AND(J211="OK",ISNUMBER($B$5),$B$5&gt;0,ISNUMBER($B$3),$B$3&gt;0),F211/(6*$B$3*1000000*$B$5)*(IF(B211&lt;($B$4*5/10),($B$4*5/10)*(MIN(C211,($B$4*5/10))^3-B211^3)-(MIN(C211,($B$4*5/10))^4-B211^4)/4,0)+IF(C211&gt;($B$4*5/10),($B$4*5/10)^2*(1.5*(C211^2-MAX(B211,($B$4*5/10))^2)-($B$4*5/10)*(C211-MAX(B211,($B$4*5/10)))),0))*1000,0)</f>
        <v>0</v>
      </c>
      <c r="AG211" s="120">
        <f>IF(AND(J211="OK",ISNUMBER($B$5),$B$5&gt;0,ISNUMBER($B$3),$B$3&gt;0),F211/(6*$B$3*1000000*$B$5)*(IF(B211&lt;($B$4*6/10),($B$4*6/10)*(MIN(C211,($B$4*6/10))^3-B211^3)-(MIN(C211,($B$4*6/10))^4-B211^4)/4,0)+IF(C211&gt;($B$4*6/10),($B$4*6/10)^2*(1.5*(C211^2-MAX(B211,($B$4*6/10))^2)-($B$4*6/10)*(C211-MAX(B211,($B$4*6/10)))),0))*1000,0)</f>
        <v>0</v>
      </c>
      <c r="AH211" s="120">
        <f>IF(AND(J211="OK",ISNUMBER($B$5),$B$5&gt;0,ISNUMBER($B$3),$B$3&gt;0),F211/(6*$B$3*1000000*$B$5)*(IF(B211&lt;($B$4*7/10),($B$4*7/10)*(MIN(C211,($B$4*7/10))^3-B211^3)-(MIN(C211,($B$4*7/10))^4-B211^4)/4,0)+IF(C211&gt;($B$4*7/10),($B$4*7/10)^2*(1.5*(C211^2-MAX(B211,($B$4*7/10))^2)-($B$4*7/10)*(C211-MAX(B211,($B$4*7/10)))),0))*1000,0)</f>
        <v>0</v>
      </c>
      <c r="AI211" s="120">
        <f>IF(AND(J211="OK",ISNUMBER($B$5),$B$5&gt;0,ISNUMBER($B$3),$B$3&gt;0),F211/(6*$B$3*1000000*$B$5)*(IF(B211&lt;($B$4*8/10),($B$4*8/10)*(MIN(C211,($B$4*8/10))^3-B211^3)-(MIN(C211,($B$4*8/10))^4-B211^4)/4,0)+IF(C211&gt;($B$4*8/10),($B$4*8/10)^2*(1.5*(C211^2-MAX(B211,($B$4*8/10))^2)-($B$4*8/10)*(C211-MAX(B211,($B$4*8/10)))),0))*1000,0)</f>
        <v>0</v>
      </c>
      <c r="AJ211" s="120">
        <f>IF(AND(J211="OK",ISNUMBER($B$5),$B$5&gt;0,ISNUMBER($B$3),$B$3&gt;0),F211/(6*$B$3*1000000*$B$5)*(IF(B211&lt;($B$4*9/10),($B$4*9/10)*(MIN(C211,($B$4*9/10))^3-B211^3)-(MIN(C211,($B$4*9/10))^4-B211^4)/4,0)+IF(C211&gt;($B$4*9/10),($B$4*9/10)^2*(1.5*(C211^2-MAX(B211,($B$4*9/10))^2)-($B$4*9/10)*(C211-MAX(B211,($B$4*9/10)))),0))*1000,0)</f>
        <v>0</v>
      </c>
      <c r="AK211" s="120">
        <f>IF(AND(J211="OK",ISNUMBER($B$5),$B$5&gt;0,ISNUMBER($B$3),$B$3&gt;0),F211/(6*$B$3*1000000*$B$5)*(IF(B211&lt;($B$4*10/10),($B$4*10/10)*(MIN(C211,($B$4*10/10))^3-B211^3)-(MIN(C211,($B$4*10/10))^4-B211^4)/4,0)+IF(C211&gt;($B$4*10/10),($B$4*10/10)^2*(1.5*(C211^2-MAX(B211,($B$4*10/10))^2)-($B$4*10/10)*(C211-MAX(B211,($B$4*10/10)))),0))*1000,0)</f>
        <v>0</v>
      </c>
      <c r="AM211" s="120">
        <f>IF(AND(V211="OK",ISNUMBER($N$5),$N$5&gt;0,ISNUMBER($N$3),$N$3&gt;0),R211/(6*$N$3*1000000*$N$5)*(IF(N211&lt;($N$4*0/10),($N$4*0/10)*(MIN(O211,($N$4*0/10))^3-N211^3)-(MIN(O211,($N$4*0/10))^4-N211^4)/4,0)+IF(O211&gt;($N$4*0/10),($N$4*0/10)^2*(1.5*(O211^2-MAX(N211,($N$4*0/10))^2)-($N$4*0/10)*(O211-MAX(N211,($N$4*0/10)))),0))*1000,0)</f>
        <v>0</v>
      </c>
      <c r="AN211" s="120">
        <f>IF(AND(V211="OK",ISNUMBER($N$5),$N$5&gt;0,ISNUMBER($N$3),$N$3&gt;0),R211/(6*$N$3*1000000*$N$5)*(IF(N211&lt;($N$4*1/10),($N$4*1/10)*(MIN(O211,($N$4*1/10))^3-N211^3)-(MIN(O211,($N$4*1/10))^4-N211^4)/4,0)+IF(O211&gt;($N$4*1/10),($N$4*1/10)^2*(1.5*(O211^2-MAX(N211,($N$4*1/10))^2)-($N$4*1/10)*(O211-MAX(N211,($N$4*1/10)))),0))*1000,0)</f>
        <v>0</v>
      </c>
      <c r="AO211" s="120">
        <f>IF(AND(V211="OK",ISNUMBER($N$5),$N$5&gt;0,ISNUMBER($N$3),$N$3&gt;0),R211/(6*$N$3*1000000*$N$5)*(IF(N211&lt;($N$4*2/10),($N$4*2/10)*(MIN(O211,($N$4*2/10))^3-N211^3)-(MIN(O211,($N$4*2/10))^4-N211^4)/4,0)+IF(O211&gt;($N$4*2/10),($N$4*2/10)^2*(1.5*(O211^2-MAX(N211,($N$4*2/10))^2)-($N$4*2/10)*(O211-MAX(N211,($N$4*2/10)))),0))*1000,0)</f>
        <v>0</v>
      </c>
      <c r="AP211" s="120">
        <f>IF(AND(V211="OK",ISNUMBER($N$5),$N$5&gt;0,ISNUMBER($N$3),$N$3&gt;0),R211/(6*$N$3*1000000*$N$5)*(IF(N211&lt;($N$4*3/10),($N$4*3/10)*(MIN(O211,($N$4*3/10))^3-N211^3)-(MIN(O211,($N$4*3/10))^4-N211^4)/4,0)+IF(O211&gt;($N$4*3/10),($N$4*3/10)^2*(1.5*(O211^2-MAX(N211,($N$4*3/10))^2)-($N$4*3/10)*(O211-MAX(N211,($N$4*3/10)))),0))*1000,0)</f>
        <v>0</v>
      </c>
      <c r="AQ211" s="120">
        <f>IF(AND(V211="OK",ISNUMBER($N$5),$N$5&gt;0,ISNUMBER($N$3),$N$3&gt;0),R211/(6*$N$3*1000000*$N$5)*(IF(N211&lt;($N$4*4/10),($N$4*4/10)*(MIN(O211,($N$4*4/10))^3-N211^3)-(MIN(O211,($N$4*4/10))^4-N211^4)/4,0)+IF(O211&gt;($N$4*4/10),($N$4*4/10)^2*(1.5*(O211^2-MAX(N211,($N$4*4/10))^2)-($N$4*4/10)*(O211-MAX(N211,($N$4*4/10)))),0))*1000,0)</f>
        <v>0</v>
      </c>
      <c r="AR211" s="120">
        <f>IF(AND(V211="OK",ISNUMBER($N$5),$N$5&gt;0,ISNUMBER($N$3),$N$3&gt;0),R211/(6*$N$3*1000000*$N$5)*(IF(N211&lt;($N$4*5/10),($N$4*5/10)*(MIN(O211,($N$4*5/10))^3-N211^3)-(MIN(O211,($N$4*5/10))^4-N211^4)/4,0)+IF(O211&gt;($N$4*5/10),($N$4*5/10)^2*(1.5*(O211^2-MAX(N211,($N$4*5/10))^2)-($N$4*5/10)*(O211-MAX(N211,($N$4*5/10)))),0))*1000,0)</f>
        <v>0</v>
      </c>
      <c r="AS211" s="120">
        <f>IF(AND(V211="OK",ISNUMBER($N$5),$N$5&gt;0,ISNUMBER($N$3),$N$3&gt;0),R211/(6*$N$3*1000000*$N$5)*(IF(N211&lt;($N$4*6/10),($N$4*6/10)*(MIN(O211,($N$4*6/10))^3-N211^3)-(MIN(O211,($N$4*6/10))^4-N211^4)/4,0)+IF(O211&gt;($N$4*6/10),($N$4*6/10)^2*(1.5*(O211^2-MAX(N211,($N$4*6/10))^2)-($N$4*6/10)*(O211-MAX(N211,($N$4*6/10)))),0))*1000,0)</f>
        <v>0</v>
      </c>
      <c r="AT211" s="120">
        <f>IF(AND(V211="OK",ISNUMBER($N$5),$N$5&gt;0,ISNUMBER($N$3),$N$3&gt;0),R211/(6*$N$3*1000000*$N$5)*(IF(N211&lt;($N$4*7/10),($N$4*7/10)*(MIN(O211,($N$4*7/10))^3-N211^3)-(MIN(O211,($N$4*7/10))^4-N211^4)/4,0)+IF(O211&gt;($N$4*7/10),($N$4*7/10)^2*(1.5*(O211^2-MAX(N211,($N$4*7/10))^2)-($N$4*7/10)*(O211-MAX(N211,($N$4*7/10)))),0))*1000,0)</f>
        <v>0</v>
      </c>
      <c r="AU211" s="120">
        <f>IF(AND(V211="OK",ISNUMBER($N$5),$N$5&gt;0,ISNUMBER($N$3),$N$3&gt;0),R211/(6*$N$3*1000000*$N$5)*(IF(N211&lt;($N$4*8/10),($N$4*8/10)*(MIN(O211,($N$4*8/10))^3-N211^3)-(MIN(O211,($N$4*8/10))^4-N211^4)/4,0)+IF(O211&gt;($N$4*8/10),($N$4*8/10)^2*(1.5*(O211^2-MAX(N211,($N$4*8/10))^2)-($N$4*8/10)*(O211-MAX(N211,($N$4*8/10)))),0))*1000,0)</f>
        <v>0</v>
      </c>
      <c r="AV211" s="120">
        <f>IF(AND(V211="OK",ISNUMBER($N$5),$N$5&gt;0,ISNUMBER($N$3),$N$3&gt;0),R211/(6*$N$3*1000000*$N$5)*(IF(N211&lt;($N$4*9/10),($N$4*9/10)*(MIN(O211,($N$4*9/10))^3-N211^3)-(MIN(O211,($N$4*9/10))^4-N211^4)/4,0)+IF(O211&gt;($N$4*9/10),($N$4*9/10)^2*(1.5*(O211^2-MAX(N211,($N$4*9/10))^2)-($N$4*9/10)*(O211-MAX(N211,($N$4*9/10)))),0))*1000,0)</f>
        <v>0</v>
      </c>
      <c r="AW211" s="120">
        <f>IF(AND(V211="OK",ISNUMBER($N$5),$N$5&gt;0,ISNUMBER($N$3),$N$3&gt;0),R211/(6*$N$3*1000000*$N$5)*(IF(N211&lt;($N$4*10/10),($N$4*10/10)*(MIN(O211,($N$4*10/10))^3-N211^3)-(MIN(O211,($N$4*10/10))^4-N211^4)/4,0)+IF(O211&gt;($N$4*10/10),($N$4*10/10)^2*(1.5*(O211^2-MAX(N211,($N$4*10/10))^2)-($N$4*10/10)*(O211-MAX(N211,($N$4*10/10)))),0))*1000,0)</f>
        <v>0</v>
      </c>
    </row>
    <row r="212" spans="1:49">
      <c r="A212" s="124"/>
      <c r="B212" s="125"/>
      <c r="C212" s="125"/>
      <c r="D212" s="125"/>
      <c r="E212" s="125"/>
      <c r="F212" s="126" t="str">
        <f>IF(J212="OK",D212*E212,"")</f>
        <v/>
      </c>
      <c r="G212" s="126" t="str">
        <f>IF(J212="OK",F212*(C212-B212),"")</f>
        <v/>
      </c>
      <c r="H212" s="126" t="str">
        <f>IF(J212="OK",G212*(C212+B212)/2,"")</f>
        <v/>
      </c>
      <c r="I212" s="126" t="str">
        <f>IF(AND(J212="OK",ISNUMBER($B$5),$B$5&gt;0,ISNUMBER($B$3),$B$3&gt;0),F212*(4*$B$4*(C212^3-B212^3)-(C212^4-B212^4))/(24*$B$3*1000000*$B$5)*1000,"")</f>
        <v/>
      </c>
      <c r="J212" s="120" t="str">
        <f>IF(COUNTA(A212:E212)=0,"",IF(AND(COUNT(B212:E212)=4,B212&gt;=0,C212&gt;B212,C212&lt;=$B$4,D212&gt;=0,E212&gt;0),IF(COUNTIFS($B$13:$B$211,"&lt;"&amp;C212,$C$13:$C$211,"&gt;"&amp;B212)&gt;0,"OVERLAP","OK"),"CHECK INPUTS"))</f>
        <v/>
      </c>
      <c r="M212" s="124"/>
      <c r="N212" s="125"/>
      <c r="O212" s="125"/>
      <c r="P212" s="125"/>
      <c r="Q212" s="125"/>
      <c r="R212" s="126" t="str">
        <f>IF(V212="OK",P212*Q212,"")</f>
        <v/>
      </c>
      <c r="S212" s="126" t="str">
        <f>IF(V212="OK",R212*(O212-N212),"")</f>
        <v/>
      </c>
      <c r="T212" s="126" t="str">
        <f>IF(V212="OK",S212*(O212+N212)/2,"")</f>
        <v/>
      </c>
      <c r="U212" s="126" t="str">
        <f>IF(AND(V212="OK",ISNUMBER($N$5),$N$5&gt;0,ISNUMBER($N$3),$N$3&gt;0),R212*(4*$N$4*(O212^3-N212^3)-(O212^4-N212^4))/(24*$N$3*1000000*$N$5)*1000,"")</f>
        <v/>
      </c>
      <c r="V212" s="120" t="str">
        <f>IF(COUNTA(M212:Q212)=0,"",IF(AND(COUNT(N212:Q212)=4,N212&gt;=0,O212&gt;N212,O212&lt;=$N$4,P212&gt;=0,Q212&gt;0),IF(COUNTIFS($N$13:$N$211,"&lt;"&amp;O212,$O$13:$O$211,"&gt;"&amp;N212)&gt;0,"OVERLAP","OK"),"CHECK INPUTS"))</f>
        <v/>
      </c>
      <c r="AA212" s="120">
        <f>IF(AND(J212="OK",ISNUMBER($B$5),$B$5&gt;0,ISNUMBER($B$3),$B$3&gt;0),F212/(6*$B$3*1000000*$B$5)*(IF(B212&lt;($B$4*0/10),($B$4*0/10)*(MIN(C212,($B$4*0/10))^3-B212^3)-(MIN(C212,($B$4*0/10))^4-B212^4)/4,0)+IF(C212&gt;($B$4*0/10),($B$4*0/10)^2*(1.5*(C212^2-MAX(B212,($B$4*0/10))^2)-($B$4*0/10)*(C212-MAX(B212,($B$4*0/10)))),0))*1000,0)</f>
        <v>0</v>
      </c>
      <c r="AB212" s="120">
        <f>IF(AND(J212="OK",ISNUMBER($B$5),$B$5&gt;0,ISNUMBER($B$3),$B$3&gt;0),F212/(6*$B$3*1000000*$B$5)*(IF(B212&lt;($B$4*1/10),($B$4*1/10)*(MIN(C212,($B$4*1/10))^3-B212^3)-(MIN(C212,($B$4*1/10))^4-B212^4)/4,0)+IF(C212&gt;($B$4*1/10),($B$4*1/10)^2*(1.5*(C212^2-MAX(B212,($B$4*1/10))^2)-($B$4*1/10)*(C212-MAX(B212,($B$4*1/10)))),0))*1000,0)</f>
        <v>0</v>
      </c>
      <c r="AC212" s="120">
        <f>IF(AND(J212="OK",ISNUMBER($B$5),$B$5&gt;0,ISNUMBER($B$3),$B$3&gt;0),F212/(6*$B$3*1000000*$B$5)*(IF(B212&lt;($B$4*2/10),($B$4*2/10)*(MIN(C212,($B$4*2/10))^3-B212^3)-(MIN(C212,($B$4*2/10))^4-B212^4)/4,0)+IF(C212&gt;($B$4*2/10),($B$4*2/10)^2*(1.5*(C212^2-MAX(B212,($B$4*2/10))^2)-($B$4*2/10)*(C212-MAX(B212,($B$4*2/10)))),0))*1000,0)</f>
        <v>0</v>
      </c>
      <c r="AD212" s="120">
        <f>IF(AND(J212="OK",ISNUMBER($B$5),$B$5&gt;0,ISNUMBER($B$3),$B$3&gt;0),F212/(6*$B$3*1000000*$B$5)*(IF(B212&lt;($B$4*3/10),($B$4*3/10)*(MIN(C212,($B$4*3/10))^3-B212^3)-(MIN(C212,($B$4*3/10))^4-B212^4)/4,0)+IF(C212&gt;($B$4*3/10),($B$4*3/10)^2*(1.5*(C212^2-MAX(B212,($B$4*3/10))^2)-($B$4*3/10)*(C212-MAX(B212,($B$4*3/10)))),0))*1000,0)</f>
        <v>0</v>
      </c>
      <c r="AE212" s="120">
        <f>IF(AND(J212="OK",ISNUMBER($B$5),$B$5&gt;0,ISNUMBER($B$3),$B$3&gt;0),F212/(6*$B$3*1000000*$B$5)*(IF(B212&lt;($B$4*4/10),($B$4*4/10)*(MIN(C212,($B$4*4/10))^3-B212^3)-(MIN(C212,($B$4*4/10))^4-B212^4)/4,0)+IF(C212&gt;($B$4*4/10),($B$4*4/10)^2*(1.5*(C212^2-MAX(B212,($B$4*4/10))^2)-($B$4*4/10)*(C212-MAX(B212,($B$4*4/10)))),0))*1000,0)</f>
        <v>0</v>
      </c>
      <c r="AF212" s="120">
        <f>IF(AND(J212="OK",ISNUMBER($B$5),$B$5&gt;0,ISNUMBER($B$3),$B$3&gt;0),F212/(6*$B$3*1000000*$B$5)*(IF(B212&lt;($B$4*5/10),($B$4*5/10)*(MIN(C212,($B$4*5/10))^3-B212^3)-(MIN(C212,($B$4*5/10))^4-B212^4)/4,0)+IF(C212&gt;($B$4*5/10),($B$4*5/10)^2*(1.5*(C212^2-MAX(B212,($B$4*5/10))^2)-($B$4*5/10)*(C212-MAX(B212,($B$4*5/10)))),0))*1000,0)</f>
        <v>0</v>
      </c>
      <c r="AG212" s="120">
        <f>IF(AND(J212="OK",ISNUMBER($B$5),$B$5&gt;0,ISNUMBER($B$3),$B$3&gt;0),F212/(6*$B$3*1000000*$B$5)*(IF(B212&lt;($B$4*6/10),($B$4*6/10)*(MIN(C212,($B$4*6/10))^3-B212^3)-(MIN(C212,($B$4*6/10))^4-B212^4)/4,0)+IF(C212&gt;($B$4*6/10),($B$4*6/10)^2*(1.5*(C212^2-MAX(B212,($B$4*6/10))^2)-($B$4*6/10)*(C212-MAX(B212,($B$4*6/10)))),0))*1000,0)</f>
        <v>0</v>
      </c>
      <c r="AH212" s="120">
        <f>IF(AND(J212="OK",ISNUMBER($B$5),$B$5&gt;0,ISNUMBER($B$3),$B$3&gt;0),F212/(6*$B$3*1000000*$B$5)*(IF(B212&lt;($B$4*7/10),($B$4*7/10)*(MIN(C212,($B$4*7/10))^3-B212^3)-(MIN(C212,($B$4*7/10))^4-B212^4)/4,0)+IF(C212&gt;($B$4*7/10),($B$4*7/10)^2*(1.5*(C212^2-MAX(B212,($B$4*7/10))^2)-($B$4*7/10)*(C212-MAX(B212,($B$4*7/10)))),0))*1000,0)</f>
        <v>0</v>
      </c>
      <c r="AI212" s="120">
        <f>IF(AND(J212="OK",ISNUMBER($B$5),$B$5&gt;0,ISNUMBER($B$3),$B$3&gt;0),F212/(6*$B$3*1000000*$B$5)*(IF(B212&lt;($B$4*8/10),($B$4*8/10)*(MIN(C212,($B$4*8/10))^3-B212^3)-(MIN(C212,($B$4*8/10))^4-B212^4)/4,0)+IF(C212&gt;($B$4*8/10),($B$4*8/10)^2*(1.5*(C212^2-MAX(B212,($B$4*8/10))^2)-($B$4*8/10)*(C212-MAX(B212,($B$4*8/10)))),0))*1000,0)</f>
        <v>0</v>
      </c>
      <c r="AJ212" s="120">
        <f>IF(AND(J212="OK",ISNUMBER($B$5),$B$5&gt;0,ISNUMBER($B$3),$B$3&gt;0),F212/(6*$B$3*1000000*$B$5)*(IF(B212&lt;($B$4*9/10),($B$4*9/10)*(MIN(C212,($B$4*9/10))^3-B212^3)-(MIN(C212,($B$4*9/10))^4-B212^4)/4,0)+IF(C212&gt;($B$4*9/10),($B$4*9/10)^2*(1.5*(C212^2-MAX(B212,($B$4*9/10))^2)-($B$4*9/10)*(C212-MAX(B212,($B$4*9/10)))),0))*1000,0)</f>
        <v>0</v>
      </c>
      <c r="AK212" s="120">
        <f>IF(AND(J212="OK",ISNUMBER($B$5),$B$5&gt;0,ISNUMBER($B$3),$B$3&gt;0),F212/(6*$B$3*1000000*$B$5)*(IF(B212&lt;($B$4*10/10),($B$4*10/10)*(MIN(C212,($B$4*10/10))^3-B212^3)-(MIN(C212,($B$4*10/10))^4-B212^4)/4,0)+IF(C212&gt;($B$4*10/10),($B$4*10/10)^2*(1.5*(C212^2-MAX(B212,($B$4*10/10))^2)-($B$4*10/10)*(C212-MAX(B212,($B$4*10/10)))),0))*1000,0)</f>
        <v>0</v>
      </c>
      <c r="AM212" s="120">
        <f>IF(AND(V212="OK",ISNUMBER($N$5),$N$5&gt;0,ISNUMBER($N$3),$N$3&gt;0),R212/(6*$N$3*1000000*$N$5)*(IF(N212&lt;($N$4*0/10),($N$4*0/10)*(MIN(O212,($N$4*0/10))^3-N212^3)-(MIN(O212,($N$4*0/10))^4-N212^4)/4,0)+IF(O212&gt;($N$4*0/10),($N$4*0/10)^2*(1.5*(O212^2-MAX(N212,($N$4*0/10))^2)-($N$4*0/10)*(O212-MAX(N212,($N$4*0/10)))),0))*1000,0)</f>
        <v>0</v>
      </c>
      <c r="AN212" s="120">
        <f>IF(AND(V212="OK",ISNUMBER($N$5),$N$5&gt;0,ISNUMBER($N$3),$N$3&gt;0),R212/(6*$N$3*1000000*$N$5)*(IF(N212&lt;($N$4*1/10),($N$4*1/10)*(MIN(O212,($N$4*1/10))^3-N212^3)-(MIN(O212,($N$4*1/10))^4-N212^4)/4,0)+IF(O212&gt;($N$4*1/10),($N$4*1/10)^2*(1.5*(O212^2-MAX(N212,($N$4*1/10))^2)-($N$4*1/10)*(O212-MAX(N212,($N$4*1/10)))),0))*1000,0)</f>
        <v>0</v>
      </c>
      <c r="AO212" s="120">
        <f>IF(AND(V212="OK",ISNUMBER($N$5),$N$5&gt;0,ISNUMBER($N$3),$N$3&gt;0),R212/(6*$N$3*1000000*$N$5)*(IF(N212&lt;($N$4*2/10),($N$4*2/10)*(MIN(O212,($N$4*2/10))^3-N212^3)-(MIN(O212,($N$4*2/10))^4-N212^4)/4,0)+IF(O212&gt;($N$4*2/10),($N$4*2/10)^2*(1.5*(O212^2-MAX(N212,($N$4*2/10))^2)-($N$4*2/10)*(O212-MAX(N212,($N$4*2/10)))),0))*1000,0)</f>
        <v>0</v>
      </c>
      <c r="AP212" s="120">
        <f>IF(AND(V212="OK",ISNUMBER($N$5),$N$5&gt;0,ISNUMBER($N$3),$N$3&gt;0),R212/(6*$N$3*1000000*$N$5)*(IF(N212&lt;($N$4*3/10),($N$4*3/10)*(MIN(O212,($N$4*3/10))^3-N212^3)-(MIN(O212,($N$4*3/10))^4-N212^4)/4,0)+IF(O212&gt;($N$4*3/10),($N$4*3/10)^2*(1.5*(O212^2-MAX(N212,($N$4*3/10))^2)-($N$4*3/10)*(O212-MAX(N212,($N$4*3/10)))),0))*1000,0)</f>
        <v>0</v>
      </c>
      <c r="AQ212" s="120">
        <f>IF(AND(V212="OK",ISNUMBER($N$5),$N$5&gt;0,ISNUMBER($N$3),$N$3&gt;0),R212/(6*$N$3*1000000*$N$5)*(IF(N212&lt;($N$4*4/10),($N$4*4/10)*(MIN(O212,($N$4*4/10))^3-N212^3)-(MIN(O212,($N$4*4/10))^4-N212^4)/4,0)+IF(O212&gt;($N$4*4/10),($N$4*4/10)^2*(1.5*(O212^2-MAX(N212,($N$4*4/10))^2)-($N$4*4/10)*(O212-MAX(N212,($N$4*4/10)))),0))*1000,0)</f>
        <v>0</v>
      </c>
      <c r="AR212" s="120">
        <f>IF(AND(V212="OK",ISNUMBER($N$5),$N$5&gt;0,ISNUMBER($N$3),$N$3&gt;0),R212/(6*$N$3*1000000*$N$5)*(IF(N212&lt;($N$4*5/10),($N$4*5/10)*(MIN(O212,($N$4*5/10))^3-N212^3)-(MIN(O212,($N$4*5/10))^4-N212^4)/4,0)+IF(O212&gt;($N$4*5/10),($N$4*5/10)^2*(1.5*(O212^2-MAX(N212,($N$4*5/10))^2)-($N$4*5/10)*(O212-MAX(N212,($N$4*5/10)))),0))*1000,0)</f>
        <v>0</v>
      </c>
      <c r="AS212" s="120">
        <f>IF(AND(V212="OK",ISNUMBER($N$5),$N$5&gt;0,ISNUMBER($N$3),$N$3&gt;0),R212/(6*$N$3*1000000*$N$5)*(IF(N212&lt;($N$4*6/10),($N$4*6/10)*(MIN(O212,($N$4*6/10))^3-N212^3)-(MIN(O212,($N$4*6/10))^4-N212^4)/4,0)+IF(O212&gt;($N$4*6/10),($N$4*6/10)^2*(1.5*(O212^2-MAX(N212,($N$4*6/10))^2)-($N$4*6/10)*(O212-MAX(N212,($N$4*6/10)))),0))*1000,0)</f>
        <v>0</v>
      </c>
      <c r="AT212" s="120">
        <f>IF(AND(V212="OK",ISNUMBER($N$5),$N$5&gt;0,ISNUMBER($N$3),$N$3&gt;0),R212/(6*$N$3*1000000*$N$5)*(IF(N212&lt;($N$4*7/10),($N$4*7/10)*(MIN(O212,($N$4*7/10))^3-N212^3)-(MIN(O212,($N$4*7/10))^4-N212^4)/4,0)+IF(O212&gt;($N$4*7/10),($N$4*7/10)^2*(1.5*(O212^2-MAX(N212,($N$4*7/10))^2)-($N$4*7/10)*(O212-MAX(N212,($N$4*7/10)))),0))*1000,0)</f>
        <v>0</v>
      </c>
      <c r="AU212" s="120">
        <f>IF(AND(V212="OK",ISNUMBER($N$5),$N$5&gt;0,ISNUMBER($N$3),$N$3&gt;0),R212/(6*$N$3*1000000*$N$5)*(IF(N212&lt;($N$4*8/10),($N$4*8/10)*(MIN(O212,($N$4*8/10))^3-N212^3)-(MIN(O212,($N$4*8/10))^4-N212^4)/4,0)+IF(O212&gt;($N$4*8/10),($N$4*8/10)^2*(1.5*(O212^2-MAX(N212,($N$4*8/10))^2)-($N$4*8/10)*(O212-MAX(N212,($N$4*8/10)))),0))*1000,0)</f>
        <v>0</v>
      </c>
      <c r="AV212" s="120">
        <f>IF(AND(V212="OK",ISNUMBER($N$5),$N$5&gt;0,ISNUMBER($N$3),$N$3&gt;0),R212/(6*$N$3*1000000*$N$5)*(IF(N212&lt;($N$4*9/10),($N$4*9/10)*(MIN(O212,($N$4*9/10))^3-N212^3)-(MIN(O212,($N$4*9/10))^4-N212^4)/4,0)+IF(O212&gt;($N$4*9/10),($N$4*9/10)^2*(1.5*(O212^2-MAX(N212,($N$4*9/10))^2)-($N$4*9/10)*(O212-MAX(N212,($N$4*9/10)))),0))*1000,0)</f>
        <v>0</v>
      </c>
      <c r="AW212" s="120">
        <f>IF(AND(V212="OK",ISNUMBER($N$5),$N$5&gt;0,ISNUMBER($N$3),$N$3&gt;0),R212/(6*$N$3*1000000*$N$5)*(IF(N212&lt;($N$4*10/10),($N$4*10/10)*(MIN(O212,($N$4*10/10))^3-N212^3)-(MIN(O212,($N$4*10/10))^4-N212^4)/4,0)+IF(O212&gt;($N$4*10/10),($N$4*10/10)^2*(1.5*(O212^2-MAX(N212,($N$4*10/10))^2)-($N$4*10/10)*(O212-MAX(N212,($N$4*10/10)))),0))*1000,0)</f>
        <v>0</v>
      </c>
    </row>
    <row r="213" spans="1:49">
      <c r="A213" s="124"/>
      <c r="B213" s="125"/>
      <c r="C213" s="125"/>
      <c r="D213" s="125"/>
      <c r="E213" s="125"/>
      <c r="F213" s="126" t="str">
        <f>IF(J213="OK",D213*E213,"")</f>
        <v/>
      </c>
      <c r="G213" s="126" t="str">
        <f>IF(J213="OK",F213*(C213-B213),"")</f>
        <v/>
      </c>
      <c r="H213" s="126" t="str">
        <f>IF(J213="OK",G213*(C213+B213)/2,"")</f>
        <v/>
      </c>
      <c r="I213" s="126" t="str">
        <f>IF(AND(J213="OK",ISNUMBER($B$5),$B$5&gt;0,ISNUMBER($B$3),$B$3&gt;0),F213*(4*$B$4*(C213^3-B213^3)-(C213^4-B213^4))/(24*$B$3*1000000*$B$5)*1000,"")</f>
        <v/>
      </c>
      <c r="J213" s="120" t="str">
        <f>IF(COUNTA(A213:E213)=0,"",IF(AND(COUNT(B213:E213)=4,B213&gt;=0,C213&gt;B213,C213&lt;=$B$4,D213&gt;=0,E213&gt;0),IF(COUNTIFS($B$13:$B$212,"&lt;"&amp;C213,$C$13:$C$212,"&gt;"&amp;B213)&gt;0,"OVERLAP","OK"),"CHECK INPUTS"))</f>
        <v/>
      </c>
      <c r="M213" s="124"/>
      <c r="N213" s="125"/>
      <c r="O213" s="125"/>
      <c r="P213" s="125"/>
      <c r="Q213" s="125"/>
      <c r="R213" s="126" t="str">
        <f>IF(V213="OK",P213*Q213,"")</f>
        <v/>
      </c>
      <c r="S213" s="126" t="str">
        <f>IF(V213="OK",R213*(O213-N213),"")</f>
        <v/>
      </c>
      <c r="T213" s="126" t="str">
        <f>IF(V213="OK",S213*(O213+N213)/2,"")</f>
        <v/>
      </c>
      <c r="U213" s="126" t="str">
        <f>IF(AND(V213="OK",ISNUMBER($N$5),$N$5&gt;0,ISNUMBER($N$3),$N$3&gt;0),R213*(4*$N$4*(O213^3-N213^3)-(O213^4-N213^4))/(24*$N$3*1000000*$N$5)*1000,"")</f>
        <v/>
      </c>
      <c r="V213" s="120" t="str">
        <f>IF(COUNTA(M213:Q213)=0,"",IF(AND(COUNT(N213:Q213)=4,N213&gt;=0,O213&gt;N213,O213&lt;=$N$4,P213&gt;=0,Q213&gt;0),IF(COUNTIFS($N$13:$N$212,"&lt;"&amp;O213,$O$13:$O$212,"&gt;"&amp;N213)&gt;0,"OVERLAP","OK"),"CHECK INPUTS"))</f>
        <v/>
      </c>
      <c r="AA213" s="120">
        <f>IF(AND(J213="OK",ISNUMBER($B$5),$B$5&gt;0,ISNUMBER($B$3),$B$3&gt;0),F213/(6*$B$3*1000000*$B$5)*(IF(B213&lt;($B$4*0/10),($B$4*0/10)*(MIN(C213,($B$4*0/10))^3-B213^3)-(MIN(C213,($B$4*0/10))^4-B213^4)/4,0)+IF(C213&gt;($B$4*0/10),($B$4*0/10)^2*(1.5*(C213^2-MAX(B213,($B$4*0/10))^2)-($B$4*0/10)*(C213-MAX(B213,($B$4*0/10)))),0))*1000,0)</f>
        <v>0</v>
      </c>
      <c r="AB213" s="120">
        <f>IF(AND(J213="OK",ISNUMBER($B$5),$B$5&gt;0,ISNUMBER($B$3),$B$3&gt;0),F213/(6*$B$3*1000000*$B$5)*(IF(B213&lt;($B$4*1/10),($B$4*1/10)*(MIN(C213,($B$4*1/10))^3-B213^3)-(MIN(C213,($B$4*1/10))^4-B213^4)/4,0)+IF(C213&gt;($B$4*1/10),($B$4*1/10)^2*(1.5*(C213^2-MAX(B213,($B$4*1/10))^2)-($B$4*1/10)*(C213-MAX(B213,($B$4*1/10)))),0))*1000,0)</f>
        <v>0</v>
      </c>
      <c r="AC213" s="120">
        <f>IF(AND(J213="OK",ISNUMBER($B$5),$B$5&gt;0,ISNUMBER($B$3),$B$3&gt;0),F213/(6*$B$3*1000000*$B$5)*(IF(B213&lt;($B$4*2/10),($B$4*2/10)*(MIN(C213,($B$4*2/10))^3-B213^3)-(MIN(C213,($B$4*2/10))^4-B213^4)/4,0)+IF(C213&gt;($B$4*2/10),($B$4*2/10)^2*(1.5*(C213^2-MAX(B213,($B$4*2/10))^2)-($B$4*2/10)*(C213-MAX(B213,($B$4*2/10)))),0))*1000,0)</f>
        <v>0</v>
      </c>
      <c r="AD213" s="120">
        <f>IF(AND(J213="OK",ISNUMBER($B$5),$B$5&gt;0,ISNUMBER($B$3),$B$3&gt;0),F213/(6*$B$3*1000000*$B$5)*(IF(B213&lt;($B$4*3/10),($B$4*3/10)*(MIN(C213,($B$4*3/10))^3-B213^3)-(MIN(C213,($B$4*3/10))^4-B213^4)/4,0)+IF(C213&gt;($B$4*3/10),($B$4*3/10)^2*(1.5*(C213^2-MAX(B213,($B$4*3/10))^2)-($B$4*3/10)*(C213-MAX(B213,($B$4*3/10)))),0))*1000,0)</f>
        <v>0</v>
      </c>
      <c r="AE213" s="120">
        <f>IF(AND(J213="OK",ISNUMBER($B$5),$B$5&gt;0,ISNUMBER($B$3),$B$3&gt;0),F213/(6*$B$3*1000000*$B$5)*(IF(B213&lt;($B$4*4/10),($B$4*4/10)*(MIN(C213,($B$4*4/10))^3-B213^3)-(MIN(C213,($B$4*4/10))^4-B213^4)/4,0)+IF(C213&gt;($B$4*4/10),($B$4*4/10)^2*(1.5*(C213^2-MAX(B213,($B$4*4/10))^2)-($B$4*4/10)*(C213-MAX(B213,($B$4*4/10)))),0))*1000,0)</f>
        <v>0</v>
      </c>
      <c r="AF213" s="120">
        <f>IF(AND(J213="OK",ISNUMBER($B$5),$B$5&gt;0,ISNUMBER($B$3),$B$3&gt;0),F213/(6*$B$3*1000000*$B$5)*(IF(B213&lt;($B$4*5/10),($B$4*5/10)*(MIN(C213,($B$4*5/10))^3-B213^3)-(MIN(C213,($B$4*5/10))^4-B213^4)/4,0)+IF(C213&gt;($B$4*5/10),($B$4*5/10)^2*(1.5*(C213^2-MAX(B213,($B$4*5/10))^2)-($B$4*5/10)*(C213-MAX(B213,($B$4*5/10)))),0))*1000,0)</f>
        <v>0</v>
      </c>
      <c r="AG213" s="120">
        <f>IF(AND(J213="OK",ISNUMBER($B$5),$B$5&gt;0,ISNUMBER($B$3),$B$3&gt;0),F213/(6*$B$3*1000000*$B$5)*(IF(B213&lt;($B$4*6/10),($B$4*6/10)*(MIN(C213,($B$4*6/10))^3-B213^3)-(MIN(C213,($B$4*6/10))^4-B213^4)/4,0)+IF(C213&gt;($B$4*6/10),($B$4*6/10)^2*(1.5*(C213^2-MAX(B213,($B$4*6/10))^2)-($B$4*6/10)*(C213-MAX(B213,($B$4*6/10)))),0))*1000,0)</f>
        <v>0</v>
      </c>
      <c r="AH213" s="120">
        <f>IF(AND(J213="OK",ISNUMBER($B$5),$B$5&gt;0,ISNUMBER($B$3),$B$3&gt;0),F213/(6*$B$3*1000000*$B$5)*(IF(B213&lt;($B$4*7/10),($B$4*7/10)*(MIN(C213,($B$4*7/10))^3-B213^3)-(MIN(C213,($B$4*7/10))^4-B213^4)/4,0)+IF(C213&gt;($B$4*7/10),($B$4*7/10)^2*(1.5*(C213^2-MAX(B213,($B$4*7/10))^2)-($B$4*7/10)*(C213-MAX(B213,($B$4*7/10)))),0))*1000,0)</f>
        <v>0</v>
      </c>
      <c r="AI213" s="120">
        <f>IF(AND(J213="OK",ISNUMBER($B$5),$B$5&gt;0,ISNUMBER($B$3),$B$3&gt;0),F213/(6*$B$3*1000000*$B$5)*(IF(B213&lt;($B$4*8/10),($B$4*8/10)*(MIN(C213,($B$4*8/10))^3-B213^3)-(MIN(C213,($B$4*8/10))^4-B213^4)/4,0)+IF(C213&gt;($B$4*8/10),($B$4*8/10)^2*(1.5*(C213^2-MAX(B213,($B$4*8/10))^2)-($B$4*8/10)*(C213-MAX(B213,($B$4*8/10)))),0))*1000,0)</f>
        <v>0</v>
      </c>
      <c r="AJ213" s="120">
        <f>IF(AND(J213="OK",ISNUMBER($B$5),$B$5&gt;0,ISNUMBER($B$3),$B$3&gt;0),F213/(6*$B$3*1000000*$B$5)*(IF(B213&lt;($B$4*9/10),($B$4*9/10)*(MIN(C213,($B$4*9/10))^3-B213^3)-(MIN(C213,($B$4*9/10))^4-B213^4)/4,0)+IF(C213&gt;($B$4*9/10),($B$4*9/10)^2*(1.5*(C213^2-MAX(B213,($B$4*9/10))^2)-($B$4*9/10)*(C213-MAX(B213,($B$4*9/10)))),0))*1000,0)</f>
        <v>0</v>
      </c>
      <c r="AK213" s="120">
        <f>IF(AND(J213="OK",ISNUMBER($B$5),$B$5&gt;0,ISNUMBER($B$3),$B$3&gt;0),F213/(6*$B$3*1000000*$B$5)*(IF(B213&lt;($B$4*10/10),($B$4*10/10)*(MIN(C213,($B$4*10/10))^3-B213^3)-(MIN(C213,($B$4*10/10))^4-B213^4)/4,0)+IF(C213&gt;($B$4*10/10),($B$4*10/10)^2*(1.5*(C213^2-MAX(B213,($B$4*10/10))^2)-($B$4*10/10)*(C213-MAX(B213,($B$4*10/10)))),0))*1000,0)</f>
        <v>0</v>
      </c>
      <c r="AM213" s="120">
        <f>IF(AND(V213="OK",ISNUMBER($N$5),$N$5&gt;0,ISNUMBER($N$3),$N$3&gt;0),R213/(6*$N$3*1000000*$N$5)*(IF(N213&lt;($N$4*0/10),($N$4*0/10)*(MIN(O213,($N$4*0/10))^3-N213^3)-(MIN(O213,($N$4*0/10))^4-N213^4)/4,0)+IF(O213&gt;($N$4*0/10),($N$4*0/10)^2*(1.5*(O213^2-MAX(N213,($N$4*0/10))^2)-($N$4*0/10)*(O213-MAX(N213,($N$4*0/10)))),0))*1000,0)</f>
        <v>0</v>
      </c>
      <c r="AN213" s="120">
        <f>IF(AND(V213="OK",ISNUMBER($N$5),$N$5&gt;0,ISNUMBER($N$3),$N$3&gt;0),R213/(6*$N$3*1000000*$N$5)*(IF(N213&lt;($N$4*1/10),($N$4*1/10)*(MIN(O213,($N$4*1/10))^3-N213^3)-(MIN(O213,($N$4*1/10))^4-N213^4)/4,0)+IF(O213&gt;($N$4*1/10),($N$4*1/10)^2*(1.5*(O213^2-MAX(N213,($N$4*1/10))^2)-($N$4*1/10)*(O213-MAX(N213,($N$4*1/10)))),0))*1000,0)</f>
        <v>0</v>
      </c>
      <c r="AO213" s="120">
        <f>IF(AND(V213="OK",ISNUMBER($N$5),$N$5&gt;0,ISNUMBER($N$3),$N$3&gt;0),R213/(6*$N$3*1000000*$N$5)*(IF(N213&lt;($N$4*2/10),($N$4*2/10)*(MIN(O213,($N$4*2/10))^3-N213^3)-(MIN(O213,($N$4*2/10))^4-N213^4)/4,0)+IF(O213&gt;($N$4*2/10),($N$4*2/10)^2*(1.5*(O213^2-MAX(N213,($N$4*2/10))^2)-($N$4*2/10)*(O213-MAX(N213,($N$4*2/10)))),0))*1000,0)</f>
        <v>0</v>
      </c>
      <c r="AP213" s="120">
        <f>IF(AND(V213="OK",ISNUMBER($N$5),$N$5&gt;0,ISNUMBER($N$3),$N$3&gt;0),R213/(6*$N$3*1000000*$N$5)*(IF(N213&lt;($N$4*3/10),($N$4*3/10)*(MIN(O213,($N$4*3/10))^3-N213^3)-(MIN(O213,($N$4*3/10))^4-N213^4)/4,0)+IF(O213&gt;($N$4*3/10),($N$4*3/10)^2*(1.5*(O213^2-MAX(N213,($N$4*3/10))^2)-($N$4*3/10)*(O213-MAX(N213,($N$4*3/10)))),0))*1000,0)</f>
        <v>0</v>
      </c>
      <c r="AQ213" s="120">
        <f>IF(AND(V213="OK",ISNUMBER($N$5),$N$5&gt;0,ISNUMBER($N$3),$N$3&gt;0),R213/(6*$N$3*1000000*$N$5)*(IF(N213&lt;($N$4*4/10),($N$4*4/10)*(MIN(O213,($N$4*4/10))^3-N213^3)-(MIN(O213,($N$4*4/10))^4-N213^4)/4,0)+IF(O213&gt;($N$4*4/10),($N$4*4/10)^2*(1.5*(O213^2-MAX(N213,($N$4*4/10))^2)-($N$4*4/10)*(O213-MAX(N213,($N$4*4/10)))),0))*1000,0)</f>
        <v>0</v>
      </c>
      <c r="AR213" s="120">
        <f>IF(AND(V213="OK",ISNUMBER($N$5),$N$5&gt;0,ISNUMBER($N$3),$N$3&gt;0),R213/(6*$N$3*1000000*$N$5)*(IF(N213&lt;($N$4*5/10),($N$4*5/10)*(MIN(O213,($N$4*5/10))^3-N213^3)-(MIN(O213,($N$4*5/10))^4-N213^4)/4,0)+IF(O213&gt;($N$4*5/10),($N$4*5/10)^2*(1.5*(O213^2-MAX(N213,($N$4*5/10))^2)-($N$4*5/10)*(O213-MAX(N213,($N$4*5/10)))),0))*1000,0)</f>
        <v>0</v>
      </c>
      <c r="AS213" s="120">
        <f>IF(AND(V213="OK",ISNUMBER($N$5),$N$5&gt;0,ISNUMBER($N$3),$N$3&gt;0),R213/(6*$N$3*1000000*$N$5)*(IF(N213&lt;($N$4*6/10),($N$4*6/10)*(MIN(O213,($N$4*6/10))^3-N213^3)-(MIN(O213,($N$4*6/10))^4-N213^4)/4,0)+IF(O213&gt;($N$4*6/10),($N$4*6/10)^2*(1.5*(O213^2-MAX(N213,($N$4*6/10))^2)-($N$4*6/10)*(O213-MAX(N213,($N$4*6/10)))),0))*1000,0)</f>
        <v>0</v>
      </c>
      <c r="AT213" s="120">
        <f>IF(AND(V213="OK",ISNUMBER($N$5),$N$5&gt;0,ISNUMBER($N$3),$N$3&gt;0),R213/(6*$N$3*1000000*$N$5)*(IF(N213&lt;($N$4*7/10),($N$4*7/10)*(MIN(O213,($N$4*7/10))^3-N213^3)-(MIN(O213,($N$4*7/10))^4-N213^4)/4,0)+IF(O213&gt;($N$4*7/10),($N$4*7/10)^2*(1.5*(O213^2-MAX(N213,($N$4*7/10))^2)-($N$4*7/10)*(O213-MAX(N213,($N$4*7/10)))),0))*1000,0)</f>
        <v>0</v>
      </c>
      <c r="AU213" s="120">
        <f>IF(AND(V213="OK",ISNUMBER($N$5),$N$5&gt;0,ISNUMBER($N$3),$N$3&gt;0),R213/(6*$N$3*1000000*$N$5)*(IF(N213&lt;($N$4*8/10),($N$4*8/10)*(MIN(O213,($N$4*8/10))^3-N213^3)-(MIN(O213,($N$4*8/10))^4-N213^4)/4,0)+IF(O213&gt;($N$4*8/10),($N$4*8/10)^2*(1.5*(O213^2-MAX(N213,($N$4*8/10))^2)-($N$4*8/10)*(O213-MAX(N213,($N$4*8/10)))),0))*1000,0)</f>
        <v>0</v>
      </c>
      <c r="AV213" s="120">
        <f>IF(AND(V213="OK",ISNUMBER($N$5),$N$5&gt;0,ISNUMBER($N$3),$N$3&gt;0),R213/(6*$N$3*1000000*$N$5)*(IF(N213&lt;($N$4*9/10),($N$4*9/10)*(MIN(O213,($N$4*9/10))^3-N213^3)-(MIN(O213,($N$4*9/10))^4-N213^4)/4,0)+IF(O213&gt;($N$4*9/10),($N$4*9/10)^2*(1.5*(O213^2-MAX(N213,($N$4*9/10))^2)-($N$4*9/10)*(O213-MAX(N213,($N$4*9/10)))),0))*1000,0)</f>
        <v>0</v>
      </c>
      <c r="AW213" s="120">
        <f>IF(AND(V213="OK",ISNUMBER($N$5),$N$5&gt;0,ISNUMBER($N$3),$N$3&gt;0),R213/(6*$N$3*1000000*$N$5)*(IF(N213&lt;($N$4*10/10),($N$4*10/10)*(MIN(O213,($N$4*10/10))^3-N213^3)-(MIN(O213,($N$4*10/10))^4-N213^4)/4,0)+IF(O213&gt;($N$4*10/10),($N$4*10/10)^2*(1.5*(O213^2-MAX(N213,($N$4*10/10))^2)-($N$4*10/10)*(O213-MAX(N213,($N$4*10/10)))),0))*1000,0)</f>
        <v>0</v>
      </c>
    </row>
    <row r="214" spans="1:49">
      <c r="A214" s="124"/>
      <c r="B214" s="125"/>
      <c r="C214" s="125"/>
      <c r="D214" s="125"/>
      <c r="E214" s="125"/>
      <c r="F214" s="126" t="str">
        <f>IF(J214="OK",D214*E214,"")</f>
        <v/>
      </c>
      <c r="G214" s="126" t="str">
        <f>IF(J214="OK",F214*(C214-B214),"")</f>
        <v/>
      </c>
      <c r="H214" s="126" t="str">
        <f>IF(J214="OK",G214*(C214+B214)/2,"")</f>
        <v/>
      </c>
      <c r="I214" s="126" t="str">
        <f>IF(AND(J214="OK",ISNUMBER($B$5),$B$5&gt;0,ISNUMBER($B$3),$B$3&gt;0),F214*(4*$B$4*(C214^3-B214^3)-(C214^4-B214^4))/(24*$B$3*1000000*$B$5)*1000,"")</f>
        <v/>
      </c>
      <c r="J214" s="120" t="str">
        <f>IF(COUNTA(A214:E214)=0,"",IF(AND(COUNT(B214:E214)=4,B214&gt;=0,C214&gt;B214,C214&lt;=$B$4,D214&gt;=0,E214&gt;0),IF(COUNTIFS($B$13:$B$213,"&lt;"&amp;C214,$C$13:$C$213,"&gt;"&amp;B214)&gt;0,"OVERLAP","OK"),"CHECK INPUTS"))</f>
        <v/>
      </c>
      <c r="M214" s="124"/>
      <c r="N214" s="125"/>
      <c r="O214" s="125"/>
      <c r="P214" s="125"/>
      <c r="Q214" s="125"/>
      <c r="R214" s="126" t="str">
        <f>IF(V214="OK",P214*Q214,"")</f>
        <v/>
      </c>
      <c r="S214" s="126" t="str">
        <f>IF(V214="OK",R214*(O214-N214),"")</f>
        <v/>
      </c>
      <c r="T214" s="126" t="str">
        <f>IF(V214="OK",S214*(O214+N214)/2,"")</f>
        <v/>
      </c>
      <c r="U214" s="126" t="str">
        <f>IF(AND(V214="OK",ISNUMBER($N$5),$N$5&gt;0,ISNUMBER($N$3),$N$3&gt;0),R214*(4*$N$4*(O214^3-N214^3)-(O214^4-N214^4))/(24*$N$3*1000000*$N$5)*1000,"")</f>
        <v/>
      </c>
      <c r="V214" s="120" t="str">
        <f>IF(COUNTA(M214:Q214)=0,"",IF(AND(COUNT(N214:Q214)=4,N214&gt;=0,O214&gt;N214,O214&lt;=$N$4,P214&gt;=0,Q214&gt;0),IF(COUNTIFS($N$13:$N$213,"&lt;"&amp;O214,$O$13:$O$213,"&gt;"&amp;N214)&gt;0,"OVERLAP","OK"),"CHECK INPUTS"))</f>
        <v/>
      </c>
      <c r="AA214" s="120">
        <f>IF(AND(J214="OK",ISNUMBER($B$5),$B$5&gt;0,ISNUMBER($B$3),$B$3&gt;0),F214/(6*$B$3*1000000*$B$5)*(IF(B214&lt;($B$4*0/10),($B$4*0/10)*(MIN(C214,($B$4*0/10))^3-B214^3)-(MIN(C214,($B$4*0/10))^4-B214^4)/4,0)+IF(C214&gt;($B$4*0/10),($B$4*0/10)^2*(1.5*(C214^2-MAX(B214,($B$4*0/10))^2)-($B$4*0/10)*(C214-MAX(B214,($B$4*0/10)))),0))*1000,0)</f>
        <v>0</v>
      </c>
      <c r="AB214" s="120">
        <f>IF(AND(J214="OK",ISNUMBER($B$5),$B$5&gt;0,ISNUMBER($B$3),$B$3&gt;0),F214/(6*$B$3*1000000*$B$5)*(IF(B214&lt;($B$4*1/10),($B$4*1/10)*(MIN(C214,($B$4*1/10))^3-B214^3)-(MIN(C214,($B$4*1/10))^4-B214^4)/4,0)+IF(C214&gt;($B$4*1/10),($B$4*1/10)^2*(1.5*(C214^2-MAX(B214,($B$4*1/10))^2)-($B$4*1/10)*(C214-MAX(B214,($B$4*1/10)))),0))*1000,0)</f>
        <v>0</v>
      </c>
      <c r="AC214" s="120">
        <f>IF(AND(J214="OK",ISNUMBER($B$5),$B$5&gt;0,ISNUMBER($B$3),$B$3&gt;0),F214/(6*$B$3*1000000*$B$5)*(IF(B214&lt;($B$4*2/10),($B$4*2/10)*(MIN(C214,($B$4*2/10))^3-B214^3)-(MIN(C214,($B$4*2/10))^4-B214^4)/4,0)+IF(C214&gt;($B$4*2/10),($B$4*2/10)^2*(1.5*(C214^2-MAX(B214,($B$4*2/10))^2)-($B$4*2/10)*(C214-MAX(B214,($B$4*2/10)))),0))*1000,0)</f>
        <v>0</v>
      </c>
      <c r="AD214" s="120">
        <f>IF(AND(J214="OK",ISNUMBER($B$5),$B$5&gt;0,ISNUMBER($B$3),$B$3&gt;0),F214/(6*$B$3*1000000*$B$5)*(IF(B214&lt;($B$4*3/10),($B$4*3/10)*(MIN(C214,($B$4*3/10))^3-B214^3)-(MIN(C214,($B$4*3/10))^4-B214^4)/4,0)+IF(C214&gt;($B$4*3/10),($B$4*3/10)^2*(1.5*(C214^2-MAX(B214,($B$4*3/10))^2)-($B$4*3/10)*(C214-MAX(B214,($B$4*3/10)))),0))*1000,0)</f>
        <v>0</v>
      </c>
      <c r="AE214" s="120">
        <f>IF(AND(J214="OK",ISNUMBER($B$5),$B$5&gt;0,ISNUMBER($B$3),$B$3&gt;0),F214/(6*$B$3*1000000*$B$5)*(IF(B214&lt;($B$4*4/10),($B$4*4/10)*(MIN(C214,($B$4*4/10))^3-B214^3)-(MIN(C214,($B$4*4/10))^4-B214^4)/4,0)+IF(C214&gt;($B$4*4/10),($B$4*4/10)^2*(1.5*(C214^2-MAX(B214,($B$4*4/10))^2)-($B$4*4/10)*(C214-MAX(B214,($B$4*4/10)))),0))*1000,0)</f>
        <v>0</v>
      </c>
      <c r="AF214" s="120">
        <f>IF(AND(J214="OK",ISNUMBER($B$5),$B$5&gt;0,ISNUMBER($B$3),$B$3&gt;0),F214/(6*$B$3*1000000*$B$5)*(IF(B214&lt;($B$4*5/10),($B$4*5/10)*(MIN(C214,($B$4*5/10))^3-B214^3)-(MIN(C214,($B$4*5/10))^4-B214^4)/4,0)+IF(C214&gt;($B$4*5/10),($B$4*5/10)^2*(1.5*(C214^2-MAX(B214,($B$4*5/10))^2)-($B$4*5/10)*(C214-MAX(B214,($B$4*5/10)))),0))*1000,0)</f>
        <v>0</v>
      </c>
      <c r="AG214" s="120">
        <f>IF(AND(J214="OK",ISNUMBER($B$5),$B$5&gt;0,ISNUMBER($B$3),$B$3&gt;0),F214/(6*$B$3*1000000*$B$5)*(IF(B214&lt;($B$4*6/10),($B$4*6/10)*(MIN(C214,($B$4*6/10))^3-B214^3)-(MIN(C214,($B$4*6/10))^4-B214^4)/4,0)+IF(C214&gt;($B$4*6/10),($B$4*6/10)^2*(1.5*(C214^2-MAX(B214,($B$4*6/10))^2)-($B$4*6/10)*(C214-MAX(B214,($B$4*6/10)))),0))*1000,0)</f>
        <v>0</v>
      </c>
      <c r="AH214" s="120">
        <f>IF(AND(J214="OK",ISNUMBER($B$5),$B$5&gt;0,ISNUMBER($B$3),$B$3&gt;0),F214/(6*$B$3*1000000*$B$5)*(IF(B214&lt;($B$4*7/10),($B$4*7/10)*(MIN(C214,($B$4*7/10))^3-B214^3)-(MIN(C214,($B$4*7/10))^4-B214^4)/4,0)+IF(C214&gt;($B$4*7/10),($B$4*7/10)^2*(1.5*(C214^2-MAX(B214,($B$4*7/10))^2)-($B$4*7/10)*(C214-MAX(B214,($B$4*7/10)))),0))*1000,0)</f>
        <v>0</v>
      </c>
      <c r="AI214" s="120">
        <f>IF(AND(J214="OK",ISNUMBER($B$5),$B$5&gt;0,ISNUMBER($B$3),$B$3&gt;0),F214/(6*$B$3*1000000*$B$5)*(IF(B214&lt;($B$4*8/10),($B$4*8/10)*(MIN(C214,($B$4*8/10))^3-B214^3)-(MIN(C214,($B$4*8/10))^4-B214^4)/4,0)+IF(C214&gt;($B$4*8/10),($B$4*8/10)^2*(1.5*(C214^2-MAX(B214,($B$4*8/10))^2)-($B$4*8/10)*(C214-MAX(B214,($B$4*8/10)))),0))*1000,0)</f>
        <v>0</v>
      </c>
      <c r="AJ214" s="120">
        <f>IF(AND(J214="OK",ISNUMBER($B$5),$B$5&gt;0,ISNUMBER($B$3),$B$3&gt;0),F214/(6*$B$3*1000000*$B$5)*(IF(B214&lt;($B$4*9/10),($B$4*9/10)*(MIN(C214,($B$4*9/10))^3-B214^3)-(MIN(C214,($B$4*9/10))^4-B214^4)/4,0)+IF(C214&gt;($B$4*9/10),($B$4*9/10)^2*(1.5*(C214^2-MAX(B214,($B$4*9/10))^2)-($B$4*9/10)*(C214-MAX(B214,($B$4*9/10)))),0))*1000,0)</f>
        <v>0</v>
      </c>
      <c r="AK214" s="120">
        <f>IF(AND(J214="OK",ISNUMBER($B$5),$B$5&gt;0,ISNUMBER($B$3),$B$3&gt;0),F214/(6*$B$3*1000000*$B$5)*(IF(B214&lt;($B$4*10/10),($B$4*10/10)*(MIN(C214,($B$4*10/10))^3-B214^3)-(MIN(C214,($B$4*10/10))^4-B214^4)/4,0)+IF(C214&gt;($B$4*10/10),($B$4*10/10)^2*(1.5*(C214^2-MAX(B214,($B$4*10/10))^2)-($B$4*10/10)*(C214-MAX(B214,($B$4*10/10)))),0))*1000,0)</f>
        <v>0</v>
      </c>
      <c r="AM214" s="120">
        <f>IF(AND(V214="OK",ISNUMBER($N$5),$N$5&gt;0,ISNUMBER($N$3),$N$3&gt;0),R214/(6*$N$3*1000000*$N$5)*(IF(N214&lt;($N$4*0/10),($N$4*0/10)*(MIN(O214,($N$4*0/10))^3-N214^3)-(MIN(O214,($N$4*0/10))^4-N214^4)/4,0)+IF(O214&gt;($N$4*0/10),($N$4*0/10)^2*(1.5*(O214^2-MAX(N214,($N$4*0/10))^2)-($N$4*0/10)*(O214-MAX(N214,($N$4*0/10)))),0))*1000,0)</f>
        <v>0</v>
      </c>
      <c r="AN214" s="120">
        <f>IF(AND(V214="OK",ISNUMBER($N$5),$N$5&gt;0,ISNUMBER($N$3),$N$3&gt;0),R214/(6*$N$3*1000000*$N$5)*(IF(N214&lt;($N$4*1/10),($N$4*1/10)*(MIN(O214,($N$4*1/10))^3-N214^3)-(MIN(O214,($N$4*1/10))^4-N214^4)/4,0)+IF(O214&gt;($N$4*1/10),($N$4*1/10)^2*(1.5*(O214^2-MAX(N214,($N$4*1/10))^2)-($N$4*1/10)*(O214-MAX(N214,($N$4*1/10)))),0))*1000,0)</f>
        <v>0</v>
      </c>
      <c r="AO214" s="120">
        <f>IF(AND(V214="OK",ISNUMBER($N$5),$N$5&gt;0,ISNUMBER($N$3),$N$3&gt;0),R214/(6*$N$3*1000000*$N$5)*(IF(N214&lt;($N$4*2/10),($N$4*2/10)*(MIN(O214,($N$4*2/10))^3-N214^3)-(MIN(O214,($N$4*2/10))^4-N214^4)/4,0)+IF(O214&gt;($N$4*2/10),($N$4*2/10)^2*(1.5*(O214^2-MAX(N214,($N$4*2/10))^2)-($N$4*2/10)*(O214-MAX(N214,($N$4*2/10)))),0))*1000,0)</f>
        <v>0</v>
      </c>
      <c r="AP214" s="120">
        <f>IF(AND(V214="OK",ISNUMBER($N$5),$N$5&gt;0,ISNUMBER($N$3),$N$3&gt;0),R214/(6*$N$3*1000000*$N$5)*(IF(N214&lt;($N$4*3/10),($N$4*3/10)*(MIN(O214,($N$4*3/10))^3-N214^3)-(MIN(O214,($N$4*3/10))^4-N214^4)/4,0)+IF(O214&gt;($N$4*3/10),($N$4*3/10)^2*(1.5*(O214^2-MAX(N214,($N$4*3/10))^2)-($N$4*3/10)*(O214-MAX(N214,($N$4*3/10)))),0))*1000,0)</f>
        <v>0</v>
      </c>
      <c r="AQ214" s="120">
        <f>IF(AND(V214="OK",ISNUMBER($N$5),$N$5&gt;0,ISNUMBER($N$3),$N$3&gt;0),R214/(6*$N$3*1000000*$N$5)*(IF(N214&lt;($N$4*4/10),($N$4*4/10)*(MIN(O214,($N$4*4/10))^3-N214^3)-(MIN(O214,($N$4*4/10))^4-N214^4)/4,0)+IF(O214&gt;($N$4*4/10),($N$4*4/10)^2*(1.5*(O214^2-MAX(N214,($N$4*4/10))^2)-($N$4*4/10)*(O214-MAX(N214,($N$4*4/10)))),0))*1000,0)</f>
        <v>0</v>
      </c>
      <c r="AR214" s="120">
        <f>IF(AND(V214="OK",ISNUMBER($N$5),$N$5&gt;0,ISNUMBER($N$3),$N$3&gt;0),R214/(6*$N$3*1000000*$N$5)*(IF(N214&lt;($N$4*5/10),($N$4*5/10)*(MIN(O214,($N$4*5/10))^3-N214^3)-(MIN(O214,($N$4*5/10))^4-N214^4)/4,0)+IF(O214&gt;($N$4*5/10),($N$4*5/10)^2*(1.5*(O214^2-MAX(N214,($N$4*5/10))^2)-($N$4*5/10)*(O214-MAX(N214,($N$4*5/10)))),0))*1000,0)</f>
        <v>0</v>
      </c>
      <c r="AS214" s="120">
        <f>IF(AND(V214="OK",ISNUMBER($N$5),$N$5&gt;0,ISNUMBER($N$3),$N$3&gt;0),R214/(6*$N$3*1000000*$N$5)*(IF(N214&lt;($N$4*6/10),($N$4*6/10)*(MIN(O214,($N$4*6/10))^3-N214^3)-(MIN(O214,($N$4*6/10))^4-N214^4)/4,0)+IF(O214&gt;($N$4*6/10),($N$4*6/10)^2*(1.5*(O214^2-MAX(N214,($N$4*6/10))^2)-($N$4*6/10)*(O214-MAX(N214,($N$4*6/10)))),0))*1000,0)</f>
        <v>0</v>
      </c>
      <c r="AT214" s="120">
        <f>IF(AND(V214="OK",ISNUMBER($N$5),$N$5&gt;0,ISNUMBER($N$3),$N$3&gt;0),R214/(6*$N$3*1000000*$N$5)*(IF(N214&lt;($N$4*7/10),($N$4*7/10)*(MIN(O214,($N$4*7/10))^3-N214^3)-(MIN(O214,($N$4*7/10))^4-N214^4)/4,0)+IF(O214&gt;($N$4*7/10),($N$4*7/10)^2*(1.5*(O214^2-MAX(N214,($N$4*7/10))^2)-($N$4*7/10)*(O214-MAX(N214,($N$4*7/10)))),0))*1000,0)</f>
        <v>0</v>
      </c>
      <c r="AU214" s="120">
        <f>IF(AND(V214="OK",ISNUMBER($N$5),$N$5&gt;0,ISNUMBER($N$3),$N$3&gt;0),R214/(6*$N$3*1000000*$N$5)*(IF(N214&lt;($N$4*8/10),($N$4*8/10)*(MIN(O214,($N$4*8/10))^3-N214^3)-(MIN(O214,($N$4*8/10))^4-N214^4)/4,0)+IF(O214&gt;($N$4*8/10),($N$4*8/10)^2*(1.5*(O214^2-MAX(N214,($N$4*8/10))^2)-($N$4*8/10)*(O214-MAX(N214,($N$4*8/10)))),0))*1000,0)</f>
        <v>0</v>
      </c>
      <c r="AV214" s="120">
        <f>IF(AND(V214="OK",ISNUMBER($N$5),$N$5&gt;0,ISNUMBER($N$3),$N$3&gt;0),R214/(6*$N$3*1000000*$N$5)*(IF(N214&lt;($N$4*9/10),($N$4*9/10)*(MIN(O214,($N$4*9/10))^3-N214^3)-(MIN(O214,($N$4*9/10))^4-N214^4)/4,0)+IF(O214&gt;($N$4*9/10),($N$4*9/10)^2*(1.5*(O214^2-MAX(N214,($N$4*9/10))^2)-($N$4*9/10)*(O214-MAX(N214,($N$4*9/10)))),0))*1000,0)</f>
        <v>0</v>
      </c>
      <c r="AW214" s="120">
        <f>IF(AND(V214="OK",ISNUMBER($N$5),$N$5&gt;0,ISNUMBER($N$3),$N$3&gt;0),R214/(6*$N$3*1000000*$N$5)*(IF(N214&lt;($N$4*10/10),($N$4*10/10)*(MIN(O214,($N$4*10/10))^3-N214^3)-(MIN(O214,($N$4*10/10))^4-N214^4)/4,0)+IF(O214&gt;($N$4*10/10),($N$4*10/10)^2*(1.5*(O214^2-MAX(N214,($N$4*10/10))^2)-($N$4*10/10)*(O214-MAX(N214,($N$4*10/10)))),0))*1000,0)</f>
        <v>0</v>
      </c>
    </row>
    <row r="215" spans="1:49">
      <c r="A215" s="124"/>
      <c r="B215" s="125"/>
      <c r="C215" s="125"/>
      <c r="D215" s="125"/>
      <c r="E215" s="125"/>
      <c r="F215" s="126" t="str">
        <f>IF(J215="OK",D215*E215,"")</f>
        <v/>
      </c>
      <c r="G215" s="126" t="str">
        <f>IF(J215="OK",F215*(C215-B215),"")</f>
        <v/>
      </c>
      <c r="H215" s="126" t="str">
        <f>IF(J215="OK",G215*(C215+B215)/2,"")</f>
        <v/>
      </c>
      <c r="I215" s="126" t="str">
        <f>IF(AND(J215="OK",ISNUMBER($B$5),$B$5&gt;0,ISNUMBER($B$3),$B$3&gt;0),F215*(4*$B$4*(C215^3-B215^3)-(C215^4-B215^4))/(24*$B$3*1000000*$B$5)*1000,"")</f>
        <v/>
      </c>
      <c r="J215" s="120" t="str">
        <f>IF(COUNTA(A215:E215)=0,"",IF(AND(COUNT(B215:E215)=4,B215&gt;=0,C215&gt;B215,C215&lt;=$B$4,D215&gt;=0,E215&gt;0),IF(COUNTIFS($B$13:$B$214,"&lt;"&amp;C215,$C$13:$C$214,"&gt;"&amp;B215)&gt;0,"OVERLAP","OK"),"CHECK INPUTS"))</f>
        <v/>
      </c>
      <c r="M215" s="124"/>
      <c r="N215" s="125"/>
      <c r="O215" s="125"/>
      <c r="P215" s="125"/>
      <c r="Q215" s="125"/>
      <c r="R215" s="126" t="str">
        <f>IF(V215="OK",P215*Q215,"")</f>
        <v/>
      </c>
      <c r="S215" s="126" t="str">
        <f>IF(V215="OK",R215*(O215-N215),"")</f>
        <v/>
      </c>
      <c r="T215" s="126" t="str">
        <f>IF(V215="OK",S215*(O215+N215)/2,"")</f>
        <v/>
      </c>
      <c r="U215" s="126" t="str">
        <f>IF(AND(V215="OK",ISNUMBER($N$5),$N$5&gt;0,ISNUMBER($N$3),$N$3&gt;0),R215*(4*$N$4*(O215^3-N215^3)-(O215^4-N215^4))/(24*$N$3*1000000*$N$5)*1000,"")</f>
        <v/>
      </c>
      <c r="V215" s="120" t="str">
        <f>IF(COUNTA(M215:Q215)=0,"",IF(AND(COUNT(N215:Q215)=4,N215&gt;=0,O215&gt;N215,O215&lt;=$N$4,P215&gt;=0,Q215&gt;0),IF(COUNTIFS($N$13:$N$214,"&lt;"&amp;O215,$O$13:$O$214,"&gt;"&amp;N215)&gt;0,"OVERLAP","OK"),"CHECK INPUTS"))</f>
        <v/>
      </c>
      <c r="AA215" s="120">
        <f>IF(AND(J215="OK",ISNUMBER($B$5),$B$5&gt;0,ISNUMBER($B$3),$B$3&gt;0),F215/(6*$B$3*1000000*$B$5)*(IF(B215&lt;($B$4*0/10),($B$4*0/10)*(MIN(C215,($B$4*0/10))^3-B215^3)-(MIN(C215,($B$4*0/10))^4-B215^4)/4,0)+IF(C215&gt;($B$4*0/10),($B$4*0/10)^2*(1.5*(C215^2-MAX(B215,($B$4*0/10))^2)-($B$4*0/10)*(C215-MAX(B215,($B$4*0/10)))),0))*1000,0)</f>
        <v>0</v>
      </c>
      <c r="AB215" s="120">
        <f>IF(AND(J215="OK",ISNUMBER($B$5),$B$5&gt;0,ISNUMBER($B$3),$B$3&gt;0),F215/(6*$B$3*1000000*$B$5)*(IF(B215&lt;($B$4*1/10),($B$4*1/10)*(MIN(C215,($B$4*1/10))^3-B215^3)-(MIN(C215,($B$4*1/10))^4-B215^4)/4,0)+IF(C215&gt;($B$4*1/10),($B$4*1/10)^2*(1.5*(C215^2-MAX(B215,($B$4*1/10))^2)-($B$4*1/10)*(C215-MAX(B215,($B$4*1/10)))),0))*1000,0)</f>
        <v>0</v>
      </c>
      <c r="AC215" s="120">
        <f>IF(AND(J215="OK",ISNUMBER($B$5),$B$5&gt;0,ISNUMBER($B$3),$B$3&gt;0),F215/(6*$B$3*1000000*$B$5)*(IF(B215&lt;($B$4*2/10),($B$4*2/10)*(MIN(C215,($B$4*2/10))^3-B215^3)-(MIN(C215,($B$4*2/10))^4-B215^4)/4,0)+IF(C215&gt;($B$4*2/10),($B$4*2/10)^2*(1.5*(C215^2-MAX(B215,($B$4*2/10))^2)-($B$4*2/10)*(C215-MAX(B215,($B$4*2/10)))),0))*1000,0)</f>
        <v>0</v>
      </c>
      <c r="AD215" s="120">
        <f>IF(AND(J215="OK",ISNUMBER($B$5),$B$5&gt;0,ISNUMBER($B$3),$B$3&gt;0),F215/(6*$B$3*1000000*$B$5)*(IF(B215&lt;($B$4*3/10),($B$4*3/10)*(MIN(C215,($B$4*3/10))^3-B215^3)-(MIN(C215,($B$4*3/10))^4-B215^4)/4,0)+IF(C215&gt;($B$4*3/10),($B$4*3/10)^2*(1.5*(C215^2-MAX(B215,($B$4*3/10))^2)-($B$4*3/10)*(C215-MAX(B215,($B$4*3/10)))),0))*1000,0)</f>
        <v>0</v>
      </c>
      <c r="AE215" s="120">
        <f>IF(AND(J215="OK",ISNUMBER($B$5),$B$5&gt;0,ISNUMBER($B$3),$B$3&gt;0),F215/(6*$B$3*1000000*$B$5)*(IF(B215&lt;($B$4*4/10),($B$4*4/10)*(MIN(C215,($B$4*4/10))^3-B215^3)-(MIN(C215,($B$4*4/10))^4-B215^4)/4,0)+IF(C215&gt;($B$4*4/10),($B$4*4/10)^2*(1.5*(C215^2-MAX(B215,($B$4*4/10))^2)-($B$4*4/10)*(C215-MAX(B215,($B$4*4/10)))),0))*1000,0)</f>
        <v>0</v>
      </c>
      <c r="AF215" s="120">
        <f>IF(AND(J215="OK",ISNUMBER($B$5),$B$5&gt;0,ISNUMBER($B$3),$B$3&gt;0),F215/(6*$B$3*1000000*$B$5)*(IF(B215&lt;($B$4*5/10),($B$4*5/10)*(MIN(C215,($B$4*5/10))^3-B215^3)-(MIN(C215,($B$4*5/10))^4-B215^4)/4,0)+IF(C215&gt;($B$4*5/10),($B$4*5/10)^2*(1.5*(C215^2-MAX(B215,($B$4*5/10))^2)-($B$4*5/10)*(C215-MAX(B215,($B$4*5/10)))),0))*1000,0)</f>
        <v>0</v>
      </c>
      <c r="AG215" s="120">
        <f>IF(AND(J215="OK",ISNUMBER($B$5),$B$5&gt;0,ISNUMBER($B$3),$B$3&gt;0),F215/(6*$B$3*1000000*$B$5)*(IF(B215&lt;($B$4*6/10),($B$4*6/10)*(MIN(C215,($B$4*6/10))^3-B215^3)-(MIN(C215,($B$4*6/10))^4-B215^4)/4,0)+IF(C215&gt;($B$4*6/10),($B$4*6/10)^2*(1.5*(C215^2-MAX(B215,($B$4*6/10))^2)-($B$4*6/10)*(C215-MAX(B215,($B$4*6/10)))),0))*1000,0)</f>
        <v>0</v>
      </c>
      <c r="AH215" s="120">
        <f>IF(AND(J215="OK",ISNUMBER($B$5),$B$5&gt;0,ISNUMBER($B$3),$B$3&gt;0),F215/(6*$B$3*1000000*$B$5)*(IF(B215&lt;($B$4*7/10),($B$4*7/10)*(MIN(C215,($B$4*7/10))^3-B215^3)-(MIN(C215,($B$4*7/10))^4-B215^4)/4,0)+IF(C215&gt;($B$4*7/10),($B$4*7/10)^2*(1.5*(C215^2-MAX(B215,($B$4*7/10))^2)-($B$4*7/10)*(C215-MAX(B215,($B$4*7/10)))),0))*1000,0)</f>
        <v>0</v>
      </c>
      <c r="AI215" s="120">
        <f>IF(AND(J215="OK",ISNUMBER($B$5),$B$5&gt;0,ISNUMBER($B$3),$B$3&gt;0),F215/(6*$B$3*1000000*$B$5)*(IF(B215&lt;($B$4*8/10),($B$4*8/10)*(MIN(C215,($B$4*8/10))^3-B215^3)-(MIN(C215,($B$4*8/10))^4-B215^4)/4,0)+IF(C215&gt;($B$4*8/10),($B$4*8/10)^2*(1.5*(C215^2-MAX(B215,($B$4*8/10))^2)-($B$4*8/10)*(C215-MAX(B215,($B$4*8/10)))),0))*1000,0)</f>
        <v>0</v>
      </c>
      <c r="AJ215" s="120">
        <f>IF(AND(J215="OK",ISNUMBER($B$5),$B$5&gt;0,ISNUMBER($B$3),$B$3&gt;0),F215/(6*$B$3*1000000*$B$5)*(IF(B215&lt;($B$4*9/10),($B$4*9/10)*(MIN(C215,($B$4*9/10))^3-B215^3)-(MIN(C215,($B$4*9/10))^4-B215^4)/4,0)+IF(C215&gt;($B$4*9/10),($B$4*9/10)^2*(1.5*(C215^2-MAX(B215,($B$4*9/10))^2)-($B$4*9/10)*(C215-MAX(B215,($B$4*9/10)))),0))*1000,0)</f>
        <v>0</v>
      </c>
      <c r="AK215" s="120">
        <f>IF(AND(J215="OK",ISNUMBER($B$5),$B$5&gt;0,ISNUMBER($B$3),$B$3&gt;0),F215/(6*$B$3*1000000*$B$5)*(IF(B215&lt;($B$4*10/10),($B$4*10/10)*(MIN(C215,($B$4*10/10))^3-B215^3)-(MIN(C215,($B$4*10/10))^4-B215^4)/4,0)+IF(C215&gt;($B$4*10/10),($B$4*10/10)^2*(1.5*(C215^2-MAX(B215,($B$4*10/10))^2)-($B$4*10/10)*(C215-MAX(B215,($B$4*10/10)))),0))*1000,0)</f>
        <v>0</v>
      </c>
      <c r="AM215" s="120">
        <f>IF(AND(V215="OK",ISNUMBER($N$5),$N$5&gt;0,ISNUMBER($N$3),$N$3&gt;0),R215/(6*$N$3*1000000*$N$5)*(IF(N215&lt;($N$4*0/10),($N$4*0/10)*(MIN(O215,($N$4*0/10))^3-N215^3)-(MIN(O215,($N$4*0/10))^4-N215^4)/4,0)+IF(O215&gt;($N$4*0/10),($N$4*0/10)^2*(1.5*(O215^2-MAX(N215,($N$4*0/10))^2)-($N$4*0/10)*(O215-MAX(N215,($N$4*0/10)))),0))*1000,0)</f>
        <v>0</v>
      </c>
      <c r="AN215" s="120">
        <f>IF(AND(V215="OK",ISNUMBER($N$5),$N$5&gt;0,ISNUMBER($N$3),$N$3&gt;0),R215/(6*$N$3*1000000*$N$5)*(IF(N215&lt;($N$4*1/10),($N$4*1/10)*(MIN(O215,($N$4*1/10))^3-N215^3)-(MIN(O215,($N$4*1/10))^4-N215^4)/4,0)+IF(O215&gt;($N$4*1/10),($N$4*1/10)^2*(1.5*(O215^2-MAX(N215,($N$4*1/10))^2)-($N$4*1/10)*(O215-MAX(N215,($N$4*1/10)))),0))*1000,0)</f>
        <v>0</v>
      </c>
      <c r="AO215" s="120">
        <f>IF(AND(V215="OK",ISNUMBER($N$5),$N$5&gt;0,ISNUMBER($N$3),$N$3&gt;0),R215/(6*$N$3*1000000*$N$5)*(IF(N215&lt;($N$4*2/10),($N$4*2/10)*(MIN(O215,($N$4*2/10))^3-N215^3)-(MIN(O215,($N$4*2/10))^4-N215^4)/4,0)+IF(O215&gt;($N$4*2/10),($N$4*2/10)^2*(1.5*(O215^2-MAX(N215,($N$4*2/10))^2)-($N$4*2/10)*(O215-MAX(N215,($N$4*2/10)))),0))*1000,0)</f>
        <v>0</v>
      </c>
      <c r="AP215" s="120">
        <f>IF(AND(V215="OK",ISNUMBER($N$5),$N$5&gt;0,ISNUMBER($N$3),$N$3&gt;0),R215/(6*$N$3*1000000*$N$5)*(IF(N215&lt;($N$4*3/10),($N$4*3/10)*(MIN(O215,($N$4*3/10))^3-N215^3)-(MIN(O215,($N$4*3/10))^4-N215^4)/4,0)+IF(O215&gt;($N$4*3/10),($N$4*3/10)^2*(1.5*(O215^2-MAX(N215,($N$4*3/10))^2)-($N$4*3/10)*(O215-MAX(N215,($N$4*3/10)))),0))*1000,0)</f>
        <v>0</v>
      </c>
      <c r="AQ215" s="120">
        <f>IF(AND(V215="OK",ISNUMBER($N$5),$N$5&gt;0,ISNUMBER($N$3),$N$3&gt;0),R215/(6*$N$3*1000000*$N$5)*(IF(N215&lt;($N$4*4/10),($N$4*4/10)*(MIN(O215,($N$4*4/10))^3-N215^3)-(MIN(O215,($N$4*4/10))^4-N215^4)/4,0)+IF(O215&gt;($N$4*4/10),($N$4*4/10)^2*(1.5*(O215^2-MAX(N215,($N$4*4/10))^2)-($N$4*4/10)*(O215-MAX(N215,($N$4*4/10)))),0))*1000,0)</f>
        <v>0</v>
      </c>
      <c r="AR215" s="120">
        <f>IF(AND(V215="OK",ISNUMBER($N$5),$N$5&gt;0,ISNUMBER($N$3),$N$3&gt;0),R215/(6*$N$3*1000000*$N$5)*(IF(N215&lt;($N$4*5/10),($N$4*5/10)*(MIN(O215,($N$4*5/10))^3-N215^3)-(MIN(O215,($N$4*5/10))^4-N215^4)/4,0)+IF(O215&gt;($N$4*5/10),($N$4*5/10)^2*(1.5*(O215^2-MAX(N215,($N$4*5/10))^2)-($N$4*5/10)*(O215-MAX(N215,($N$4*5/10)))),0))*1000,0)</f>
        <v>0</v>
      </c>
      <c r="AS215" s="120">
        <f>IF(AND(V215="OK",ISNUMBER($N$5),$N$5&gt;0,ISNUMBER($N$3),$N$3&gt;0),R215/(6*$N$3*1000000*$N$5)*(IF(N215&lt;($N$4*6/10),($N$4*6/10)*(MIN(O215,($N$4*6/10))^3-N215^3)-(MIN(O215,($N$4*6/10))^4-N215^4)/4,0)+IF(O215&gt;($N$4*6/10),($N$4*6/10)^2*(1.5*(O215^2-MAX(N215,($N$4*6/10))^2)-($N$4*6/10)*(O215-MAX(N215,($N$4*6/10)))),0))*1000,0)</f>
        <v>0</v>
      </c>
      <c r="AT215" s="120">
        <f>IF(AND(V215="OK",ISNUMBER($N$5),$N$5&gt;0,ISNUMBER($N$3),$N$3&gt;0),R215/(6*$N$3*1000000*$N$5)*(IF(N215&lt;($N$4*7/10),($N$4*7/10)*(MIN(O215,($N$4*7/10))^3-N215^3)-(MIN(O215,($N$4*7/10))^4-N215^4)/4,0)+IF(O215&gt;($N$4*7/10),($N$4*7/10)^2*(1.5*(O215^2-MAX(N215,($N$4*7/10))^2)-($N$4*7/10)*(O215-MAX(N215,($N$4*7/10)))),0))*1000,0)</f>
        <v>0</v>
      </c>
      <c r="AU215" s="120">
        <f>IF(AND(V215="OK",ISNUMBER($N$5),$N$5&gt;0,ISNUMBER($N$3),$N$3&gt;0),R215/(6*$N$3*1000000*$N$5)*(IF(N215&lt;($N$4*8/10),($N$4*8/10)*(MIN(O215,($N$4*8/10))^3-N215^3)-(MIN(O215,($N$4*8/10))^4-N215^4)/4,0)+IF(O215&gt;($N$4*8/10),($N$4*8/10)^2*(1.5*(O215^2-MAX(N215,($N$4*8/10))^2)-($N$4*8/10)*(O215-MAX(N215,($N$4*8/10)))),0))*1000,0)</f>
        <v>0</v>
      </c>
      <c r="AV215" s="120">
        <f>IF(AND(V215="OK",ISNUMBER($N$5),$N$5&gt;0,ISNUMBER($N$3),$N$3&gt;0),R215/(6*$N$3*1000000*$N$5)*(IF(N215&lt;($N$4*9/10),($N$4*9/10)*(MIN(O215,($N$4*9/10))^3-N215^3)-(MIN(O215,($N$4*9/10))^4-N215^4)/4,0)+IF(O215&gt;($N$4*9/10),($N$4*9/10)^2*(1.5*(O215^2-MAX(N215,($N$4*9/10))^2)-($N$4*9/10)*(O215-MAX(N215,($N$4*9/10)))),0))*1000,0)</f>
        <v>0</v>
      </c>
      <c r="AW215" s="120">
        <f>IF(AND(V215="OK",ISNUMBER($N$5),$N$5&gt;0,ISNUMBER($N$3),$N$3&gt;0),R215/(6*$N$3*1000000*$N$5)*(IF(N215&lt;($N$4*10/10),($N$4*10/10)*(MIN(O215,($N$4*10/10))^3-N215^3)-(MIN(O215,($N$4*10/10))^4-N215^4)/4,0)+IF(O215&gt;($N$4*10/10),($N$4*10/10)^2*(1.5*(O215^2-MAX(N215,($N$4*10/10))^2)-($N$4*10/10)*(O215-MAX(N215,($N$4*10/10)))),0))*1000,0)</f>
        <v>0</v>
      </c>
    </row>
    <row r="216" spans="1:49">
      <c r="A216" s="124"/>
      <c r="B216" s="125"/>
      <c r="C216" s="125"/>
      <c r="D216" s="125"/>
      <c r="E216" s="125"/>
      <c r="F216" s="126" t="str">
        <f>IF(J216="OK",D216*E216,"")</f>
        <v/>
      </c>
      <c r="G216" s="126" t="str">
        <f>IF(J216="OK",F216*(C216-B216),"")</f>
        <v/>
      </c>
      <c r="H216" s="126" t="str">
        <f>IF(J216="OK",G216*(C216+B216)/2,"")</f>
        <v/>
      </c>
      <c r="I216" s="126" t="str">
        <f>IF(AND(J216="OK",ISNUMBER($B$5),$B$5&gt;0,ISNUMBER($B$3),$B$3&gt;0),F216*(4*$B$4*(C216^3-B216^3)-(C216^4-B216^4))/(24*$B$3*1000000*$B$5)*1000,"")</f>
        <v/>
      </c>
      <c r="J216" s="120" t="str">
        <f>IF(COUNTA(A216:E216)=0,"",IF(AND(COUNT(B216:E216)=4,B216&gt;=0,C216&gt;B216,C216&lt;=$B$4,D216&gt;=0,E216&gt;0),IF(COUNTIFS($B$13:$B$215,"&lt;"&amp;C216,$C$13:$C$215,"&gt;"&amp;B216)&gt;0,"OVERLAP","OK"),"CHECK INPUTS"))</f>
        <v/>
      </c>
      <c r="M216" s="124"/>
      <c r="N216" s="125"/>
      <c r="O216" s="125"/>
      <c r="P216" s="125"/>
      <c r="Q216" s="125"/>
      <c r="R216" s="126" t="str">
        <f>IF(V216="OK",P216*Q216,"")</f>
        <v/>
      </c>
      <c r="S216" s="126" t="str">
        <f>IF(V216="OK",R216*(O216-N216),"")</f>
        <v/>
      </c>
      <c r="T216" s="126" t="str">
        <f>IF(V216="OK",S216*(O216+N216)/2,"")</f>
        <v/>
      </c>
      <c r="U216" s="126" t="str">
        <f>IF(AND(V216="OK",ISNUMBER($N$5),$N$5&gt;0,ISNUMBER($N$3),$N$3&gt;0),R216*(4*$N$4*(O216^3-N216^3)-(O216^4-N216^4))/(24*$N$3*1000000*$N$5)*1000,"")</f>
        <v/>
      </c>
      <c r="V216" s="120" t="str">
        <f>IF(COUNTA(M216:Q216)=0,"",IF(AND(COUNT(N216:Q216)=4,N216&gt;=0,O216&gt;N216,O216&lt;=$N$4,P216&gt;=0,Q216&gt;0),IF(COUNTIFS($N$13:$N$215,"&lt;"&amp;O216,$O$13:$O$215,"&gt;"&amp;N216)&gt;0,"OVERLAP","OK"),"CHECK INPUTS"))</f>
        <v/>
      </c>
      <c r="AA216" s="120">
        <f>IF(AND(J216="OK",ISNUMBER($B$5),$B$5&gt;0,ISNUMBER($B$3),$B$3&gt;0),F216/(6*$B$3*1000000*$B$5)*(IF(B216&lt;($B$4*0/10),($B$4*0/10)*(MIN(C216,($B$4*0/10))^3-B216^3)-(MIN(C216,($B$4*0/10))^4-B216^4)/4,0)+IF(C216&gt;($B$4*0/10),($B$4*0/10)^2*(1.5*(C216^2-MAX(B216,($B$4*0/10))^2)-($B$4*0/10)*(C216-MAX(B216,($B$4*0/10)))),0))*1000,0)</f>
        <v>0</v>
      </c>
      <c r="AB216" s="120">
        <f>IF(AND(J216="OK",ISNUMBER($B$5),$B$5&gt;0,ISNUMBER($B$3),$B$3&gt;0),F216/(6*$B$3*1000000*$B$5)*(IF(B216&lt;($B$4*1/10),($B$4*1/10)*(MIN(C216,($B$4*1/10))^3-B216^3)-(MIN(C216,($B$4*1/10))^4-B216^4)/4,0)+IF(C216&gt;($B$4*1/10),($B$4*1/10)^2*(1.5*(C216^2-MAX(B216,($B$4*1/10))^2)-($B$4*1/10)*(C216-MAX(B216,($B$4*1/10)))),0))*1000,0)</f>
        <v>0</v>
      </c>
      <c r="AC216" s="120">
        <f>IF(AND(J216="OK",ISNUMBER($B$5),$B$5&gt;0,ISNUMBER($B$3),$B$3&gt;0),F216/(6*$B$3*1000000*$B$5)*(IF(B216&lt;($B$4*2/10),($B$4*2/10)*(MIN(C216,($B$4*2/10))^3-B216^3)-(MIN(C216,($B$4*2/10))^4-B216^4)/4,0)+IF(C216&gt;($B$4*2/10),($B$4*2/10)^2*(1.5*(C216^2-MAX(B216,($B$4*2/10))^2)-($B$4*2/10)*(C216-MAX(B216,($B$4*2/10)))),0))*1000,0)</f>
        <v>0</v>
      </c>
      <c r="AD216" s="120">
        <f>IF(AND(J216="OK",ISNUMBER($B$5),$B$5&gt;0,ISNUMBER($B$3),$B$3&gt;0),F216/(6*$B$3*1000000*$B$5)*(IF(B216&lt;($B$4*3/10),($B$4*3/10)*(MIN(C216,($B$4*3/10))^3-B216^3)-(MIN(C216,($B$4*3/10))^4-B216^4)/4,0)+IF(C216&gt;($B$4*3/10),($B$4*3/10)^2*(1.5*(C216^2-MAX(B216,($B$4*3/10))^2)-($B$4*3/10)*(C216-MAX(B216,($B$4*3/10)))),0))*1000,0)</f>
        <v>0</v>
      </c>
      <c r="AE216" s="120">
        <f>IF(AND(J216="OK",ISNUMBER($B$5),$B$5&gt;0,ISNUMBER($B$3),$B$3&gt;0),F216/(6*$B$3*1000000*$B$5)*(IF(B216&lt;($B$4*4/10),($B$4*4/10)*(MIN(C216,($B$4*4/10))^3-B216^3)-(MIN(C216,($B$4*4/10))^4-B216^4)/4,0)+IF(C216&gt;($B$4*4/10),($B$4*4/10)^2*(1.5*(C216^2-MAX(B216,($B$4*4/10))^2)-($B$4*4/10)*(C216-MAX(B216,($B$4*4/10)))),0))*1000,0)</f>
        <v>0</v>
      </c>
      <c r="AF216" s="120">
        <f>IF(AND(J216="OK",ISNUMBER($B$5),$B$5&gt;0,ISNUMBER($B$3),$B$3&gt;0),F216/(6*$B$3*1000000*$B$5)*(IF(B216&lt;($B$4*5/10),($B$4*5/10)*(MIN(C216,($B$4*5/10))^3-B216^3)-(MIN(C216,($B$4*5/10))^4-B216^4)/4,0)+IF(C216&gt;($B$4*5/10),($B$4*5/10)^2*(1.5*(C216^2-MAX(B216,($B$4*5/10))^2)-($B$4*5/10)*(C216-MAX(B216,($B$4*5/10)))),0))*1000,0)</f>
        <v>0</v>
      </c>
      <c r="AG216" s="120">
        <f>IF(AND(J216="OK",ISNUMBER($B$5),$B$5&gt;0,ISNUMBER($B$3),$B$3&gt;0),F216/(6*$B$3*1000000*$B$5)*(IF(B216&lt;($B$4*6/10),($B$4*6/10)*(MIN(C216,($B$4*6/10))^3-B216^3)-(MIN(C216,($B$4*6/10))^4-B216^4)/4,0)+IF(C216&gt;($B$4*6/10),($B$4*6/10)^2*(1.5*(C216^2-MAX(B216,($B$4*6/10))^2)-($B$4*6/10)*(C216-MAX(B216,($B$4*6/10)))),0))*1000,0)</f>
        <v>0</v>
      </c>
      <c r="AH216" s="120">
        <f>IF(AND(J216="OK",ISNUMBER($B$5),$B$5&gt;0,ISNUMBER($B$3),$B$3&gt;0),F216/(6*$B$3*1000000*$B$5)*(IF(B216&lt;($B$4*7/10),($B$4*7/10)*(MIN(C216,($B$4*7/10))^3-B216^3)-(MIN(C216,($B$4*7/10))^4-B216^4)/4,0)+IF(C216&gt;($B$4*7/10),($B$4*7/10)^2*(1.5*(C216^2-MAX(B216,($B$4*7/10))^2)-($B$4*7/10)*(C216-MAX(B216,($B$4*7/10)))),0))*1000,0)</f>
        <v>0</v>
      </c>
      <c r="AI216" s="120">
        <f>IF(AND(J216="OK",ISNUMBER($B$5),$B$5&gt;0,ISNUMBER($B$3),$B$3&gt;0),F216/(6*$B$3*1000000*$B$5)*(IF(B216&lt;($B$4*8/10),($B$4*8/10)*(MIN(C216,($B$4*8/10))^3-B216^3)-(MIN(C216,($B$4*8/10))^4-B216^4)/4,0)+IF(C216&gt;($B$4*8/10),($B$4*8/10)^2*(1.5*(C216^2-MAX(B216,($B$4*8/10))^2)-($B$4*8/10)*(C216-MAX(B216,($B$4*8/10)))),0))*1000,0)</f>
        <v>0</v>
      </c>
      <c r="AJ216" s="120">
        <f>IF(AND(J216="OK",ISNUMBER($B$5),$B$5&gt;0,ISNUMBER($B$3),$B$3&gt;0),F216/(6*$B$3*1000000*$B$5)*(IF(B216&lt;($B$4*9/10),($B$4*9/10)*(MIN(C216,($B$4*9/10))^3-B216^3)-(MIN(C216,($B$4*9/10))^4-B216^4)/4,0)+IF(C216&gt;($B$4*9/10),($B$4*9/10)^2*(1.5*(C216^2-MAX(B216,($B$4*9/10))^2)-($B$4*9/10)*(C216-MAX(B216,($B$4*9/10)))),0))*1000,0)</f>
        <v>0</v>
      </c>
      <c r="AK216" s="120">
        <f>IF(AND(J216="OK",ISNUMBER($B$5),$B$5&gt;0,ISNUMBER($B$3),$B$3&gt;0),F216/(6*$B$3*1000000*$B$5)*(IF(B216&lt;($B$4*10/10),($B$4*10/10)*(MIN(C216,($B$4*10/10))^3-B216^3)-(MIN(C216,($B$4*10/10))^4-B216^4)/4,0)+IF(C216&gt;($B$4*10/10),($B$4*10/10)^2*(1.5*(C216^2-MAX(B216,($B$4*10/10))^2)-($B$4*10/10)*(C216-MAX(B216,($B$4*10/10)))),0))*1000,0)</f>
        <v>0</v>
      </c>
      <c r="AM216" s="120">
        <f>IF(AND(V216="OK",ISNUMBER($N$5),$N$5&gt;0,ISNUMBER($N$3),$N$3&gt;0),R216/(6*$N$3*1000000*$N$5)*(IF(N216&lt;($N$4*0/10),($N$4*0/10)*(MIN(O216,($N$4*0/10))^3-N216^3)-(MIN(O216,($N$4*0/10))^4-N216^4)/4,0)+IF(O216&gt;($N$4*0/10),($N$4*0/10)^2*(1.5*(O216^2-MAX(N216,($N$4*0/10))^2)-($N$4*0/10)*(O216-MAX(N216,($N$4*0/10)))),0))*1000,0)</f>
        <v>0</v>
      </c>
      <c r="AN216" s="120">
        <f>IF(AND(V216="OK",ISNUMBER($N$5),$N$5&gt;0,ISNUMBER($N$3),$N$3&gt;0),R216/(6*$N$3*1000000*$N$5)*(IF(N216&lt;($N$4*1/10),($N$4*1/10)*(MIN(O216,($N$4*1/10))^3-N216^3)-(MIN(O216,($N$4*1/10))^4-N216^4)/4,0)+IF(O216&gt;($N$4*1/10),($N$4*1/10)^2*(1.5*(O216^2-MAX(N216,($N$4*1/10))^2)-($N$4*1/10)*(O216-MAX(N216,($N$4*1/10)))),0))*1000,0)</f>
        <v>0</v>
      </c>
      <c r="AO216" s="120">
        <f>IF(AND(V216="OK",ISNUMBER($N$5),$N$5&gt;0,ISNUMBER($N$3),$N$3&gt;0),R216/(6*$N$3*1000000*$N$5)*(IF(N216&lt;($N$4*2/10),($N$4*2/10)*(MIN(O216,($N$4*2/10))^3-N216^3)-(MIN(O216,($N$4*2/10))^4-N216^4)/4,0)+IF(O216&gt;($N$4*2/10),($N$4*2/10)^2*(1.5*(O216^2-MAX(N216,($N$4*2/10))^2)-($N$4*2/10)*(O216-MAX(N216,($N$4*2/10)))),0))*1000,0)</f>
        <v>0</v>
      </c>
      <c r="AP216" s="120">
        <f>IF(AND(V216="OK",ISNUMBER($N$5),$N$5&gt;0,ISNUMBER($N$3),$N$3&gt;0),R216/(6*$N$3*1000000*$N$5)*(IF(N216&lt;($N$4*3/10),($N$4*3/10)*(MIN(O216,($N$4*3/10))^3-N216^3)-(MIN(O216,($N$4*3/10))^4-N216^4)/4,0)+IF(O216&gt;($N$4*3/10),($N$4*3/10)^2*(1.5*(O216^2-MAX(N216,($N$4*3/10))^2)-($N$4*3/10)*(O216-MAX(N216,($N$4*3/10)))),0))*1000,0)</f>
        <v>0</v>
      </c>
      <c r="AQ216" s="120">
        <f>IF(AND(V216="OK",ISNUMBER($N$5),$N$5&gt;0,ISNUMBER($N$3),$N$3&gt;0),R216/(6*$N$3*1000000*$N$5)*(IF(N216&lt;($N$4*4/10),($N$4*4/10)*(MIN(O216,($N$4*4/10))^3-N216^3)-(MIN(O216,($N$4*4/10))^4-N216^4)/4,0)+IF(O216&gt;($N$4*4/10),($N$4*4/10)^2*(1.5*(O216^2-MAX(N216,($N$4*4/10))^2)-($N$4*4/10)*(O216-MAX(N216,($N$4*4/10)))),0))*1000,0)</f>
        <v>0</v>
      </c>
      <c r="AR216" s="120">
        <f>IF(AND(V216="OK",ISNUMBER($N$5),$N$5&gt;0,ISNUMBER($N$3),$N$3&gt;0),R216/(6*$N$3*1000000*$N$5)*(IF(N216&lt;($N$4*5/10),($N$4*5/10)*(MIN(O216,($N$4*5/10))^3-N216^3)-(MIN(O216,($N$4*5/10))^4-N216^4)/4,0)+IF(O216&gt;($N$4*5/10),($N$4*5/10)^2*(1.5*(O216^2-MAX(N216,($N$4*5/10))^2)-($N$4*5/10)*(O216-MAX(N216,($N$4*5/10)))),0))*1000,0)</f>
        <v>0</v>
      </c>
      <c r="AS216" s="120">
        <f>IF(AND(V216="OK",ISNUMBER($N$5),$N$5&gt;0,ISNUMBER($N$3),$N$3&gt;0),R216/(6*$N$3*1000000*$N$5)*(IF(N216&lt;($N$4*6/10),($N$4*6/10)*(MIN(O216,($N$4*6/10))^3-N216^3)-(MIN(O216,($N$4*6/10))^4-N216^4)/4,0)+IF(O216&gt;($N$4*6/10),($N$4*6/10)^2*(1.5*(O216^2-MAX(N216,($N$4*6/10))^2)-($N$4*6/10)*(O216-MAX(N216,($N$4*6/10)))),0))*1000,0)</f>
        <v>0</v>
      </c>
      <c r="AT216" s="120">
        <f>IF(AND(V216="OK",ISNUMBER($N$5),$N$5&gt;0,ISNUMBER($N$3),$N$3&gt;0),R216/(6*$N$3*1000000*$N$5)*(IF(N216&lt;($N$4*7/10),($N$4*7/10)*(MIN(O216,($N$4*7/10))^3-N216^3)-(MIN(O216,($N$4*7/10))^4-N216^4)/4,0)+IF(O216&gt;($N$4*7/10),($N$4*7/10)^2*(1.5*(O216^2-MAX(N216,($N$4*7/10))^2)-($N$4*7/10)*(O216-MAX(N216,($N$4*7/10)))),0))*1000,0)</f>
        <v>0</v>
      </c>
      <c r="AU216" s="120">
        <f>IF(AND(V216="OK",ISNUMBER($N$5),$N$5&gt;0,ISNUMBER($N$3),$N$3&gt;0),R216/(6*$N$3*1000000*$N$5)*(IF(N216&lt;($N$4*8/10),($N$4*8/10)*(MIN(O216,($N$4*8/10))^3-N216^3)-(MIN(O216,($N$4*8/10))^4-N216^4)/4,0)+IF(O216&gt;($N$4*8/10),($N$4*8/10)^2*(1.5*(O216^2-MAX(N216,($N$4*8/10))^2)-($N$4*8/10)*(O216-MAX(N216,($N$4*8/10)))),0))*1000,0)</f>
        <v>0</v>
      </c>
      <c r="AV216" s="120">
        <f>IF(AND(V216="OK",ISNUMBER($N$5),$N$5&gt;0,ISNUMBER($N$3),$N$3&gt;0),R216/(6*$N$3*1000000*$N$5)*(IF(N216&lt;($N$4*9/10),($N$4*9/10)*(MIN(O216,($N$4*9/10))^3-N216^3)-(MIN(O216,($N$4*9/10))^4-N216^4)/4,0)+IF(O216&gt;($N$4*9/10),($N$4*9/10)^2*(1.5*(O216^2-MAX(N216,($N$4*9/10))^2)-($N$4*9/10)*(O216-MAX(N216,($N$4*9/10)))),0))*1000,0)</f>
        <v>0</v>
      </c>
      <c r="AW216" s="120">
        <f>IF(AND(V216="OK",ISNUMBER($N$5),$N$5&gt;0,ISNUMBER($N$3),$N$3&gt;0),R216/(6*$N$3*1000000*$N$5)*(IF(N216&lt;($N$4*10/10),($N$4*10/10)*(MIN(O216,($N$4*10/10))^3-N216^3)-(MIN(O216,($N$4*10/10))^4-N216^4)/4,0)+IF(O216&gt;($N$4*10/10),($N$4*10/10)^2*(1.5*(O216^2-MAX(N216,($N$4*10/10))^2)-($N$4*10/10)*(O216-MAX(N216,($N$4*10/10)))),0))*1000,0)</f>
        <v>0</v>
      </c>
    </row>
    <row r="217" spans="1:49">
      <c r="A217" s="124"/>
      <c r="B217" s="125"/>
      <c r="C217" s="125"/>
      <c r="D217" s="125"/>
      <c r="E217" s="125"/>
      <c r="F217" s="126" t="str">
        <f>IF(J217="OK",D217*E217,"")</f>
        <v/>
      </c>
      <c r="G217" s="126" t="str">
        <f>IF(J217="OK",F217*(C217-B217),"")</f>
        <v/>
      </c>
      <c r="H217" s="126" t="str">
        <f>IF(J217="OK",G217*(C217+B217)/2,"")</f>
        <v/>
      </c>
      <c r="I217" s="126" t="str">
        <f>IF(AND(J217="OK",ISNUMBER($B$5),$B$5&gt;0,ISNUMBER($B$3),$B$3&gt;0),F217*(4*$B$4*(C217^3-B217^3)-(C217^4-B217^4))/(24*$B$3*1000000*$B$5)*1000,"")</f>
        <v/>
      </c>
      <c r="J217" s="120" t="str">
        <f>IF(COUNTA(A217:E217)=0,"",IF(AND(COUNT(B217:E217)=4,B217&gt;=0,C217&gt;B217,C217&lt;=$B$4,D217&gt;=0,E217&gt;0),IF(COUNTIFS($B$13:$B$216,"&lt;"&amp;C217,$C$13:$C$216,"&gt;"&amp;B217)&gt;0,"OVERLAP","OK"),"CHECK INPUTS"))</f>
        <v/>
      </c>
      <c r="M217" s="124"/>
      <c r="N217" s="125"/>
      <c r="O217" s="125"/>
      <c r="P217" s="125"/>
      <c r="Q217" s="125"/>
      <c r="R217" s="126" t="str">
        <f>IF(V217="OK",P217*Q217,"")</f>
        <v/>
      </c>
      <c r="S217" s="126" t="str">
        <f>IF(V217="OK",R217*(O217-N217),"")</f>
        <v/>
      </c>
      <c r="T217" s="126" t="str">
        <f>IF(V217="OK",S217*(O217+N217)/2,"")</f>
        <v/>
      </c>
      <c r="U217" s="126" t="str">
        <f>IF(AND(V217="OK",ISNUMBER($N$5),$N$5&gt;0,ISNUMBER($N$3),$N$3&gt;0),R217*(4*$N$4*(O217^3-N217^3)-(O217^4-N217^4))/(24*$N$3*1000000*$N$5)*1000,"")</f>
        <v/>
      </c>
      <c r="V217" s="120" t="str">
        <f>IF(COUNTA(M217:Q217)=0,"",IF(AND(COUNT(N217:Q217)=4,N217&gt;=0,O217&gt;N217,O217&lt;=$N$4,P217&gt;=0,Q217&gt;0),IF(COUNTIFS($N$13:$N$216,"&lt;"&amp;O217,$O$13:$O$216,"&gt;"&amp;N217)&gt;0,"OVERLAP","OK"),"CHECK INPUTS"))</f>
        <v/>
      </c>
      <c r="AA217" s="120">
        <f>IF(AND(J217="OK",ISNUMBER($B$5),$B$5&gt;0,ISNUMBER($B$3),$B$3&gt;0),F217/(6*$B$3*1000000*$B$5)*(IF(B217&lt;($B$4*0/10),($B$4*0/10)*(MIN(C217,($B$4*0/10))^3-B217^3)-(MIN(C217,($B$4*0/10))^4-B217^4)/4,0)+IF(C217&gt;($B$4*0/10),($B$4*0/10)^2*(1.5*(C217^2-MAX(B217,($B$4*0/10))^2)-($B$4*0/10)*(C217-MAX(B217,($B$4*0/10)))),0))*1000,0)</f>
        <v>0</v>
      </c>
      <c r="AB217" s="120">
        <f>IF(AND(J217="OK",ISNUMBER($B$5),$B$5&gt;0,ISNUMBER($B$3),$B$3&gt;0),F217/(6*$B$3*1000000*$B$5)*(IF(B217&lt;($B$4*1/10),($B$4*1/10)*(MIN(C217,($B$4*1/10))^3-B217^3)-(MIN(C217,($B$4*1/10))^4-B217^4)/4,0)+IF(C217&gt;($B$4*1/10),($B$4*1/10)^2*(1.5*(C217^2-MAX(B217,($B$4*1/10))^2)-($B$4*1/10)*(C217-MAX(B217,($B$4*1/10)))),0))*1000,0)</f>
        <v>0</v>
      </c>
      <c r="AC217" s="120">
        <f>IF(AND(J217="OK",ISNUMBER($B$5),$B$5&gt;0,ISNUMBER($B$3),$B$3&gt;0),F217/(6*$B$3*1000000*$B$5)*(IF(B217&lt;($B$4*2/10),($B$4*2/10)*(MIN(C217,($B$4*2/10))^3-B217^3)-(MIN(C217,($B$4*2/10))^4-B217^4)/4,0)+IF(C217&gt;($B$4*2/10),($B$4*2/10)^2*(1.5*(C217^2-MAX(B217,($B$4*2/10))^2)-($B$4*2/10)*(C217-MAX(B217,($B$4*2/10)))),0))*1000,0)</f>
        <v>0</v>
      </c>
      <c r="AD217" s="120">
        <f>IF(AND(J217="OK",ISNUMBER($B$5),$B$5&gt;0,ISNUMBER($B$3),$B$3&gt;0),F217/(6*$B$3*1000000*$B$5)*(IF(B217&lt;($B$4*3/10),($B$4*3/10)*(MIN(C217,($B$4*3/10))^3-B217^3)-(MIN(C217,($B$4*3/10))^4-B217^4)/4,0)+IF(C217&gt;($B$4*3/10),($B$4*3/10)^2*(1.5*(C217^2-MAX(B217,($B$4*3/10))^2)-($B$4*3/10)*(C217-MAX(B217,($B$4*3/10)))),0))*1000,0)</f>
        <v>0</v>
      </c>
      <c r="AE217" s="120">
        <f>IF(AND(J217="OK",ISNUMBER($B$5),$B$5&gt;0,ISNUMBER($B$3),$B$3&gt;0),F217/(6*$B$3*1000000*$B$5)*(IF(B217&lt;($B$4*4/10),($B$4*4/10)*(MIN(C217,($B$4*4/10))^3-B217^3)-(MIN(C217,($B$4*4/10))^4-B217^4)/4,0)+IF(C217&gt;($B$4*4/10),($B$4*4/10)^2*(1.5*(C217^2-MAX(B217,($B$4*4/10))^2)-($B$4*4/10)*(C217-MAX(B217,($B$4*4/10)))),0))*1000,0)</f>
        <v>0</v>
      </c>
      <c r="AF217" s="120">
        <f>IF(AND(J217="OK",ISNUMBER($B$5),$B$5&gt;0,ISNUMBER($B$3),$B$3&gt;0),F217/(6*$B$3*1000000*$B$5)*(IF(B217&lt;($B$4*5/10),($B$4*5/10)*(MIN(C217,($B$4*5/10))^3-B217^3)-(MIN(C217,($B$4*5/10))^4-B217^4)/4,0)+IF(C217&gt;($B$4*5/10),($B$4*5/10)^2*(1.5*(C217^2-MAX(B217,($B$4*5/10))^2)-($B$4*5/10)*(C217-MAX(B217,($B$4*5/10)))),0))*1000,0)</f>
        <v>0</v>
      </c>
      <c r="AG217" s="120">
        <f>IF(AND(J217="OK",ISNUMBER($B$5),$B$5&gt;0,ISNUMBER($B$3),$B$3&gt;0),F217/(6*$B$3*1000000*$B$5)*(IF(B217&lt;($B$4*6/10),($B$4*6/10)*(MIN(C217,($B$4*6/10))^3-B217^3)-(MIN(C217,($B$4*6/10))^4-B217^4)/4,0)+IF(C217&gt;($B$4*6/10),($B$4*6/10)^2*(1.5*(C217^2-MAX(B217,($B$4*6/10))^2)-($B$4*6/10)*(C217-MAX(B217,($B$4*6/10)))),0))*1000,0)</f>
        <v>0</v>
      </c>
      <c r="AH217" s="120">
        <f>IF(AND(J217="OK",ISNUMBER($B$5),$B$5&gt;0,ISNUMBER($B$3),$B$3&gt;0),F217/(6*$B$3*1000000*$B$5)*(IF(B217&lt;($B$4*7/10),($B$4*7/10)*(MIN(C217,($B$4*7/10))^3-B217^3)-(MIN(C217,($B$4*7/10))^4-B217^4)/4,0)+IF(C217&gt;($B$4*7/10),($B$4*7/10)^2*(1.5*(C217^2-MAX(B217,($B$4*7/10))^2)-($B$4*7/10)*(C217-MAX(B217,($B$4*7/10)))),0))*1000,0)</f>
        <v>0</v>
      </c>
      <c r="AI217" s="120">
        <f>IF(AND(J217="OK",ISNUMBER($B$5),$B$5&gt;0,ISNUMBER($B$3),$B$3&gt;0),F217/(6*$B$3*1000000*$B$5)*(IF(B217&lt;($B$4*8/10),($B$4*8/10)*(MIN(C217,($B$4*8/10))^3-B217^3)-(MIN(C217,($B$4*8/10))^4-B217^4)/4,0)+IF(C217&gt;($B$4*8/10),($B$4*8/10)^2*(1.5*(C217^2-MAX(B217,($B$4*8/10))^2)-($B$4*8/10)*(C217-MAX(B217,($B$4*8/10)))),0))*1000,0)</f>
        <v>0</v>
      </c>
      <c r="AJ217" s="120">
        <f>IF(AND(J217="OK",ISNUMBER($B$5),$B$5&gt;0,ISNUMBER($B$3),$B$3&gt;0),F217/(6*$B$3*1000000*$B$5)*(IF(B217&lt;($B$4*9/10),($B$4*9/10)*(MIN(C217,($B$4*9/10))^3-B217^3)-(MIN(C217,($B$4*9/10))^4-B217^4)/4,0)+IF(C217&gt;($B$4*9/10),($B$4*9/10)^2*(1.5*(C217^2-MAX(B217,($B$4*9/10))^2)-($B$4*9/10)*(C217-MAX(B217,($B$4*9/10)))),0))*1000,0)</f>
        <v>0</v>
      </c>
      <c r="AK217" s="120">
        <f>IF(AND(J217="OK",ISNUMBER($B$5),$B$5&gt;0,ISNUMBER($B$3),$B$3&gt;0),F217/(6*$B$3*1000000*$B$5)*(IF(B217&lt;($B$4*10/10),($B$4*10/10)*(MIN(C217,($B$4*10/10))^3-B217^3)-(MIN(C217,($B$4*10/10))^4-B217^4)/4,0)+IF(C217&gt;($B$4*10/10),($B$4*10/10)^2*(1.5*(C217^2-MAX(B217,($B$4*10/10))^2)-($B$4*10/10)*(C217-MAX(B217,($B$4*10/10)))),0))*1000,0)</f>
        <v>0</v>
      </c>
      <c r="AM217" s="120">
        <f>IF(AND(V217="OK",ISNUMBER($N$5),$N$5&gt;0,ISNUMBER($N$3),$N$3&gt;0),R217/(6*$N$3*1000000*$N$5)*(IF(N217&lt;($N$4*0/10),($N$4*0/10)*(MIN(O217,($N$4*0/10))^3-N217^3)-(MIN(O217,($N$4*0/10))^4-N217^4)/4,0)+IF(O217&gt;($N$4*0/10),($N$4*0/10)^2*(1.5*(O217^2-MAX(N217,($N$4*0/10))^2)-($N$4*0/10)*(O217-MAX(N217,($N$4*0/10)))),0))*1000,0)</f>
        <v>0</v>
      </c>
      <c r="AN217" s="120">
        <f>IF(AND(V217="OK",ISNUMBER($N$5),$N$5&gt;0,ISNUMBER($N$3),$N$3&gt;0),R217/(6*$N$3*1000000*$N$5)*(IF(N217&lt;($N$4*1/10),($N$4*1/10)*(MIN(O217,($N$4*1/10))^3-N217^3)-(MIN(O217,($N$4*1/10))^4-N217^4)/4,0)+IF(O217&gt;($N$4*1/10),($N$4*1/10)^2*(1.5*(O217^2-MAX(N217,($N$4*1/10))^2)-($N$4*1/10)*(O217-MAX(N217,($N$4*1/10)))),0))*1000,0)</f>
        <v>0</v>
      </c>
      <c r="AO217" s="120">
        <f>IF(AND(V217="OK",ISNUMBER($N$5),$N$5&gt;0,ISNUMBER($N$3),$N$3&gt;0),R217/(6*$N$3*1000000*$N$5)*(IF(N217&lt;($N$4*2/10),($N$4*2/10)*(MIN(O217,($N$4*2/10))^3-N217^3)-(MIN(O217,($N$4*2/10))^4-N217^4)/4,0)+IF(O217&gt;($N$4*2/10),($N$4*2/10)^2*(1.5*(O217^2-MAX(N217,($N$4*2/10))^2)-($N$4*2/10)*(O217-MAX(N217,($N$4*2/10)))),0))*1000,0)</f>
        <v>0</v>
      </c>
      <c r="AP217" s="120">
        <f>IF(AND(V217="OK",ISNUMBER($N$5),$N$5&gt;0,ISNUMBER($N$3),$N$3&gt;0),R217/(6*$N$3*1000000*$N$5)*(IF(N217&lt;($N$4*3/10),($N$4*3/10)*(MIN(O217,($N$4*3/10))^3-N217^3)-(MIN(O217,($N$4*3/10))^4-N217^4)/4,0)+IF(O217&gt;($N$4*3/10),($N$4*3/10)^2*(1.5*(O217^2-MAX(N217,($N$4*3/10))^2)-($N$4*3/10)*(O217-MAX(N217,($N$4*3/10)))),0))*1000,0)</f>
        <v>0</v>
      </c>
      <c r="AQ217" s="120">
        <f>IF(AND(V217="OK",ISNUMBER($N$5),$N$5&gt;0,ISNUMBER($N$3),$N$3&gt;0),R217/(6*$N$3*1000000*$N$5)*(IF(N217&lt;($N$4*4/10),($N$4*4/10)*(MIN(O217,($N$4*4/10))^3-N217^3)-(MIN(O217,($N$4*4/10))^4-N217^4)/4,0)+IF(O217&gt;($N$4*4/10),($N$4*4/10)^2*(1.5*(O217^2-MAX(N217,($N$4*4/10))^2)-($N$4*4/10)*(O217-MAX(N217,($N$4*4/10)))),0))*1000,0)</f>
        <v>0</v>
      </c>
      <c r="AR217" s="120">
        <f>IF(AND(V217="OK",ISNUMBER($N$5),$N$5&gt;0,ISNUMBER($N$3),$N$3&gt;0),R217/(6*$N$3*1000000*$N$5)*(IF(N217&lt;($N$4*5/10),($N$4*5/10)*(MIN(O217,($N$4*5/10))^3-N217^3)-(MIN(O217,($N$4*5/10))^4-N217^4)/4,0)+IF(O217&gt;($N$4*5/10),($N$4*5/10)^2*(1.5*(O217^2-MAX(N217,($N$4*5/10))^2)-($N$4*5/10)*(O217-MAX(N217,($N$4*5/10)))),0))*1000,0)</f>
        <v>0</v>
      </c>
      <c r="AS217" s="120">
        <f>IF(AND(V217="OK",ISNUMBER($N$5),$N$5&gt;0,ISNUMBER($N$3),$N$3&gt;0),R217/(6*$N$3*1000000*$N$5)*(IF(N217&lt;($N$4*6/10),($N$4*6/10)*(MIN(O217,($N$4*6/10))^3-N217^3)-(MIN(O217,($N$4*6/10))^4-N217^4)/4,0)+IF(O217&gt;($N$4*6/10),($N$4*6/10)^2*(1.5*(O217^2-MAX(N217,($N$4*6/10))^2)-($N$4*6/10)*(O217-MAX(N217,($N$4*6/10)))),0))*1000,0)</f>
        <v>0</v>
      </c>
      <c r="AT217" s="120">
        <f>IF(AND(V217="OK",ISNUMBER($N$5),$N$5&gt;0,ISNUMBER($N$3),$N$3&gt;0),R217/(6*$N$3*1000000*$N$5)*(IF(N217&lt;($N$4*7/10),($N$4*7/10)*(MIN(O217,($N$4*7/10))^3-N217^3)-(MIN(O217,($N$4*7/10))^4-N217^4)/4,0)+IF(O217&gt;($N$4*7/10),($N$4*7/10)^2*(1.5*(O217^2-MAX(N217,($N$4*7/10))^2)-($N$4*7/10)*(O217-MAX(N217,($N$4*7/10)))),0))*1000,0)</f>
        <v>0</v>
      </c>
      <c r="AU217" s="120">
        <f>IF(AND(V217="OK",ISNUMBER($N$5),$N$5&gt;0,ISNUMBER($N$3),$N$3&gt;0),R217/(6*$N$3*1000000*$N$5)*(IF(N217&lt;($N$4*8/10),($N$4*8/10)*(MIN(O217,($N$4*8/10))^3-N217^3)-(MIN(O217,($N$4*8/10))^4-N217^4)/4,0)+IF(O217&gt;($N$4*8/10),($N$4*8/10)^2*(1.5*(O217^2-MAX(N217,($N$4*8/10))^2)-($N$4*8/10)*(O217-MAX(N217,($N$4*8/10)))),0))*1000,0)</f>
        <v>0</v>
      </c>
      <c r="AV217" s="120">
        <f>IF(AND(V217="OK",ISNUMBER($N$5),$N$5&gt;0,ISNUMBER($N$3),$N$3&gt;0),R217/(6*$N$3*1000000*$N$5)*(IF(N217&lt;($N$4*9/10),($N$4*9/10)*(MIN(O217,($N$4*9/10))^3-N217^3)-(MIN(O217,($N$4*9/10))^4-N217^4)/4,0)+IF(O217&gt;($N$4*9/10),($N$4*9/10)^2*(1.5*(O217^2-MAX(N217,($N$4*9/10))^2)-($N$4*9/10)*(O217-MAX(N217,($N$4*9/10)))),0))*1000,0)</f>
        <v>0</v>
      </c>
      <c r="AW217" s="120">
        <f>IF(AND(V217="OK",ISNUMBER($N$5),$N$5&gt;0,ISNUMBER($N$3),$N$3&gt;0),R217/(6*$N$3*1000000*$N$5)*(IF(N217&lt;($N$4*10/10),($N$4*10/10)*(MIN(O217,($N$4*10/10))^3-N217^3)-(MIN(O217,($N$4*10/10))^4-N217^4)/4,0)+IF(O217&gt;($N$4*10/10),($N$4*10/10)^2*(1.5*(O217^2-MAX(N217,($N$4*10/10))^2)-($N$4*10/10)*(O217-MAX(N217,($N$4*10/10)))),0))*1000,0)</f>
        <v>0</v>
      </c>
    </row>
    <row r="218" spans="1:49">
      <c r="A218" s="124"/>
      <c r="B218" s="125"/>
      <c r="C218" s="125"/>
      <c r="D218" s="125"/>
      <c r="E218" s="125"/>
      <c r="F218" s="126" t="str">
        <f>IF(J218="OK",D218*E218,"")</f>
        <v/>
      </c>
      <c r="G218" s="126" t="str">
        <f>IF(J218="OK",F218*(C218-B218),"")</f>
        <v/>
      </c>
      <c r="H218" s="126" t="str">
        <f>IF(J218="OK",G218*(C218+B218)/2,"")</f>
        <v/>
      </c>
      <c r="I218" s="126" t="str">
        <f>IF(AND(J218="OK",ISNUMBER($B$5),$B$5&gt;0,ISNUMBER($B$3),$B$3&gt;0),F218*(4*$B$4*(C218^3-B218^3)-(C218^4-B218^4))/(24*$B$3*1000000*$B$5)*1000,"")</f>
        <v/>
      </c>
      <c r="J218" s="120" t="str">
        <f>IF(COUNTA(A218:E218)=0,"",IF(AND(COUNT(B218:E218)=4,B218&gt;=0,C218&gt;B218,C218&lt;=$B$4,D218&gt;=0,E218&gt;0),IF(COUNTIFS($B$13:$B$217,"&lt;"&amp;C218,$C$13:$C$217,"&gt;"&amp;B218)&gt;0,"OVERLAP","OK"),"CHECK INPUTS"))</f>
        <v/>
      </c>
      <c r="M218" s="124"/>
      <c r="N218" s="125"/>
      <c r="O218" s="125"/>
      <c r="P218" s="125"/>
      <c r="Q218" s="125"/>
      <c r="R218" s="126" t="str">
        <f>IF(V218="OK",P218*Q218,"")</f>
        <v/>
      </c>
      <c r="S218" s="126" t="str">
        <f>IF(V218="OK",R218*(O218-N218),"")</f>
        <v/>
      </c>
      <c r="T218" s="126" t="str">
        <f>IF(V218="OK",S218*(O218+N218)/2,"")</f>
        <v/>
      </c>
      <c r="U218" s="126" t="str">
        <f>IF(AND(V218="OK",ISNUMBER($N$5),$N$5&gt;0,ISNUMBER($N$3),$N$3&gt;0),R218*(4*$N$4*(O218^3-N218^3)-(O218^4-N218^4))/(24*$N$3*1000000*$N$5)*1000,"")</f>
        <v/>
      </c>
      <c r="V218" s="120" t="str">
        <f>IF(COUNTA(M218:Q218)=0,"",IF(AND(COUNT(N218:Q218)=4,N218&gt;=0,O218&gt;N218,O218&lt;=$N$4,P218&gt;=0,Q218&gt;0),IF(COUNTIFS($N$13:$N$217,"&lt;"&amp;O218,$O$13:$O$217,"&gt;"&amp;N218)&gt;0,"OVERLAP","OK"),"CHECK INPUTS"))</f>
        <v/>
      </c>
      <c r="AA218" s="120">
        <f>IF(AND(J218="OK",ISNUMBER($B$5),$B$5&gt;0,ISNUMBER($B$3),$B$3&gt;0),F218/(6*$B$3*1000000*$B$5)*(IF(B218&lt;($B$4*0/10),($B$4*0/10)*(MIN(C218,($B$4*0/10))^3-B218^3)-(MIN(C218,($B$4*0/10))^4-B218^4)/4,0)+IF(C218&gt;($B$4*0/10),($B$4*0/10)^2*(1.5*(C218^2-MAX(B218,($B$4*0/10))^2)-($B$4*0/10)*(C218-MAX(B218,($B$4*0/10)))),0))*1000,0)</f>
        <v>0</v>
      </c>
      <c r="AB218" s="120">
        <f>IF(AND(J218="OK",ISNUMBER($B$5),$B$5&gt;0,ISNUMBER($B$3),$B$3&gt;0),F218/(6*$B$3*1000000*$B$5)*(IF(B218&lt;($B$4*1/10),($B$4*1/10)*(MIN(C218,($B$4*1/10))^3-B218^3)-(MIN(C218,($B$4*1/10))^4-B218^4)/4,0)+IF(C218&gt;($B$4*1/10),($B$4*1/10)^2*(1.5*(C218^2-MAX(B218,($B$4*1/10))^2)-($B$4*1/10)*(C218-MAX(B218,($B$4*1/10)))),0))*1000,0)</f>
        <v>0</v>
      </c>
      <c r="AC218" s="120">
        <f>IF(AND(J218="OK",ISNUMBER($B$5),$B$5&gt;0,ISNUMBER($B$3),$B$3&gt;0),F218/(6*$B$3*1000000*$B$5)*(IF(B218&lt;($B$4*2/10),($B$4*2/10)*(MIN(C218,($B$4*2/10))^3-B218^3)-(MIN(C218,($B$4*2/10))^4-B218^4)/4,0)+IF(C218&gt;($B$4*2/10),($B$4*2/10)^2*(1.5*(C218^2-MAX(B218,($B$4*2/10))^2)-($B$4*2/10)*(C218-MAX(B218,($B$4*2/10)))),0))*1000,0)</f>
        <v>0</v>
      </c>
      <c r="AD218" s="120">
        <f>IF(AND(J218="OK",ISNUMBER($B$5),$B$5&gt;0,ISNUMBER($B$3),$B$3&gt;0),F218/(6*$B$3*1000000*$B$5)*(IF(B218&lt;($B$4*3/10),($B$4*3/10)*(MIN(C218,($B$4*3/10))^3-B218^3)-(MIN(C218,($B$4*3/10))^4-B218^4)/4,0)+IF(C218&gt;($B$4*3/10),($B$4*3/10)^2*(1.5*(C218^2-MAX(B218,($B$4*3/10))^2)-($B$4*3/10)*(C218-MAX(B218,($B$4*3/10)))),0))*1000,0)</f>
        <v>0</v>
      </c>
      <c r="AE218" s="120">
        <f>IF(AND(J218="OK",ISNUMBER($B$5),$B$5&gt;0,ISNUMBER($B$3),$B$3&gt;0),F218/(6*$B$3*1000000*$B$5)*(IF(B218&lt;($B$4*4/10),($B$4*4/10)*(MIN(C218,($B$4*4/10))^3-B218^3)-(MIN(C218,($B$4*4/10))^4-B218^4)/4,0)+IF(C218&gt;($B$4*4/10),($B$4*4/10)^2*(1.5*(C218^2-MAX(B218,($B$4*4/10))^2)-($B$4*4/10)*(C218-MAX(B218,($B$4*4/10)))),0))*1000,0)</f>
        <v>0</v>
      </c>
      <c r="AF218" s="120">
        <f>IF(AND(J218="OK",ISNUMBER($B$5),$B$5&gt;0,ISNUMBER($B$3),$B$3&gt;0),F218/(6*$B$3*1000000*$B$5)*(IF(B218&lt;($B$4*5/10),($B$4*5/10)*(MIN(C218,($B$4*5/10))^3-B218^3)-(MIN(C218,($B$4*5/10))^4-B218^4)/4,0)+IF(C218&gt;($B$4*5/10),($B$4*5/10)^2*(1.5*(C218^2-MAX(B218,($B$4*5/10))^2)-($B$4*5/10)*(C218-MAX(B218,($B$4*5/10)))),0))*1000,0)</f>
        <v>0</v>
      </c>
      <c r="AG218" s="120">
        <f>IF(AND(J218="OK",ISNUMBER($B$5),$B$5&gt;0,ISNUMBER($B$3),$B$3&gt;0),F218/(6*$B$3*1000000*$B$5)*(IF(B218&lt;($B$4*6/10),($B$4*6/10)*(MIN(C218,($B$4*6/10))^3-B218^3)-(MIN(C218,($B$4*6/10))^4-B218^4)/4,0)+IF(C218&gt;($B$4*6/10),($B$4*6/10)^2*(1.5*(C218^2-MAX(B218,($B$4*6/10))^2)-($B$4*6/10)*(C218-MAX(B218,($B$4*6/10)))),0))*1000,0)</f>
        <v>0</v>
      </c>
      <c r="AH218" s="120">
        <f>IF(AND(J218="OK",ISNUMBER($B$5),$B$5&gt;0,ISNUMBER($B$3),$B$3&gt;0),F218/(6*$B$3*1000000*$B$5)*(IF(B218&lt;($B$4*7/10),($B$4*7/10)*(MIN(C218,($B$4*7/10))^3-B218^3)-(MIN(C218,($B$4*7/10))^4-B218^4)/4,0)+IF(C218&gt;($B$4*7/10),($B$4*7/10)^2*(1.5*(C218^2-MAX(B218,($B$4*7/10))^2)-($B$4*7/10)*(C218-MAX(B218,($B$4*7/10)))),0))*1000,0)</f>
        <v>0</v>
      </c>
      <c r="AI218" s="120">
        <f>IF(AND(J218="OK",ISNUMBER($B$5),$B$5&gt;0,ISNUMBER($B$3),$B$3&gt;0),F218/(6*$B$3*1000000*$B$5)*(IF(B218&lt;($B$4*8/10),($B$4*8/10)*(MIN(C218,($B$4*8/10))^3-B218^3)-(MIN(C218,($B$4*8/10))^4-B218^4)/4,0)+IF(C218&gt;($B$4*8/10),($B$4*8/10)^2*(1.5*(C218^2-MAX(B218,($B$4*8/10))^2)-($B$4*8/10)*(C218-MAX(B218,($B$4*8/10)))),0))*1000,0)</f>
        <v>0</v>
      </c>
      <c r="AJ218" s="120">
        <f>IF(AND(J218="OK",ISNUMBER($B$5),$B$5&gt;0,ISNUMBER($B$3),$B$3&gt;0),F218/(6*$B$3*1000000*$B$5)*(IF(B218&lt;($B$4*9/10),($B$4*9/10)*(MIN(C218,($B$4*9/10))^3-B218^3)-(MIN(C218,($B$4*9/10))^4-B218^4)/4,0)+IF(C218&gt;($B$4*9/10),($B$4*9/10)^2*(1.5*(C218^2-MAX(B218,($B$4*9/10))^2)-($B$4*9/10)*(C218-MAX(B218,($B$4*9/10)))),0))*1000,0)</f>
        <v>0</v>
      </c>
      <c r="AK218" s="120">
        <f>IF(AND(J218="OK",ISNUMBER($B$5),$B$5&gt;0,ISNUMBER($B$3),$B$3&gt;0),F218/(6*$B$3*1000000*$B$5)*(IF(B218&lt;($B$4*10/10),($B$4*10/10)*(MIN(C218,($B$4*10/10))^3-B218^3)-(MIN(C218,($B$4*10/10))^4-B218^4)/4,0)+IF(C218&gt;($B$4*10/10),($B$4*10/10)^2*(1.5*(C218^2-MAX(B218,($B$4*10/10))^2)-($B$4*10/10)*(C218-MAX(B218,($B$4*10/10)))),0))*1000,0)</f>
        <v>0</v>
      </c>
      <c r="AM218" s="120">
        <f>IF(AND(V218="OK",ISNUMBER($N$5),$N$5&gt;0,ISNUMBER($N$3),$N$3&gt;0),R218/(6*$N$3*1000000*$N$5)*(IF(N218&lt;($N$4*0/10),($N$4*0/10)*(MIN(O218,($N$4*0/10))^3-N218^3)-(MIN(O218,($N$4*0/10))^4-N218^4)/4,0)+IF(O218&gt;($N$4*0/10),($N$4*0/10)^2*(1.5*(O218^2-MAX(N218,($N$4*0/10))^2)-($N$4*0/10)*(O218-MAX(N218,($N$4*0/10)))),0))*1000,0)</f>
        <v>0</v>
      </c>
      <c r="AN218" s="120">
        <f>IF(AND(V218="OK",ISNUMBER($N$5),$N$5&gt;0,ISNUMBER($N$3),$N$3&gt;0),R218/(6*$N$3*1000000*$N$5)*(IF(N218&lt;($N$4*1/10),($N$4*1/10)*(MIN(O218,($N$4*1/10))^3-N218^3)-(MIN(O218,($N$4*1/10))^4-N218^4)/4,0)+IF(O218&gt;($N$4*1/10),($N$4*1/10)^2*(1.5*(O218^2-MAX(N218,($N$4*1/10))^2)-($N$4*1/10)*(O218-MAX(N218,($N$4*1/10)))),0))*1000,0)</f>
        <v>0</v>
      </c>
      <c r="AO218" s="120">
        <f>IF(AND(V218="OK",ISNUMBER($N$5),$N$5&gt;0,ISNUMBER($N$3),$N$3&gt;0),R218/(6*$N$3*1000000*$N$5)*(IF(N218&lt;($N$4*2/10),($N$4*2/10)*(MIN(O218,($N$4*2/10))^3-N218^3)-(MIN(O218,($N$4*2/10))^4-N218^4)/4,0)+IF(O218&gt;($N$4*2/10),($N$4*2/10)^2*(1.5*(O218^2-MAX(N218,($N$4*2/10))^2)-($N$4*2/10)*(O218-MAX(N218,($N$4*2/10)))),0))*1000,0)</f>
        <v>0</v>
      </c>
      <c r="AP218" s="120">
        <f>IF(AND(V218="OK",ISNUMBER($N$5),$N$5&gt;0,ISNUMBER($N$3),$N$3&gt;0),R218/(6*$N$3*1000000*$N$5)*(IF(N218&lt;($N$4*3/10),($N$4*3/10)*(MIN(O218,($N$4*3/10))^3-N218^3)-(MIN(O218,($N$4*3/10))^4-N218^4)/4,0)+IF(O218&gt;($N$4*3/10),($N$4*3/10)^2*(1.5*(O218^2-MAX(N218,($N$4*3/10))^2)-($N$4*3/10)*(O218-MAX(N218,($N$4*3/10)))),0))*1000,0)</f>
        <v>0</v>
      </c>
      <c r="AQ218" s="120">
        <f>IF(AND(V218="OK",ISNUMBER($N$5),$N$5&gt;0,ISNUMBER($N$3),$N$3&gt;0),R218/(6*$N$3*1000000*$N$5)*(IF(N218&lt;($N$4*4/10),($N$4*4/10)*(MIN(O218,($N$4*4/10))^3-N218^3)-(MIN(O218,($N$4*4/10))^4-N218^4)/4,0)+IF(O218&gt;($N$4*4/10),($N$4*4/10)^2*(1.5*(O218^2-MAX(N218,($N$4*4/10))^2)-($N$4*4/10)*(O218-MAX(N218,($N$4*4/10)))),0))*1000,0)</f>
        <v>0</v>
      </c>
      <c r="AR218" s="120">
        <f>IF(AND(V218="OK",ISNUMBER($N$5),$N$5&gt;0,ISNUMBER($N$3),$N$3&gt;0),R218/(6*$N$3*1000000*$N$5)*(IF(N218&lt;($N$4*5/10),($N$4*5/10)*(MIN(O218,($N$4*5/10))^3-N218^3)-(MIN(O218,($N$4*5/10))^4-N218^4)/4,0)+IF(O218&gt;($N$4*5/10),($N$4*5/10)^2*(1.5*(O218^2-MAX(N218,($N$4*5/10))^2)-($N$4*5/10)*(O218-MAX(N218,($N$4*5/10)))),0))*1000,0)</f>
        <v>0</v>
      </c>
      <c r="AS218" s="120">
        <f>IF(AND(V218="OK",ISNUMBER($N$5),$N$5&gt;0,ISNUMBER($N$3),$N$3&gt;0),R218/(6*$N$3*1000000*$N$5)*(IF(N218&lt;($N$4*6/10),($N$4*6/10)*(MIN(O218,($N$4*6/10))^3-N218^3)-(MIN(O218,($N$4*6/10))^4-N218^4)/4,0)+IF(O218&gt;($N$4*6/10),($N$4*6/10)^2*(1.5*(O218^2-MAX(N218,($N$4*6/10))^2)-($N$4*6/10)*(O218-MAX(N218,($N$4*6/10)))),0))*1000,0)</f>
        <v>0</v>
      </c>
      <c r="AT218" s="120">
        <f>IF(AND(V218="OK",ISNUMBER($N$5),$N$5&gt;0,ISNUMBER($N$3),$N$3&gt;0),R218/(6*$N$3*1000000*$N$5)*(IF(N218&lt;($N$4*7/10),($N$4*7/10)*(MIN(O218,($N$4*7/10))^3-N218^3)-(MIN(O218,($N$4*7/10))^4-N218^4)/4,0)+IF(O218&gt;($N$4*7/10),($N$4*7/10)^2*(1.5*(O218^2-MAX(N218,($N$4*7/10))^2)-($N$4*7/10)*(O218-MAX(N218,($N$4*7/10)))),0))*1000,0)</f>
        <v>0</v>
      </c>
      <c r="AU218" s="120">
        <f>IF(AND(V218="OK",ISNUMBER($N$5),$N$5&gt;0,ISNUMBER($N$3),$N$3&gt;0),R218/(6*$N$3*1000000*$N$5)*(IF(N218&lt;($N$4*8/10),($N$4*8/10)*(MIN(O218,($N$4*8/10))^3-N218^3)-(MIN(O218,($N$4*8/10))^4-N218^4)/4,0)+IF(O218&gt;($N$4*8/10),($N$4*8/10)^2*(1.5*(O218^2-MAX(N218,($N$4*8/10))^2)-($N$4*8/10)*(O218-MAX(N218,($N$4*8/10)))),0))*1000,0)</f>
        <v>0</v>
      </c>
      <c r="AV218" s="120">
        <f>IF(AND(V218="OK",ISNUMBER($N$5),$N$5&gt;0,ISNUMBER($N$3),$N$3&gt;0),R218/(6*$N$3*1000000*$N$5)*(IF(N218&lt;($N$4*9/10),($N$4*9/10)*(MIN(O218,($N$4*9/10))^3-N218^3)-(MIN(O218,($N$4*9/10))^4-N218^4)/4,0)+IF(O218&gt;($N$4*9/10),($N$4*9/10)^2*(1.5*(O218^2-MAX(N218,($N$4*9/10))^2)-($N$4*9/10)*(O218-MAX(N218,($N$4*9/10)))),0))*1000,0)</f>
        <v>0</v>
      </c>
      <c r="AW218" s="120">
        <f>IF(AND(V218="OK",ISNUMBER($N$5),$N$5&gt;0,ISNUMBER($N$3),$N$3&gt;0),R218/(6*$N$3*1000000*$N$5)*(IF(N218&lt;($N$4*10/10),($N$4*10/10)*(MIN(O218,($N$4*10/10))^3-N218^3)-(MIN(O218,($N$4*10/10))^4-N218^4)/4,0)+IF(O218&gt;($N$4*10/10),($N$4*10/10)^2*(1.5*(O218^2-MAX(N218,($N$4*10/10))^2)-($N$4*10/10)*(O218-MAX(N218,($N$4*10/10)))),0))*1000,0)</f>
        <v>0</v>
      </c>
    </row>
    <row r="219" spans="1:49">
      <c r="A219" s="124"/>
      <c r="B219" s="125"/>
      <c r="C219" s="125"/>
      <c r="D219" s="125"/>
      <c r="E219" s="125"/>
      <c r="F219" s="126" t="str">
        <f>IF(J219="OK",D219*E219,"")</f>
        <v/>
      </c>
      <c r="G219" s="126" t="str">
        <f>IF(J219="OK",F219*(C219-B219),"")</f>
        <v/>
      </c>
      <c r="H219" s="126" t="str">
        <f>IF(J219="OK",G219*(C219+B219)/2,"")</f>
        <v/>
      </c>
      <c r="I219" s="126" t="str">
        <f>IF(AND(J219="OK",ISNUMBER($B$5),$B$5&gt;0,ISNUMBER($B$3),$B$3&gt;0),F219*(4*$B$4*(C219^3-B219^3)-(C219^4-B219^4))/(24*$B$3*1000000*$B$5)*1000,"")</f>
        <v/>
      </c>
      <c r="J219" s="120" t="str">
        <f>IF(COUNTA(A219:E219)=0,"",IF(AND(COUNT(B219:E219)=4,B219&gt;=0,C219&gt;B219,C219&lt;=$B$4,D219&gt;=0,E219&gt;0),IF(COUNTIFS($B$13:$B$218,"&lt;"&amp;C219,$C$13:$C$218,"&gt;"&amp;B219)&gt;0,"OVERLAP","OK"),"CHECK INPUTS"))</f>
        <v/>
      </c>
      <c r="M219" s="124"/>
      <c r="N219" s="125"/>
      <c r="O219" s="125"/>
      <c r="P219" s="125"/>
      <c r="Q219" s="125"/>
      <c r="R219" s="126" t="str">
        <f>IF(V219="OK",P219*Q219,"")</f>
        <v/>
      </c>
      <c r="S219" s="126" t="str">
        <f>IF(V219="OK",R219*(O219-N219),"")</f>
        <v/>
      </c>
      <c r="T219" s="126" t="str">
        <f>IF(V219="OK",S219*(O219+N219)/2,"")</f>
        <v/>
      </c>
      <c r="U219" s="126" t="str">
        <f>IF(AND(V219="OK",ISNUMBER($N$5),$N$5&gt;0,ISNUMBER($N$3),$N$3&gt;0),R219*(4*$N$4*(O219^3-N219^3)-(O219^4-N219^4))/(24*$N$3*1000000*$N$5)*1000,"")</f>
        <v/>
      </c>
      <c r="V219" s="120" t="str">
        <f>IF(COUNTA(M219:Q219)=0,"",IF(AND(COUNT(N219:Q219)=4,N219&gt;=0,O219&gt;N219,O219&lt;=$N$4,P219&gt;=0,Q219&gt;0),IF(COUNTIFS($N$13:$N$218,"&lt;"&amp;O219,$O$13:$O$218,"&gt;"&amp;N219)&gt;0,"OVERLAP","OK"),"CHECK INPUTS"))</f>
        <v/>
      </c>
      <c r="AA219" s="120">
        <f>IF(AND(J219="OK",ISNUMBER($B$5),$B$5&gt;0,ISNUMBER($B$3),$B$3&gt;0),F219/(6*$B$3*1000000*$B$5)*(IF(B219&lt;($B$4*0/10),($B$4*0/10)*(MIN(C219,($B$4*0/10))^3-B219^3)-(MIN(C219,($B$4*0/10))^4-B219^4)/4,0)+IF(C219&gt;($B$4*0/10),($B$4*0/10)^2*(1.5*(C219^2-MAX(B219,($B$4*0/10))^2)-($B$4*0/10)*(C219-MAX(B219,($B$4*0/10)))),0))*1000,0)</f>
        <v>0</v>
      </c>
      <c r="AB219" s="120">
        <f>IF(AND(J219="OK",ISNUMBER($B$5),$B$5&gt;0,ISNUMBER($B$3),$B$3&gt;0),F219/(6*$B$3*1000000*$B$5)*(IF(B219&lt;($B$4*1/10),($B$4*1/10)*(MIN(C219,($B$4*1/10))^3-B219^3)-(MIN(C219,($B$4*1/10))^4-B219^4)/4,0)+IF(C219&gt;($B$4*1/10),($B$4*1/10)^2*(1.5*(C219^2-MAX(B219,($B$4*1/10))^2)-($B$4*1/10)*(C219-MAX(B219,($B$4*1/10)))),0))*1000,0)</f>
        <v>0</v>
      </c>
      <c r="AC219" s="120">
        <f>IF(AND(J219="OK",ISNUMBER($B$5),$B$5&gt;0,ISNUMBER($B$3),$B$3&gt;0),F219/(6*$B$3*1000000*$B$5)*(IF(B219&lt;($B$4*2/10),($B$4*2/10)*(MIN(C219,($B$4*2/10))^3-B219^3)-(MIN(C219,($B$4*2/10))^4-B219^4)/4,0)+IF(C219&gt;($B$4*2/10),($B$4*2/10)^2*(1.5*(C219^2-MAX(B219,($B$4*2/10))^2)-($B$4*2/10)*(C219-MAX(B219,($B$4*2/10)))),0))*1000,0)</f>
        <v>0</v>
      </c>
      <c r="AD219" s="120">
        <f>IF(AND(J219="OK",ISNUMBER($B$5),$B$5&gt;0,ISNUMBER($B$3),$B$3&gt;0),F219/(6*$B$3*1000000*$B$5)*(IF(B219&lt;($B$4*3/10),($B$4*3/10)*(MIN(C219,($B$4*3/10))^3-B219^3)-(MIN(C219,($B$4*3/10))^4-B219^4)/4,0)+IF(C219&gt;($B$4*3/10),($B$4*3/10)^2*(1.5*(C219^2-MAX(B219,($B$4*3/10))^2)-($B$4*3/10)*(C219-MAX(B219,($B$4*3/10)))),0))*1000,0)</f>
        <v>0</v>
      </c>
      <c r="AE219" s="120">
        <f>IF(AND(J219="OK",ISNUMBER($B$5),$B$5&gt;0,ISNUMBER($B$3),$B$3&gt;0),F219/(6*$B$3*1000000*$B$5)*(IF(B219&lt;($B$4*4/10),($B$4*4/10)*(MIN(C219,($B$4*4/10))^3-B219^3)-(MIN(C219,($B$4*4/10))^4-B219^4)/4,0)+IF(C219&gt;($B$4*4/10),($B$4*4/10)^2*(1.5*(C219^2-MAX(B219,($B$4*4/10))^2)-($B$4*4/10)*(C219-MAX(B219,($B$4*4/10)))),0))*1000,0)</f>
        <v>0</v>
      </c>
      <c r="AF219" s="120">
        <f>IF(AND(J219="OK",ISNUMBER($B$5),$B$5&gt;0,ISNUMBER($B$3),$B$3&gt;0),F219/(6*$B$3*1000000*$B$5)*(IF(B219&lt;($B$4*5/10),($B$4*5/10)*(MIN(C219,($B$4*5/10))^3-B219^3)-(MIN(C219,($B$4*5/10))^4-B219^4)/4,0)+IF(C219&gt;($B$4*5/10),($B$4*5/10)^2*(1.5*(C219^2-MAX(B219,($B$4*5/10))^2)-($B$4*5/10)*(C219-MAX(B219,($B$4*5/10)))),0))*1000,0)</f>
        <v>0</v>
      </c>
      <c r="AG219" s="120">
        <f>IF(AND(J219="OK",ISNUMBER($B$5),$B$5&gt;0,ISNUMBER($B$3),$B$3&gt;0),F219/(6*$B$3*1000000*$B$5)*(IF(B219&lt;($B$4*6/10),($B$4*6/10)*(MIN(C219,($B$4*6/10))^3-B219^3)-(MIN(C219,($B$4*6/10))^4-B219^4)/4,0)+IF(C219&gt;($B$4*6/10),($B$4*6/10)^2*(1.5*(C219^2-MAX(B219,($B$4*6/10))^2)-($B$4*6/10)*(C219-MAX(B219,($B$4*6/10)))),0))*1000,0)</f>
        <v>0</v>
      </c>
      <c r="AH219" s="120">
        <f>IF(AND(J219="OK",ISNUMBER($B$5),$B$5&gt;0,ISNUMBER($B$3),$B$3&gt;0),F219/(6*$B$3*1000000*$B$5)*(IF(B219&lt;($B$4*7/10),($B$4*7/10)*(MIN(C219,($B$4*7/10))^3-B219^3)-(MIN(C219,($B$4*7/10))^4-B219^4)/4,0)+IF(C219&gt;($B$4*7/10),($B$4*7/10)^2*(1.5*(C219^2-MAX(B219,($B$4*7/10))^2)-($B$4*7/10)*(C219-MAX(B219,($B$4*7/10)))),0))*1000,0)</f>
        <v>0</v>
      </c>
      <c r="AI219" s="120">
        <f>IF(AND(J219="OK",ISNUMBER($B$5),$B$5&gt;0,ISNUMBER($B$3),$B$3&gt;0),F219/(6*$B$3*1000000*$B$5)*(IF(B219&lt;($B$4*8/10),($B$4*8/10)*(MIN(C219,($B$4*8/10))^3-B219^3)-(MIN(C219,($B$4*8/10))^4-B219^4)/4,0)+IF(C219&gt;($B$4*8/10),($B$4*8/10)^2*(1.5*(C219^2-MAX(B219,($B$4*8/10))^2)-($B$4*8/10)*(C219-MAX(B219,($B$4*8/10)))),0))*1000,0)</f>
        <v>0</v>
      </c>
      <c r="AJ219" s="120">
        <f>IF(AND(J219="OK",ISNUMBER($B$5),$B$5&gt;0,ISNUMBER($B$3),$B$3&gt;0),F219/(6*$B$3*1000000*$B$5)*(IF(B219&lt;($B$4*9/10),($B$4*9/10)*(MIN(C219,($B$4*9/10))^3-B219^3)-(MIN(C219,($B$4*9/10))^4-B219^4)/4,0)+IF(C219&gt;($B$4*9/10),($B$4*9/10)^2*(1.5*(C219^2-MAX(B219,($B$4*9/10))^2)-($B$4*9/10)*(C219-MAX(B219,($B$4*9/10)))),0))*1000,0)</f>
        <v>0</v>
      </c>
      <c r="AK219" s="120">
        <f>IF(AND(J219="OK",ISNUMBER($B$5),$B$5&gt;0,ISNUMBER($B$3),$B$3&gt;0),F219/(6*$B$3*1000000*$B$5)*(IF(B219&lt;($B$4*10/10),($B$4*10/10)*(MIN(C219,($B$4*10/10))^3-B219^3)-(MIN(C219,($B$4*10/10))^4-B219^4)/4,0)+IF(C219&gt;($B$4*10/10),($B$4*10/10)^2*(1.5*(C219^2-MAX(B219,($B$4*10/10))^2)-($B$4*10/10)*(C219-MAX(B219,($B$4*10/10)))),0))*1000,0)</f>
        <v>0</v>
      </c>
      <c r="AM219" s="120">
        <f>IF(AND(V219="OK",ISNUMBER($N$5),$N$5&gt;0,ISNUMBER($N$3),$N$3&gt;0),R219/(6*$N$3*1000000*$N$5)*(IF(N219&lt;($N$4*0/10),($N$4*0/10)*(MIN(O219,($N$4*0/10))^3-N219^3)-(MIN(O219,($N$4*0/10))^4-N219^4)/4,0)+IF(O219&gt;($N$4*0/10),($N$4*0/10)^2*(1.5*(O219^2-MAX(N219,($N$4*0/10))^2)-($N$4*0/10)*(O219-MAX(N219,($N$4*0/10)))),0))*1000,0)</f>
        <v>0</v>
      </c>
      <c r="AN219" s="120">
        <f>IF(AND(V219="OK",ISNUMBER($N$5),$N$5&gt;0,ISNUMBER($N$3),$N$3&gt;0),R219/(6*$N$3*1000000*$N$5)*(IF(N219&lt;($N$4*1/10),($N$4*1/10)*(MIN(O219,($N$4*1/10))^3-N219^3)-(MIN(O219,($N$4*1/10))^4-N219^4)/4,0)+IF(O219&gt;($N$4*1/10),($N$4*1/10)^2*(1.5*(O219^2-MAX(N219,($N$4*1/10))^2)-($N$4*1/10)*(O219-MAX(N219,($N$4*1/10)))),0))*1000,0)</f>
        <v>0</v>
      </c>
      <c r="AO219" s="120">
        <f>IF(AND(V219="OK",ISNUMBER($N$5),$N$5&gt;0,ISNUMBER($N$3),$N$3&gt;0),R219/(6*$N$3*1000000*$N$5)*(IF(N219&lt;($N$4*2/10),($N$4*2/10)*(MIN(O219,($N$4*2/10))^3-N219^3)-(MIN(O219,($N$4*2/10))^4-N219^4)/4,0)+IF(O219&gt;($N$4*2/10),($N$4*2/10)^2*(1.5*(O219^2-MAX(N219,($N$4*2/10))^2)-($N$4*2/10)*(O219-MAX(N219,($N$4*2/10)))),0))*1000,0)</f>
        <v>0</v>
      </c>
      <c r="AP219" s="120">
        <f>IF(AND(V219="OK",ISNUMBER($N$5),$N$5&gt;0,ISNUMBER($N$3),$N$3&gt;0),R219/(6*$N$3*1000000*$N$5)*(IF(N219&lt;($N$4*3/10),($N$4*3/10)*(MIN(O219,($N$4*3/10))^3-N219^3)-(MIN(O219,($N$4*3/10))^4-N219^4)/4,0)+IF(O219&gt;($N$4*3/10),($N$4*3/10)^2*(1.5*(O219^2-MAX(N219,($N$4*3/10))^2)-($N$4*3/10)*(O219-MAX(N219,($N$4*3/10)))),0))*1000,0)</f>
        <v>0</v>
      </c>
      <c r="AQ219" s="120">
        <f>IF(AND(V219="OK",ISNUMBER($N$5),$N$5&gt;0,ISNUMBER($N$3),$N$3&gt;0),R219/(6*$N$3*1000000*$N$5)*(IF(N219&lt;($N$4*4/10),($N$4*4/10)*(MIN(O219,($N$4*4/10))^3-N219^3)-(MIN(O219,($N$4*4/10))^4-N219^4)/4,0)+IF(O219&gt;($N$4*4/10),($N$4*4/10)^2*(1.5*(O219^2-MAX(N219,($N$4*4/10))^2)-($N$4*4/10)*(O219-MAX(N219,($N$4*4/10)))),0))*1000,0)</f>
        <v>0</v>
      </c>
      <c r="AR219" s="120">
        <f>IF(AND(V219="OK",ISNUMBER($N$5),$N$5&gt;0,ISNUMBER($N$3),$N$3&gt;0),R219/(6*$N$3*1000000*$N$5)*(IF(N219&lt;($N$4*5/10),($N$4*5/10)*(MIN(O219,($N$4*5/10))^3-N219^3)-(MIN(O219,($N$4*5/10))^4-N219^4)/4,0)+IF(O219&gt;($N$4*5/10),($N$4*5/10)^2*(1.5*(O219^2-MAX(N219,($N$4*5/10))^2)-($N$4*5/10)*(O219-MAX(N219,($N$4*5/10)))),0))*1000,0)</f>
        <v>0</v>
      </c>
      <c r="AS219" s="120">
        <f>IF(AND(V219="OK",ISNUMBER($N$5),$N$5&gt;0,ISNUMBER($N$3),$N$3&gt;0),R219/(6*$N$3*1000000*$N$5)*(IF(N219&lt;($N$4*6/10),($N$4*6/10)*(MIN(O219,($N$4*6/10))^3-N219^3)-(MIN(O219,($N$4*6/10))^4-N219^4)/4,0)+IF(O219&gt;($N$4*6/10),($N$4*6/10)^2*(1.5*(O219^2-MAX(N219,($N$4*6/10))^2)-($N$4*6/10)*(O219-MAX(N219,($N$4*6/10)))),0))*1000,0)</f>
        <v>0</v>
      </c>
      <c r="AT219" s="120">
        <f>IF(AND(V219="OK",ISNUMBER($N$5),$N$5&gt;0,ISNUMBER($N$3),$N$3&gt;0),R219/(6*$N$3*1000000*$N$5)*(IF(N219&lt;($N$4*7/10),($N$4*7/10)*(MIN(O219,($N$4*7/10))^3-N219^3)-(MIN(O219,($N$4*7/10))^4-N219^4)/4,0)+IF(O219&gt;($N$4*7/10),($N$4*7/10)^2*(1.5*(O219^2-MAX(N219,($N$4*7/10))^2)-($N$4*7/10)*(O219-MAX(N219,($N$4*7/10)))),0))*1000,0)</f>
        <v>0</v>
      </c>
      <c r="AU219" s="120">
        <f>IF(AND(V219="OK",ISNUMBER($N$5),$N$5&gt;0,ISNUMBER($N$3),$N$3&gt;0),R219/(6*$N$3*1000000*$N$5)*(IF(N219&lt;($N$4*8/10),($N$4*8/10)*(MIN(O219,($N$4*8/10))^3-N219^3)-(MIN(O219,($N$4*8/10))^4-N219^4)/4,0)+IF(O219&gt;($N$4*8/10),($N$4*8/10)^2*(1.5*(O219^2-MAX(N219,($N$4*8/10))^2)-($N$4*8/10)*(O219-MAX(N219,($N$4*8/10)))),0))*1000,0)</f>
        <v>0</v>
      </c>
      <c r="AV219" s="120">
        <f>IF(AND(V219="OK",ISNUMBER($N$5),$N$5&gt;0,ISNUMBER($N$3),$N$3&gt;0),R219/(6*$N$3*1000000*$N$5)*(IF(N219&lt;($N$4*9/10),($N$4*9/10)*(MIN(O219,($N$4*9/10))^3-N219^3)-(MIN(O219,($N$4*9/10))^4-N219^4)/4,0)+IF(O219&gt;($N$4*9/10),($N$4*9/10)^2*(1.5*(O219^2-MAX(N219,($N$4*9/10))^2)-($N$4*9/10)*(O219-MAX(N219,($N$4*9/10)))),0))*1000,0)</f>
        <v>0</v>
      </c>
      <c r="AW219" s="120">
        <f>IF(AND(V219="OK",ISNUMBER($N$5),$N$5&gt;0,ISNUMBER($N$3),$N$3&gt;0),R219/(6*$N$3*1000000*$N$5)*(IF(N219&lt;($N$4*10/10),($N$4*10/10)*(MIN(O219,($N$4*10/10))^3-N219^3)-(MIN(O219,($N$4*10/10))^4-N219^4)/4,0)+IF(O219&gt;($N$4*10/10),($N$4*10/10)^2*(1.5*(O219^2-MAX(N219,($N$4*10/10))^2)-($N$4*10/10)*(O219-MAX(N219,($N$4*10/10)))),0))*1000,0)</f>
        <v>0</v>
      </c>
    </row>
    <row r="220" spans="1:49">
      <c r="A220" s="124"/>
      <c r="B220" s="125"/>
      <c r="C220" s="125"/>
      <c r="D220" s="125"/>
      <c r="E220" s="125"/>
      <c r="F220" s="126" t="str">
        <f>IF(J220="OK",D220*E220,"")</f>
        <v/>
      </c>
      <c r="G220" s="126" t="str">
        <f>IF(J220="OK",F220*(C220-B220),"")</f>
        <v/>
      </c>
      <c r="H220" s="126" t="str">
        <f>IF(J220="OK",G220*(C220+B220)/2,"")</f>
        <v/>
      </c>
      <c r="I220" s="126" t="str">
        <f>IF(AND(J220="OK",ISNUMBER($B$5),$B$5&gt;0,ISNUMBER($B$3),$B$3&gt;0),F220*(4*$B$4*(C220^3-B220^3)-(C220^4-B220^4))/(24*$B$3*1000000*$B$5)*1000,"")</f>
        <v/>
      </c>
      <c r="J220" s="120" t="str">
        <f>IF(COUNTA(A220:E220)=0,"",IF(AND(COUNT(B220:E220)=4,B220&gt;=0,C220&gt;B220,C220&lt;=$B$4,D220&gt;=0,E220&gt;0),IF(COUNTIFS($B$13:$B$219,"&lt;"&amp;C220,$C$13:$C$219,"&gt;"&amp;B220)&gt;0,"OVERLAP","OK"),"CHECK INPUTS"))</f>
        <v/>
      </c>
      <c r="M220" s="124"/>
      <c r="N220" s="125"/>
      <c r="O220" s="125"/>
      <c r="P220" s="125"/>
      <c r="Q220" s="125"/>
      <c r="R220" s="126" t="str">
        <f>IF(V220="OK",P220*Q220,"")</f>
        <v/>
      </c>
      <c r="S220" s="126" t="str">
        <f>IF(V220="OK",R220*(O220-N220),"")</f>
        <v/>
      </c>
      <c r="T220" s="126" t="str">
        <f>IF(V220="OK",S220*(O220+N220)/2,"")</f>
        <v/>
      </c>
      <c r="U220" s="126" t="str">
        <f>IF(AND(V220="OK",ISNUMBER($N$5),$N$5&gt;0,ISNUMBER($N$3),$N$3&gt;0),R220*(4*$N$4*(O220^3-N220^3)-(O220^4-N220^4))/(24*$N$3*1000000*$N$5)*1000,"")</f>
        <v/>
      </c>
      <c r="V220" s="120" t="str">
        <f>IF(COUNTA(M220:Q220)=0,"",IF(AND(COUNT(N220:Q220)=4,N220&gt;=0,O220&gt;N220,O220&lt;=$N$4,P220&gt;=0,Q220&gt;0),IF(COUNTIFS($N$13:$N$219,"&lt;"&amp;O220,$O$13:$O$219,"&gt;"&amp;N220)&gt;0,"OVERLAP","OK"),"CHECK INPUTS"))</f>
        <v/>
      </c>
      <c r="AA220" s="120">
        <f>IF(AND(J220="OK",ISNUMBER($B$5),$B$5&gt;0,ISNUMBER($B$3),$B$3&gt;0),F220/(6*$B$3*1000000*$B$5)*(IF(B220&lt;($B$4*0/10),($B$4*0/10)*(MIN(C220,($B$4*0/10))^3-B220^3)-(MIN(C220,($B$4*0/10))^4-B220^4)/4,0)+IF(C220&gt;($B$4*0/10),($B$4*0/10)^2*(1.5*(C220^2-MAX(B220,($B$4*0/10))^2)-($B$4*0/10)*(C220-MAX(B220,($B$4*0/10)))),0))*1000,0)</f>
        <v>0</v>
      </c>
      <c r="AB220" s="120">
        <f>IF(AND(J220="OK",ISNUMBER($B$5),$B$5&gt;0,ISNUMBER($B$3),$B$3&gt;0),F220/(6*$B$3*1000000*$B$5)*(IF(B220&lt;($B$4*1/10),($B$4*1/10)*(MIN(C220,($B$4*1/10))^3-B220^3)-(MIN(C220,($B$4*1/10))^4-B220^4)/4,0)+IF(C220&gt;($B$4*1/10),($B$4*1/10)^2*(1.5*(C220^2-MAX(B220,($B$4*1/10))^2)-($B$4*1/10)*(C220-MAX(B220,($B$4*1/10)))),0))*1000,0)</f>
        <v>0</v>
      </c>
      <c r="AC220" s="120">
        <f>IF(AND(J220="OK",ISNUMBER($B$5),$B$5&gt;0,ISNUMBER($B$3),$B$3&gt;0),F220/(6*$B$3*1000000*$B$5)*(IF(B220&lt;($B$4*2/10),($B$4*2/10)*(MIN(C220,($B$4*2/10))^3-B220^3)-(MIN(C220,($B$4*2/10))^4-B220^4)/4,0)+IF(C220&gt;($B$4*2/10),($B$4*2/10)^2*(1.5*(C220^2-MAX(B220,($B$4*2/10))^2)-($B$4*2/10)*(C220-MAX(B220,($B$4*2/10)))),0))*1000,0)</f>
        <v>0</v>
      </c>
      <c r="AD220" s="120">
        <f>IF(AND(J220="OK",ISNUMBER($B$5),$B$5&gt;0,ISNUMBER($B$3),$B$3&gt;0),F220/(6*$B$3*1000000*$B$5)*(IF(B220&lt;($B$4*3/10),($B$4*3/10)*(MIN(C220,($B$4*3/10))^3-B220^3)-(MIN(C220,($B$4*3/10))^4-B220^4)/4,0)+IF(C220&gt;($B$4*3/10),($B$4*3/10)^2*(1.5*(C220^2-MAX(B220,($B$4*3/10))^2)-($B$4*3/10)*(C220-MAX(B220,($B$4*3/10)))),0))*1000,0)</f>
        <v>0</v>
      </c>
      <c r="AE220" s="120">
        <f>IF(AND(J220="OK",ISNUMBER($B$5),$B$5&gt;0,ISNUMBER($B$3),$B$3&gt;0),F220/(6*$B$3*1000000*$B$5)*(IF(B220&lt;($B$4*4/10),($B$4*4/10)*(MIN(C220,($B$4*4/10))^3-B220^3)-(MIN(C220,($B$4*4/10))^4-B220^4)/4,0)+IF(C220&gt;($B$4*4/10),($B$4*4/10)^2*(1.5*(C220^2-MAX(B220,($B$4*4/10))^2)-($B$4*4/10)*(C220-MAX(B220,($B$4*4/10)))),0))*1000,0)</f>
        <v>0</v>
      </c>
      <c r="AF220" s="120">
        <f>IF(AND(J220="OK",ISNUMBER($B$5),$B$5&gt;0,ISNUMBER($B$3),$B$3&gt;0),F220/(6*$B$3*1000000*$B$5)*(IF(B220&lt;($B$4*5/10),($B$4*5/10)*(MIN(C220,($B$4*5/10))^3-B220^3)-(MIN(C220,($B$4*5/10))^4-B220^4)/4,0)+IF(C220&gt;($B$4*5/10),($B$4*5/10)^2*(1.5*(C220^2-MAX(B220,($B$4*5/10))^2)-($B$4*5/10)*(C220-MAX(B220,($B$4*5/10)))),0))*1000,0)</f>
        <v>0</v>
      </c>
      <c r="AG220" s="120">
        <f>IF(AND(J220="OK",ISNUMBER($B$5),$B$5&gt;0,ISNUMBER($B$3),$B$3&gt;0),F220/(6*$B$3*1000000*$B$5)*(IF(B220&lt;($B$4*6/10),($B$4*6/10)*(MIN(C220,($B$4*6/10))^3-B220^3)-(MIN(C220,($B$4*6/10))^4-B220^4)/4,0)+IF(C220&gt;($B$4*6/10),($B$4*6/10)^2*(1.5*(C220^2-MAX(B220,($B$4*6/10))^2)-($B$4*6/10)*(C220-MAX(B220,($B$4*6/10)))),0))*1000,0)</f>
        <v>0</v>
      </c>
      <c r="AH220" s="120">
        <f>IF(AND(J220="OK",ISNUMBER($B$5),$B$5&gt;0,ISNUMBER($B$3),$B$3&gt;0),F220/(6*$B$3*1000000*$B$5)*(IF(B220&lt;($B$4*7/10),($B$4*7/10)*(MIN(C220,($B$4*7/10))^3-B220^3)-(MIN(C220,($B$4*7/10))^4-B220^4)/4,0)+IF(C220&gt;($B$4*7/10),($B$4*7/10)^2*(1.5*(C220^2-MAX(B220,($B$4*7/10))^2)-($B$4*7/10)*(C220-MAX(B220,($B$4*7/10)))),0))*1000,0)</f>
        <v>0</v>
      </c>
      <c r="AI220" s="120">
        <f>IF(AND(J220="OK",ISNUMBER($B$5),$B$5&gt;0,ISNUMBER($B$3),$B$3&gt;0),F220/(6*$B$3*1000000*$B$5)*(IF(B220&lt;($B$4*8/10),($B$4*8/10)*(MIN(C220,($B$4*8/10))^3-B220^3)-(MIN(C220,($B$4*8/10))^4-B220^4)/4,0)+IF(C220&gt;($B$4*8/10),($B$4*8/10)^2*(1.5*(C220^2-MAX(B220,($B$4*8/10))^2)-($B$4*8/10)*(C220-MAX(B220,($B$4*8/10)))),0))*1000,0)</f>
        <v>0</v>
      </c>
      <c r="AJ220" s="120">
        <f>IF(AND(J220="OK",ISNUMBER($B$5),$B$5&gt;0,ISNUMBER($B$3),$B$3&gt;0),F220/(6*$B$3*1000000*$B$5)*(IF(B220&lt;($B$4*9/10),($B$4*9/10)*(MIN(C220,($B$4*9/10))^3-B220^3)-(MIN(C220,($B$4*9/10))^4-B220^4)/4,0)+IF(C220&gt;($B$4*9/10),($B$4*9/10)^2*(1.5*(C220^2-MAX(B220,($B$4*9/10))^2)-($B$4*9/10)*(C220-MAX(B220,($B$4*9/10)))),0))*1000,0)</f>
        <v>0</v>
      </c>
      <c r="AK220" s="120">
        <f>IF(AND(J220="OK",ISNUMBER($B$5),$B$5&gt;0,ISNUMBER($B$3),$B$3&gt;0),F220/(6*$B$3*1000000*$B$5)*(IF(B220&lt;($B$4*10/10),($B$4*10/10)*(MIN(C220,($B$4*10/10))^3-B220^3)-(MIN(C220,($B$4*10/10))^4-B220^4)/4,0)+IF(C220&gt;($B$4*10/10),($B$4*10/10)^2*(1.5*(C220^2-MAX(B220,($B$4*10/10))^2)-($B$4*10/10)*(C220-MAX(B220,($B$4*10/10)))),0))*1000,0)</f>
        <v>0</v>
      </c>
      <c r="AM220" s="120">
        <f>IF(AND(V220="OK",ISNUMBER($N$5),$N$5&gt;0,ISNUMBER($N$3),$N$3&gt;0),R220/(6*$N$3*1000000*$N$5)*(IF(N220&lt;($N$4*0/10),($N$4*0/10)*(MIN(O220,($N$4*0/10))^3-N220^3)-(MIN(O220,($N$4*0/10))^4-N220^4)/4,0)+IF(O220&gt;($N$4*0/10),($N$4*0/10)^2*(1.5*(O220^2-MAX(N220,($N$4*0/10))^2)-($N$4*0/10)*(O220-MAX(N220,($N$4*0/10)))),0))*1000,0)</f>
        <v>0</v>
      </c>
      <c r="AN220" s="120">
        <f>IF(AND(V220="OK",ISNUMBER($N$5),$N$5&gt;0,ISNUMBER($N$3),$N$3&gt;0),R220/(6*$N$3*1000000*$N$5)*(IF(N220&lt;($N$4*1/10),($N$4*1/10)*(MIN(O220,($N$4*1/10))^3-N220^3)-(MIN(O220,($N$4*1/10))^4-N220^4)/4,0)+IF(O220&gt;($N$4*1/10),($N$4*1/10)^2*(1.5*(O220^2-MAX(N220,($N$4*1/10))^2)-($N$4*1/10)*(O220-MAX(N220,($N$4*1/10)))),0))*1000,0)</f>
        <v>0</v>
      </c>
      <c r="AO220" s="120">
        <f>IF(AND(V220="OK",ISNUMBER($N$5),$N$5&gt;0,ISNUMBER($N$3),$N$3&gt;0),R220/(6*$N$3*1000000*$N$5)*(IF(N220&lt;($N$4*2/10),($N$4*2/10)*(MIN(O220,($N$4*2/10))^3-N220^3)-(MIN(O220,($N$4*2/10))^4-N220^4)/4,0)+IF(O220&gt;($N$4*2/10),($N$4*2/10)^2*(1.5*(O220^2-MAX(N220,($N$4*2/10))^2)-($N$4*2/10)*(O220-MAX(N220,($N$4*2/10)))),0))*1000,0)</f>
        <v>0</v>
      </c>
      <c r="AP220" s="120">
        <f>IF(AND(V220="OK",ISNUMBER($N$5),$N$5&gt;0,ISNUMBER($N$3),$N$3&gt;0),R220/(6*$N$3*1000000*$N$5)*(IF(N220&lt;($N$4*3/10),($N$4*3/10)*(MIN(O220,($N$4*3/10))^3-N220^3)-(MIN(O220,($N$4*3/10))^4-N220^4)/4,0)+IF(O220&gt;($N$4*3/10),($N$4*3/10)^2*(1.5*(O220^2-MAX(N220,($N$4*3/10))^2)-($N$4*3/10)*(O220-MAX(N220,($N$4*3/10)))),0))*1000,0)</f>
        <v>0</v>
      </c>
      <c r="AQ220" s="120">
        <f>IF(AND(V220="OK",ISNUMBER($N$5),$N$5&gt;0,ISNUMBER($N$3),$N$3&gt;0),R220/(6*$N$3*1000000*$N$5)*(IF(N220&lt;($N$4*4/10),($N$4*4/10)*(MIN(O220,($N$4*4/10))^3-N220^3)-(MIN(O220,($N$4*4/10))^4-N220^4)/4,0)+IF(O220&gt;($N$4*4/10),($N$4*4/10)^2*(1.5*(O220^2-MAX(N220,($N$4*4/10))^2)-($N$4*4/10)*(O220-MAX(N220,($N$4*4/10)))),0))*1000,0)</f>
        <v>0</v>
      </c>
      <c r="AR220" s="120">
        <f>IF(AND(V220="OK",ISNUMBER($N$5),$N$5&gt;0,ISNUMBER($N$3),$N$3&gt;0),R220/(6*$N$3*1000000*$N$5)*(IF(N220&lt;($N$4*5/10),($N$4*5/10)*(MIN(O220,($N$4*5/10))^3-N220^3)-(MIN(O220,($N$4*5/10))^4-N220^4)/4,0)+IF(O220&gt;($N$4*5/10),($N$4*5/10)^2*(1.5*(O220^2-MAX(N220,($N$4*5/10))^2)-($N$4*5/10)*(O220-MAX(N220,($N$4*5/10)))),0))*1000,0)</f>
        <v>0</v>
      </c>
      <c r="AS220" s="120">
        <f>IF(AND(V220="OK",ISNUMBER($N$5),$N$5&gt;0,ISNUMBER($N$3),$N$3&gt;0),R220/(6*$N$3*1000000*$N$5)*(IF(N220&lt;($N$4*6/10),($N$4*6/10)*(MIN(O220,($N$4*6/10))^3-N220^3)-(MIN(O220,($N$4*6/10))^4-N220^4)/4,0)+IF(O220&gt;($N$4*6/10),($N$4*6/10)^2*(1.5*(O220^2-MAX(N220,($N$4*6/10))^2)-($N$4*6/10)*(O220-MAX(N220,($N$4*6/10)))),0))*1000,0)</f>
        <v>0</v>
      </c>
      <c r="AT220" s="120">
        <f>IF(AND(V220="OK",ISNUMBER($N$5),$N$5&gt;0,ISNUMBER($N$3),$N$3&gt;0),R220/(6*$N$3*1000000*$N$5)*(IF(N220&lt;($N$4*7/10),($N$4*7/10)*(MIN(O220,($N$4*7/10))^3-N220^3)-(MIN(O220,($N$4*7/10))^4-N220^4)/4,0)+IF(O220&gt;($N$4*7/10),($N$4*7/10)^2*(1.5*(O220^2-MAX(N220,($N$4*7/10))^2)-($N$4*7/10)*(O220-MAX(N220,($N$4*7/10)))),0))*1000,0)</f>
        <v>0</v>
      </c>
      <c r="AU220" s="120">
        <f>IF(AND(V220="OK",ISNUMBER($N$5),$N$5&gt;0,ISNUMBER($N$3),$N$3&gt;0),R220/(6*$N$3*1000000*$N$5)*(IF(N220&lt;($N$4*8/10),($N$4*8/10)*(MIN(O220,($N$4*8/10))^3-N220^3)-(MIN(O220,($N$4*8/10))^4-N220^4)/4,0)+IF(O220&gt;($N$4*8/10),($N$4*8/10)^2*(1.5*(O220^2-MAX(N220,($N$4*8/10))^2)-($N$4*8/10)*(O220-MAX(N220,($N$4*8/10)))),0))*1000,0)</f>
        <v>0</v>
      </c>
      <c r="AV220" s="120">
        <f>IF(AND(V220="OK",ISNUMBER($N$5),$N$5&gt;0,ISNUMBER($N$3),$N$3&gt;0),R220/(6*$N$3*1000000*$N$5)*(IF(N220&lt;($N$4*9/10),($N$4*9/10)*(MIN(O220,($N$4*9/10))^3-N220^3)-(MIN(O220,($N$4*9/10))^4-N220^4)/4,0)+IF(O220&gt;($N$4*9/10),($N$4*9/10)^2*(1.5*(O220^2-MAX(N220,($N$4*9/10))^2)-($N$4*9/10)*(O220-MAX(N220,($N$4*9/10)))),0))*1000,0)</f>
        <v>0</v>
      </c>
      <c r="AW220" s="120">
        <f>IF(AND(V220="OK",ISNUMBER($N$5),$N$5&gt;0,ISNUMBER($N$3),$N$3&gt;0),R220/(6*$N$3*1000000*$N$5)*(IF(N220&lt;($N$4*10/10),($N$4*10/10)*(MIN(O220,($N$4*10/10))^3-N220^3)-(MIN(O220,($N$4*10/10))^4-N220^4)/4,0)+IF(O220&gt;($N$4*10/10),($N$4*10/10)^2*(1.5*(O220^2-MAX(N220,($N$4*10/10))^2)-($N$4*10/10)*(O220-MAX(N220,($N$4*10/10)))),0))*1000,0)</f>
        <v>0</v>
      </c>
    </row>
    <row r="221" spans="1:49">
      <c r="A221" s="124"/>
      <c r="B221" s="125"/>
      <c r="C221" s="125"/>
      <c r="D221" s="125"/>
      <c r="E221" s="125"/>
      <c r="F221" s="126" t="str">
        <f>IF(J221="OK",D221*E221,"")</f>
        <v/>
      </c>
      <c r="G221" s="126" t="str">
        <f>IF(J221="OK",F221*(C221-B221),"")</f>
        <v/>
      </c>
      <c r="H221" s="126" t="str">
        <f>IF(J221="OK",G221*(C221+B221)/2,"")</f>
        <v/>
      </c>
      <c r="I221" s="126" t="str">
        <f>IF(AND(J221="OK",ISNUMBER($B$5),$B$5&gt;0,ISNUMBER($B$3),$B$3&gt;0),F221*(4*$B$4*(C221^3-B221^3)-(C221^4-B221^4))/(24*$B$3*1000000*$B$5)*1000,"")</f>
        <v/>
      </c>
      <c r="J221" s="120" t="str">
        <f>IF(COUNTA(A221:E221)=0,"",IF(AND(COUNT(B221:E221)=4,B221&gt;=0,C221&gt;B221,C221&lt;=$B$4,D221&gt;=0,E221&gt;0),IF(COUNTIFS($B$13:$B$220,"&lt;"&amp;C221,$C$13:$C$220,"&gt;"&amp;B221)&gt;0,"OVERLAP","OK"),"CHECK INPUTS"))</f>
        <v/>
      </c>
      <c r="M221" s="124"/>
      <c r="N221" s="125"/>
      <c r="O221" s="125"/>
      <c r="P221" s="125"/>
      <c r="Q221" s="125"/>
      <c r="R221" s="126" t="str">
        <f>IF(V221="OK",P221*Q221,"")</f>
        <v/>
      </c>
      <c r="S221" s="126" t="str">
        <f>IF(V221="OK",R221*(O221-N221),"")</f>
        <v/>
      </c>
      <c r="T221" s="126" t="str">
        <f>IF(V221="OK",S221*(O221+N221)/2,"")</f>
        <v/>
      </c>
      <c r="U221" s="126" t="str">
        <f>IF(AND(V221="OK",ISNUMBER($N$5),$N$5&gt;0,ISNUMBER($N$3),$N$3&gt;0),R221*(4*$N$4*(O221^3-N221^3)-(O221^4-N221^4))/(24*$N$3*1000000*$N$5)*1000,"")</f>
        <v/>
      </c>
      <c r="V221" s="120" t="str">
        <f>IF(COUNTA(M221:Q221)=0,"",IF(AND(COUNT(N221:Q221)=4,N221&gt;=0,O221&gt;N221,O221&lt;=$N$4,P221&gt;=0,Q221&gt;0),IF(COUNTIFS($N$13:$N$220,"&lt;"&amp;O221,$O$13:$O$220,"&gt;"&amp;N221)&gt;0,"OVERLAP","OK"),"CHECK INPUTS"))</f>
        <v/>
      </c>
      <c r="AA221" s="120">
        <f>IF(AND(J221="OK",ISNUMBER($B$5),$B$5&gt;0,ISNUMBER($B$3),$B$3&gt;0),F221/(6*$B$3*1000000*$B$5)*(IF(B221&lt;($B$4*0/10),($B$4*0/10)*(MIN(C221,($B$4*0/10))^3-B221^3)-(MIN(C221,($B$4*0/10))^4-B221^4)/4,0)+IF(C221&gt;($B$4*0/10),($B$4*0/10)^2*(1.5*(C221^2-MAX(B221,($B$4*0/10))^2)-($B$4*0/10)*(C221-MAX(B221,($B$4*0/10)))),0))*1000,0)</f>
        <v>0</v>
      </c>
      <c r="AB221" s="120">
        <f>IF(AND(J221="OK",ISNUMBER($B$5),$B$5&gt;0,ISNUMBER($B$3),$B$3&gt;0),F221/(6*$B$3*1000000*$B$5)*(IF(B221&lt;($B$4*1/10),($B$4*1/10)*(MIN(C221,($B$4*1/10))^3-B221^3)-(MIN(C221,($B$4*1/10))^4-B221^4)/4,0)+IF(C221&gt;($B$4*1/10),($B$4*1/10)^2*(1.5*(C221^2-MAX(B221,($B$4*1/10))^2)-($B$4*1/10)*(C221-MAX(B221,($B$4*1/10)))),0))*1000,0)</f>
        <v>0</v>
      </c>
      <c r="AC221" s="120">
        <f>IF(AND(J221="OK",ISNUMBER($B$5),$B$5&gt;0,ISNUMBER($B$3),$B$3&gt;0),F221/(6*$B$3*1000000*$B$5)*(IF(B221&lt;($B$4*2/10),($B$4*2/10)*(MIN(C221,($B$4*2/10))^3-B221^3)-(MIN(C221,($B$4*2/10))^4-B221^4)/4,0)+IF(C221&gt;($B$4*2/10),($B$4*2/10)^2*(1.5*(C221^2-MAX(B221,($B$4*2/10))^2)-($B$4*2/10)*(C221-MAX(B221,($B$4*2/10)))),0))*1000,0)</f>
        <v>0</v>
      </c>
      <c r="AD221" s="120">
        <f>IF(AND(J221="OK",ISNUMBER($B$5),$B$5&gt;0,ISNUMBER($B$3),$B$3&gt;0),F221/(6*$B$3*1000000*$B$5)*(IF(B221&lt;($B$4*3/10),($B$4*3/10)*(MIN(C221,($B$4*3/10))^3-B221^3)-(MIN(C221,($B$4*3/10))^4-B221^4)/4,0)+IF(C221&gt;($B$4*3/10),($B$4*3/10)^2*(1.5*(C221^2-MAX(B221,($B$4*3/10))^2)-($B$4*3/10)*(C221-MAX(B221,($B$4*3/10)))),0))*1000,0)</f>
        <v>0</v>
      </c>
      <c r="AE221" s="120">
        <f>IF(AND(J221="OK",ISNUMBER($B$5),$B$5&gt;0,ISNUMBER($B$3),$B$3&gt;0),F221/(6*$B$3*1000000*$B$5)*(IF(B221&lt;($B$4*4/10),($B$4*4/10)*(MIN(C221,($B$4*4/10))^3-B221^3)-(MIN(C221,($B$4*4/10))^4-B221^4)/4,0)+IF(C221&gt;($B$4*4/10),($B$4*4/10)^2*(1.5*(C221^2-MAX(B221,($B$4*4/10))^2)-($B$4*4/10)*(C221-MAX(B221,($B$4*4/10)))),0))*1000,0)</f>
        <v>0</v>
      </c>
      <c r="AF221" s="120">
        <f>IF(AND(J221="OK",ISNUMBER($B$5),$B$5&gt;0,ISNUMBER($B$3),$B$3&gt;0),F221/(6*$B$3*1000000*$B$5)*(IF(B221&lt;($B$4*5/10),($B$4*5/10)*(MIN(C221,($B$4*5/10))^3-B221^3)-(MIN(C221,($B$4*5/10))^4-B221^4)/4,0)+IF(C221&gt;($B$4*5/10),($B$4*5/10)^2*(1.5*(C221^2-MAX(B221,($B$4*5/10))^2)-($B$4*5/10)*(C221-MAX(B221,($B$4*5/10)))),0))*1000,0)</f>
        <v>0</v>
      </c>
      <c r="AG221" s="120">
        <f>IF(AND(J221="OK",ISNUMBER($B$5),$B$5&gt;0,ISNUMBER($B$3),$B$3&gt;0),F221/(6*$B$3*1000000*$B$5)*(IF(B221&lt;($B$4*6/10),($B$4*6/10)*(MIN(C221,($B$4*6/10))^3-B221^3)-(MIN(C221,($B$4*6/10))^4-B221^4)/4,0)+IF(C221&gt;($B$4*6/10),($B$4*6/10)^2*(1.5*(C221^2-MAX(B221,($B$4*6/10))^2)-($B$4*6/10)*(C221-MAX(B221,($B$4*6/10)))),0))*1000,0)</f>
        <v>0</v>
      </c>
      <c r="AH221" s="120">
        <f>IF(AND(J221="OK",ISNUMBER($B$5),$B$5&gt;0,ISNUMBER($B$3),$B$3&gt;0),F221/(6*$B$3*1000000*$B$5)*(IF(B221&lt;($B$4*7/10),($B$4*7/10)*(MIN(C221,($B$4*7/10))^3-B221^3)-(MIN(C221,($B$4*7/10))^4-B221^4)/4,0)+IF(C221&gt;($B$4*7/10),($B$4*7/10)^2*(1.5*(C221^2-MAX(B221,($B$4*7/10))^2)-($B$4*7/10)*(C221-MAX(B221,($B$4*7/10)))),0))*1000,0)</f>
        <v>0</v>
      </c>
      <c r="AI221" s="120">
        <f>IF(AND(J221="OK",ISNUMBER($B$5),$B$5&gt;0,ISNUMBER($B$3),$B$3&gt;0),F221/(6*$B$3*1000000*$B$5)*(IF(B221&lt;($B$4*8/10),($B$4*8/10)*(MIN(C221,($B$4*8/10))^3-B221^3)-(MIN(C221,($B$4*8/10))^4-B221^4)/4,0)+IF(C221&gt;($B$4*8/10),($B$4*8/10)^2*(1.5*(C221^2-MAX(B221,($B$4*8/10))^2)-($B$4*8/10)*(C221-MAX(B221,($B$4*8/10)))),0))*1000,0)</f>
        <v>0</v>
      </c>
      <c r="AJ221" s="120">
        <f>IF(AND(J221="OK",ISNUMBER($B$5),$B$5&gt;0,ISNUMBER($B$3),$B$3&gt;0),F221/(6*$B$3*1000000*$B$5)*(IF(B221&lt;($B$4*9/10),($B$4*9/10)*(MIN(C221,($B$4*9/10))^3-B221^3)-(MIN(C221,($B$4*9/10))^4-B221^4)/4,0)+IF(C221&gt;($B$4*9/10),($B$4*9/10)^2*(1.5*(C221^2-MAX(B221,($B$4*9/10))^2)-($B$4*9/10)*(C221-MAX(B221,($B$4*9/10)))),0))*1000,0)</f>
        <v>0</v>
      </c>
      <c r="AK221" s="120">
        <f>IF(AND(J221="OK",ISNUMBER($B$5),$B$5&gt;0,ISNUMBER($B$3),$B$3&gt;0),F221/(6*$B$3*1000000*$B$5)*(IF(B221&lt;($B$4*10/10),($B$4*10/10)*(MIN(C221,($B$4*10/10))^3-B221^3)-(MIN(C221,($B$4*10/10))^4-B221^4)/4,0)+IF(C221&gt;($B$4*10/10),($B$4*10/10)^2*(1.5*(C221^2-MAX(B221,($B$4*10/10))^2)-($B$4*10/10)*(C221-MAX(B221,($B$4*10/10)))),0))*1000,0)</f>
        <v>0</v>
      </c>
      <c r="AM221" s="120">
        <f>IF(AND(V221="OK",ISNUMBER($N$5),$N$5&gt;0,ISNUMBER($N$3),$N$3&gt;0),R221/(6*$N$3*1000000*$N$5)*(IF(N221&lt;($N$4*0/10),($N$4*0/10)*(MIN(O221,($N$4*0/10))^3-N221^3)-(MIN(O221,($N$4*0/10))^4-N221^4)/4,0)+IF(O221&gt;($N$4*0/10),($N$4*0/10)^2*(1.5*(O221^2-MAX(N221,($N$4*0/10))^2)-($N$4*0/10)*(O221-MAX(N221,($N$4*0/10)))),0))*1000,0)</f>
        <v>0</v>
      </c>
      <c r="AN221" s="120">
        <f>IF(AND(V221="OK",ISNUMBER($N$5),$N$5&gt;0,ISNUMBER($N$3),$N$3&gt;0),R221/(6*$N$3*1000000*$N$5)*(IF(N221&lt;($N$4*1/10),($N$4*1/10)*(MIN(O221,($N$4*1/10))^3-N221^3)-(MIN(O221,($N$4*1/10))^4-N221^4)/4,0)+IF(O221&gt;($N$4*1/10),($N$4*1/10)^2*(1.5*(O221^2-MAX(N221,($N$4*1/10))^2)-($N$4*1/10)*(O221-MAX(N221,($N$4*1/10)))),0))*1000,0)</f>
        <v>0</v>
      </c>
      <c r="AO221" s="120">
        <f>IF(AND(V221="OK",ISNUMBER($N$5),$N$5&gt;0,ISNUMBER($N$3),$N$3&gt;0),R221/(6*$N$3*1000000*$N$5)*(IF(N221&lt;($N$4*2/10),($N$4*2/10)*(MIN(O221,($N$4*2/10))^3-N221^3)-(MIN(O221,($N$4*2/10))^4-N221^4)/4,0)+IF(O221&gt;($N$4*2/10),($N$4*2/10)^2*(1.5*(O221^2-MAX(N221,($N$4*2/10))^2)-($N$4*2/10)*(O221-MAX(N221,($N$4*2/10)))),0))*1000,0)</f>
        <v>0</v>
      </c>
      <c r="AP221" s="120">
        <f>IF(AND(V221="OK",ISNUMBER($N$5),$N$5&gt;0,ISNUMBER($N$3),$N$3&gt;0),R221/(6*$N$3*1000000*$N$5)*(IF(N221&lt;($N$4*3/10),($N$4*3/10)*(MIN(O221,($N$4*3/10))^3-N221^3)-(MIN(O221,($N$4*3/10))^4-N221^4)/4,0)+IF(O221&gt;($N$4*3/10),($N$4*3/10)^2*(1.5*(O221^2-MAX(N221,($N$4*3/10))^2)-($N$4*3/10)*(O221-MAX(N221,($N$4*3/10)))),0))*1000,0)</f>
        <v>0</v>
      </c>
      <c r="AQ221" s="120">
        <f>IF(AND(V221="OK",ISNUMBER($N$5),$N$5&gt;0,ISNUMBER($N$3),$N$3&gt;0),R221/(6*$N$3*1000000*$N$5)*(IF(N221&lt;($N$4*4/10),($N$4*4/10)*(MIN(O221,($N$4*4/10))^3-N221^3)-(MIN(O221,($N$4*4/10))^4-N221^4)/4,0)+IF(O221&gt;($N$4*4/10),($N$4*4/10)^2*(1.5*(O221^2-MAX(N221,($N$4*4/10))^2)-($N$4*4/10)*(O221-MAX(N221,($N$4*4/10)))),0))*1000,0)</f>
        <v>0</v>
      </c>
      <c r="AR221" s="120">
        <f>IF(AND(V221="OK",ISNUMBER($N$5),$N$5&gt;0,ISNUMBER($N$3),$N$3&gt;0),R221/(6*$N$3*1000000*$N$5)*(IF(N221&lt;($N$4*5/10),($N$4*5/10)*(MIN(O221,($N$4*5/10))^3-N221^3)-(MIN(O221,($N$4*5/10))^4-N221^4)/4,0)+IF(O221&gt;($N$4*5/10),($N$4*5/10)^2*(1.5*(O221^2-MAX(N221,($N$4*5/10))^2)-($N$4*5/10)*(O221-MAX(N221,($N$4*5/10)))),0))*1000,0)</f>
        <v>0</v>
      </c>
      <c r="AS221" s="120">
        <f>IF(AND(V221="OK",ISNUMBER($N$5),$N$5&gt;0,ISNUMBER($N$3),$N$3&gt;0),R221/(6*$N$3*1000000*$N$5)*(IF(N221&lt;($N$4*6/10),($N$4*6/10)*(MIN(O221,($N$4*6/10))^3-N221^3)-(MIN(O221,($N$4*6/10))^4-N221^4)/4,0)+IF(O221&gt;($N$4*6/10),($N$4*6/10)^2*(1.5*(O221^2-MAX(N221,($N$4*6/10))^2)-($N$4*6/10)*(O221-MAX(N221,($N$4*6/10)))),0))*1000,0)</f>
        <v>0</v>
      </c>
      <c r="AT221" s="120">
        <f>IF(AND(V221="OK",ISNUMBER($N$5),$N$5&gt;0,ISNUMBER($N$3),$N$3&gt;0),R221/(6*$N$3*1000000*$N$5)*(IF(N221&lt;($N$4*7/10),($N$4*7/10)*(MIN(O221,($N$4*7/10))^3-N221^3)-(MIN(O221,($N$4*7/10))^4-N221^4)/4,0)+IF(O221&gt;($N$4*7/10),($N$4*7/10)^2*(1.5*(O221^2-MAX(N221,($N$4*7/10))^2)-($N$4*7/10)*(O221-MAX(N221,($N$4*7/10)))),0))*1000,0)</f>
        <v>0</v>
      </c>
      <c r="AU221" s="120">
        <f>IF(AND(V221="OK",ISNUMBER($N$5),$N$5&gt;0,ISNUMBER($N$3),$N$3&gt;0),R221/(6*$N$3*1000000*$N$5)*(IF(N221&lt;($N$4*8/10),($N$4*8/10)*(MIN(O221,($N$4*8/10))^3-N221^3)-(MIN(O221,($N$4*8/10))^4-N221^4)/4,0)+IF(O221&gt;($N$4*8/10),($N$4*8/10)^2*(1.5*(O221^2-MAX(N221,($N$4*8/10))^2)-($N$4*8/10)*(O221-MAX(N221,($N$4*8/10)))),0))*1000,0)</f>
        <v>0</v>
      </c>
      <c r="AV221" s="120">
        <f>IF(AND(V221="OK",ISNUMBER($N$5),$N$5&gt;0,ISNUMBER($N$3),$N$3&gt;0),R221/(6*$N$3*1000000*$N$5)*(IF(N221&lt;($N$4*9/10),($N$4*9/10)*(MIN(O221,($N$4*9/10))^3-N221^3)-(MIN(O221,($N$4*9/10))^4-N221^4)/4,0)+IF(O221&gt;($N$4*9/10),($N$4*9/10)^2*(1.5*(O221^2-MAX(N221,($N$4*9/10))^2)-($N$4*9/10)*(O221-MAX(N221,($N$4*9/10)))),0))*1000,0)</f>
        <v>0</v>
      </c>
      <c r="AW221" s="120">
        <f>IF(AND(V221="OK",ISNUMBER($N$5),$N$5&gt;0,ISNUMBER($N$3),$N$3&gt;0),R221/(6*$N$3*1000000*$N$5)*(IF(N221&lt;($N$4*10/10),($N$4*10/10)*(MIN(O221,($N$4*10/10))^3-N221^3)-(MIN(O221,($N$4*10/10))^4-N221^4)/4,0)+IF(O221&gt;($N$4*10/10),($N$4*10/10)^2*(1.5*(O221^2-MAX(N221,($N$4*10/10))^2)-($N$4*10/10)*(O221-MAX(N221,($N$4*10/10)))),0))*1000,0)</f>
        <v>0</v>
      </c>
    </row>
    <row r="222" spans="1:49">
      <c r="A222" s="124"/>
      <c r="B222" s="125"/>
      <c r="C222" s="125"/>
      <c r="D222" s="125"/>
      <c r="E222" s="125"/>
      <c r="F222" s="126" t="str">
        <f>IF(J222="OK",D222*E222,"")</f>
        <v/>
      </c>
      <c r="G222" s="126" t="str">
        <f>IF(J222="OK",F222*(C222-B222),"")</f>
        <v/>
      </c>
      <c r="H222" s="126" t="str">
        <f>IF(J222="OK",G222*(C222+B222)/2,"")</f>
        <v/>
      </c>
      <c r="I222" s="126" t="str">
        <f>IF(AND(J222="OK",ISNUMBER($B$5),$B$5&gt;0,ISNUMBER($B$3),$B$3&gt;0),F222*(4*$B$4*(C222^3-B222^3)-(C222^4-B222^4))/(24*$B$3*1000000*$B$5)*1000,"")</f>
        <v/>
      </c>
      <c r="J222" s="120" t="str">
        <f>IF(COUNTA(A222:E222)=0,"",IF(AND(COUNT(B222:E222)=4,B222&gt;=0,C222&gt;B222,C222&lt;=$B$4,D222&gt;=0,E222&gt;0),IF(COUNTIFS($B$13:$B$221,"&lt;"&amp;C222,$C$13:$C$221,"&gt;"&amp;B222)&gt;0,"OVERLAP","OK"),"CHECK INPUTS"))</f>
        <v/>
      </c>
      <c r="M222" s="124"/>
      <c r="N222" s="125"/>
      <c r="O222" s="125"/>
      <c r="P222" s="125"/>
      <c r="Q222" s="125"/>
      <c r="R222" s="126" t="str">
        <f>IF(V222="OK",P222*Q222,"")</f>
        <v/>
      </c>
      <c r="S222" s="126" t="str">
        <f>IF(V222="OK",R222*(O222-N222),"")</f>
        <v/>
      </c>
      <c r="T222" s="126" t="str">
        <f>IF(V222="OK",S222*(O222+N222)/2,"")</f>
        <v/>
      </c>
      <c r="U222" s="126" t="str">
        <f>IF(AND(V222="OK",ISNUMBER($N$5),$N$5&gt;0,ISNUMBER($N$3),$N$3&gt;0),R222*(4*$N$4*(O222^3-N222^3)-(O222^4-N222^4))/(24*$N$3*1000000*$N$5)*1000,"")</f>
        <v/>
      </c>
      <c r="V222" s="120" t="str">
        <f>IF(COUNTA(M222:Q222)=0,"",IF(AND(COUNT(N222:Q222)=4,N222&gt;=0,O222&gt;N222,O222&lt;=$N$4,P222&gt;=0,Q222&gt;0),IF(COUNTIFS($N$13:$N$221,"&lt;"&amp;O222,$O$13:$O$221,"&gt;"&amp;N222)&gt;0,"OVERLAP","OK"),"CHECK INPUTS"))</f>
        <v/>
      </c>
      <c r="AA222" s="120">
        <f>IF(AND(J222="OK",ISNUMBER($B$5),$B$5&gt;0,ISNUMBER($B$3),$B$3&gt;0),F222/(6*$B$3*1000000*$B$5)*(IF(B222&lt;($B$4*0/10),($B$4*0/10)*(MIN(C222,($B$4*0/10))^3-B222^3)-(MIN(C222,($B$4*0/10))^4-B222^4)/4,0)+IF(C222&gt;($B$4*0/10),($B$4*0/10)^2*(1.5*(C222^2-MAX(B222,($B$4*0/10))^2)-($B$4*0/10)*(C222-MAX(B222,($B$4*0/10)))),0))*1000,0)</f>
        <v>0</v>
      </c>
      <c r="AB222" s="120">
        <f>IF(AND(J222="OK",ISNUMBER($B$5),$B$5&gt;0,ISNUMBER($B$3),$B$3&gt;0),F222/(6*$B$3*1000000*$B$5)*(IF(B222&lt;($B$4*1/10),($B$4*1/10)*(MIN(C222,($B$4*1/10))^3-B222^3)-(MIN(C222,($B$4*1/10))^4-B222^4)/4,0)+IF(C222&gt;($B$4*1/10),($B$4*1/10)^2*(1.5*(C222^2-MAX(B222,($B$4*1/10))^2)-($B$4*1/10)*(C222-MAX(B222,($B$4*1/10)))),0))*1000,0)</f>
        <v>0</v>
      </c>
      <c r="AC222" s="120">
        <f>IF(AND(J222="OK",ISNUMBER($B$5),$B$5&gt;0,ISNUMBER($B$3),$B$3&gt;0),F222/(6*$B$3*1000000*$B$5)*(IF(B222&lt;($B$4*2/10),($B$4*2/10)*(MIN(C222,($B$4*2/10))^3-B222^3)-(MIN(C222,($B$4*2/10))^4-B222^4)/4,0)+IF(C222&gt;($B$4*2/10),($B$4*2/10)^2*(1.5*(C222^2-MAX(B222,($B$4*2/10))^2)-($B$4*2/10)*(C222-MAX(B222,($B$4*2/10)))),0))*1000,0)</f>
        <v>0</v>
      </c>
      <c r="AD222" s="120">
        <f>IF(AND(J222="OK",ISNUMBER($B$5),$B$5&gt;0,ISNUMBER($B$3),$B$3&gt;0),F222/(6*$B$3*1000000*$B$5)*(IF(B222&lt;($B$4*3/10),($B$4*3/10)*(MIN(C222,($B$4*3/10))^3-B222^3)-(MIN(C222,($B$4*3/10))^4-B222^4)/4,0)+IF(C222&gt;($B$4*3/10),($B$4*3/10)^2*(1.5*(C222^2-MAX(B222,($B$4*3/10))^2)-($B$4*3/10)*(C222-MAX(B222,($B$4*3/10)))),0))*1000,0)</f>
        <v>0</v>
      </c>
      <c r="AE222" s="120">
        <f>IF(AND(J222="OK",ISNUMBER($B$5),$B$5&gt;0,ISNUMBER($B$3),$B$3&gt;0),F222/(6*$B$3*1000000*$B$5)*(IF(B222&lt;($B$4*4/10),($B$4*4/10)*(MIN(C222,($B$4*4/10))^3-B222^3)-(MIN(C222,($B$4*4/10))^4-B222^4)/4,0)+IF(C222&gt;($B$4*4/10),($B$4*4/10)^2*(1.5*(C222^2-MAX(B222,($B$4*4/10))^2)-($B$4*4/10)*(C222-MAX(B222,($B$4*4/10)))),0))*1000,0)</f>
        <v>0</v>
      </c>
      <c r="AF222" s="120">
        <f>IF(AND(J222="OK",ISNUMBER($B$5),$B$5&gt;0,ISNUMBER($B$3),$B$3&gt;0),F222/(6*$B$3*1000000*$B$5)*(IF(B222&lt;($B$4*5/10),($B$4*5/10)*(MIN(C222,($B$4*5/10))^3-B222^3)-(MIN(C222,($B$4*5/10))^4-B222^4)/4,0)+IF(C222&gt;($B$4*5/10),($B$4*5/10)^2*(1.5*(C222^2-MAX(B222,($B$4*5/10))^2)-($B$4*5/10)*(C222-MAX(B222,($B$4*5/10)))),0))*1000,0)</f>
        <v>0</v>
      </c>
      <c r="AG222" s="120">
        <f>IF(AND(J222="OK",ISNUMBER($B$5),$B$5&gt;0,ISNUMBER($B$3),$B$3&gt;0),F222/(6*$B$3*1000000*$B$5)*(IF(B222&lt;($B$4*6/10),($B$4*6/10)*(MIN(C222,($B$4*6/10))^3-B222^3)-(MIN(C222,($B$4*6/10))^4-B222^4)/4,0)+IF(C222&gt;($B$4*6/10),($B$4*6/10)^2*(1.5*(C222^2-MAX(B222,($B$4*6/10))^2)-($B$4*6/10)*(C222-MAX(B222,($B$4*6/10)))),0))*1000,0)</f>
        <v>0</v>
      </c>
      <c r="AH222" s="120">
        <f>IF(AND(J222="OK",ISNUMBER($B$5),$B$5&gt;0,ISNUMBER($B$3),$B$3&gt;0),F222/(6*$B$3*1000000*$B$5)*(IF(B222&lt;($B$4*7/10),($B$4*7/10)*(MIN(C222,($B$4*7/10))^3-B222^3)-(MIN(C222,($B$4*7/10))^4-B222^4)/4,0)+IF(C222&gt;($B$4*7/10),($B$4*7/10)^2*(1.5*(C222^2-MAX(B222,($B$4*7/10))^2)-($B$4*7/10)*(C222-MAX(B222,($B$4*7/10)))),0))*1000,0)</f>
        <v>0</v>
      </c>
      <c r="AI222" s="120">
        <f>IF(AND(J222="OK",ISNUMBER($B$5),$B$5&gt;0,ISNUMBER($B$3),$B$3&gt;0),F222/(6*$B$3*1000000*$B$5)*(IF(B222&lt;($B$4*8/10),($B$4*8/10)*(MIN(C222,($B$4*8/10))^3-B222^3)-(MIN(C222,($B$4*8/10))^4-B222^4)/4,0)+IF(C222&gt;($B$4*8/10),($B$4*8/10)^2*(1.5*(C222^2-MAX(B222,($B$4*8/10))^2)-($B$4*8/10)*(C222-MAX(B222,($B$4*8/10)))),0))*1000,0)</f>
        <v>0</v>
      </c>
      <c r="AJ222" s="120">
        <f>IF(AND(J222="OK",ISNUMBER($B$5),$B$5&gt;0,ISNUMBER($B$3),$B$3&gt;0),F222/(6*$B$3*1000000*$B$5)*(IF(B222&lt;($B$4*9/10),($B$4*9/10)*(MIN(C222,($B$4*9/10))^3-B222^3)-(MIN(C222,($B$4*9/10))^4-B222^4)/4,0)+IF(C222&gt;($B$4*9/10),($B$4*9/10)^2*(1.5*(C222^2-MAX(B222,($B$4*9/10))^2)-($B$4*9/10)*(C222-MAX(B222,($B$4*9/10)))),0))*1000,0)</f>
        <v>0</v>
      </c>
      <c r="AK222" s="120">
        <f>IF(AND(J222="OK",ISNUMBER($B$5),$B$5&gt;0,ISNUMBER($B$3),$B$3&gt;0),F222/(6*$B$3*1000000*$B$5)*(IF(B222&lt;($B$4*10/10),($B$4*10/10)*(MIN(C222,($B$4*10/10))^3-B222^3)-(MIN(C222,($B$4*10/10))^4-B222^4)/4,0)+IF(C222&gt;($B$4*10/10),($B$4*10/10)^2*(1.5*(C222^2-MAX(B222,($B$4*10/10))^2)-($B$4*10/10)*(C222-MAX(B222,($B$4*10/10)))),0))*1000,0)</f>
        <v>0</v>
      </c>
      <c r="AM222" s="120">
        <f>IF(AND(V222="OK",ISNUMBER($N$5),$N$5&gt;0,ISNUMBER($N$3),$N$3&gt;0),R222/(6*$N$3*1000000*$N$5)*(IF(N222&lt;($N$4*0/10),($N$4*0/10)*(MIN(O222,($N$4*0/10))^3-N222^3)-(MIN(O222,($N$4*0/10))^4-N222^4)/4,0)+IF(O222&gt;($N$4*0/10),($N$4*0/10)^2*(1.5*(O222^2-MAX(N222,($N$4*0/10))^2)-($N$4*0/10)*(O222-MAX(N222,($N$4*0/10)))),0))*1000,0)</f>
        <v>0</v>
      </c>
      <c r="AN222" s="120">
        <f>IF(AND(V222="OK",ISNUMBER($N$5),$N$5&gt;0,ISNUMBER($N$3),$N$3&gt;0),R222/(6*$N$3*1000000*$N$5)*(IF(N222&lt;($N$4*1/10),($N$4*1/10)*(MIN(O222,($N$4*1/10))^3-N222^3)-(MIN(O222,($N$4*1/10))^4-N222^4)/4,0)+IF(O222&gt;($N$4*1/10),($N$4*1/10)^2*(1.5*(O222^2-MAX(N222,($N$4*1/10))^2)-($N$4*1/10)*(O222-MAX(N222,($N$4*1/10)))),0))*1000,0)</f>
        <v>0</v>
      </c>
      <c r="AO222" s="120">
        <f>IF(AND(V222="OK",ISNUMBER($N$5),$N$5&gt;0,ISNUMBER($N$3),$N$3&gt;0),R222/(6*$N$3*1000000*$N$5)*(IF(N222&lt;($N$4*2/10),($N$4*2/10)*(MIN(O222,($N$4*2/10))^3-N222^3)-(MIN(O222,($N$4*2/10))^4-N222^4)/4,0)+IF(O222&gt;($N$4*2/10),($N$4*2/10)^2*(1.5*(O222^2-MAX(N222,($N$4*2/10))^2)-($N$4*2/10)*(O222-MAX(N222,($N$4*2/10)))),0))*1000,0)</f>
        <v>0</v>
      </c>
      <c r="AP222" s="120">
        <f>IF(AND(V222="OK",ISNUMBER($N$5),$N$5&gt;0,ISNUMBER($N$3),$N$3&gt;0),R222/(6*$N$3*1000000*$N$5)*(IF(N222&lt;($N$4*3/10),($N$4*3/10)*(MIN(O222,($N$4*3/10))^3-N222^3)-(MIN(O222,($N$4*3/10))^4-N222^4)/4,0)+IF(O222&gt;($N$4*3/10),($N$4*3/10)^2*(1.5*(O222^2-MAX(N222,($N$4*3/10))^2)-($N$4*3/10)*(O222-MAX(N222,($N$4*3/10)))),0))*1000,0)</f>
        <v>0</v>
      </c>
      <c r="AQ222" s="120">
        <f>IF(AND(V222="OK",ISNUMBER($N$5),$N$5&gt;0,ISNUMBER($N$3),$N$3&gt;0),R222/(6*$N$3*1000000*$N$5)*(IF(N222&lt;($N$4*4/10),($N$4*4/10)*(MIN(O222,($N$4*4/10))^3-N222^3)-(MIN(O222,($N$4*4/10))^4-N222^4)/4,0)+IF(O222&gt;($N$4*4/10),($N$4*4/10)^2*(1.5*(O222^2-MAX(N222,($N$4*4/10))^2)-($N$4*4/10)*(O222-MAX(N222,($N$4*4/10)))),0))*1000,0)</f>
        <v>0</v>
      </c>
      <c r="AR222" s="120">
        <f>IF(AND(V222="OK",ISNUMBER($N$5),$N$5&gt;0,ISNUMBER($N$3),$N$3&gt;0),R222/(6*$N$3*1000000*$N$5)*(IF(N222&lt;($N$4*5/10),($N$4*5/10)*(MIN(O222,($N$4*5/10))^3-N222^3)-(MIN(O222,($N$4*5/10))^4-N222^4)/4,0)+IF(O222&gt;($N$4*5/10),($N$4*5/10)^2*(1.5*(O222^2-MAX(N222,($N$4*5/10))^2)-($N$4*5/10)*(O222-MAX(N222,($N$4*5/10)))),0))*1000,0)</f>
        <v>0</v>
      </c>
      <c r="AS222" s="120">
        <f>IF(AND(V222="OK",ISNUMBER($N$5),$N$5&gt;0,ISNUMBER($N$3),$N$3&gt;0),R222/(6*$N$3*1000000*$N$5)*(IF(N222&lt;($N$4*6/10),($N$4*6/10)*(MIN(O222,($N$4*6/10))^3-N222^3)-(MIN(O222,($N$4*6/10))^4-N222^4)/4,0)+IF(O222&gt;($N$4*6/10),($N$4*6/10)^2*(1.5*(O222^2-MAX(N222,($N$4*6/10))^2)-($N$4*6/10)*(O222-MAX(N222,($N$4*6/10)))),0))*1000,0)</f>
        <v>0</v>
      </c>
      <c r="AT222" s="120">
        <f>IF(AND(V222="OK",ISNUMBER($N$5),$N$5&gt;0,ISNUMBER($N$3),$N$3&gt;0),R222/(6*$N$3*1000000*$N$5)*(IF(N222&lt;($N$4*7/10),($N$4*7/10)*(MIN(O222,($N$4*7/10))^3-N222^3)-(MIN(O222,($N$4*7/10))^4-N222^4)/4,0)+IF(O222&gt;($N$4*7/10),($N$4*7/10)^2*(1.5*(O222^2-MAX(N222,($N$4*7/10))^2)-($N$4*7/10)*(O222-MAX(N222,($N$4*7/10)))),0))*1000,0)</f>
        <v>0</v>
      </c>
      <c r="AU222" s="120">
        <f>IF(AND(V222="OK",ISNUMBER($N$5),$N$5&gt;0,ISNUMBER($N$3),$N$3&gt;0),R222/(6*$N$3*1000000*$N$5)*(IF(N222&lt;($N$4*8/10),($N$4*8/10)*(MIN(O222,($N$4*8/10))^3-N222^3)-(MIN(O222,($N$4*8/10))^4-N222^4)/4,0)+IF(O222&gt;($N$4*8/10),($N$4*8/10)^2*(1.5*(O222^2-MAX(N222,($N$4*8/10))^2)-($N$4*8/10)*(O222-MAX(N222,($N$4*8/10)))),0))*1000,0)</f>
        <v>0</v>
      </c>
      <c r="AV222" s="120">
        <f>IF(AND(V222="OK",ISNUMBER($N$5),$N$5&gt;0,ISNUMBER($N$3),$N$3&gt;0),R222/(6*$N$3*1000000*$N$5)*(IF(N222&lt;($N$4*9/10),($N$4*9/10)*(MIN(O222,($N$4*9/10))^3-N222^3)-(MIN(O222,($N$4*9/10))^4-N222^4)/4,0)+IF(O222&gt;($N$4*9/10),($N$4*9/10)^2*(1.5*(O222^2-MAX(N222,($N$4*9/10))^2)-($N$4*9/10)*(O222-MAX(N222,($N$4*9/10)))),0))*1000,0)</f>
        <v>0</v>
      </c>
      <c r="AW222" s="120">
        <f>IF(AND(V222="OK",ISNUMBER($N$5),$N$5&gt;0,ISNUMBER($N$3),$N$3&gt;0),R222/(6*$N$3*1000000*$N$5)*(IF(N222&lt;($N$4*10/10),($N$4*10/10)*(MIN(O222,($N$4*10/10))^3-N222^3)-(MIN(O222,($N$4*10/10))^4-N222^4)/4,0)+IF(O222&gt;($N$4*10/10),($N$4*10/10)^2*(1.5*(O222^2-MAX(N222,($N$4*10/10))^2)-($N$4*10/10)*(O222-MAX(N222,($N$4*10/10)))),0))*1000,0)</f>
        <v>0</v>
      </c>
    </row>
    <row r="223" spans="1:49">
      <c r="A223" s="124"/>
      <c r="B223" s="125"/>
      <c r="C223" s="125"/>
      <c r="D223" s="125"/>
      <c r="E223" s="125"/>
      <c r="F223" s="126" t="str">
        <f>IF(J223="OK",D223*E223,"")</f>
        <v/>
      </c>
      <c r="G223" s="126" t="str">
        <f>IF(J223="OK",F223*(C223-B223),"")</f>
        <v/>
      </c>
      <c r="H223" s="126" t="str">
        <f>IF(J223="OK",G223*(C223+B223)/2,"")</f>
        <v/>
      </c>
      <c r="I223" s="126" t="str">
        <f>IF(AND(J223="OK",ISNUMBER($B$5),$B$5&gt;0,ISNUMBER($B$3),$B$3&gt;0),F223*(4*$B$4*(C223^3-B223^3)-(C223^4-B223^4))/(24*$B$3*1000000*$B$5)*1000,"")</f>
        <v/>
      </c>
      <c r="J223" s="120" t="str">
        <f>IF(COUNTA(A223:E223)=0,"",IF(AND(COUNT(B223:E223)=4,B223&gt;=0,C223&gt;B223,C223&lt;=$B$4,D223&gt;=0,E223&gt;0),IF(COUNTIFS($B$13:$B$222,"&lt;"&amp;C223,$C$13:$C$222,"&gt;"&amp;B223)&gt;0,"OVERLAP","OK"),"CHECK INPUTS"))</f>
        <v/>
      </c>
      <c r="M223" s="124"/>
      <c r="N223" s="125"/>
      <c r="O223" s="125"/>
      <c r="P223" s="125"/>
      <c r="Q223" s="125"/>
      <c r="R223" s="126" t="str">
        <f>IF(V223="OK",P223*Q223,"")</f>
        <v/>
      </c>
      <c r="S223" s="126" t="str">
        <f>IF(V223="OK",R223*(O223-N223),"")</f>
        <v/>
      </c>
      <c r="T223" s="126" t="str">
        <f>IF(V223="OK",S223*(O223+N223)/2,"")</f>
        <v/>
      </c>
      <c r="U223" s="126" t="str">
        <f>IF(AND(V223="OK",ISNUMBER($N$5),$N$5&gt;0,ISNUMBER($N$3),$N$3&gt;0),R223*(4*$N$4*(O223^3-N223^3)-(O223^4-N223^4))/(24*$N$3*1000000*$N$5)*1000,"")</f>
        <v/>
      </c>
      <c r="V223" s="120" t="str">
        <f>IF(COUNTA(M223:Q223)=0,"",IF(AND(COUNT(N223:Q223)=4,N223&gt;=0,O223&gt;N223,O223&lt;=$N$4,P223&gt;=0,Q223&gt;0),IF(COUNTIFS($N$13:$N$222,"&lt;"&amp;O223,$O$13:$O$222,"&gt;"&amp;N223)&gt;0,"OVERLAP","OK"),"CHECK INPUTS"))</f>
        <v/>
      </c>
      <c r="AA223" s="120">
        <f>IF(AND(J223="OK",ISNUMBER($B$5),$B$5&gt;0,ISNUMBER($B$3),$B$3&gt;0),F223/(6*$B$3*1000000*$B$5)*(IF(B223&lt;($B$4*0/10),($B$4*0/10)*(MIN(C223,($B$4*0/10))^3-B223^3)-(MIN(C223,($B$4*0/10))^4-B223^4)/4,0)+IF(C223&gt;($B$4*0/10),($B$4*0/10)^2*(1.5*(C223^2-MAX(B223,($B$4*0/10))^2)-($B$4*0/10)*(C223-MAX(B223,($B$4*0/10)))),0))*1000,0)</f>
        <v>0</v>
      </c>
      <c r="AB223" s="120">
        <f>IF(AND(J223="OK",ISNUMBER($B$5),$B$5&gt;0,ISNUMBER($B$3),$B$3&gt;0),F223/(6*$B$3*1000000*$B$5)*(IF(B223&lt;($B$4*1/10),($B$4*1/10)*(MIN(C223,($B$4*1/10))^3-B223^3)-(MIN(C223,($B$4*1/10))^4-B223^4)/4,0)+IF(C223&gt;($B$4*1/10),($B$4*1/10)^2*(1.5*(C223^2-MAX(B223,($B$4*1/10))^2)-($B$4*1/10)*(C223-MAX(B223,($B$4*1/10)))),0))*1000,0)</f>
        <v>0</v>
      </c>
      <c r="AC223" s="120">
        <f>IF(AND(J223="OK",ISNUMBER($B$5),$B$5&gt;0,ISNUMBER($B$3),$B$3&gt;0),F223/(6*$B$3*1000000*$B$5)*(IF(B223&lt;($B$4*2/10),($B$4*2/10)*(MIN(C223,($B$4*2/10))^3-B223^3)-(MIN(C223,($B$4*2/10))^4-B223^4)/4,0)+IF(C223&gt;($B$4*2/10),($B$4*2/10)^2*(1.5*(C223^2-MAX(B223,($B$4*2/10))^2)-($B$4*2/10)*(C223-MAX(B223,($B$4*2/10)))),0))*1000,0)</f>
        <v>0</v>
      </c>
      <c r="AD223" s="120">
        <f>IF(AND(J223="OK",ISNUMBER($B$5),$B$5&gt;0,ISNUMBER($B$3),$B$3&gt;0),F223/(6*$B$3*1000000*$B$5)*(IF(B223&lt;($B$4*3/10),($B$4*3/10)*(MIN(C223,($B$4*3/10))^3-B223^3)-(MIN(C223,($B$4*3/10))^4-B223^4)/4,0)+IF(C223&gt;($B$4*3/10),($B$4*3/10)^2*(1.5*(C223^2-MAX(B223,($B$4*3/10))^2)-($B$4*3/10)*(C223-MAX(B223,($B$4*3/10)))),0))*1000,0)</f>
        <v>0</v>
      </c>
      <c r="AE223" s="120">
        <f>IF(AND(J223="OK",ISNUMBER($B$5),$B$5&gt;0,ISNUMBER($B$3),$B$3&gt;0),F223/(6*$B$3*1000000*$B$5)*(IF(B223&lt;($B$4*4/10),($B$4*4/10)*(MIN(C223,($B$4*4/10))^3-B223^3)-(MIN(C223,($B$4*4/10))^4-B223^4)/4,0)+IF(C223&gt;($B$4*4/10),($B$4*4/10)^2*(1.5*(C223^2-MAX(B223,($B$4*4/10))^2)-($B$4*4/10)*(C223-MAX(B223,($B$4*4/10)))),0))*1000,0)</f>
        <v>0</v>
      </c>
      <c r="AF223" s="120">
        <f>IF(AND(J223="OK",ISNUMBER($B$5),$B$5&gt;0,ISNUMBER($B$3),$B$3&gt;0),F223/(6*$B$3*1000000*$B$5)*(IF(B223&lt;($B$4*5/10),($B$4*5/10)*(MIN(C223,($B$4*5/10))^3-B223^3)-(MIN(C223,($B$4*5/10))^4-B223^4)/4,0)+IF(C223&gt;($B$4*5/10),($B$4*5/10)^2*(1.5*(C223^2-MAX(B223,($B$4*5/10))^2)-($B$4*5/10)*(C223-MAX(B223,($B$4*5/10)))),0))*1000,0)</f>
        <v>0</v>
      </c>
      <c r="AG223" s="120">
        <f>IF(AND(J223="OK",ISNUMBER($B$5),$B$5&gt;0,ISNUMBER($B$3),$B$3&gt;0),F223/(6*$B$3*1000000*$B$5)*(IF(B223&lt;($B$4*6/10),($B$4*6/10)*(MIN(C223,($B$4*6/10))^3-B223^3)-(MIN(C223,($B$4*6/10))^4-B223^4)/4,0)+IF(C223&gt;($B$4*6/10),($B$4*6/10)^2*(1.5*(C223^2-MAX(B223,($B$4*6/10))^2)-($B$4*6/10)*(C223-MAX(B223,($B$4*6/10)))),0))*1000,0)</f>
        <v>0</v>
      </c>
      <c r="AH223" s="120">
        <f>IF(AND(J223="OK",ISNUMBER($B$5),$B$5&gt;0,ISNUMBER($B$3),$B$3&gt;0),F223/(6*$B$3*1000000*$B$5)*(IF(B223&lt;($B$4*7/10),($B$4*7/10)*(MIN(C223,($B$4*7/10))^3-B223^3)-(MIN(C223,($B$4*7/10))^4-B223^4)/4,0)+IF(C223&gt;($B$4*7/10),($B$4*7/10)^2*(1.5*(C223^2-MAX(B223,($B$4*7/10))^2)-($B$4*7/10)*(C223-MAX(B223,($B$4*7/10)))),0))*1000,0)</f>
        <v>0</v>
      </c>
      <c r="AI223" s="120">
        <f>IF(AND(J223="OK",ISNUMBER($B$5),$B$5&gt;0,ISNUMBER($B$3),$B$3&gt;0),F223/(6*$B$3*1000000*$B$5)*(IF(B223&lt;($B$4*8/10),($B$4*8/10)*(MIN(C223,($B$4*8/10))^3-B223^3)-(MIN(C223,($B$4*8/10))^4-B223^4)/4,0)+IF(C223&gt;($B$4*8/10),($B$4*8/10)^2*(1.5*(C223^2-MAX(B223,($B$4*8/10))^2)-($B$4*8/10)*(C223-MAX(B223,($B$4*8/10)))),0))*1000,0)</f>
        <v>0</v>
      </c>
      <c r="AJ223" s="120">
        <f>IF(AND(J223="OK",ISNUMBER($B$5),$B$5&gt;0,ISNUMBER($B$3),$B$3&gt;0),F223/(6*$B$3*1000000*$B$5)*(IF(B223&lt;($B$4*9/10),($B$4*9/10)*(MIN(C223,($B$4*9/10))^3-B223^3)-(MIN(C223,($B$4*9/10))^4-B223^4)/4,0)+IF(C223&gt;($B$4*9/10),($B$4*9/10)^2*(1.5*(C223^2-MAX(B223,($B$4*9/10))^2)-($B$4*9/10)*(C223-MAX(B223,($B$4*9/10)))),0))*1000,0)</f>
        <v>0</v>
      </c>
      <c r="AK223" s="120">
        <f>IF(AND(J223="OK",ISNUMBER($B$5),$B$5&gt;0,ISNUMBER($B$3),$B$3&gt;0),F223/(6*$B$3*1000000*$B$5)*(IF(B223&lt;($B$4*10/10),($B$4*10/10)*(MIN(C223,($B$4*10/10))^3-B223^3)-(MIN(C223,($B$4*10/10))^4-B223^4)/4,0)+IF(C223&gt;($B$4*10/10),($B$4*10/10)^2*(1.5*(C223^2-MAX(B223,($B$4*10/10))^2)-($B$4*10/10)*(C223-MAX(B223,($B$4*10/10)))),0))*1000,0)</f>
        <v>0</v>
      </c>
      <c r="AM223" s="120">
        <f>IF(AND(V223="OK",ISNUMBER($N$5),$N$5&gt;0,ISNUMBER($N$3),$N$3&gt;0),R223/(6*$N$3*1000000*$N$5)*(IF(N223&lt;($N$4*0/10),($N$4*0/10)*(MIN(O223,($N$4*0/10))^3-N223^3)-(MIN(O223,($N$4*0/10))^4-N223^4)/4,0)+IF(O223&gt;($N$4*0/10),($N$4*0/10)^2*(1.5*(O223^2-MAX(N223,($N$4*0/10))^2)-($N$4*0/10)*(O223-MAX(N223,($N$4*0/10)))),0))*1000,0)</f>
        <v>0</v>
      </c>
      <c r="AN223" s="120">
        <f>IF(AND(V223="OK",ISNUMBER($N$5),$N$5&gt;0,ISNUMBER($N$3),$N$3&gt;0),R223/(6*$N$3*1000000*$N$5)*(IF(N223&lt;($N$4*1/10),($N$4*1/10)*(MIN(O223,($N$4*1/10))^3-N223^3)-(MIN(O223,($N$4*1/10))^4-N223^4)/4,0)+IF(O223&gt;($N$4*1/10),($N$4*1/10)^2*(1.5*(O223^2-MAX(N223,($N$4*1/10))^2)-($N$4*1/10)*(O223-MAX(N223,($N$4*1/10)))),0))*1000,0)</f>
        <v>0</v>
      </c>
      <c r="AO223" s="120">
        <f>IF(AND(V223="OK",ISNUMBER($N$5),$N$5&gt;0,ISNUMBER($N$3),$N$3&gt;0),R223/(6*$N$3*1000000*$N$5)*(IF(N223&lt;($N$4*2/10),($N$4*2/10)*(MIN(O223,($N$4*2/10))^3-N223^3)-(MIN(O223,($N$4*2/10))^4-N223^4)/4,0)+IF(O223&gt;($N$4*2/10),($N$4*2/10)^2*(1.5*(O223^2-MAX(N223,($N$4*2/10))^2)-($N$4*2/10)*(O223-MAX(N223,($N$4*2/10)))),0))*1000,0)</f>
        <v>0</v>
      </c>
      <c r="AP223" s="120">
        <f>IF(AND(V223="OK",ISNUMBER($N$5),$N$5&gt;0,ISNUMBER($N$3),$N$3&gt;0),R223/(6*$N$3*1000000*$N$5)*(IF(N223&lt;($N$4*3/10),($N$4*3/10)*(MIN(O223,($N$4*3/10))^3-N223^3)-(MIN(O223,($N$4*3/10))^4-N223^4)/4,0)+IF(O223&gt;($N$4*3/10),($N$4*3/10)^2*(1.5*(O223^2-MAX(N223,($N$4*3/10))^2)-($N$4*3/10)*(O223-MAX(N223,($N$4*3/10)))),0))*1000,0)</f>
        <v>0</v>
      </c>
      <c r="AQ223" s="120">
        <f>IF(AND(V223="OK",ISNUMBER($N$5),$N$5&gt;0,ISNUMBER($N$3),$N$3&gt;0),R223/(6*$N$3*1000000*$N$5)*(IF(N223&lt;($N$4*4/10),($N$4*4/10)*(MIN(O223,($N$4*4/10))^3-N223^3)-(MIN(O223,($N$4*4/10))^4-N223^4)/4,0)+IF(O223&gt;($N$4*4/10),($N$4*4/10)^2*(1.5*(O223^2-MAX(N223,($N$4*4/10))^2)-($N$4*4/10)*(O223-MAX(N223,($N$4*4/10)))),0))*1000,0)</f>
        <v>0</v>
      </c>
      <c r="AR223" s="120">
        <f>IF(AND(V223="OK",ISNUMBER($N$5),$N$5&gt;0,ISNUMBER($N$3),$N$3&gt;0),R223/(6*$N$3*1000000*$N$5)*(IF(N223&lt;($N$4*5/10),($N$4*5/10)*(MIN(O223,($N$4*5/10))^3-N223^3)-(MIN(O223,($N$4*5/10))^4-N223^4)/4,0)+IF(O223&gt;($N$4*5/10),($N$4*5/10)^2*(1.5*(O223^2-MAX(N223,($N$4*5/10))^2)-($N$4*5/10)*(O223-MAX(N223,($N$4*5/10)))),0))*1000,0)</f>
        <v>0</v>
      </c>
      <c r="AS223" s="120">
        <f>IF(AND(V223="OK",ISNUMBER($N$5),$N$5&gt;0,ISNUMBER($N$3),$N$3&gt;0),R223/(6*$N$3*1000000*$N$5)*(IF(N223&lt;($N$4*6/10),($N$4*6/10)*(MIN(O223,($N$4*6/10))^3-N223^3)-(MIN(O223,($N$4*6/10))^4-N223^4)/4,0)+IF(O223&gt;($N$4*6/10),($N$4*6/10)^2*(1.5*(O223^2-MAX(N223,($N$4*6/10))^2)-($N$4*6/10)*(O223-MAX(N223,($N$4*6/10)))),0))*1000,0)</f>
        <v>0</v>
      </c>
      <c r="AT223" s="120">
        <f>IF(AND(V223="OK",ISNUMBER($N$5),$N$5&gt;0,ISNUMBER($N$3),$N$3&gt;0),R223/(6*$N$3*1000000*$N$5)*(IF(N223&lt;($N$4*7/10),($N$4*7/10)*(MIN(O223,($N$4*7/10))^3-N223^3)-(MIN(O223,($N$4*7/10))^4-N223^4)/4,0)+IF(O223&gt;($N$4*7/10),($N$4*7/10)^2*(1.5*(O223^2-MAX(N223,($N$4*7/10))^2)-($N$4*7/10)*(O223-MAX(N223,($N$4*7/10)))),0))*1000,0)</f>
        <v>0</v>
      </c>
      <c r="AU223" s="120">
        <f>IF(AND(V223="OK",ISNUMBER($N$5),$N$5&gt;0,ISNUMBER($N$3),$N$3&gt;0),R223/(6*$N$3*1000000*$N$5)*(IF(N223&lt;($N$4*8/10),($N$4*8/10)*(MIN(O223,($N$4*8/10))^3-N223^3)-(MIN(O223,($N$4*8/10))^4-N223^4)/4,0)+IF(O223&gt;($N$4*8/10),($N$4*8/10)^2*(1.5*(O223^2-MAX(N223,($N$4*8/10))^2)-($N$4*8/10)*(O223-MAX(N223,($N$4*8/10)))),0))*1000,0)</f>
        <v>0</v>
      </c>
      <c r="AV223" s="120">
        <f>IF(AND(V223="OK",ISNUMBER($N$5),$N$5&gt;0,ISNUMBER($N$3),$N$3&gt;0),R223/(6*$N$3*1000000*$N$5)*(IF(N223&lt;($N$4*9/10),($N$4*9/10)*(MIN(O223,($N$4*9/10))^3-N223^3)-(MIN(O223,($N$4*9/10))^4-N223^4)/4,0)+IF(O223&gt;($N$4*9/10),($N$4*9/10)^2*(1.5*(O223^2-MAX(N223,($N$4*9/10))^2)-($N$4*9/10)*(O223-MAX(N223,($N$4*9/10)))),0))*1000,0)</f>
        <v>0</v>
      </c>
      <c r="AW223" s="120">
        <f>IF(AND(V223="OK",ISNUMBER($N$5),$N$5&gt;0,ISNUMBER($N$3),$N$3&gt;0),R223/(6*$N$3*1000000*$N$5)*(IF(N223&lt;($N$4*10/10),($N$4*10/10)*(MIN(O223,($N$4*10/10))^3-N223^3)-(MIN(O223,($N$4*10/10))^4-N223^4)/4,0)+IF(O223&gt;($N$4*10/10),($N$4*10/10)^2*(1.5*(O223^2-MAX(N223,($N$4*10/10))^2)-($N$4*10/10)*(O223-MAX(N223,($N$4*10/10)))),0))*1000,0)</f>
        <v>0</v>
      </c>
    </row>
    <row r="224" spans="1:49">
      <c r="A224" s="124"/>
      <c r="B224" s="125"/>
      <c r="C224" s="125"/>
      <c r="D224" s="125"/>
      <c r="E224" s="125"/>
      <c r="F224" s="126" t="str">
        <f>IF(J224="OK",D224*E224,"")</f>
        <v/>
      </c>
      <c r="G224" s="126" t="str">
        <f>IF(J224="OK",F224*(C224-B224),"")</f>
        <v/>
      </c>
      <c r="H224" s="126" t="str">
        <f>IF(J224="OK",G224*(C224+B224)/2,"")</f>
        <v/>
      </c>
      <c r="I224" s="126" t="str">
        <f>IF(AND(J224="OK",ISNUMBER($B$5),$B$5&gt;0,ISNUMBER($B$3),$B$3&gt;0),F224*(4*$B$4*(C224^3-B224^3)-(C224^4-B224^4))/(24*$B$3*1000000*$B$5)*1000,"")</f>
        <v/>
      </c>
      <c r="J224" s="120" t="str">
        <f>IF(COUNTA(A224:E224)=0,"",IF(AND(COUNT(B224:E224)=4,B224&gt;=0,C224&gt;B224,C224&lt;=$B$4,D224&gt;=0,E224&gt;0),IF(COUNTIFS($B$13:$B$223,"&lt;"&amp;C224,$C$13:$C$223,"&gt;"&amp;B224)&gt;0,"OVERLAP","OK"),"CHECK INPUTS"))</f>
        <v/>
      </c>
      <c r="M224" s="124"/>
      <c r="N224" s="125"/>
      <c r="O224" s="125"/>
      <c r="P224" s="125"/>
      <c r="Q224" s="125"/>
      <c r="R224" s="126" t="str">
        <f>IF(V224="OK",P224*Q224,"")</f>
        <v/>
      </c>
      <c r="S224" s="126" t="str">
        <f>IF(V224="OK",R224*(O224-N224),"")</f>
        <v/>
      </c>
      <c r="T224" s="126" t="str">
        <f>IF(V224="OK",S224*(O224+N224)/2,"")</f>
        <v/>
      </c>
      <c r="U224" s="126" t="str">
        <f>IF(AND(V224="OK",ISNUMBER($N$5),$N$5&gt;0,ISNUMBER($N$3),$N$3&gt;0),R224*(4*$N$4*(O224^3-N224^3)-(O224^4-N224^4))/(24*$N$3*1000000*$N$5)*1000,"")</f>
        <v/>
      </c>
      <c r="V224" s="120" t="str">
        <f>IF(COUNTA(M224:Q224)=0,"",IF(AND(COUNT(N224:Q224)=4,N224&gt;=0,O224&gt;N224,O224&lt;=$N$4,P224&gt;=0,Q224&gt;0),IF(COUNTIFS($N$13:$N$223,"&lt;"&amp;O224,$O$13:$O$223,"&gt;"&amp;N224)&gt;0,"OVERLAP","OK"),"CHECK INPUTS"))</f>
        <v/>
      </c>
      <c r="AA224" s="120">
        <f>IF(AND(J224="OK",ISNUMBER($B$5),$B$5&gt;0,ISNUMBER($B$3),$B$3&gt;0),F224/(6*$B$3*1000000*$B$5)*(IF(B224&lt;($B$4*0/10),($B$4*0/10)*(MIN(C224,($B$4*0/10))^3-B224^3)-(MIN(C224,($B$4*0/10))^4-B224^4)/4,0)+IF(C224&gt;($B$4*0/10),($B$4*0/10)^2*(1.5*(C224^2-MAX(B224,($B$4*0/10))^2)-($B$4*0/10)*(C224-MAX(B224,($B$4*0/10)))),0))*1000,0)</f>
        <v>0</v>
      </c>
      <c r="AB224" s="120">
        <f>IF(AND(J224="OK",ISNUMBER($B$5),$B$5&gt;0,ISNUMBER($B$3),$B$3&gt;0),F224/(6*$B$3*1000000*$B$5)*(IF(B224&lt;($B$4*1/10),($B$4*1/10)*(MIN(C224,($B$4*1/10))^3-B224^3)-(MIN(C224,($B$4*1/10))^4-B224^4)/4,0)+IF(C224&gt;($B$4*1/10),($B$4*1/10)^2*(1.5*(C224^2-MAX(B224,($B$4*1/10))^2)-($B$4*1/10)*(C224-MAX(B224,($B$4*1/10)))),0))*1000,0)</f>
        <v>0</v>
      </c>
      <c r="AC224" s="120">
        <f>IF(AND(J224="OK",ISNUMBER($B$5),$B$5&gt;0,ISNUMBER($B$3),$B$3&gt;0),F224/(6*$B$3*1000000*$B$5)*(IF(B224&lt;($B$4*2/10),($B$4*2/10)*(MIN(C224,($B$4*2/10))^3-B224^3)-(MIN(C224,($B$4*2/10))^4-B224^4)/4,0)+IF(C224&gt;($B$4*2/10),($B$4*2/10)^2*(1.5*(C224^2-MAX(B224,($B$4*2/10))^2)-($B$4*2/10)*(C224-MAX(B224,($B$4*2/10)))),0))*1000,0)</f>
        <v>0</v>
      </c>
      <c r="AD224" s="120">
        <f>IF(AND(J224="OK",ISNUMBER($B$5),$B$5&gt;0,ISNUMBER($B$3),$B$3&gt;0),F224/(6*$B$3*1000000*$B$5)*(IF(B224&lt;($B$4*3/10),($B$4*3/10)*(MIN(C224,($B$4*3/10))^3-B224^3)-(MIN(C224,($B$4*3/10))^4-B224^4)/4,0)+IF(C224&gt;($B$4*3/10),($B$4*3/10)^2*(1.5*(C224^2-MAX(B224,($B$4*3/10))^2)-($B$4*3/10)*(C224-MAX(B224,($B$4*3/10)))),0))*1000,0)</f>
        <v>0</v>
      </c>
      <c r="AE224" s="120">
        <f>IF(AND(J224="OK",ISNUMBER($B$5),$B$5&gt;0,ISNUMBER($B$3),$B$3&gt;0),F224/(6*$B$3*1000000*$B$5)*(IF(B224&lt;($B$4*4/10),($B$4*4/10)*(MIN(C224,($B$4*4/10))^3-B224^3)-(MIN(C224,($B$4*4/10))^4-B224^4)/4,0)+IF(C224&gt;($B$4*4/10),($B$4*4/10)^2*(1.5*(C224^2-MAX(B224,($B$4*4/10))^2)-($B$4*4/10)*(C224-MAX(B224,($B$4*4/10)))),0))*1000,0)</f>
        <v>0</v>
      </c>
      <c r="AF224" s="120">
        <f>IF(AND(J224="OK",ISNUMBER($B$5),$B$5&gt;0,ISNUMBER($B$3),$B$3&gt;0),F224/(6*$B$3*1000000*$B$5)*(IF(B224&lt;($B$4*5/10),($B$4*5/10)*(MIN(C224,($B$4*5/10))^3-B224^3)-(MIN(C224,($B$4*5/10))^4-B224^4)/4,0)+IF(C224&gt;($B$4*5/10),($B$4*5/10)^2*(1.5*(C224^2-MAX(B224,($B$4*5/10))^2)-($B$4*5/10)*(C224-MAX(B224,($B$4*5/10)))),0))*1000,0)</f>
        <v>0</v>
      </c>
      <c r="AG224" s="120">
        <f>IF(AND(J224="OK",ISNUMBER($B$5),$B$5&gt;0,ISNUMBER($B$3),$B$3&gt;0),F224/(6*$B$3*1000000*$B$5)*(IF(B224&lt;($B$4*6/10),($B$4*6/10)*(MIN(C224,($B$4*6/10))^3-B224^3)-(MIN(C224,($B$4*6/10))^4-B224^4)/4,0)+IF(C224&gt;($B$4*6/10),($B$4*6/10)^2*(1.5*(C224^2-MAX(B224,($B$4*6/10))^2)-($B$4*6/10)*(C224-MAX(B224,($B$4*6/10)))),0))*1000,0)</f>
        <v>0</v>
      </c>
      <c r="AH224" s="120">
        <f>IF(AND(J224="OK",ISNUMBER($B$5),$B$5&gt;0,ISNUMBER($B$3),$B$3&gt;0),F224/(6*$B$3*1000000*$B$5)*(IF(B224&lt;($B$4*7/10),($B$4*7/10)*(MIN(C224,($B$4*7/10))^3-B224^3)-(MIN(C224,($B$4*7/10))^4-B224^4)/4,0)+IF(C224&gt;($B$4*7/10),($B$4*7/10)^2*(1.5*(C224^2-MAX(B224,($B$4*7/10))^2)-($B$4*7/10)*(C224-MAX(B224,($B$4*7/10)))),0))*1000,0)</f>
        <v>0</v>
      </c>
      <c r="AI224" s="120">
        <f>IF(AND(J224="OK",ISNUMBER($B$5),$B$5&gt;0,ISNUMBER($B$3),$B$3&gt;0),F224/(6*$B$3*1000000*$B$5)*(IF(B224&lt;($B$4*8/10),($B$4*8/10)*(MIN(C224,($B$4*8/10))^3-B224^3)-(MIN(C224,($B$4*8/10))^4-B224^4)/4,0)+IF(C224&gt;($B$4*8/10),($B$4*8/10)^2*(1.5*(C224^2-MAX(B224,($B$4*8/10))^2)-($B$4*8/10)*(C224-MAX(B224,($B$4*8/10)))),0))*1000,0)</f>
        <v>0</v>
      </c>
      <c r="AJ224" s="120">
        <f>IF(AND(J224="OK",ISNUMBER($B$5),$B$5&gt;0,ISNUMBER($B$3),$B$3&gt;0),F224/(6*$B$3*1000000*$B$5)*(IF(B224&lt;($B$4*9/10),($B$4*9/10)*(MIN(C224,($B$4*9/10))^3-B224^3)-(MIN(C224,($B$4*9/10))^4-B224^4)/4,0)+IF(C224&gt;($B$4*9/10),($B$4*9/10)^2*(1.5*(C224^2-MAX(B224,($B$4*9/10))^2)-($B$4*9/10)*(C224-MAX(B224,($B$4*9/10)))),0))*1000,0)</f>
        <v>0</v>
      </c>
      <c r="AK224" s="120">
        <f>IF(AND(J224="OK",ISNUMBER($B$5),$B$5&gt;0,ISNUMBER($B$3),$B$3&gt;0),F224/(6*$B$3*1000000*$B$5)*(IF(B224&lt;($B$4*10/10),($B$4*10/10)*(MIN(C224,($B$4*10/10))^3-B224^3)-(MIN(C224,($B$4*10/10))^4-B224^4)/4,0)+IF(C224&gt;($B$4*10/10),($B$4*10/10)^2*(1.5*(C224^2-MAX(B224,($B$4*10/10))^2)-($B$4*10/10)*(C224-MAX(B224,($B$4*10/10)))),0))*1000,0)</f>
        <v>0</v>
      </c>
      <c r="AM224" s="120">
        <f>IF(AND(V224="OK",ISNUMBER($N$5),$N$5&gt;0,ISNUMBER($N$3),$N$3&gt;0),R224/(6*$N$3*1000000*$N$5)*(IF(N224&lt;($N$4*0/10),($N$4*0/10)*(MIN(O224,($N$4*0/10))^3-N224^3)-(MIN(O224,($N$4*0/10))^4-N224^4)/4,0)+IF(O224&gt;($N$4*0/10),($N$4*0/10)^2*(1.5*(O224^2-MAX(N224,($N$4*0/10))^2)-($N$4*0/10)*(O224-MAX(N224,($N$4*0/10)))),0))*1000,0)</f>
        <v>0</v>
      </c>
      <c r="AN224" s="120">
        <f>IF(AND(V224="OK",ISNUMBER($N$5),$N$5&gt;0,ISNUMBER($N$3),$N$3&gt;0),R224/(6*$N$3*1000000*$N$5)*(IF(N224&lt;($N$4*1/10),($N$4*1/10)*(MIN(O224,($N$4*1/10))^3-N224^3)-(MIN(O224,($N$4*1/10))^4-N224^4)/4,0)+IF(O224&gt;($N$4*1/10),($N$4*1/10)^2*(1.5*(O224^2-MAX(N224,($N$4*1/10))^2)-($N$4*1/10)*(O224-MAX(N224,($N$4*1/10)))),0))*1000,0)</f>
        <v>0</v>
      </c>
      <c r="AO224" s="120">
        <f>IF(AND(V224="OK",ISNUMBER($N$5),$N$5&gt;0,ISNUMBER($N$3),$N$3&gt;0),R224/(6*$N$3*1000000*$N$5)*(IF(N224&lt;($N$4*2/10),($N$4*2/10)*(MIN(O224,($N$4*2/10))^3-N224^3)-(MIN(O224,($N$4*2/10))^4-N224^4)/4,0)+IF(O224&gt;($N$4*2/10),($N$4*2/10)^2*(1.5*(O224^2-MAX(N224,($N$4*2/10))^2)-($N$4*2/10)*(O224-MAX(N224,($N$4*2/10)))),0))*1000,0)</f>
        <v>0</v>
      </c>
      <c r="AP224" s="120">
        <f>IF(AND(V224="OK",ISNUMBER($N$5),$N$5&gt;0,ISNUMBER($N$3),$N$3&gt;0),R224/(6*$N$3*1000000*$N$5)*(IF(N224&lt;($N$4*3/10),($N$4*3/10)*(MIN(O224,($N$4*3/10))^3-N224^3)-(MIN(O224,($N$4*3/10))^4-N224^4)/4,0)+IF(O224&gt;($N$4*3/10),($N$4*3/10)^2*(1.5*(O224^2-MAX(N224,($N$4*3/10))^2)-($N$4*3/10)*(O224-MAX(N224,($N$4*3/10)))),0))*1000,0)</f>
        <v>0</v>
      </c>
      <c r="AQ224" s="120">
        <f>IF(AND(V224="OK",ISNUMBER($N$5),$N$5&gt;0,ISNUMBER($N$3),$N$3&gt;0),R224/(6*$N$3*1000000*$N$5)*(IF(N224&lt;($N$4*4/10),($N$4*4/10)*(MIN(O224,($N$4*4/10))^3-N224^3)-(MIN(O224,($N$4*4/10))^4-N224^4)/4,0)+IF(O224&gt;($N$4*4/10),($N$4*4/10)^2*(1.5*(O224^2-MAX(N224,($N$4*4/10))^2)-($N$4*4/10)*(O224-MAX(N224,($N$4*4/10)))),0))*1000,0)</f>
        <v>0</v>
      </c>
      <c r="AR224" s="120">
        <f>IF(AND(V224="OK",ISNUMBER($N$5),$N$5&gt;0,ISNUMBER($N$3),$N$3&gt;0),R224/(6*$N$3*1000000*$N$5)*(IF(N224&lt;($N$4*5/10),($N$4*5/10)*(MIN(O224,($N$4*5/10))^3-N224^3)-(MIN(O224,($N$4*5/10))^4-N224^4)/4,0)+IF(O224&gt;($N$4*5/10),($N$4*5/10)^2*(1.5*(O224^2-MAX(N224,($N$4*5/10))^2)-($N$4*5/10)*(O224-MAX(N224,($N$4*5/10)))),0))*1000,0)</f>
        <v>0</v>
      </c>
      <c r="AS224" s="120">
        <f>IF(AND(V224="OK",ISNUMBER($N$5),$N$5&gt;0,ISNUMBER($N$3),$N$3&gt;0),R224/(6*$N$3*1000000*$N$5)*(IF(N224&lt;($N$4*6/10),($N$4*6/10)*(MIN(O224,($N$4*6/10))^3-N224^3)-(MIN(O224,($N$4*6/10))^4-N224^4)/4,0)+IF(O224&gt;($N$4*6/10),($N$4*6/10)^2*(1.5*(O224^2-MAX(N224,($N$4*6/10))^2)-($N$4*6/10)*(O224-MAX(N224,($N$4*6/10)))),0))*1000,0)</f>
        <v>0</v>
      </c>
      <c r="AT224" s="120">
        <f>IF(AND(V224="OK",ISNUMBER($N$5),$N$5&gt;0,ISNUMBER($N$3),$N$3&gt;0),R224/(6*$N$3*1000000*$N$5)*(IF(N224&lt;($N$4*7/10),($N$4*7/10)*(MIN(O224,($N$4*7/10))^3-N224^3)-(MIN(O224,($N$4*7/10))^4-N224^4)/4,0)+IF(O224&gt;($N$4*7/10),($N$4*7/10)^2*(1.5*(O224^2-MAX(N224,($N$4*7/10))^2)-($N$4*7/10)*(O224-MAX(N224,($N$4*7/10)))),0))*1000,0)</f>
        <v>0</v>
      </c>
      <c r="AU224" s="120">
        <f>IF(AND(V224="OK",ISNUMBER($N$5),$N$5&gt;0,ISNUMBER($N$3),$N$3&gt;0),R224/(6*$N$3*1000000*$N$5)*(IF(N224&lt;($N$4*8/10),($N$4*8/10)*(MIN(O224,($N$4*8/10))^3-N224^3)-(MIN(O224,($N$4*8/10))^4-N224^4)/4,0)+IF(O224&gt;($N$4*8/10),($N$4*8/10)^2*(1.5*(O224^2-MAX(N224,($N$4*8/10))^2)-($N$4*8/10)*(O224-MAX(N224,($N$4*8/10)))),0))*1000,0)</f>
        <v>0</v>
      </c>
      <c r="AV224" s="120">
        <f>IF(AND(V224="OK",ISNUMBER($N$5),$N$5&gt;0,ISNUMBER($N$3),$N$3&gt;0),R224/(6*$N$3*1000000*$N$5)*(IF(N224&lt;($N$4*9/10),($N$4*9/10)*(MIN(O224,($N$4*9/10))^3-N224^3)-(MIN(O224,($N$4*9/10))^4-N224^4)/4,0)+IF(O224&gt;($N$4*9/10),($N$4*9/10)^2*(1.5*(O224^2-MAX(N224,($N$4*9/10))^2)-($N$4*9/10)*(O224-MAX(N224,($N$4*9/10)))),0))*1000,0)</f>
        <v>0</v>
      </c>
      <c r="AW224" s="120">
        <f>IF(AND(V224="OK",ISNUMBER($N$5),$N$5&gt;0,ISNUMBER($N$3),$N$3&gt;0),R224/(6*$N$3*1000000*$N$5)*(IF(N224&lt;($N$4*10/10),($N$4*10/10)*(MIN(O224,($N$4*10/10))^3-N224^3)-(MIN(O224,($N$4*10/10))^4-N224^4)/4,0)+IF(O224&gt;($N$4*10/10),($N$4*10/10)^2*(1.5*(O224^2-MAX(N224,($N$4*10/10))^2)-($N$4*10/10)*(O224-MAX(N224,($N$4*10/10)))),0))*1000,0)</f>
        <v>0</v>
      </c>
    </row>
    <row r="225" spans="1:49">
      <c r="A225" s="124"/>
      <c r="B225" s="125"/>
      <c r="C225" s="125"/>
      <c r="D225" s="125"/>
      <c r="E225" s="125"/>
      <c r="F225" s="126" t="str">
        <f>IF(J225="OK",D225*E225,"")</f>
        <v/>
      </c>
      <c r="G225" s="126" t="str">
        <f>IF(J225="OK",F225*(C225-B225),"")</f>
        <v/>
      </c>
      <c r="H225" s="126" t="str">
        <f>IF(J225="OK",G225*(C225+B225)/2,"")</f>
        <v/>
      </c>
      <c r="I225" s="126" t="str">
        <f>IF(AND(J225="OK",ISNUMBER($B$5),$B$5&gt;0,ISNUMBER($B$3),$B$3&gt;0),F225*(4*$B$4*(C225^3-B225^3)-(C225^4-B225^4))/(24*$B$3*1000000*$B$5)*1000,"")</f>
        <v/>
      </c>
      <c r="J225" s="120" t="str">
        <f>IF(COUNTA(A225:E225)=0,"",IF(AND(COUNT(B225:E225)=4,B225&gt;=0,C225&gt;B225,C225&lt;=$B$4,D225&gt;=0,E225&gt;0),IF(COUNTIFS($B$13:$B$224,"&lt;"&amp;C225,$C$13:$C$224,"&gt;"&amp;B225)&gt;0,"OVERLAP","OK"),"CHECK INPUTS"))</f>
        <v/>
      </c>
      <c r="M225" s="124"/>
      <c r="N225" s="125"/>
      <c r="O225" s="125"/>
      <c r="P225" s="125"/>
      <c r="Q225" s="125"/>
      <c r="R225" s="126" t="str">
        <f>IF(V225="OK",P225*Q225,"")</f>
        <v/>
      </c>
      <c r="S225" s="126" t="str">
        <f>IF(V225="OK",R225*(O225-N225),"")</f>
        <v/>
      </c>
      <c r="T225" s="126" t="str">
        <f>IF(V225="OK",S225*(O225+N225)/2,"")</f>
        <v/>
      </c>
      <c r="U225" s="126" t="str">
        <f>IF(AND(V225="OK",ISNUMBER($N$5),$N$5&gt;0,ISNUMBER($N$3),$N$3&gt;0),R225*(4*$N$4*(O225^3-N225^3)-(O225^4-N225^4))/(24*$N$3*1000000*$N$5)*1000,"")</f>
        <v/>
      </c>
      <c r="V225" s="120" t="str">
        <f>IF(COUNTA(M225:Q225)=0,"",IF(AND(COUNT(N225:Q225)=4,N225&gt;=0,O225&gt;N225,O225&lt;=$N$4,P225&gt;=0,Q225&gt;0),IF(COUNTIFS($N$13:$N$224,"&lt;"&amp;O225,$O$13:$O$224,"&gt;"&amp;N225)&gt;0,"OVERLAP","OK"),"CHECK INPUTS"))</f>
        <v/>
      </c>
      <c r="AA225" s="120">
        <f>IF(AND(J225="OK",ISNUMBER($B$5),$B$5&gt;0,ISNUMBER($B$3),$B$3&gt;0),F225/(6*$B$3*1000000*$B$5)*(IF(B225&lt;($B$4*0/10),($B$4*0/10)*(MIN(C225,($B$4*0/10))^3-B225^3)-(MIN(C225,($B$4*0/10))^4-B225^4)/4,0)+IF(C225&gt;($B$4*0/10),($B$4*0/10)^2*(1.5*(C225^2-MAX(B225,($B$4*0/10))^2)-($B$4*0/10)*(C225-MAX(B225,($B$4*0/10)))),0))*1000,0)</f>
        <v>0</v>
      </c>
      <c r="AB225" s="120">
        <f>IF(AND(J225="OK",ISNUMBER($B$5),$B$5&gt;0,ISNUMBER($B$3),$B$3&gt;0),F225/(6*$B$3*1000000*$B$5)*(IF(B225&lt;($B$4*1/10),($B$4*1/10)*(MIN(C225,($B$4*1/10))^3-B225^3)-(MIN(C225,($B$4*1/10))^4-B225^4)/4,0)+IF(C225&gt;($B$4*1/10),($B$4*1/10)^2*(1.5*(C225^2-MAX(B225,($B$4*1/10))^2)-($B$4*1/10)*(C225-MAX(B225,($B$4*1/10)))),0))*1000,0)</f>
        <v>0</v>
      </c>
      <c r="AC225" s="120">
        <f>IF(AND(J225="OK",ISNUMBER($B$5),$B$5&gt;0,ISNUMBER($B$3),$B$3&gt;0),F225/(6*$B$3*1000000*$B$5)*(IF(B225&lt;($B$4*2/10),($B$4*2/10)*(MIN(C225,($B$4*2/10))^3-B225^3)-(MIN(C225,($B$4*2/10))^4-B225^4)/4,0)+IF(C225&gt;($B$4*2/10),($B$4*2/10)^2*(1.5*(C225^2-MAX(B225,($B$4*2/10))^2)-($B$4*2/10)*(C225-MAX(B225,($B$4*2/10)))),0))*1000,0)</f>
        <v>0</v>
      </c>
      <c r="AD225" s="120">
        <f>IF(AND(J225="OK",ISNUMBER($B$5),$B$5&gt;0,ISNUMBER($B$3),$B$3&gt;0),F225/(6*$B$3*1000000*$B$5)*(IF(B225&lt;($B$4*3/10),($B$4*3/10)*(MIN(C225,($B$4*3/10))^3-B225^3)-(MIN(C225,($B$4*3/10))^4-B225^4)/4,0)+IF(C225&gt;($B$4*3/10),($B$4*3/10)^2*(1.5*(C225^2-MAX(B225,($B$4*3/10))^2)-($B$4*3/10)*(C225-MAX(B225,($B$4*3/10)))),0))*1000,0)</f>
        <v>0</v>
      </c>
      <c r="AE225" s="120">
        <f>IF(AND(J225="OK",ISNUMBER($B$5),$B$5&gt;0,ISNUMBER($B$3),$B$3&gt;0),F225/(6*$B$3*1000000*$B$5)*(IF(B225&lt;($B$4*4/10),($B$4*4/10)*(MIN(C225,($B$4*4/10))^3-B225^3)-(MIN(C225,($B$4*4/10))^4-B225^4)/4,0)+IF(C225&gt;($B$4*4/10),($B$4*4/10)^2*(1.5*(C225^2-MAX(B225,($B$4*4/10))^2)-($B$4*4/10)*(C225-MAX(B225,($B$4*4/10)))),0))*1000,0)</f>
        <v>0</v>
      </c>
      <c r="AF225" s="120">
        <f>IF(AND(J225="OK",ISNUMBER($B$5),$B$5&gt;0,ISNUMBER($B$3),$B$3&gt;0),F225/(6*$B$3*1000000*$B$5)*(IF(B225&lt;($B$4*5/10),($B$4*5/10)*(MIN(C225,($B$4*5/10))^3-B225^3)-(MIN(C225,($B$4*5/10))^4-B225^4)/4,0)+IF(C225&gt;($B$4*5/10),($B$4*5/10)^2*(1.5*(C225^2-MAX(B225,($B$4*5/10))^2)-($B$4*5/10)*(C225-MAX(B225,($B$4*5/10)))),0))*1000,0)</f>
        <v>0</v>
      </c>
      <c r="AG225" s="120">
        <f>IF(AND(J225="OK",ISNUMBER($B$5),$B$5&gt;0,ISNUMBER($B$3),$B$3&gt;0),F225/(6*$B$3*1000000*$B$5)*(IF(B225&lt;($B$4*6/10),($B$4*6/10)*(MIN(C225,($B$4*6/10))^3-B225^3)-(MIN(C225,($B$4*6/10))^4-B225^4)/4,0)+IF(C225&gt;($B$4*6/10),($B$4*6/10)^2*(1.5*(C225^2-MAX(B225,($B$4*6/10))^2)-($B$4*6/10)*(C225-MAX(B225,($B$4*6/10)))),0))*1000,0)</f>
        <v>0</v>
      </c>
      <c r="AH225" s="120">
        <f>IF(AND(J225="OK",ISNUMBER($B$5),$B$5&gt;0,ISNUMBER($B$3),$B$3&gt;0),F225/(6*$B$3*1000000*$B$5)*(IF(B225&lt;($B$4*7/10),($B$4*7/10)*(MIN(C225,($B$4*7/10))^3-B225^3)-(MIN(C225,($B$4*7/10))^4-B225^4)/4,0)+IF(C225&gt;($B$4*7/10),($B$4*7/10)^2*(1.5*(C225^2-MAX(B225,($B$4*7/10))^2)-($B$4*7/10)*(C225-MAX(B225,($B$4*7/10)))),0))*1000,0)</f>
        <v>0</v>
      </c>
      <c r="AI225" s="120">
        <f>IF(AND(J225="OK",ISNUMBER($B$5),$B$5&gt;0,ISNUMBER($B$3),$B$3&gt;0),F225/(6*$B$3*1000000*$B$5)*(IF(B225&lt;($B$4*8/10),($B$4*8/10)*(MIN(C225,($B$4*8/10))^3-B225^3)-(MIN(C225,($B$4*8/10))^4-B225^4)/4,0)+IF(C225&gt;($B$4*8/10),($B$4*8/10)^2*(1.5*(C225^2-MAX(B225,($B$4*8/10))^2)-($B$4*8/10)*(C225-MAX(B225,($B$4*8/10)))),0))*1000,0)</f>
        <v>0</v>
      </c>
      <c r="AJ225" s="120">
        <f>IF(AND(J225="OK",ISNUMBER($B$5),$B$5&gt;0,ISNUMBER($B$3),$B$3&gt;0),F225/(6*$B$3*1000000*$B$5)*(IF(B225&lt;($B$4*9/10),($B$4*9/10)*(MIN(C225,($B$4*9/10))^3-B225^3)-(MIN(C225,($B$4*9/10))^4-B225^4)/4,0)+IF(C225&gt;($B$4*9/10),($B$4*9/10)^2*(1.5*(C225^2-MAX(B225,($B$4*9/10))^2)-($B$4*9/10)*(C225-MAX(B225,($B$4*9/10)))),0))*1000,0)</f>
        <v>0</v>
      </c>
      <c r="AK225" s="120">
        <f>IF(AND(J225="OK",ISNUMBER($B$5),$B$5&gt;0,ISNUMBER($B$3),$B$3&gt;0),F225/(6*$B$3*1000000*$B$5)*(IF(B225&lt;($B$4*10/10),($B$4*10/10)*(MIN(C225,($B$4*10/10))^3-B225^3)-(MIN(C225,($B$4*10/10))^4-B225^4)/4,0)+IF(C225&gt;($B$4*10/10),($B$4*10/10)^2*(1.5*(C225^2-MAX(B225,($B$4*10/10))^2)-($B$4*10/10)*(C225-MAX(B225,($B$4*10/10)))),0))*1000,0)</f>
        <v>0</v>
      </c>
      <c r="AM225" s="120">
        <f>IF(AND(V225="OK",ISNUMBER($N$5),$N$5&gt;0,ISNUMBER($N$3),$N$3&gt;0),R225/(6*$N$3*1000000*$N$5)*(IF(N225&lt;($N$4*0/10),($N$4*0/10)*(MIN(O225,($N$4*0/10))^3-N225^3)-(MIN(O225,($N$4*0/10))^4-N225^4)/4,0)+IF(O225&gt;($N$4*0/10),($N$4*0/10)^2*(1.5*(O225^2-MAX(N225,($N$4*0/10))^2)-($N$4*0/10)*(O225-MAX(N225,($N$4*0/10)))),0))*1000,0)</f>
        <v>0</v>
      </c>
      <c r="AN225" s="120">
        <f>IF(AND(V225="OK",ISNUMBER($N$5),$N$5&gt;0,ISNUMBER($N$3),$N$3&gt;0),R225/(6*$N$3*1000000*$N$5)*(IF(N225&lt;($N$4*1/10),($N$4*1/10)*(MIN(O225,($N$4*1/10))^3-N225^3)-(MIN(O225,($N$4*1/10))^4-N225^4)/4,0)+IF(O225&gt;($N$4*1/10),($N$4*1/10)^2*(1.5*(O225^2-MAX(N225,($N$4*1/10))^2)-($N$4*1/10)*(O225-MAX(N225,($N$4*1/10)))),0))*1000,0)</f>
        <v>0</v>
      </c>
      <c r="AO225" s="120">
        <f>IF(AND(V225="OK",ISNUMBER($N$5),$N$5&gt;0,ISNUMBER($N$3),$N$3&gt;0),R225/(6*$N$3*1000000*$N$5)*(IF(N225&lt;($N$4*2/10),($N$4*2/10)*(MIN(O225,($N$4*2/10))^3-N225^3)-(MIN(O225,($N$4*2/10))^4-N225^4)/4,0)+IF(O225&gt;($N$4*2/10),($N$4*2/10)^2*(1.5*(O225^2-MAX(N225,($N$4*2/10))^2)-($N$4*2/10)*(O225-MAX(N225,($N$4*2/10)))),0))*1000,0)</f>
        <v>0</v>
      </c>
      <c r="AP225" s="120">
        <f>IF(AND(V225="OK",ISNUMBER($N$5),$N$5&gt;0,ISNUMBER($N$3),$N$3&gt;0),R225/(6*$N$3*1000000*$N$5)*(IF(N225&lt;($N$4*3/10),($N$4*3/10)*(MIN(O225,($N$4*3/10))^3-N225^3)-(MIN(O225,($N$4*3/10))^4-N225^4)/4,0)+IF(O225&gt;($N$4*3/10),($N$4*3/10)^2*(1.5*(O225^2-MAX(N225,($N$4*3/10))^2)-($N$4*3/10)*(O225-MAX(N225,($N$4*3/10)))),0))*1000,0)</f>
        <v>0</v>
      </c>
      <c r="AQ225" s="120">
        <f>IF(AND(V225="OK",ISNUMBER($N$5),$N$5&gt;0,ISNUMBER($N$3),$N$3&gt;0),R225/(6*$N$3*1000000*$N$5)*(IF(N225&lt;($N$4*4/10),($N$4*4/10)*(MIN(O225,($N$4*4/10))^3-N225^3)-(MIN(O225,($N$4*4/10))^4-N225^4)/4,0)+IF(O225&gt;($N$4*4/10),($N$4*4/10)^2*(1.5*(O225^2-MAX(N225,($N$4*4/10))^2)-($N$4*4/10)*(O225-MAX(N225,($N$4*4/10)))),0))*1000,0)</f>
        <v>0</v>
      </c>
      <c r="AR225" s="120">
        <f>IF(AND(V225="OK",ISNUMBER($N$5),$N$5&gt;0,ISNUMBER($N$3),$N$3&gt;0),R225/(6*$N$3*1000000*$N$5)*(IF(N225&lt;($N$4*5/10),($N$4*5/10)*(MIN(O225,($N$4*5/10))^3-N225^3)-(MIN(O225,($N$4*5/10))^4-N225^4)/4,0)+IF(O225&gt;($N$4*5/10),($N$4*5/10)^2*(1.5*(O225^2-MAX(N225,($N$4*5/10))^2)-($N$4*5/10)*(O225-MAX(N225,($N$4*5/10)))),0))*1000,0)</f>
        <v>0</v>
      </c>
      <c r="AS225" s="120">
        <f>IF(AND(V225="OK",ISNUMBER($N$5),$N$5&gt;0,ISNUMBER($N$3),$N$3&gt;0),R225/(6*$N$3*1000000*$N$5)*(IF(N225&lt;($N$4*6/10),($N$4*6/10)*(MIN(O225,($N$4*6/10))^3-N225^3)-(MIN(O225,($N$4*6/10))^4-N225^4)/4,0)+IF(O225&gt;($N$4*6/10),($N$4*6/10)^2*(1.5*(O225^2-MAX(N225,($N$4*6/10))^2)-($N$4*6/10)*(O225-MAX(N225,($N$4*6/10)))),0))*1000,0)</f>
        <v>0</v>
      </c>
      <c r="AT225" s="120">
        <f>IF(AND(V225="OK",ISNUMBER($N$5),$N$5&gt;0,ISNUMBER($N$3),$N$3&gt;0),R225/(6*$N$3*1000000*$N$5)*(IF(N225&lt;($N$4*7/10),($N$4*7/10)*(MIN(O225,($N$4*7/10))^3-N225^3)-(MIN(O225,($N$4*7/10))^4-N225^4)/4,0)+IF(O225&gt;($N$4*7/10),($N$4*7/10)^2*(1.5*(O225^2-MAX(N225,($N$4*7/10))^2)-($N$4*7/10)*(O225-MAX(N225,($N$4*7/10)))),0))*1000,0)</f>
        <v>0</v>
      </c>
      <c r="AU225" s="120">
        <f>IF(AND(V225="OK",ISNUMBER($N$5),$N$5&gt;0,ISNUMBER($N$3),$N$3&gt;0),R225/(6*$N$3*1000000*$N$5)*(IF(N225&lt;($N$4*8/10),($N$4*8/10)*(MIN(O225,($N$4*8/10))^3-N225^3)-(MIN(O225,($N$4*8/10))^4-N225^4)/4,0)+IF(O225&gt;($N$4*8/10),($N$4*8/10)^2*(1.5*(O225^2-MAX(N225,($N$4*8/10))^2)-($N$4*8/10)*(O225-MAX(N225,($N$4*8/10)))),0))*1000,0)</f>
        <v>0</v>
      </c>
      <c r="AV225" s="120">
        <f>IF(AND(V225="OK",ISNUMBER($N$5),$N$5&gt;0,ISNUMBER($N$3),$N$3&gt;0),R225/(6*$N$3*1000000*$N$5)*(IF(N225&lt;($N$4*9/10),($N$4*9/10)*(MIN(O225,($N$4*9/10))^3-N225^3)-(MIN(O225,($N$4*9/10))^4-N225^4)/4,0)+IF(O225&gt;($N$4*9/10),($N$4*9/10)^2*(1.5*(O225^2-MAX(N225,($N$4*9/10))^2)-($N$4*9/10)*(O225-MAX(N225,($N$4*9/10)))),0))*1000,0)</f>
        <v>0</v>
      </c>
      <c r="AW225" s="120">
        <f>IF(AND(V225="OK",ISNUMBER($N$5),$N$5&gt;0,ISNUMBER($N$3),$N$3&gt;0),R225/(6*$N$3*1000000*$N$5)*(IF(N225&lt;($N$4*10/10),($N$4*10/10)*(MIN(O225,($N$4*10/10))^3-N225^3)-(MIN(O225,($N$4*10/10))^4-N225^4)/4,0)+IF(O225&gt;($N$4*10/10),($N$4*10/10)^2*(1.5*(O225^2-MAX(N225,($N$4*10/10))^2)-($N$4*10/10)*(O225-MAX(N225,($N$4*10/10)))),0))*1000,0)</f>
        <v>0</v>
      </c>
    </row>
    <row r="226" spans="1:49">
      <c r="A226" s="124"/>
      <c r="B226" s="125"/>
      <c r="C226" s="125"/>
      <c r="D226" s="125"/>
      <c r="E226" s="125"/>
      <c r="F226" s="126" t="str">
        <f>IF(J226="OK",D226*E226,"")</f>
        <v/>
      </c>
      <c r="G226" s="126" t="str">
        <f>IF(J226="OK",F226*(C226-B226),"")</f>
        <v/>
      </c>
      <c r="H226" s="126" t="str">
        <f>IF(J226="OK",G226*(C226+B226)/2,"")</f>
        <v/>
      </c>
      <c r="I226" s="126" t="str">
        <f>IF(AND(J226="OK",ISNUMBER($B$5),$B$5&gt;0,ISNUMBER($B$3),$B$3&gt;0),F226*(4*$B$4*(C226^3-B226^3)-(C226^4-B226^4))/(24*$B$3*1000000*$B$5)*1000,"")</f>
        <v/>
      </c>
      <c r="J226" s="120" t="str">
        <f>IF(COUNTA(A226:E226)=0,"",IF(AND(COUNT(B226:E226)=4,B226&gt;=0,C226&gt;B226,C226&lt;=$B$4,D226&gt;=0,E226&gt;0),IF(COUNTIFS($B$13:$B$225,"&lt;"&amp;C226,$C$13:$C$225,"&gt;"&amp;B226)&gt;0,"OVERLAP","OK"),"CHECK INPUTS"))</f>
        <v/>
      </c>
      <c r="M226" s="124"/>
      <c r="N226" s="125"/>
      <c r="O226" s="125"/>
      <c r="P226" s="125"/>
      <c r="Q226" s="125"/>
      <c r="R226" s="126" t="str">
        <f>IF(V226="OK",P226*Q226,"")</f>
        <v/>
      </c>
      <c r="S226" s="126" t="str">
        <f>IF(V226="OK",R226*(O226-N226),"")</f>
        <v/>
      </c>
      <c r="T226" s="126" t="str">
        <f>IF(V226="OK",S226*(O226+N226)/2,"")</f>
        <v/>
      </c>
      <c r="U226" s="126" t="str">
        <f>IF(AND(V226="OK",ISNUMBER($N$5),$N$5&gt;0,ISNUMBER($N$3),$N$3&gt;0),R226*(4*$N$4*(O226^3-N226^3)-(O226^4-N226^4))/(24*$N$3*1000000*$N$5)*1000,"")</f>
        <v/>
      </c>
      <c r="V226" s="120" t="str">
        <f>IF(COUNTA(M226:Q226)=0,"",IF(AND(COUNT(N226:Q226)=4,N226&gt;=0,O226&gt;N226,O226&lt;=$N$4,P226&gt;=0,Q226&gt;0),IF(COUNTIFS($N$13:$N$225,"&lt;"&amp;O226,$O$13:$O$225,"&gt;"&amp;N226)&gt;0,"OVERLAP","OK"),"CHECK INPUTS"))</f>
        <v/>
      </c>
      <c r="AA226" s="120">
        <f>IF(AND(J226="OK",ISNUMBER($B$5),$B$5&gt;0,ISNUMBER($B$3),$B$3&gt;0),F226/(6*$B$3*1000000*$B$5)*(IF(B226&lt;($B$4*0/10),($B$4*0/10)*(MIN(C226,($B$4*0/10))^3-B226^3)-(MIN(C226,($B$4*0/10))^4-B226^4)/4,0)+IF(C226&gt;($B$4*0/10),($B$4*0/10)^2*(1.5*(C226^2-MAX(B226,($B$4*0/10))^2)-($B$4*0/10)*(C226-MAX(B226,($B$4*0/10)))),0))*1000,0)</f>
        <v>0</v>
      </c>
      <c r="AB226" s="120">
        <f>IF(AND(J226="OK",ISNUMBER($B$5),$B$5&gt;0,ISNUMBER($B$3),$B$3&gt;0),F226/(6*$B$3*1000000*$B$5)*(IF(B226&lt;($B$4*1/10),($B$4*1/10)*(MIN(C226,($B$4*1/10))^3-B226^3)-(MIN(C226,($B$4*1/10))^4-B226^4)/4,0)+IF(C226&gt;($B$4*1/10),($B$4*1/10)^2*(1.5*(C226^2-MAX(B226,($B$4*1/10))^2)-($B$4*1/10)*(C226-MAX(B226,($B$4*1/10)))),0))*1000,0)</f>
        <v>0</v>
      </c>
      <c r="AC226" s="120">
        <f>IF(AND(J226="OK",ISNUMBER($B$5),$B$5&gt;0,ISNUMBER($B$3),$B$3&gt;0),F226/(6*$B$3*1000000*$B$5)*(IF(B226&lt;($B$4*2/10),($B$4*2/10)*(MIN(C226,($B$4*2/10))^3-B226^3)-(MIN(C226,($B$4*2/10))^4-B226^4)/4,0)+IF(C226&gt;($B$4*2/10),($B$4*2/10)^2*(1.5*(C226^2-MAX(B226,($B$4*2/10))^2)-($B$4*2/10)*(C226-MAX(B226,($B$4*2/10)))),0))*1000,0)</f>
        <v>0</v>
      </c>
      <c r="AD226" s="120">
        <f>IF(AND(J226="OK",ISNUMBER($B$5),$B$5&gt;0,ISNUMBER($B$3),$B$3&gt;0),F226/(6*$B$3*1000000*$B$5)*(IF(B226&lt;($B$4*3/10),($B$4*3/10)*(MIN(C226,($B$4*3/10))^3-B226^3)-(MIN(C226,($B$4*3/10))^4-B226^4)/4,0)+IF(C226&gt;($B$4*3/10),($B$4*3/10)^2*(1.5*(C226^2-MAX(B226,($B$4*3/10))^2)-($B$4*3/10)*(C226-MAX(B226,($B$4*3/10)))),0))*1000,0)</f>
        <v>0</v>
      </c>
      <c r="AE226" s="120">
        <f>IF(AND(J226="OK",ISNUMBER($B$5),$B$5&gt;0,ISNUMBER($B$3),$B$3&gt;0),F226/(6*$B$3*1000000*$B$5)*(IF(B226&lt;($B$4*4/10),($B$4*4/10)*(MIN(C226,($B$4*4/10))^3-B226^3)-(MIN(C226,($B$4*4/10))^4-B226^4)/4,0)+IF(C226&gt;($B$4*4/10),($B$4*4/10)^2*(1.5*(C226^2-MAX(B226,($B$4*4/10))^2)-($B$4*4/10)*(C226-MAX(B226,($B$4*4/10)))),0))*1000,0)</f>
        <v>0</v>
      </c>
      <c r="AF226" s="120">
        <f>IF(AND(J226="OK",ISNUMBER($B$5),$B$5&gt;0,ISNUMBER($B$3),$B$3&gt;0),F226/(6*$B$3*1000000*$B$5)*(IF(B226&lt;($B$4*5/10),($B$4*5/10)*(MIN(C226,($B$4*5/10))^3-B226^3)-(MIN(C226,($B$4*5/10))^4-B226^4)/4,0)+IF(C226&gt;($B$4*5/10),($B$4*5/10)^2*(1.5*(C226^2-MAX(B226,($B$4*5/10))^2)-($B$4*5/10)*(C226-MAX(B226,($B$4*5/10)))),0))*1000,0)</f>
        <v>0</v>
      </c>
      <c r="AG226" s="120">
        <f>IF(AND(J226="OK",ISNUMBER($B$5),$B$5&gt;0,ISNUMBER($B$3),$B$3&gt;0),F226/(6*$B$3*1000000*$B$5)*(IF(B226&lt;($B$4*6/10),($B$4*6/10)*(MIN(C226,($B$4*6/10))^3-B226^3)-(MIN(C226,($B$4*6/10))^4-B226^4)/4,0)+IF(C226&gt;($B$4*6/10),($B$4*6/10)^2*(1.5*(C226^2-MAX(B226,($B$4*6/10))^2)-($B$4*6/10)*(C226-MAX(B226,($B$4*6/10)))),0))*1000,0)</f>
        <v>0</v>
      </c>
      <c r="AH226" s="120">
        <f>IF(AND(J226="OK",ISNUMBER($B$5),$B$5&gt;0,ISNUMBER($B$3),$B$3&gt;0),F226/(6*$B$3*1000000*$B$5)*(IF(B226&lt;($B$4*7/10),($B$4*7/10)*(MIN(C226,($B$4*7/10))^3-B226^3)-(MIN(C226,($B$4*7/10))^4-B226^4)/4,0)+IF(C226&gt;($B$4*7/10),($B$4*7/10)^2*(1.5*(C226^2-MAX(B226,($B$4*7/10))^2)-($B$4*7/10)*(C226-MAX(B226,($B$4*7/10)))),0))*1000,0)</f>
        <v>0</v>
      </c>
      <c r="AI226" s="120">
        <f>IF(AND(J226="OK",ISNUMBER($B$5),$B$5&gt;0,ISNUMBER($B$3),$B$3&gt;0),F226/(6*$B$3*1000000*$B$5)*(IF(B226&lt;($B$4*8/10),($B$4*8/10)*(MIN(C226,($B$4*8/10))^3-B226^3)-(MIN(C226,($B$4*8/10))^4-B226^4)/4,0)+IF(C226&gt;($B$4*8/10),($B$4*8/10)^2*(1.5*(C226^2-MAX(B226,($B$4*8/10))^2)-($B$4*8/10)*(C226-MAX(B226,($B$4*8/10)))),0))*1000,0)</f>
        <v>0</v>
      </c>
      <c r="AJ226" s="120">
        <f>IF(AND(J226="OK",ISNUMBER($B$5),$B$5&gt;0,ISNUMBER($B$3),$B$3&gt;0),F226/(6*$B$3*1000000*$B$5)*(IF(B226&lt;($B$4*9/10),($B$4*9/10)*(MIN(C226,($B$4*9/10))^3-B226^3)-(MIN(C226,($B$4*9/10))^4-B226^4)/4,0)+IF(C226&gt;($B$4*9/10),($B$4*9/10)^2*(1.5*(C226^2-MAX(B226,($B$4*9/10))^2)-($B$4*9/10)*(C226-MAX(B226,($B$4*9/10)))),0))*1000,0)</f>
        <v>0</v>
      </c>
      <c r="AK226" s="120">
        <f>IF(AND(J226="OK",ISNUMBER($B$5),$B$5&gt;0,ISNUMBER($B$3),$B$3&gt;0),F226/(6*$B$3*1000000*$B$5)*(IF(B226&lt;($B$4*10/10),($B$4*10/10)*(MIN(C226,($B$4*10/10))^3-B226^3)-(MIN(C226,($B$4*10/10))^4-B226^4)/4,0)+IF(C226&gt;($B$4*10/10),($B$4*10/10)^2*(1.5*(C226^2-MAX(B226,($B$4*10/10))^2)-($B$4*10/10)*(C226-MAX(B226,($B$4*10/10)))),0))*1000,0)</f>
        <v>0</v>
      </c>
      <c r="AM226" s="120">
        <f>IF(AND(V226="OK",ISNUMBER($N$5),$N$5&gt;0,ISNUMBER($N$3),$N$3&gt;0),R226/(6*$N$3*1000000*$N$5)*(IF(N226&lt;($N$4*0/10),($N$4*0/10)*(MIN(O226,($N$4*0/10))^3-N226^3)-(MIN(O226,($N$4*0/10))^4-N226^4)/4,0)+IF(O226&gt;($N$4*0/10),($N$4*0/10)^2*(1.5*(O226^2-MAX(N226,($N$4*0/10))^2)-($N$4*0/10)*(O226-MAX(N226,($N$4*0/10)))),0))*1000,0)</f>
        <v>0</v>
      </c>
      <c r="AN226" s="120">
        <f>IF(AND(V226="OK",ISNUMBER($N$5),$N$5&gt;0,ISNUMBER($N$3),$N$3&gt;0),R226/(6*$N$3*1000000*$N$5)*(IF(N226&lt;($N$4*1/10),($N$4*1/10)*(MIN(O226,($N$4*1/10))^3-N226^3)-(MIN(O226,($N$4*1/10))^4-N226^4)/4,0)+IF(O226&gt;($N$4*1/10),($N$4*1/10)^2*(1.5*(O226^2-MAX(N226,($N$4*1/10))^2)-($N$4*1/10)*(O226-MAX(N226,($N$4*1/10)))),0))*1000,0)</f>
        <v>0</v>
      </c>
      <c r="AO226" s="120">
        <f>IF(AND(V226="OK",ISNUMBER($N$5),$N$5&gt;0,ISNUMBER($N$3),$N$3&gt;0),R226/(6*$N$3*1000000*$N$5)*(IF(N226&lt;($N$4*2/10),($N$4*2/10)*(MIN(O226,($N$4*2/10))^3-N226^3)-(MIN(O226,($N$4*2/10))^4-N226^4)/4,0)+IF(O226&gt;($N$4*2/10),($N$4*2/10)^2*(1.5*(O226^2-MAX(N226,($N$4*2/10))^2)-($N$4*2/10)*(O226-MAX(N226,($N$4*2/10)))),0))*1000,0)</f>
        <v>0</v>
      </c>
      <c r="AP226" s="120">
        <f>IF(AND(V226="OK",ISNUMBER($N$5),$N$5&gt;0,ISNUMBER($N$3),$N$3&gt;0),R226/(6*$N$3*1000000*$N$5)*(IF(N226&lt;($N$4*3/10),($N$4*3/10)*(MIN(O226,($N$4*3/10))^3-N226^3)-(MIN(O226,($N$4*3/10))^4-N226^4)/4,0)+IF(O226&gt;($N$4*3/10),($N$4*3/10)^2*(1.5*(O226^2-MAX(N226,($N$4*3/10))^2)-($N$4*3/10)*(O226-MAX(N226,($N$4*3/10)))),0))*1000,0)</f>
        <v>0</v>
      </c>
      <c r="AQ226" s="120">
        <f>IF(AND(V226="OK",ISNUMBER($N$5),$N$5&gt;0,ISNUMBER($N$3),$N$3&gt;0),R226/(6*$N$3*1000000*$N$5)*(IF(N226&lt;($N$4*4/10),($N$4*4/10)*(MIN(O226,($N$4*4/10))^3-N226^3)-(MIN(O226,($N$4*4/10))^4-N226^4)/4,0)+IF(O226&gt;($N$4*4/10),($N$4*4/10)^2*(1.5*(O226^2-MAX(N226,($N$4*4/10))^2)-($N$4*4/10)*(O226-MAX(N226,($N$4*4/10)))),0))*1000,0)</f>
        <v>0</v>
      </c>
      <c r="AR226" s="120">
        <f>IF(AND(V226="OK",ISNUMBER($N$5),$N$5&gt;0,ISNUMBER($N$3),$N$3&gt;0),R226/(6*$N$3*1000000*$N$5)*(IF(N226&lt;($N$4*5/10),($N$4*5/10)*(MIN(O226,($N$4*5/10))^3-N226^3)-(MIN(O226,($N$4*5/10))^4-N226^4)/4,0)+IF(O226&gt;($N$4*5/10),($N$4*5/10)^2*(1.5*(O226^2-MAX(N226,($N$4*5/10))^2)-($N$4*5/10)*(O226-MAX(N226,($N$4*5/10)))),0))*1000,0)</f>
        <v>0</v>
      </c>
      <c r="AS226" s="120">
        <f>IF(AND(V226="OK",ISNUMBER($N$5),$N$5&gt;0,ISNUMBER($N$3),$N$3&gt;0),R226/(6*$N$3*1000000*$N$5)*(IF(N226&lt;($N$4*6/10),($N$4*6/10)*(MIN(O226,($N$4*6/10))^3-N226^3)-(MIN(O226,($N$4*6/10))^4-N226^4)/4,0)+IF(O226&gt;($N$4*6/10),($N$4*6/10)^2*(1.5*(O226^2-MAX(N226,($N$4*6/10))^2)-($N$4*6/10)*(O226-MAX(N226,($N$4*6/10)))),0))*1000,0)</f>
        <v>0</v>
      </c>
      <c r="AT226" s="120">
        <f>IF(AND(V226="OK",ISNUMBER($N$5),$N$5&gt;0,ISNUMBER($N$3),$N$3&gt;0),R226/(6*$N$3*1000000*$N$5)*(IF(N226&lt;($N$4*7/10),($N$4*7/10)*(MIN(O226,($N$4*7/10))^3-N226^3)-(MIN(O226,($N$4*7/10))^4-N226^4)/4,0)+IF(O226&gt;($N$4*7/10),($N$4*7/10)^2*(1.5*(O226^2-MAX(N226,($N$4*7/10))^2)-($N$4*7/10)*(O226-MAX(N226,($N$4*7/10)))),0))*1000,0)</f>
        <v>0</v>
      </c>
      <c r="AU226" s="120">
        <f>IF(AND(V226="OK",ISNUMBER($N$5),$N$5&gt;0,ISNUMBER($N$3),$N$3&gt;0),R226/(6*$N$3*1000000*$N$5)*(IF(N226&lt;($N$4*8/10),($N$4*8/10)*(MIN(O226,($N$4*8/10))^3-N226^3)-(MIN(O226,($N$4*8/10))^4-N226^4)/4,0)+IF(O226&gt;($N$4*8/10),($N$4*8/10)^2*(1.5*(O226^2-MAX(N226,($N$4*8/10))^2)-($N$4*8/10)*(O226-MAX(N226,($N$4*8/10)))),0))*1000,0)</f>
        <v>0</v>
      </c>
      <c r="AV226" s="120">
        <f>IF(AND(V226="OK",ISNUMBER($N$5),$N$5&gt;0,ISNUMBER($N$3),$N$3&gt;0),R226/(6*$N$3*1000000*$N$5)*(IF(N226&lt;($N$4*9/10),($N$4*9/10)*(MIN(O226,($N$4*9/10))^3-N226^3)-(MIN(O226,($N$4*9/10))^4-N226^4)/4,0)+IF(O226&gt;($N$4*9/10),($N$4*9/10)^2*(1.5*(O226^2-MAX(N226,($N$4*9/10))^2)-($N$4*9/10)*(O226-MAX(N226,($N$4*9/10)))),0))*1000,0)</f>
        <v>0</v>
      </c>
      <c r="AW226" s="120">
        <f>IF(AND(V226="OK",ISNUMBER($N$5),$N$5&gt;0,ISNUMBER($N$3),$N$3&gt;0),R226/(6*$N$3*1000000*$N$5)*(IF(N226&lt;($N$4*10/10),($N$4*10/10)*(MIN(O226,($N$4*10/10))^3-N226^3)-(MIN(O226,($N$4*10/10))^4-N226^4)/4,0)+IF(O226&gt;($N$4*10/10),($N$4*10/10)^2*(1.5*(O226^2-MAX(N226,($N$4*10/10))^2)-($N$4*10/10)*(O226-MAX(N226,($N$4*10/10)))),0))*1000,0)</f>
        <v>0</v>
      </c>
    </row>
    <row r="227" spans="1:49">
      <c r="A227" s="124"/>
      <c r="B227" s="125"/>
      <c r="C227" s="125"/>
      <c r="D227" s="125"/>
      <c r="E227" s="125"/>
      <c r="F227" s="126" t="str">
        <f>IF(J227="OK",D227*E227,"")</f>
        <v/>
      </c>
      <c r="G227" s="126" t="str">
        <f>IF(J227="OK",F227*(C227-B227),"")</f>
        <v/>
      </c>
      <c r="H227" s="126" t="str">
        <f>IF(J227="OK",G227*(C227+B227)/2,"")</f>
        <v/>
      </c>
      <c r="I227" s="126" t="str">
        <f>IF(AND(J227="OK",ISNUMBER($B$5),$B$5&gt;0,ISNUMBER($B$3),$B$3&gt;0),F227*(4*$B$4*(C227^3-B227^3)-(C227^4-B227^4))/(24*$B$3*1000000*$B$5)*1000,"")</f>
        <v/>
      </c>
      <c r="J227" s="120" t="str">
        <f>IF(COUNTA(A227:E227)=0,"",IF(AND(COUNT(B227:E227)=4,B227&gt;=0,C227&gt;B227,C227&lt;=$B$4,D227&gt;=0,E227&gt;0),IF(COUNTIFS($B$13:$B$226,"&lt;"&amp;C227,$C$13:$C$226,"&gt;"&amp;B227)&gt;0,"OVERLAP","OK"),"CHECK INPUTS"))</f>
        <v/>
      </c>
      <c r="M227" s="124"/>
      <c r="N227" s="125"/>
      <c r="O227" s="125"/>
      <c r="P227" s="125"/>
      <c r="Q227" s="125"/>
      <c r="R227" s="126" t="str">
        <f>IF(V227="OK",P227*Q227,"")</f>
        <v/>
      </c>
      <c r="S227" s="126" t="str">
        <f>IF(V227="OK",R227*(O227-N227),"")</f>
        <v/>
      </c>
      <c r="T227" s="126" t="str">
        <f>IF(V227="OK",S227*(O227+N227)/2,"")</f>
        <v/>
      </c>
      <c r="U227" s="126" t="str">
        <f>IF(AND(V227="OK",ISNUMBER($N$5),$N$5&gt;0,ISNUMBER($N$3),$N$3&gt;0),R227*(4*$N$4*(O227^3-N227^3)-(O227^4-N227^4))/(24*$N$3*1000000*$N$5)*1000,"")</f>
        <v/>
      </c>
      <c r="V227" s="120" t="str">
        <f>IF(COUNTA(M227:Q227)=0,"",IF(AND(COUNT(N227:Q227)=4,N227&gt;=0,O227&gt;N227,O227&lt;=$N$4,P227&gt;=0,Q227&gt;0),IF(COUNTIFS($N$13:$N$226,"&lt;"&amp;O227,$O$13:$O$226,"&gt;"&amp;N227)&gt;0,"OVERLAP","OK"),"CHECK INPUTS"))</f>
        <v/>
      </c>
      <c r="AA227" s="120">
        <f>IF(AND(J227="OK",ISNUMBER($B$5),$B$5&gt;0,ISNUMBER($B$3),$B$3&gt;0),F227/(6*$B$3*1000000*$B$5)*(IF(B227&lt;($B$4*0/10),($B$4*0/10)*(MIN(C227,($B$4*0/10))^3-B227^3)-(MIN(C227,($B$4*0/10))^4-B227^4)/4,0)+IF(C227&gt;($B$4*0/10),($B$4*0/10)^2*(1.5*(C227^2-MAX(B227,($B$4*0/10))^2)-($B$4*0/10)*(C227-MAX(B227,($B$4*0/10)))),0))*1000,0)</f>
        <v>0</v>
      </c>
      <c r="AB227" s="120">
        <f>IF(AND(J227="OK",ISNUMBER($B$5),$B$5&gt;0,ISNUMBER($B$3),$B$3&gt;0),F227/(6*$B$3*1000000*$B$5)*(IF(B227&lt;($B$4*1/10),($B$4*1/10)*(MIN(C227,($B$4*1/10))^3-B227^3)-(MIN(C227,($B$4*1/10))^4-B227^4)/4,0)+IF(C227&gt;($B$4*1/10),($B$4*1/10)^2*(1.5*(C227^2-MAX(B227,($B$4*1/10))^2)-($B$4*1/10)*(C227-MAX(B227,($B$4*1/10)))),0))*1000,0)</f>
        <v>0</v>
      </c>
      <c r="AC227" s="120">
        <f>IF(AND(J227="OK",ISNUMBER($B$5),$B$5&gt;0,ISNUMBER($B$3),$B$3&gt;0),F227/(6*$B$3*1000000*$B$5)*(IF(B227&lt;($B$4*2/10),($B$4*2/10)*(MIN(C227,($B$4*2/10))^3-B227^3)-(MIN(C227,($B$4*2/10))^4-B227^4)/4,0)+IF(C227&gt;($B$4*2/10),($B$4*2/10)^2*(1.5*(C227^2-MAX(B227,($B$4*2/10))^2)-($B$4*2/10)*(C227-MAX(B227,($B$4*2/10)))),0))*1000,0)</f>
        <v>0</v>
      </c>
      <c r="AD227" s="120">
        <f>IF(AND(J227="OK",ISNUMBER($B$5),$B$5&gt;0,ISNUMBER($B$3),$B$3&gt;0),F227/(6*$B$3*1000000*$B$5)*(IF(B227&lt;($B$4*3/10),($B$4*3/10)*(MIN(C227,($B$4*3/10))^3-B227^3)-(MIN(C227,($B$4*3/10))^4-B227^4)/4,0)+IF(C227&gt;($B$4*3/10),($B$4*3/10)^2*(1.5*(C227^2-MAX(B227,($B$4*3/10))^2)-($B$4*3/10)*(C227-MAX(B227,($B$4*3/10)))),0))*1000,0)</f>
        <v>0</v>
      </c>
      <c r="AE227" s="120">
        <f>IF(AND(J227="OK",ISNUMBER($B$5),$B$5&gt;0,ISNUMBER($B$3),$B$3&gt;0),F227/(6*$B$3*1000000*$B$5)*(IF(B227&lt;($B$4*4/10),($B$4*4/10)*(MIN(C227,($B$4*4/10))^3-B227^3)-(MIN(C227,($B$4*4/10))^4-B227^4)/4,0)+IF(C227&gt;($B$4*4/10),($B$4*4/10)^2*(1.5*(C227^2-MAX(B227,($B$4*4/10))^2)-($B$4*4/10)*(C227-MAX(B227,($B$4*4/10)))),0))*1000,0)</f>
        <v>0</v>
      </c>
      <c r="AF227" s="120">
        <f>IF(AND(J227="OK",ISNUMBER($B$5),$B$5&gt;0,ISNUMBER($B$3),$B$3&gt;0),F227/(6*$B$3*1000000*$B$5)*(IF(B227&lt;($B$4*5/10),($B$4*5/10)*(MIN(C227,($B$4*5/10))^3-B227^3)-(MIN(C227,($B$4*5/10))^4-B227^4)/4,0)+IF(C227&gt;($B$4*5/10),($B$4*5/10)^2*(1.5*(C227^2-MAX(B227,($B$4*5/10))^2)-($B$4*5/10)*(C227-MAX(B227,($B$4*5/10)))),0))*1000,0)</f>
        <v>0</v>
      </c>
      <c r="AG227" s="120">
        <f>IF(AND(J227="OK",ISNUMBER($B$5),$B$5&gt;0,ISNUMBER($B$3),$B$3&gt;0),F227/(6*$B$3*1000000*$B$5)*(IF(B227&lt;($B$4*6/10),($B$4*6/10)*(MIN(C227,($B$4*6/10))^3-B227^3)-(MIN(C227,($B$4*6/10))^4-B227^4)/4,0)+IF(C227&gt;($B$4*6/10),($B$4*6/10)^2*(1.5*(C227^2-MAX(B227,($B$4*6/10))^2)-($B$4*6/10)*(C227-MAX(B227,($B$4*6/10)))),0))*1000,0)</f>
        <v>0</v>
      </c>
      <c r="AH227" s="120">
        <f>IF(AND(J227="OK",ISNUMBER($B$5),$B$5&gt;0,ISNUMBER($B$3),$B$3&gt;0),F227/(6*$B$3*1000000*$B$5)*(IF(B227&lt;($B$4*7/10),($B$4*7/10)*(MIN(C227,($B$4*7/10))^3-B227^3)-(MIN(C227,($B$4*7/10))^4-B227^4)/4,0)+IF(C227&gt;($B$4*7/10),($B$4*7/10)^2*(1.5*(C227^2-MAX(B227,($B$4*7/10))^2)-($B$4*7/10)*(C227-MAX(B227,($B$4*7/10)))),0))*1000,0)</f>
        <v>0</v>
      </c>
      <c r="AI227" s="120">
        <f>IF(AND(J227="OK",ISNUMBER($B$5),$B$5&gt;0,ISNUMBER($B$3),$B$3&gt;0),F227/(6*$B$3*1000000*$B$5)*(IF(B227&lt;($B$4*8/10),($B$4*8/10)*(MIN(C227,($B$4*8/10))^3-B227^3)-(MIN(C227,($B$4*8/10))^4-B227^4)/4,0)+IF(C227&gt;($B$4*8/10),($B$4*8/10)^2*(1.5*(C227^2-MAX(B227,($B$4*8/10))^2)-($B$4*8/10)*(C227-MAX(B227,($B$4*8/10)))),0))*1000,0)</f>
        <v>0</v>
      </c>
      <c r="AJ227" s="120">
        <f>IF(AND(J227="OK",ISNUMBER($B$5),$B$5&gt;0,ISNUMBER($B$3),$B$3&gt;0),F227/(6*$B$3*1000000*$B$5)*(IF(B227&lt;($B$4*9/10),($B$4*9/10)*(MIN(C227,($B$4*9/10))^3-B227^3)-(MIN(C227,($B$4*9/10))^4-B227^4)/4,0)+IF(C227&gt;($B$4*9/10),($B$4*9/10)^2*(1.5*(C227^2-MAX(B227,($B$4*9/10))^2)-($B$4*9/10)*(C227-MAX(B227,($B$4*9/10)))),0))*1000,0)</f>
        <v>0</v>
      </c>
      <c r="AK227" s="120">
        <f>IF(AND(J227="OK",ISNUMBER($B$5),$B$5&gt;0,ISNUMBER($B$3),$B$3&gt;0),F227/(6*$B$3*1000000*$B$5)*(IF(B227&lt;($B$4*10/10),($B$4*10/10)*(MIN(C227,($B$4*10/10))^3-B227^3)-(MIN(C227,($B$4*10/10))^4-B227^4)/4,0)+IF(C227&gt;($B$4*10/10),($B$4*10/10)^2*(1.5*(C227^2-MAX(B227,($B$4*10/10))^2)-($B$4*10/10)*(C227-MAX(B227,($B$4*10/10)))),0))*1000,0)</f>
        <v>0</v>
      </c>
      <c r="AM227" s="120">
        <f>IF(AND(V227="OK",ISNUMBER($N$5),$N$5&gt;0,ISNUMBER($N$3),$N$3&gt;0),R227/(6*$N$3*1000000*$N$5)*(IF(N227&lt;($N$4*0/10),($N$4*0/10)*(MIN(O227,($N$4*0/10))^3-N227^3)-(MIN(O227,($N$4*0/10))^4-N227^4)/4,0)+IF(O227&gt;($N$4*0/10),($N$4*0/10)^2*(1.5*(O227^2-MAX(N227,($N$4*0/10))^2)-($N$4*0/10)*(O227-MAX(N227,($N$4*0/10)))),0))*1000,0)</f>
        <v>0</v>
      </c>
      <c r="AN227" s="120">
        <f>IF(AND(V227="OK",ISNUMBER($N$5),$N$5&gt;0,ISNUMBER($N$3),$N$3&gt;0),R227/(6*$N$3*1000000*$N$5)*(IF(N227&lt;($N$4*1/10),($N$4*1/10)*(MIN(O227,($N$4*1/10))^3-N227^3)-(MIN(O227,($N$4*1/10))^4-N227^4)/4,0)+IF(O227&gt;($N$4*1/10),($N$4*1/10)^2*(1.5*(O227^2-MAX(N227,($N$4*1/10))^2)-($N$4*1/10)*(O227-MAX(N227,($N$4*1/10)))),0))*1000,0)</f>
        <v>0</v>
      </c>
      <c r="AO227" s="120">
        <f>IF(AND(V227="OK",ISNUMBER($N$5),$N$5&gt;0,ISNUMBER($N$3),$N$3&gt;0),R227/(6*$N$3*1000000*$N$5)*(IF(N227&lt;($N$4*2/10),($N$4*2/10)*(MIN(O227,($N$4*2/10))^3-N227^3)-(MIN(O227,($N$4*2/10))^4-N227^4)/4,0)+IF(O227&gt;($N$4*2/10),($N$4*2/10)^2*(1.5*(O227^2-MAX(N227,($N$4*2/10))^2)-($N$4*2/10)*(O227-MAX(N227,($N$4*2/10)))),0))*1000,0)</f>
        <v>0</v>
      </c>
      <c r="AP227" s="120">
        <f>IF(AND(V227="OK",ISNUMBER($N$5),$N$5&gt;0,ISNUMBER($N$3),$N$3&gt;0),R227/(6*$N$3*1000000*$N$5)*(IF(N227&lt;($N$4*3/10),($N$4*3/10)*(MIN(O227,($N$4*3/10))^3-N227^3)-(MIN(O227,($N$4*3/10))^4-N227^4)/4,0)+IF(O227&gt;($N$4*3/10),($N$4*3/10)^2*(1.5*(O227^2-MAX(N227,($N$4*3/10))^2)-($N$4*3/10)*(O227-MAX(N227,($N$4*3/10)))),0))*1000,0)</f>
        <v>0</v>
      </c>
      <c r="AQ227" s="120">
        <f>IF(AND(V227="OK",ISNUMBER($N$5),$N$5&gt;0,ISNUMBER($N$3),$N$3&gt;0),R227/(6*$N$3*1000000*$N$5)*(IF(N227&lt;($N$4*4/10),($N$4*4/10)*(MIN(O227,($N$4*4/10))^3-N227^3)-(MIN(O227,($N$4*4/10))^4-N227^4)/4,0)+IF(O227&gt;($N$4*4/10),($N$4*4/10)^2*(1.5*(O227^2-MAX(N227,($N$4*4/10))^2)-($N$4*4/10)*(O227-MAX(N227,($N$4*4/10)))),0))*1000,0)</f>
        <v>0</v>
      </c>
      <c r="AR227" s="120">
        <f>IF(AND(V227="OK",ISNUMBER($N$5),$N$5&gt;0,ISNUMBER($N$3),$N$3&gt;0),R227/(6*$N$3*1000000*$N$5)*(IF(N227&lt;($N$4*5/10),($N$4*5/10)*(MIN(O227,($N$4*5/10))^3-N227^3)-(MIN(O227,($N$4*5/10))^4-N227^4)/4,0)+IF(O227&gt;($N$4*5/10),($N$4*5/10)^2*(1.5*(O227^2-MAX(N227,($N$4*5/10))^2)-($N$4*5/10)*(O227-MAX(N227,($N$4*5/10)))),0))*1000,0)</f>
        <v>0</v>
      </c>
      <c r="AS227" s="120">
        <f>IF(AND(V227="OK",ISNUMBER($N$5),$N$5&gt;0,ISNUMBER($N$3),$N$3&gt;0),R227/(6*$N$3*1000000*$N$5)*(IF(N227&lt;($N$4*6/10),($N$4*6/10)*(MIN(O227,($N$4*6/10))^3-N227^3)-(MIN(O227,($N$4*6/10))^4-N227^4)/4,0)+IF(O227&gt;($N$4*6/10),($N$4*6/10)^2*(1.5*(O227^2-MAX(N227,($N$4*6/10))^2)-($N$4*6/10)*(O227-MAX(N227,($N$4*6/10)))),0))*1000,0)</f>
        <v>0</v>
      </c>
      <c r="AT227" s="120">
        <f>IF(AND(V227="OK",ISNUMBER($N$5),$N$5&gt;0,ISNUMBER($N$3),$N$3&gt;0),R227/(6*$N$3*1000000*$N$5)*(IF(N227&lt;($N$4*7/10),($N$4*7/10)*(MIN(O227,($N$4*7/10))^3-N227^3)-(MIN(O227,($N$4*7/10))^4-N227^4)/4,0)+IF(O227&gt;($N$4*7/10),($N$4*7/10)^2*(1.5*(O227^2-MAX(N227,($N$4*7/10))^2)-($N$4*7/10)*(O227-MAX(N227,($N$4*7/10)))),0))*1000,0)</f>
        <v>0</v>
      </c>
      <c r="AU227" s="120">
        <f>IF(AND(V227="OK",ISNUMBER($N$5),$N$5&gt;0,ISNUMBER($N$3),$N$3&gt;0),R227/(6*$N$3*1000000*$N$5)*(IF(N227&lt;($N$4*8/10),($N$4*8/10)*(MIN(O227,($N$4*8/10))^3-N227^3)-(MIN(O227,($N$4*8/10))^4-N227^4)/4,0)+IF(O227&gt;($N$4*8/10),($N$4*8/10)^2*(1.5*(O227^2-MAX(N227,($N$4*8/10))^2)-($N$4*8/10)*(O227-MAX(N227,($N$4*8/10)))),0))*1000,0)</f>
        <v>0</v>
      </c>
      <c r="AV227" s="120">
        <f>IF(AND(V227="OK",ISNUMBER($N$5),$N$5&gt;0,ISNUMBER($N$3),$N$3&gt;0),R227/(6*$N$3*1000000*$N$5)*(IF(N227&lt;($N$4*9/10),($N$4*9/10)*(MIN(O227,($N$4*9/10))^3-N227^3)-(MIN(O227,($N$4*9/10))^4-N227^4)/4,0)+IF(O227&gt;($N$4*9/10),($N$4*9/10)^2*(1.5*(O227^2-MAX(N227,($N$4*9/10))^2)-($N$4*9/10)*(O227-MAX(N227,($N$4*9/10)))),0))*1000,0)</f>
        <v>0</v>
      </c>
      <c r="AW227" s="120">
        <f>IF(AND(V227="OK",ISNUMBER($N$5),$N$5&gt;0,ISNUMBER($N$3),$N$3&gt;0),R227/(6*$N$3*1000000*$N$5)*(IF(N227&lt;($N$4*10/10),($N$4*10/10)*(MIN(O227,($N$4*10/10))^3-N227^3)-(MIN(O227,($N$4*10/10))^4-N227^4)/4,0)+IF(O227&gt;($N$4*10/10),($N$4*10/10)^2*(1.5*(O227^2-MAX(N227,($N$4*10/10))^2)-($N$4*10/10)*(O227-MAX(N227,($N$4*10/10)))),0))*1000,0)</f>
        <v>0</v>
      </c>
    </row>
    <row r="228" spans="1:49">
      <c r="A228" s="124"/>
      <c r="B228" s="125"/>
      <c r="C228" s="125"/>
      <c r="D228" s="125"/>
      <c r="E228" s="125"/>
      <c r="F228" s="126" t="str">
        <f>IF(J228="OK",D228*E228,"")</f>
        <v/>
      </c>
      <c r="G228" s="126" t="str">
        <f>IF(J228="OK",F228*(C228-B228),"")</f>
        <v/>
      </c>
      <c r="H228" s="126" t="str">
        <f>IF(J228="OK",G228*(C228+B228)/2,"")</f>
        <v/>
      </c>
      <c r="I228" s="126" t="str">
        <f>IF(AND(J228="OK",ISNUMBER($B$5),$B$5&gt;0,ISNUMBER($B$3),$B$3&gt;0),F228*(4*$B$4*(C228^3-B228^3)-(C228^4-B228^4))/(24*$B$3*1000000*$B$5)*1000,"")</f>
        <v/>
      </c>
      <c r="J228" s="120" t="str">
        <f>IF(COUNTA(A228:E228)=0,"",IF(AND(COUNT(B228:E228)=4,B228&gt;=0,C228&gt;B228,C228&lt;=$B$4,D228&gt;=0,E228&gt;0),IF(COUNTIFS($B$13:$B$227,"&lt;"&amp;C228,$C$13:$C$227,"&gt;"&amp;B228)&gt;0,"OVERLAP","OK"),"CHECK INPUTS"))</f>
        <v/>
      </c>
      <c r="M228" s="124"/>
      <c r="N228" s="125"/>
      <c r="O228" s="125"/>
      <c r="P228" s="125"/>
      <c r="Q228" s="125"/>
      <c r="R228" s="126" t="str">
        <f>IF(V228="OK",P228*Q228,"")</f>
        <v/>
      </c>
      <c r="S228" s="126" t="str">
        <f>IF(V228="OK",R228*(O228-N228),"")</f>
        <v/>
      </c>
      <c r="T228" s="126" t="str">
        <f>IF(V228="OK",S228*(O228+N228)/2,"")</f>
        <v/>
      </c>
      <c r="U228" s="126" t="str">
        <f>IF(AND(V228="OK",ISNUMBER($N$5),$N$5&gt;0,ISNUMBER($N$3),$N$3&gt;0),R228*(4*$N$4*(O228^3-N228^3)-(O228^4-N228^4))/(24*$N$3*1000000*$N$5)*1000,"")</f>
        <v/>
      </c>
      <c r="V228" s="120" t="str">
        <f>IF(COUNTA(M228:Q228)=0,"",IF(AND(COUNT(N228:Q228)=4,N228&gt;=0,O228&gt;N228,O228&lt;=$N$4,P228&gt;=0,Q228&gt;0),IF(COUNTIFS($N$13:$N$227,"&lt;"&amp;O228,$O$13:$O$227,"&gt;"&amp;N228)&gt;0,"OVERLAP","OK"),"CHECK INPUTS"))</f>
        <v/>
      </c>
      <c r="AA228" s="120">
        <f>IF(AND(J228="OK",ISNUMBER($B$5),$B$5&gt;0,ISNUMBER($B$3),$B$3&gt;0),F228/(6*$B$3*1000000*$B$5)*(IF(B228&lt;($B$4*0/10),($B$4*0/10)*(MIN(C228,($B$4*0/10))^3-B228^3)-(MIN(C228,($B$4*0/10))^4-B228^4)/4,0)+IF(C228&gt;($B$4*0/10),($B$4*0/10)^2*(1.5*(C228^2-MAX(B228,($B$4*0/10))^2)-($B$4*0/10)*(C228-MAX(B228,($B$4*0/10)))),0))*1000,0)</f>
        <v>0</v>
      </c>
      <c r="AB228" s="120">
        <f>IF(AND(J228="OK",ISNUMBER($B$5),$B$5&gt;0,ISNUMBER($B$3),$B$3&gt;0),F228/(6*$B$3*1000000*$B$5)*(IF(B228&lt;($B$4*1/10),($B$4*1/10)*(MIN(C228,($B$4*1/10))^3-B228^3)-(MIN(C228,($B$4*1/10))^4-B228^4)/4,0)+IF(C228&gt;($B$4*1/10),($B$4*1/10)^2*(1.5*(C228^2-MAX(B228,($B$4*1/10))^2)-($B$4*1/10)*(C228-MAX(B228,($B$4*1/10)))),0))*1000,0)</f>
        <v>0</v>
      </c>
      <c r="AC228" s="120">
        <f>IF(AND(J228="OK",ISNUMBER($B$5),$B$5&gt;0,ISNUMBER($B$3),$B$3&gt;0),F228/(6*$B$3*1000000*$B$5)*(IF(B228&lt;($B$4*2/10),($B$4*2/10)*(MIN(C228,($B$4*2/10))^3-B228^3)-(MIN(C228,($B$4*2/10))^4-B228^4)/4,0)+IF(C228&gt;($B$4*2/10),($B$4*2/10)^2*(1.5*(C228^2-MAX(B228,($B$4*2/10))^2)-($B$4*2/10)*(C228-MAX(B228,($B$4*2/10)))),0))*1000,0)</f>
        <v>0</v>
      </c>
      <c r="AD228" s="120">
        <f>IF(AND(J228="OK",ISNUMBER($B$5),$B$5&gt;0,ISNUMBER($B$3),$B$3&gt;0),F228/(6*$B$3*1000000*$B$5)*(IF(B228&lt;($B$4*3/10),($B$4*3/10)*(MIN(C228,($B$4*3/10))^3-B228^3)-(MIN(C228,($B$4*3/10))^4-B228^4)/4,0)+IF(C228&gt;($B$4*3/10),($B$4*3/10)^2*(1.5*(C228^2-MAX(B228,($B$4*3/10))^2)-($B$4*3/10)*(C228-MAX(B228,($B$4*3/10)))),0))*1000,0)</f>
        <v>0</v>
      </c>
      <c r="AE228" s="120">
        <f>IF(AND(J228="OK",ISNUMBER($B$5),$B$5&gt;0,ISNUMBER($B$3),$B$3&gt;0),F228/(6*$B$3*1000000*$B$5)*(IF(B228&lt;($B$4*4/10),($B$4*4/10)*(MIN(C228,($B$4*4/10))^3-B228^3)-(MIN(C228,($B$4*4/10))^4-B228^4)/4,0)+IF(C228&gt;($B$4*4/10),($B$4*4/10)^2*(1.5*(C228^2-MAX(B228,($B$4*4/10))^2)-($B$4*4/10)*(C228-MAX(B228,($B$4*4/10)))),0))*1000,0)</f>
        <v>0</v>
      </c>
      <c r="AF228" s="120">
        <f>IF(AND(J228="OK",ISNUMBER($B$5),$B$5&gt;0,ISNUMBER($B$3),$B$3&gt;0),F228/(6*$B$3*1000000*$B$5)*(IF(B228&lt;($B$4*5/10),($B$4*5/10)*(MIN(C228,($B$4*5/10))^3-B228^3)-(MIN(C228,($B$4*5/10))^4-B228^4)/4,0)+IF(C228&gt;($B$4*5/10),($B$4*5/10)^2*(1.5*(C228^2-MAX(B228,($B$4*5/10))^2)-($B$4*5/10)*(C228-MAX(B228,($B$4*5/10)))),0))*1000,0)</f>
        <v>0</v>
      </c>
      <c r="AG228" s="120">
        <f>IF(AND(J228="OK",ISNUMBER($B$5),$B$5&gt;0,ISNUMBER($B$3),$B$3&gt;0),F228/(6*$B$3*1000000*$B$5)*(IF(B228&lt;($B$4*6/10),($B$4*6/10)*(MIN(C228,($B$4*6/10))^3-B228^3)-(MIN(C228,($B$4*6/10))^4-B228^4)/4,0)+IF(C228&gt;($B$4*6/10),($B$4*6/10)^2*(1.5*(C228^2-MAX(B228,($B$4*6/10))^2)-($B$4*6/10)*(C228-MAX(B228,($B$4*6/10)))),0))*1000,0)</f>
        <v>0</v>
      </c>
      <c r="AH228" s="120">
        <f>IF(AND(J228="OK",ISNUMBER($B$5),$B$5&gt;0,ISNUMBER($B$3),$B$3&gt;0),F228/(6*$B$3*1000000*$B$5)*(IF(B228&lt;($B$4*7/10),($B$4*7/10)*(MIN(C228,($B$4*7/10))^3-B228^3)-(MIN(C228,($B$4*7/10))^4-B228^4)/4,0)+IF(C228&gt;($B$4*7/10),($B$4*7/10)^2*(1.5*(C228^2-MAX(B228,($B$4*7/10))^2)-($B$4*7/10)*(C228-MAX(B228,($B$4*7/10)))),0))*1000,0)</f>
        <v>0</v>
      </c>
      <c r="AI228" s="120">
        <f>IF(AND(J228="OK",ISNUMBER($B$5),$B$5&gt;0,ISNUMBER($B$3),$B$3&gt;0),F228/(6*$B$3*1000000*$B$5)*(IF(B228&lt;($B$4*8/10),($B$4*8/10)*(MIN(C228,($B$4*8/10))^3-B228^3)-(MIN(C228,($B$4*8/10))^4-B228^4)/4,0)+IF(C228&gt;($B$4*8/10),($B$4*8/10)^2*(1.5*(C228^2-MAX(B228,($B$4*8/10))^2)-($B$4*8/10)*(C228-MAX(B228,($B$4*8/10)))),0))*1000,0)</f>
        <v>0</v>
      </c>
      <c r="AJ228" s="120">
        <f>IF(AND(J228="OK",ISNUMBER($B$5),$B$5&gt;0,ISNUMBER($B$3),$B$3&gt;0),F228/(6*$B$3*1000000*$B$5)*(IF(B228&lt;($B$4*9/10),($B$4*9/10)*(MIN(C228,($B$4*9/10))^3-B228^3)-(MIN(C228,($B$4*9/10))^4-B228^4)/4,0)+IF(C228&gt;($B$4*9/10),($B$4*9/10)^2*(1.5*(C228^2-MAX(B228,($B$4*9/10))^2)-($B$4*9/10)*(C228-MAX(B228,($B$4*9/10)))),0))*1000,0)</f>
        <v>0</v>
      </c>
      <c r="AK228" s="120">
        <f>IF(AND(J228="OK",ISNUMBER($B$5),$B$5&gt;0,ISNUMBER($B$3),$B$3&gt;0),F228/(6*$B$3*1000000*$B$5)*(IF(B228&lt;($B$4*10/10),($B$4*10/10)*(MIN(C228,($B$4*10/10))^3-B228^3)-(MIN(C228,($B$4*10/10))^4-B228^4)/4,0)+IF(C228&gt;($B$4*10/10),($B$4*10/10)^2*(1.5*(C228^2-MAX(B228,($B$4*10/10))^2)-($B$4*10/10)*(C228-MAX(B228,($B$4*10/10)))),0))*1000,0)</f>
        <v>0</v>
      </c>
      <c r="AM228" s="120">
        <f>IF(AND(V228="OK",ISNUMBER($N$5),$N$5&gt;0,ISNUMBER($N$3),$N$3&gt;0),R228/(6*$N$3*1000000*$N$5)*(IF(N228&lt;($N$4*0/10),($N$4*0/10)*(MIN(O228,($N$4*0/10))^3-N228^3)-(MIN(O228,($N$4*0/10))^4-N228^4)/4,0)+IF(O228&gt;($N$4*0/10),($N$4*0/10)^2*(1.5*(O228^2-MAX(N228,($N$4*0/10))^2)-($N$4*0/10)*(O228-MAX(N228,($N$4*0/10)))),0))*1000,0)</f>
        <v>0</v>
      </c>
      <c r="AN228" s="120">
        <f>IF(AND(V228="OK",ISNUMBER($N$5),$N$5&gt;0,ISNUMBER($N$3),$N$3&gt;0),R228/(6*$N$3*1000000*$N$5)*(IF(N228&lt;($N$4*1/10),($N$4*1/10)*(MIN(O228,($N$4*1/10))^3-N228^3)-(MIN(O228,($N$4*1/10))^4-N228^4)/4,0)+IF(O228&gt;($N$4*1/10),($N$4*1/10)^2*(1.5*(O228^2-MAX(N228,($N$4*1/10))^2)-($N$4*1/10)*(O228-MAX(N228,($N$4*1/10)))),0))*1000,0)</f>
        <v>0</v>
      </c>
      <c r="AO228" s="120">
        <f>IF(AND(V228="OK",ISNUMBER($N$5),$N$5&gt;0,ISNUMBER($N$3),$N$3&gt;0),R228/(6*$N$3*1000000*$N$5)*(IF(N228&lt;($N$4*2/10),($N$4*2/10)*(MIN(O228,($N$4*2/10))^3-N228^3)-(MIN(O228,($N$4*2/10))^4-N228^4)/4,0)+IF(O228&gt;($N$4*2/10),($N$4*2/10)^2*(1.5*(O228^2-MAX(N228,($N$4*2/10))^2)-($N$4*2/10)*(O228-MAX(N228,($N$4*2/10)))),0))*1000,0)</f>
        <v>0</v>
      </c>
      <c r="AP228" s="120">
        <f>IF(AND(V228="OK",ISNUMBER($N$5),$N$5&gt;0,ISNUMBER($N$3),$N$3&gt;0),R228/(6*$N$3*1000000*$N$5)*(IF(N228&lt;($N$4*3/10),($N$4*3/10)*(MIN(O228,($N$4*3/10))^3-N228^3)-(MIN(O228,($N$4*3/10))^4-N228^4)/4,0)+IF(O228&gt;($N$4*3/10),($N$4*3/10)^2*(1.5*(O228^2-MAX(N228,($N$4*3/10))^2)-($N$4*3/10)*(O228-MAX(N228,($N$4*3/10)))),0))*1000,0)</f>
        <v>0</v>
      </c>
      <c r="AQ228" s="120">
        <f>IF(AND(V228="OK",ISNUMBER($N$5),$N$5&gt;0,ISNUMBER($N$3),$N$3&gt;0),R228/(6*$N$3*1000000*$N$5)*(IF(N228&lt;($N$4*4/10),($N$4*4/10)*(MIN(O228,($N$4*4/10))^3-N228^3)-(MIN(O228,($N$4*4/10))^4-N228^4)/4,0)+IF(O228&gt;($N$4*4/10),($N$4*4/10)^2*(1.5*(O228^2-MAX(N228,($N$4*4/10))^2)-($N$4*4/10)*(O228-MAX(N228,($N$4*4/10)))),0))*1000,0)</f>
        <v>0</v>
      </c>
      <c r="AR228" s="120">
        <f>IF(AND(V228="OK",ISNUMBER($N$5),$N$5&gt;0,ISNUMBER($N$3),$N$3&gt;0),R228/(6*$N$3*1000000*$N$5)*(IF(N228&lt;($N$4*5/10),($N$4*5/10)*(MIN(O228,($N$4*5/10))^3-N228^3)-(MIN(O228,($N$4*5/10))^4-N228^4)/4,0)+IF(O228&gt;($N$4*5/10),($N$4*5/10)^2*(1.5*(O228^2-MAX(N228,($N$4*5/10))^2)-($N$4*5/10)*(O228-MAX(N228,($N$4*5/10)))),0))*1000,0)</f>
        <v>0</v>
      </c>
      <c r="AS228" s="120">
        <f>IF(AND(V228="OK",ISNUMBER($N$5),$N$5&gt;0,ISNUMBER($N$3),$N$3&gt;0),R228/(6*$N$3*1000000*$N$5)*(IF(N228&lt;($N$4*6/10),($N$4*6/10)*(MIN(O228,($N$4*6/10))^3-N228^3)-(MIN(O228,($N$4*6/10))^4-N228^4)/4,0)+IF(O228&gt;($N$4*6/10),($N$4*6/10)^2*(1.5*(O228^2-MAX(N228,($N$4*6/10))^2)-($N$4*6/10)*(O228-MAX(N228,($N$4*6/10)))),0))*1000,0)</f>
        <v>0</v>
      </c>
      <c r="AT228" s="120">
        <f>IF(AND(V228="OK",ISNUMBER($N$5),$N$5&gt;0,ISNUMBER($N$3),$N$3&gt;0),R228/(6*$N$3*1000000*$N$5)*(IF(N228&lt;($N$4*7/10),($N$4*7/10)*(MIN(O228,($N$4*7/10))^3-N228^3)-(MIN(O228,($N$4*7/10))^4-N228^4)/4,0)+IF(O228&gt;($N$4*7/10),($N$4*7/10)^2*(1.5*(O228^2-MAX(N228,($N$4*7/10))^2)-($N$4*7/10)*(O228-MAX(N228,($N$4*7/10)))),0))*1000,0)</f>
        <v>0</v>
      </c>
      <c r="AU228" s="120">
        <f>IF(AND(V228="OK",ISNUMBER($N$5),$N$5&gt;0,ISNUMBER($N$3),$N$3&gt;0),R228/(6*$N$3*1000000*$N$5)*(IF(N228&lt;($N$4*8/10),($N$4*8/10)*(MIN(O228,($N$4*8/10))^3-N228^3)-(MIN(O228,($N$4*8/10))^4-N228^4)/4,0)+IF(O228&gt;($N$4*8/10),($N$4*8/10)^2*(1.5*(O228^2-MAX(N228,($N$4*8/10))^2)-($N$4*8/10)*(O228-MAX(N228,($N$4*8/10)))),0))*1000,0)</f>
        <v>0</v>
      </c>
      <c r="AV228" s="120">
        <f>IF(AND(V228="OK",ISNUMBER($N$5),$N$5&gt;0,ISNUMBER($N$3),$N$3&gt;0),R228/(6*$N$3*1000000*$N$5)*(IF(N228&lt;($N$4*9/10),($N$4*9/10)*(MIN(O228,($N$4*9/10))^3-N228^3)-(MIN(O228,($N$4*9/10))^4-N228^4)/4,0)+IF(O228&gt;($N$4*9/10),($N$4*9/10)^2*(1.5*(O228^2-MAX(N228,($N$4*9/10))^2)-($N$4*9/10)*(O228-MAX(N228,($N$4*9/10)))),0))*1000,0)</f>
        <v>0</v>
      </c>
      <c r="AW228" s="120">
        <f>IF(AND(V228="OK",ISNUMBER($N$5),$N$5&gt;0,ISNUMBER($N$3),$N$3&gt;0),R228/(6*$N$3*1000000*$N$5)*(IF(N228&lt;($N$4*10/10),($N$4*10/10)*(MIN(O228,($N$4*10/10))^3-N228^3)-(MIN(O228,($N$4*10/10))^4-N228^4)/4,0)+IF(O228&gt;($N$4*10/10),($N$4*10/10)^2*(1.5*(O228^2-MAX(N228,($N$4*10/10))^2)-($N$4*10/10)*(O228-MAX(N228,($N$4*10/10)))),0))*1000,0)</f>
        <v>0</v>
      </c>
    </row>
    <row r="229" spans="1:49">
      <c r="A229" s="124"/>
      <c r="B229" s="125"/>
      <c r="C229" s="125"/>
      <c r="D229" s="125"/>
      <c r="E229" s="125"/>
      <c r="F229" s="126" t="str">
        <f>IF(J229="OK",D229*E229,"")</f>
        <v/>
      </c>
      <c r="G229" s="126" t="str">
        <f>IF(J229="OK",F229*(C229-B229),"")</f>
        <v/>
      </c>
      <c r="H229" s="126" t="str">
        <f>IF(J229="OK",G229*(C229+B229)/2,"")</f>
        <v/>
      </c>
      <c r="I229" s="126" t="str">
        <f>IF(AND(J229="OK",ISNUMBER($B$5),$B$5&gt;0,ISNUMBER($B$3),$B$3&gt;0),F229*(4*$B$4*(C229^3-B229^3)-(C229^4-B229^4))/(24*$B$3*1000000*$B$5)*1000,"")</f>
        <v/>
      </c>
      <c r="J229" s="120" t="str">
        <f>IF(COUNTA(A229:E229)=0,"",IF(AND(COUNT(B229:E229)=4,B229&gt;=0,C229&gt;B229,C229&lt;=$B$4,D229&gt;=0,E229&gt;0),IF(COUNTIFS($B$13:$B$228,"&lt;"&amp;C229,$C$13:$C$228,"&gt;"&amp;B229)&gt;0,"OVERLAP","OK"),"CHECK INPUTS"))</f>
        <v/>
      </c>
      <c r="M229" s="124"/>
      <c r="N229" s="125"/>
      <c r="O229" s="125"/>
      <c r="P229" s="125"/>
      <c r="Q229" s="125"/>
      <c r="R229" s="126" t="str">
        <f>IF(V229="OK",P229*Q229,"")</f>
        <v/>
      </c>
      <c r="S229" s="126" t="str">
        <f>IF(V229="OK",R229*(O229-N229),"")</f>
        <v/>
      </c>
      <c r="T229" s="126" t="str">
        <f>IF(V229="OK",S229*(O229+N229)/2,"")</f>
        <v/>
      </c>
      <c r="U229" s="126" t="str">
        <f>IF(AND(V229="OK",ISNUMBER($N$5),$N$5&gt;0,ISNUMBER($N$3),$N$3&gt;0),R229*(4*$N$4*(O229^3-N229^3)-(O229^4-N229^4))/(24*$N$3*1000000*$N$5)*1000,"")</f>
        <v/>
      </c>
      <c r="V229" s="120" t="str">
        <f>IF(COUNTA(M229:Q229)=0,"",IF(AND(COUNT(N229:Q229)=4,N229&gt;=0,O229&gt;N229,O229&lt;=$N$4,P229&gt;=0,Q229&gt;0),IF(COUNTIFS($N$13:$N$228,"&lt;"&amp;O229,$O$13:$O$228,"&gt;"&amp;N229)&gt;0,"OVERLAP","OK"),"CHECK INPUTS"))</f>
        <v/>
      </c>
      <c r="AA229" s="120">
        <f>IF(AND(J229="OK",ISNUMBER($B$5),$B$5&gt;0,ISNUMBER($B$3),$B$3&gt;0),F229/(6*$B$3*1000000*$B$5)*(IF(B229&lt;($B$4*0/10),($B$4*0/10)*(MIN(C229,($B$4*0/10))^3-B229^3)-(MIN(C229,($B$4*0/10))^4-B229^4)/4,0)+IF(C229&gt;($B$4*0/10),($B$4*0/10)^2*(1.5*(C229^2-MAX(B229,($B$4*0/10))^2)-($B$4*0/10)*(C229-MAX(B229,($B$4*0/10)))),0))*1000,0)</f>
        <v>0</v>
      </c>
      <c r="AB229" s="120">
        <f>IF(AND(J229="OK",ISNUMBER($B$5),$B$5&gt;0,ISNUMBER($B$3),$B$3&gt;0),F229/(6*$B$3*1000000*$B$5)*(IF(B229&lt;($B$4*1/10),($B$4*1/10)*(MIN(C229,($B$4*1/10))^3-B229^3)-(MIN(C229,($B$4*1/10))^4-B229^4)/4,0)+IF(C229&gt;($B$4*1/10),($B$4*1/10)^2*(1.5*(C229^2-MAX(B229,($B$4*1/10))^2)-($B$4*1/10)*(C229-MAX(B229,($B$4*1/10)))),0))*1000,0)</f>
        <v>0</v>
      </c>
      <c r="AC229" s="120">
        <f>IF(AND(J229="OK",ISNUMBER($B$5),$B$5&gt;0,ISNUMBER($B$3),$B$3&gt;0),F229/(6*$B$3*1000000*$B$5)*(IF(B229&lt;($B$4*2/10),($B$4*2/10)*(MIN(C229,($B$4*2/10))^3-B229^3)-(MIN(C229,($B$4*2/10))^4-B229^4)/4,0)+IF(C229&gt;($B$4*2/10),($B$4*2/10)^2*(1.5*(C229^2-MAX(B229,($B$4*2/10))^2)-($B$4*2/10)*(C229-MAX(B229,($B$4*2/10)))),0))*1000,0)</f>
        <v>0</v>
      </c>
      <c r="AD229" s="120">
        <f>IF(AND(J229="OK",ISNUMBER($B$5),$B$5&gt;0,ISNUMBER($B$3),$B$3&gt;0),F229/(6*$B$3*1000000*$B$5)*(IF(B229&lt;($B$4*3/10),($B$4*3/10)*(MIN(C229,($B$4*3/10))^3-B229^3)-(MIN(C229,($B$4*3/10))^4-B229^4)/4,0)+IF(C229&gt;($B$4*3/10),($B$4*3/10)^2*(1.5*(C229^2-MAX(B229,($B$4*3/10))^2)-($B$4*3/10)*(C229-MAX(B229,($B$4*3/10)))),0))*1000,0)</f>
        <v>0</v>
      </c>
      <c r="AE229" s="120">
        <f>IF(AND(J229="OK",ISNUMBER($B$5),$B$5&gt;0,ISNUMBER($B$3),$B$3&gt;0),F229/(6*$B$3*1000000*$B$5)*(IF(B229&lt;($B$4*4/10),($B$4*4/10)*(MIN(C229,($B$4*4/10))^3-B229^3)-(MIN(C229,($B$4*4/10))^4-B229^4)/4,0)+IF(C229&gt;($B$4*4/10),($B$4*4/10)^2*(1.5*(C229^2-MAX(B229,($B$4*4/10))^2)-($B$4*4/10)*(C229-MAX(B229,($B$4*4/10)))),0))*1000,0)</f>
        <v>0</v>
      </c>
      <c r="AF229" s="120">
        <f>IF(AND(J229="OK",ISNUMBER($B$5),$B$5&gt;0,ISNUMBER($B$3),$B$3&gt;0),F229/(6*$B$3*1000000*$B$5)*(IF(B229&lt;($B$4*5/10),($B$4*5/10)*(MIN(C229,($B$4*5/10))^3-B229^3)-(MIN(C229,($B$4*5/10))^4-B229^4)/4,0)+IF(C229&gt;($B$4*5/10),($B$4*5/10)^2*(1.5*(C229^2-MAX(B229,($B$4*5/10))^2)-($B$4*5/10)*(C229-MAX(B229,($B$4*5/10)))),0))*1000,0)</f>
        <v>0</v>
      </c>
      <c r="AG229" s="120">
        <f>IF(AND(J229="OK",ISNUMBER($B$5),$B$5&gt;0,ISNUMBER($B$3),$B$3&gt;0),F229/(6*$B$3*1000000*$B$5)*(IF(B229&lt;($B$4*6/10),($B$4*6/10)*(MIN(C229,($B$4*6/10))^3-B229^3)-(MIN(C229,($B$4*6/10))^4-B229^4)/4,0)+IF(C229&gt;($B$4*6/10),($B$4*6/10)^2*(1.5*(C229^2-MAX(B229,($B$4*6/10))^2)-($B$4*6/10)*(C229-MAX(B229,($B$4*6/10)))),0))*1000,0)</f>
        <v>0</v>
      </c>
      <c r="AH229" s="120">
        <f>IF(AND(J229="OK",ISNUMBER($B$5),$B$5&gt;0,ISNUMBER($B$3),$B$3&gt;0),F229/(6*$B$3*1000000*$B$5)*(IF(B229&lt;($B$4*7/10),($B$4*7/10)*(MIN(C229,($B$4*7/10))^3-B229^3)-(MIN(C229,($B$4*7/10))^4-B229^4)/4,0)+IF(C229&gt;($B$4*7/10),($B$4*7/10)^2*(1.5*(C229^2-MAX(B229,($B$4*7/10))^2)-($B$4*7/10)*(C229-MAX(B229,($B$4*7/10)))),0))*1000,0)</f>
        <v>0</v>
      </c>
      <c r="AI229" s="120">
        <f>IF(AND(J229="OK",ISNUMBER($B$5),$B$5&gt;0,ISNUMBER($B$3),$B$3&gt;0),F229/(6*$B$3*1000000*$B$5)*(IF(B229&lt;($B$4*8/10),($B$4*8/10)*(MIN(C229,($B$4*8/10))^3-B229^3)-(MIN(C229,($B$4*8/10))^4-B229^4)/4,0)+IF(C229&gt;($B$4*8/10),($B$4*8/10)^2*(1.5*(C229^2-MAX(B229,($B$4*8/10))^2)-($B$4*8/10)*(C229-MAX(B229,($B$4*8/10)))),0))*1000,0)</f>
        <v>0</v>
      </c>
      <c r="AJ229" s="120">
        <f>IF(AND(J229="OK",ISNUMBER($B$5),$B$5&gt;0,ISNUMBER($B$3),$B$3&gt;0),F229/(6*$B$3*1000000*$B$5)*(IF(B229&lt;($B$4*9/10),($B$4*9/10)*(MIN(C229,($B$4*9/10))^3-B229^3)-(MIN(C229,($B$4*9/10))^4-B229^4)/4,0)+IF(C229&gt;($B$4*9/10),($B$4*9/10)^2*(1.5*(C229^2-MAX(B229,($B$4*9/10))^2)-($B$4*9/10)*(C229-MAX(B229,($B$4*9/10)))),0))*1000,0)</f>
        <v>0</v>
      </c>
      <c r="AK229" s="120">
        <f>IF(AND(J229="OK",ISNUMBER($B$5),$B$5&gt;0,ISNUMBER($B$3),$B$3&gt;0),F229/(6*$B$3*1000000*$B$5)*(IF(B229&lt;($B$4*10/10),($B$4*10/10)*(MIN(C229,($B$4*10/10))^3-B229^3)-(MIN(C229,($B$4*10/10))^4-B229^4)/4,0)+IF(C229&gt;($B$4*10/10),($B$4*10/10)^2*(1.5*(C229^2-MAX(B229,($B$4*10/10))^2)-($B$4*10/10)*(C229-MAX(B229,($B$4*10/10)))),0))*1000,0)</f>
        <v>0</v>
      </c>
      <c r="AM229" s="120">
        <f>IF(AND(V229="OK",ISNUMBER($N$5),$N$5&gt;0,ISNUMBER($N$3),$N$3&gt;0),R229/(6*$N$3*1000000*$N$5)*(IF(N229&lt;($N$4*0/10),($N$4*0/10)*(MIN(O229,($N$4*0/10))^3-N229^3)-(MIN(O229,($N$4*0/10))^4-N229^4)/4,0)+IF(O229&gt;($N$4*0/10),($N$4*0/10)^2*(1.5*(O229^2-MAX(N229,($N$4*0/10))^2)-($N$4*0/10)*(O229-MAX(N229,($N$4*0/10)))),0))*1000,0)</f>
        <v>0</v>
      </c>
      <c r="AN229" s="120">
        <f>IF(AND(V229="OK",ISNUMBER($N$5),$N$5&gt;0,ISNUMBER($N$3),$N$3&gt;0),R229/(6*$N$3*1000000*$N$5)*(IF(N229&lt;($N$4*1/10),($N$4*1/10)*(MIN(O229,($N$4*1/10))^3-N229^3)-(MIN(O229,($N$4*1/10))^4-N229^4)/4,0)+IF(O229&gt;($N$4*1/10),($N$4*1/10)^2*(1.5*(O229^2-MAX(N229,($N$4*1/10))^2)-($N$4*1/10)*(O229-MAX(N229,($N$4*1/10)))),0))*1000,0)</f>
        <v>0</v>
      </c>
      <c r="AO229" s="120">
        <f>IF(AND(V229="OK",ISNUMBER($N$5),$N$5&gt;0,ISNUMBER($N$3),$N$3&gt;0),R229/(6*$N$3*1000000*$N$5)*(IF(N229&lt;($N$4*2/10),($N$4*2/10)*(MIN(O229,($N$4*2/10))^3-N229^3)-(MIN(O229,($N$4*2/10))^4-N229^4)/4,0)+IF(O229&gt;($N$4*2/10),($N$4*2/10)^2*(1.5*(O229^2-MAX(N229,($N$4*2/10))^2)-($N$4*2/10)*(O229-MAX(N229,($N$4*2/10)))),0))*1000,0)</f>
        <v>0</v>
      </c>
      <c r="AP229" s="120">
        <f>IF(AND(V229="OK",ISNUMBER($N$5),$N$5&gt;0,ISNUMBER($N$3),$N$3&gt;0),R229/(6*$N$3*1000000*$N$5)*(IF(N229&lt;($N$4*3/10),($N$4*3/10)*(MIN(O229,($N$4*3/10))^3-N229^3)-(MIN(O229,($N$4*3/10))^4-N229^4)/4,0)+IF(O229&gt;($N$4*3/10),($N$4*3/10)^2*(1.5*(O229^2-MAX(N229,($N$4*3/10))^2)-($N$4*3/10)*(O229-MAX(N229,($N$4*3/10)))),0))*1000,0)</f>
        <v>0</v>
      </c>
      <c r="AQ229" s="120">
        <f>IF(AND(V229="OK",ISNUMBER($N$5),$N$5&gt;0,ISNUMBER($N$3),$N$3&gt;0),R229/(6*$N$3*1000000*$N$5)*(IF(N229&lt;($N$4*4/10),($N$4*4/10)*(MIN(O229,($N$4*4/10))^3-N229^3)-(MIN(O229,($N$4*4/10))^4-N229^4)/4,0)+IF(O229&gt;($N$4*4/10),($N$4*4/10)^2*(1.5*(O229^2-MAX(N229,($N$4*4/10))^2)-($N$4*4/10)*(O229-MAX(N229,($N$4*4/10)))),0))*1000,0)</f>
        <v>0</v>
      </c>
      <c r="AR229" s="120">
        <f>IF(AND(V229="OK",ISNUMBER($N$5),$N$5&gt;0,ISNUMBER($N$3),$N$3&gt;0),R229/(6*$N$3*1000000*$N$5)*(IF(N229&lt;($N$4*5/10),($N$4*5/10)*(MIN(O229,($N$4*5/10))^3-N229^3)-(MIN(O229,($N$4*5/10))^4-N229^4)/4,0)+IF(O229&gt;($N$4*5/10),($N$4*5/10)^2*(1.5*(O229^2-MAX(N229,($N$4*5/10))^2)-($N$4*5/10)*(O229-MAX(N229,($N$4*5/10)))),0))*1000,0)</f>
        <v>0</v>
      </c>
      <c r="AS229" s="120">
        <f>IF(AND(V229="OK",ISNUMBER($N$5),$N$5&gt;0,ISNUMBER($N$3),$N$3&gt;0),R229/(6*$N$3*1000000*$N$5)*(IF(N229&lt;($N$4*6/10),($N$4*6/10)*(MIN(O229,($N$4*6/10))^3-N229^3)-(MIN(O229,($N$4*6/10))^4-N229^4)/4,0)+IF(O229&gt;($N$4*6/10),($N$4*6/10)^2*(1.5*(O229^2-MAX(N229,($N$4*6/10))^2)-($N$4*6/10)*(O229-MAX(N229,($N$4*6/10)))),0))*1000,0)</f>
        <v>0</v>
      </c>
      <c r="AT229" s="120">
        <f>IF(AND(V229="OK",ISNUMBER($N$5),$N$5&gt;0,ISNUMBER($N$3),$N$3&gt;0),R229/(6*$N$3*1000000*$N$5)*(IF(N229&lt;($N$4*7/10),($N$4*7/10)*(MIN(O229,($N$4*7/10))^3-N229^3)-(MIN(O229,($N$4*7/10))^4-N229^4)/4,0)+IF(O229&gt;($N$4*7/10),($N$4*7/10)^2*(1.5*(O229^2-MAX(N229,($N$4*7/10))^2)-($N$4*7/10)*(O229-MAX(N229,($N$4*7/10)))),0))*1000,0)</f>
        <v>0</v>
      </c>
      <c r="AU229" s="120">
        <f>IF(AND(V229="OK",ISNUMBER($N$5),$N$5&gt;0,ISNUMBER($N$3),$N$3&gt;0),R229/(6*$N$3*1000000*$N$5)*(IF(N229&lt;($N$4*8/10),($N$4*8/10)*(MIN(O229,($N$4*8/10))^3-N229^3)-(MIN(O229,($N$4*8/10))^4-N229^4)/4,0)+IF(O229&gt;($N$4*8/10),($N$4*8/10)^2*(1.5*(O229^2-MAX(N229,($N$4*8/10))^2)-($N$4*8/10)*(O229-MAX(N229,($N$4*8/10)))),0))*1000,0)</f>
        <v>0</v>
      </c>
      <c r="AV229" s="120">
        <f>IF(AND(V229="OK",ISNUMBER($N$5),$N$5&gt;0,ISNUMBER($N$3),$N$3&gt;0),R229/(6*$N$3*1000000*$N$5)*(IF(N229&lt;($N$4*9/10),($N$4*9/10)*(MIN(O229,($N$4*9/10))^3-N229^3)-(MIN(O229,($N$4*9/10))^4-N229^4)/4,0)+IF(O229&gt;($N$4*9/10),($N$4*9/10)^2*(1.5*(O229^2-MAX(N229,($N$4*9/10))^2)-($N$4*9/10)*(O229-MAX(N229,($N$4*9/10)))),0))*1000,0)</f>
        <v>0</v>
      </c>
      <c r="AW229" s="120">
        <f>IF(AND(V229="OK",ISNUMBER($N$5),$N$5&gt;0,ISNUMBER($N$3),$N$3&gt;0),R229/(6*$N$3*1000000*$N$5)*(IF(N229&lt;($N$4*10/10),($N$4*10/10)*(MIN(O229,($N$4*10/10))^3-N229^3)-(MIN(O229,($N$4*10/10))^4-N229^4)/4,0)+IF(O229&gt;($N$4*10/10),($N$4*10/10)^2*(1.5*(O229^2-MAX(N229,($N$4*10/10))^2)-($N$4*10/10)*(O229-MAX(N229,($N$4*10/10)))),0))*1000,0)</f>
        <v>0</v>
      </c>
    </row>
    <row r="230" spans="1:49">
      <c r="A230" s="124"/>
      <c r="B230" s="125"/>
      <c r="C230" s="125"/>
      <c r="D230" s="125"/>
      <c r="E230" s="125"/>
      <c r="F230" s="126" t="str">
        <f>IF(J230="OK",D230*E230,"")</f>
        <v/>
      </c>
      <c r="G230" s="126" t="str">
        <f>IF(J230="OK",F230*(C230-B230),"")</f>
        <v/>
      </c>
      <c r="H230" s="126" t="str">
        <f>IF(J230="OK",G230*(C230+B230)/2,"")</f>
        <v/>
      </c>
      <c r="I230" s="126" t="str">
        <f>IF(AND(J230="OK",ISNUMBER($B$5),$B$5&gt;0,ISNUMBER($B$3),$B$3&gt;0),F230*(4*$B$4*(C230^3-B230^3)-(C230^4-B230^4))/(24*$B$3*1000000*$B$5)*1000,"")</f>
        <v/>
      </c>
      <c r="J230" s="120" t="str">
        <f>IF(COUNTA(A230:E230)=0,"",IF(AND(COUNT(B230:E230)=4,B230&gt;=0,C230&gt;B230,C230&lt;=$B$4,D230&gt;=0,E230&gt;0),IF(COUNTIFS($B$13:$B$229,"&lt;"&amp;C230,$C$13:$C$229,"&gt;"&amp;B230)&gt;0,"OVERLAP","OK"),"CHECK INPUTS"))</f>
        <v/>
      </c>
      <c r="M230" s="124"/>
      <c r="N230" s="125"/>
      <c r="O230" s="125"/>
      <c r="P230" s="125"/>
      <c r="Q230" s="125"/>
      <c r="R230" s="126" t="str">
        <f>IF(V230="OK",P230*Q230,"")</f>
        <v/>
      </c>
      <c r="S230" s="126" t="str">
        <f>IF(V230="OK",R230*(O230-N230),"")</f>
        <v/>
      </c>
      <c r="T230" s="126" t="str">
        <f>IF(V230="OK",S230*(O230+N230)/2,"")</f>
        <v/>
      </c>
      <c r="U230" s="126" t="str">
        <f>IF(AND(V230="OK",ISNUMBER($N$5),$N$5&gt;0,ISNUMBER($N$3),$N$3&gt;0),R230*(4*$N$4*(O230^3-N230^3)-(O230^4-N230^4))/(24*$N$3*1000000*$N$5)*1000,"")</f>
        <v/>
      </c>
      <c r="V230" s="120" t="str">
        <f>IF(COUNTA(M230:Q230)=0,"",IF(AND(COUNT(N230:Q230)=4,N230&gt;=0,O230&gt;N230,O230&lt;=$N$4,P230&gt;=0,Q230&gt;0),IF(COUNTIFS($N$13:$N$229,"&lt;"&amp;O230,$O$13:$O$229,"&gt;"&amp;N230)&gt;0,"OVERLAP","OK"),"CHECK INPUTS"))</f>
        <v/>
      </c>
      <c r="AA230" s="120">
        <f>IF(AND(J230="OK",ISNUMBER($B$5),$B$5&gt;0,ISNUMBER($B$3),$B$3&gt;0),F230/(6*$B$3*1000000*$B$5)*(IF(B230&lt;($B$4*0/10),($B$4*0/10)*(MIN(C230,($B$4*0/10))^3-B230^3)-(MIN(C230,($B$4*0/10))^4-B230^4)/4,0)+IF(C230&gt;($B$4*0/10),($B$4*0/10)^2*(1.5*(C230^2-MAX(B230,($B$4*0/10))^2)-($B$4*0/10)*(C230-MAX(B230,($B$4*0/10)))),0))*1000,0)</f>
        <v>0</v>
      </c>
      <c r="AB230" s="120">
        <f>IF(AND(J230="OK",ISNUMBER($B$5),$B$5&gt;0,ISNUMBER($B$3),$B$3&gt;0),F230/(6*$B$3*1000000*$B$5)*(IF(B230&lt;($B$4*1/10),($B$4*1/10)*(MIN(C230,($B$4*1/10))^3-B230^3)-(MIN(C230,($B$4*1/10))^4-B230^4)/4,0)+IF(C230&gt;($B$4*1/10),($B$4*1/10)^2*(1.5*(C230^2-MAX(B230,($B$4*1/10))^2)-($B$4*1/10)*(C230-MAX(B230,($B$4*1/10)))),0))*1000,0)</f>
        <v>0</v>
      </c>
      <c r="AC230" s="120">
        <f>IF(AND(J230="OK",ISNUMBER($B$5),$B$5&gt;0,ISNUMBER($B$3),$B$3&gt;0),F230/(6*$B$3*1000000*$B$5)*(IF(B230&lt;($B$4*2/10),($B$4*2/10)*(MIN(C230,($B$4*2/10))^3-B230^3)-(MIN(C230,($B$4*2/10))^4-B230^4)/4,0)+IF(C230&gt;($B$4*2/10),($B$4*2/10)^2*(1.5*(C230^2-MAX(B230,($B$4*2/10))^2)-($B$4*2/10)*(C230-MAX(B230,($B$4*2/10)))),0))*1000,0)</f>
        <v>0</v>
      </c>
      <c r="AD230" s="120">
        <f>IF(AND(J230="OK",ISNUMBER($B$5),$B$5&gt;0,ISNUMBER($B$3),$B$3&gt;0),F230/(6*$B$3*1000000*$B$5)*(IF(B230&lt;($B$4*3/10),($B$4*3/10)*(MIN(C230,($B$4*3/10))^3-B230^3)-(MIN(C230,($B$4*3/10))^4-B230^4)/4,0)+IF(C230&gt;($B$4*3/10),($B$4*3/10)^2*(1.5*(C230^2-MAX(B230,($B$4*3/10))^2)-($B$4*3/10)*(C230-MAX(B230,($B$4*3/10)))),0))*1000,0)</f>
        <v>0</v>
      </c>
      <c r="AE230" s="120">
        <f>IF(AND(J230="OK",ISNUMBER($B$5),$B$5&gt;0,ISNUMBER($B$3),$B$3&gt;0),F230/(6*$B$3*1000000*$B$5)*(IF(B230&lt;($B$4*4/10),($B$4*4/10)*(MIN(C230,($B$4*4/10))^3-B230^3)-(MIN(C230,($B$4*4/10))^4-B230^4)/4,0)+IF(C230&gt;($B$4*4/10),($B$4*4/10)^2*(1.5*(C230^2-MAX(B230,($B$4*4/10))^2)-($B$4*4/10)*(C230-MAX(B230,($B$4*4/10)))),0))*1000,0)</f>
        <v>0</v>
      </c>
      <c r="AF230" s="120">
        <f>IF(AND(J230="OK",ISNUMBER($B$5),$B$5&gt;0,ISNUMBER($B$3),$B$3&gt;0),F230/(6*$B$3*1000000*$B$5)*(IF(B230&lt;($B$4*5/10),($B$4*5/10)*(MIN(C230,($B$4*5/10))^3-B230^3)-(MIN(C230,($B$4*5/10))^4-B230^4)/4,0)+IF(C230&gt;($B$4*5/10),($B$4*5/10)^2*(1.5*(C230^2-MAX(B230,($B$4*5/10))^2)-($B$4*5/10)*(C230-MAX(B230,($B$4*5/10)))),0))*1000,0)</f>
        <v>0</v>
      </c>
      <c r="AG230" s="120">
        <f>IF(AND(J230="OK",ISNUMBER($B$5),$B$5&gt;0,ISNUMBER($B$3),$B$3&gt;0),F230/(6*$B$3*1000000*$B$5)*(IF(B230&lt;($B$4*6/10),($B$4*6/10)*(MIN(C230,($B$4*6/10))^3-B230^3)-(MIN(C230,($B$4*6/10))^4-B230^4)/4,0)+IF(C230&gt;($B$4*6/10),($B$4*6/10)^2*(1.5*(C230^2-MAX(B230,($B$4*6/10))^2)-($B$4*6/10)*(C230-MAX(B230,($B$4*6/10)))),0))*1000,0)</f>
        <v>0</v>
      </c>
      <c r="AH230" s="120">
        <f>IF(AND(J230="OK",ISNUMBER($B$5),$B$5&gt;0,ISNUMBER($B$3),$B$3&gt;0),F230/(6*$B$3*1000000*$B$5)*(IF(B230&lt;($B$4*7/10),($B$4*7/10)*(MIN(C230,($B$4*7/10))^3-B230^3)-(MIN(C230,($B$4*7/10))^4-B230^4)/4,0)+IF(C230&gt;($B$4*7/10),($B$4*7/10)^2*(1.5*(C230^2-MAX(B230,($B$4*7/10))^2)-($B$4*7/10)*(C230-MAX(B230,($B$4*7/10)))),0))*1000,0)</f>
        <v>0</v>
      </c>
      <c r="AI230" s="120">
        <f>IF(AND(J230="OK",ISNUMBER($B$5),$B$5&gt;0,ISNUMBER($B$3),$B$3&gt;0),F230/(6*$B$3*1000000*$B$5)*(IF(B230&lt;($B$4*8/10),($B$4*8/10)*(MIN(C230,($B$4*8/10))^3-B230^3)-(MIN(C230,($B$4*8/10))^4-B230^4)/4,0)+IF(C230&gt;($B$4*8/10),($B$4*8/10)^2*(1.5*(C230^2-MAX(B230,($B$4*8/10))^2)-($B$4*8/10)*(C230-MAX(B230,($B$4*8/10)))),0))*1000,0)</f>
        <v>0</v>
      </c>
      <c r="AJ230" s="120">
        <f>IF(AND(J230="OK",ISNUMBER($B$5),$B$5&gt;0,ISNUMBER($B$3),$B$3&gt;0),F230/(6*$B$3*1000000*$B$5)*(IF(B230&lt;($B$4*9/10),($B$4*9/10)*(MIN(C230,($B$4*9/10))^3-B230^3)-(MIN(C230,($B$4*9/10))^4-B230^4)/4,0)+IF(C230&gt;($B$4*9/10),($B$4*9/10)^2*(1.5*(C230^2-MAX(B230,($B$4*9/10))^2)-($B$4*9/10)*(C230-MAX(B230,($B$4*9/10)))),0))*1000,0)</f>
        <v>0</v>
      </c>
      <c r="AK230" s="120">
        <f>IF(AND(J230="OK",ISNUMBER($B$5),$B$5&gt;0,ISNUMBER($B$3),$B$3&gt;0),F230/(6*$B$3*1000000*$B$5)*(IF(B230&lt;($B$4*10/10),($B$4*10/10)*(MIN(C230,($B$4*10/10))^3-B230^3)-(MIN(C230,($B$4*10/10))^4-B230^4)/4,0)+IF(C230&gt;($B$4*10/10),($B$4*10/10)^2*(1.5*(C230^2-MAX(B230,($B$4*10/10))^2)-($B$4*10/10)*(C230-MAX(B230,($B$4*10/10)))),0))*1000,0)</f>
        <v>0</v>
      </c>
      <c r="AM230" s="120">
        <f>IF(AND(V230="OK",ISNUMBER($N$5),$N$5&gt;0,ISNUMBER($N$3),$N$3&gt;0),R230/(6*$N$3*1000000*$N$5)*(IF(N230&lt;($N$4*0/10),($N$4*0/10)*(MIN(O230,($N$4*0/10))^3-N230^3)-(MIN(O230,($N$4*0/10))^4-N230^4)/4,0)+IF(O230&gt;($N$4*0/10),($N$4*0/10)^2*(1.5*(O230^2-MAX(N230,($N$4*0/10))^2)-($N$4*0/10)*(O230-MAX(N230,($N$4*0/10)))),0))*1000,0)</f>
        <v>0</v>
      </c>
      <c r="AN230" s="120">
        <f>IF(AND(V230="OK",ISNUMBER($N$5),$N$5&gt;0,ISNUMBER($N$3),$N$3&gt;0),R230/(6*$N$3*1000000*$N$5)*(IF(N230&lt;($N$4*1/10),($N$4*1/10)*(MIN(O230,($N$4*1/10))^3-N230^3)-(MIN(O230,($N$4*1/10))^4-N230^4)/4,0)+IF(O230&gt;($N$4*1/10),($N$4*1/10)^2*(1.5*(O230^2-MAX(N230,($N$4*1/10))^2)-($N$4*1/10)*(O230-MAX(N230,($N$4*1/10)))),0))*1000,0)</f>
        <v>0</v>
      </c>
      <c r="AO230" s="120">
        <f>IF(AND(V230="OK",ISNUMBER($N$5),$N$5&gt;0,ISNUMBER($N$3),$N$3&gt;0),R230/(6*$N$3*1000000*$N$5)*(IF(N230&lt;($N$4*2/10),($N$4*2/10)*(MIN(O230,($N$4*2/10))^3-N230^3)-(MIN(O230,($N$4*2/10))^4-N230^4)/4,0)+IF(O230&gt;($N$4*2/10),($N$4*2/10)^2*(1.5*(O230^2-MAX(N230,($N$4*2/10))^2)-($N$4*2/10)*(O230-MAX(N230,($N$4*2/10)))),0))*1000,0)</f>
        <v>0</v>
      </c>
      <c r="AP230" s="120">
        <f>IF(AND(V230="OK",ISNUMBER($N$5),$N$5&gt;0,ISNUMBER($N$3),$N$3&gt;0),R230/(6*$N$3*1000000*$N$5)*(IF(N230&lt;($N$4*3/10),($N$4*3/10)*(MIN(O230,($N$4*3/10))^3-N230^3)-(MIN(O230,($N$4*3/10))^4-N230^4)/4,0)+IF(O230&gt;($N$4*3/10),($N$4*3/10)^2*(1.5*(O230^2-MAX(N230,($N$4*3/10))^2)-($N$4*3/10)*(O230-MAX(N230,($N$4*3/10)))),0))*1000,0)</f>
        <v>0</v>
      </c>
      <c r="AQ230" s="120">
        <f>IF(AND(V230="OK",ISNUMBER($N$5),$N$5&gt;0,ISNUMBER($N$3),$N$3&gt;0),R230/(6*$N$3*1000000*$N$5)*(IF(N230&lt;($N$4*4/10),($N$4*4/10)*(MIN(O230,($N$4*4/10))^3-N230^3)-(MIN(O230,($N$4*4/10))^4-N230^4)/4,0)+IF(O230&gt;($N$4*4/10),($N$4*4/10)^2*(1.5*(O230^2-MAX(N230,($N$4*4/10))^2)-($N$4*4/10)*(O230-MAX(N230,($N$4*4/10)))),0))*1000,0)</f>
        <v>0</v>
      </c>
      <c r="AR230" s="120">
        <f>IF(AND(V230="OK",ISNUMBER($N$5),$N$5&gt;0,ISNUMBER($N$3),$N$3&gt;0),R230/(6*$N$3*1000000*$N$5)*(IF(N230&lt;($N$4*5/10),($N$4*5/10)*(MIN(O230,($N$4*5/10))^3-N230^3)-(MIN(O230,($N$4*5/10))^4-N230^4)/4,0)+IF(O230&gt;($N$4*5/10),($N$4*5/10)^2*(1.5*(O230^2-MAX(N230,($N$4*5/10))^2)-($N$4*5/10)*(O230-MAX(N230,($N$4*5/10)))),0))*1000,0)</f>
        <v>0</v>
      </c>
      <c r="AS230" s="120">
        <f>IF(AND(V230="OK",ISNUMBER($N$5),$N$5&gt;0,ISNUMBER($N$3),$N$3&gt;0),R230/(6*$N$3*1000000*$N$5)*(IF(N230&lt;($N$4*6/10),($N$4*6/10)*(MIN(O230,($N$4*6/10))^3-N230^3)-(MIN(O230,($N$4*6/10))^4-N230^4)/4,0)+IF(O230&gt;($N$4*6/10),($N$4*6/10)^2*(1.5*(O230^2-MAX(N230,($N$4*6/10))^2)-($N$4*6/10)*(O230-MAX(N230,($N$4*6/10)))),0))*1000,0)</f>
        <v>0</v>
      </c>
      <c r="AT230" s="120">
        <f>IF(AND(V230="OK",ISNUMBER($N$5),$N$5&gt;0,ISNUMBER($N$3),$N$3&gt;0),R230/(6*$N$3*1000000*$N$5)*(IF(N230&lt;($N$4*7/10),($N$4*7/10)*(MIN(O230,($N$4*7/10))^3-N230^3)-(MIN(O230,($N$4*7/10))^4-N230^4)/4,0)+IF(O230&gt;($N$4*7/10),($N$4*7/10)^2*(1.5*(O230^2-MAX(N230,($N$4*7/10))^2)-($N$4*7/10)*(O230-MAX(N230,($N$4*7/10)))),0))*1000,0)</f>
        <v>0</v>
      </c>
      <c r="AU230" s="120">
        <f>IF(AND(V230="OK",ISNUMBER($N$5),$N$5&gt;0,ISNUMBER($N$3),$N$3&gt;0),R230/(6*$N$3*1000000*$N$5)*(IF(N230&lt;($N$4*8/10),($N$4*8/10)*(MIN(O230,($N$4*8/10))^3-N230^3)-(MIN(O230,($N$4*8/10))^4-N230^4)/4,0)+IF(O230&gt;($N$4*8/10),($N$4*8/10)^2*(1.5*(O230^2-MAX(N230,($N$4*8/10))^2)-($N$4*8/10)*(O230-MAX(N230,($N$4*8/10)))),0))*1000,0)</f>
        <v>0</v>
      </c>
      <c r="AV230" s="120">
        <f>IF(AND(V230="OK",ISNUMBER($N$5),$N$5&gt;0,ISNUMBER($N$3),$N$3&gt;0),R230/(6*$N$3*1000000*$N$5)*(IF(N230&lt;($N$4*9/10),($N$4*9/10)*(MIN(O230,($N$4*9/10))^3-N230^3)-(MIN(O230,($N$4*9/10))^4-N230^4)/4,0)+IF(O230&gt;($N$4*9/10),($N$4*9/10)^2*(1.5*(O230^2-MAX(N230,($N$4*9/10))^2)-($N$4*9/10)*(O230-MAX(N230,($N$4*9/10)))),0))*1000,0)</f>
        <v>0</v>
      </c>
      <c r="AW230" s="120">
        <f>IF(AND(V230="OK",ISNUMBER($N$5),$N$5&gt;0,ISNUMBER($N$3),$N$3&gt;0),R230/(6*$N$3*1000000*$N$5)*(IF(N230&lt;($N$4*10/10),($N$4*10/10)*(MIN(O230,($N$4*10/10))^3-N230^3)-(MIN(O230,($N$4*10/10))^4-N230^4)/4,0)+IF(O230&gt;($N$4*10/10),($N$4*10/10)^2*(1.5*(O230^2-MAX(N230,($N$4*10/10))^2)-($N$4*10/10)*(O230-MAX(N230,($N$4*10/10)))),0))*1000,0)</f>
        <v>0</v>
      </c>
    </row>
    <row r="231" spans="1:49">
      <c r="A231" s="124"/>
      <c r="B231" s="125"/>
      <c r="C231" s="125"/>
      <c r="D231" s="125"/>
      <c r="E231" s="125"/>
      <c r="F231" s="126" t="str">
        <f>IF(J231="OK",D231*E231,"")</f>
        <v/>
      </c>
      <c r="G231" s="126" t="str">
        <f>IF(J231="OK",F231*(C231-B231),"")</f>
        <v/>
      </c>
      <c r="H231" s="126" t="str">
        <f>IF(J231="OK",G231*(C231+B231)/2,"")</f>
        <v/>
      </c>
      <c r="I231" s="126" t="str">
        <f>IF(AND(J231="OK",ISNUMBER($B$5),$B$5&gt;0,ISNUMBER($B$3),$B$3&gt;0),F231*(4*$B$4*(C231^3-B231^3)-(C231^4-B231^4))/(24*$B$3*1000000*$B$5)*1000,"")</f>
        <v/>
      </c>
      <c r="J231" s="120" t="str">
        <f>IF(COUNTA(A231:E231)=0,"",IF(AND(COUNT(B231:E231)=4,B231&gt;=0,C231&gt;B231,C231&lt;=$B$4,D231&gt;=0,E231&gt;0),IF(COUNTIFS($B$13:$B$230,"&lt;"&amp;C231,$C$13:$C$230,"&gt;"&amp;B231)&gt;0,"OVERLAP","OK"),"CHECK INPUTS"))</f>
        <v/>
      </c>
      <c r="M231" s="124"/>
      <c r="N231" s="125"/>
      <c r="O231" s="125"/>
      <c r="P231" s="125"/>
      <c r="Q231" s="125"/>
      <c r="R231" s="126" t="str">
        <f>IF(V231="OK",P231*Q231,"")</f>
        <v/>
      </c>
      <c r="S231" s="126" t="str">
        <f>IF(V231="OK",R231*(O231-N231),"")</f>
        <v/>
      </c>
      <c r="T231" s="126" t="str">
        <f>IF(V231="OK",S231*(O231+N231)/2,"")</f>
        <v/>
      </c>
      <c r="U231" s="126" t="str">
        <f>IF(AND(V231="OK",ISNUMBER($N$5),$N$5&gt;0,ISNUMBER($N$3),$N$3&gt;0),R231*(4*$N$4*(O231^3-N231^3)-(O231^4-N231^4))/(24*$N$3*1000000*$N$5)*1000,"")</f>
        <v/>
      </c>
      <c r="V231" s="120" t="str">
        <f>IF(COUNTA(M231:Q231)=0,"",IF(AND(COUNT(N231:Q231)=4,N231&gt;=0,O231&gt;N231,O231&lt;=$N$4,P231&gt;=0,Q231&gt;0),IF(COUNTIFS($N$13:$N$230,"&lt;"&amp;O231,$O$13:$O$230,"&gt;"&amp;N231)&gt;0,"OVERLAP","OK"),"CHECK INPUTS"))</f>
        <v/>
      </c>
      <c r="AA231" s="120">
        <f>IF(AND(J231="OK",ISNUMBER($B$5),$B$5&gt;0,ISNUMBER($B$3),$B$3&gt;0),F231/(6*$B$3*1000000*$B$5)*(IF(B231&lt;($B$4*0/10),($B$4*0/10)*(MIN(C231,($B$4*0/10))^3-B231^3)-(MIN(C231,($B$4*0/10))^4-B231^4)/4,0)+IF(C231&gt;($B$4*0/10),($B$4*0/10)^2*(1.5*(C231^2-MAX(B231,($B$4*0/10))^2)-($B$4*0/10)*(C231-MAX(B231,($B$4*0/10)))),0))*1000,0)</f>
        <v>0</v>
      </c>
      <c r="AB231" s="120">
        <f>IF(AND(J231="OK",ISNUMBER($B$5),$B$5&gt;0,ISNUMBER($B$3),$B$3&gt;0),F231/(6*$B$3*1000000*$B$5)*(IF(B231&lt;($B$4*1/10),($B$4*1/10)*(MIN(C231,($B$4*1/10))^3-B231^3)-(MIN(C231,($B$4*1/10))^4-B231^4)/4,0)+IF(C231&gt;($B$4*1/10),($B$4*1/10)^2*(1.5*(C231^2-MAX(B231,($B$4*1/10))^2)-($B$4*1/10)*(C231-MAX(B231,($B$4*1/10)))),0))*1000,0)</f>
        <v>0</v>
      </c>
      <c r="AC231" s="120">
        <f>IF(AND(J231="OK",ISNUMBER($B$5),$B$5&gt;0,ISNUMBER($B$3),$B$3&gt;0),F231/(6*$B$3*1000000*$B$5)*(IF(B231&lt;($B$4*2/10),($B$4*2/10)*(MIN(C231,($B$4*2/10))^3-B231^3)-(MIN(C231,($B$4*2/10))^4-B231^4)/4,0)+IF(C231&gt;($B$4*2/10),($B$4*2/10)^2*(1.5*(C231^2-MAX(B231,($B$4*2/10))^2)-($B$4*2/10)*(C231-MAX(B231,($B$4*2/10)))),0))*1000,0)</f>
        <v>0</v>
      </c>
      <c r="AD231" s="120">
        <f>IF(AND(J231="OK",ISNUMBER($B$5),$B$5&gt;0,ISNUMBER($B$3),$B$3&gt;0),F231/(6*$B$3*1000000*$B$5)*(IF(B231&lt;($B$4*3/10),($B$4*3/10)*(MIN(C231,($B$4*3/10))^3-B231^3)-(MIN(C231,($B$4*3/10))^4-B231^4)/4,0)+IF(C231&gt;($B$4*3/10),($B$4*3/10)^2*(1.5*(C231^2-MAX(B231,($B$4*3/10))^2)-($B$4*3/10)*(C231-MAX(B231,($B$4*3/10)))),0))*1000,0)</f>
        <v>0</v>
      </c>
      <c r="AE231" s="120">
        <f>IF(AND(J231="OK",ISNUMBER($B$5),$B$5&gt;0,ISNUMBER($B$3),$B$3&gt;0),F231/(6*$B$3*1000000*$B$5)*(IF(B231&lt;($B$4*4/10),($B$4*4/10)*(MIN(C231,($B$4*4/10))^3-B231^3)-(MIN(C231,($B$4*4/10))^4-B231^4)/4,0)+IF(C231&gt;($B$4*4/10),($B$4*4/10)^2*(1.5*(C231^2-MAX(B231,($B$4*4/10))^2)-($B$4*4/10)*(C231-MAX(B231,($B$4*4/10)))),0))*1000,0)</f>
        <v>0</v>
      </c>
      <c r="AF231" s="120">
        <f>IF(AND(J231="OK",ISNUMBER($B$5),$B$5&gt;0,ISNUMBER($B$3),$B$3&gt;0),F231/(6*$B$3*1000000*$B$5)*(IF(B231&lt;($B$4*5/10),($B$4*5/10)*(MIN(C231,($B$4*5/10))^3-B231^3)-(MIN(C231,($B$4*5/10))^4-B231^4)/4,0)+IF(C231&gt;($B$4*5/10),($B$4*5/10)^2*(1.5*(C231^2-MAX(B231,($B$4*5/10))^2)-($B$4*5/10)*(C231-MAX(B231,($B$4*5/10)))),0))*1000,0)</f>
        <v>0</v>
      </c>
      <c r="AG231" s="120">
        <f>IF(AND(J231="OK",ISNUMBER($B$5),$B$5&gt;0,ISNUMBER($B$3),$B$3&gt;0),F231/(6*$B$3*1000000*$B$5)*(IF(B231&lt;($B$4*6/10),($B$4*6/10)*(MIN(C231,($B$4*6/10))^3-B231^3)-(MIN(C231,($B$4*6/10))^4-B231^4)/4,0)+IF(C231&gt;($B$4*6/10),($B$4*6/10)^2*(1.5*(C231^2-MAX(B231,($B$4*6/10))^2)-($B$4*6/10)*(C231-MAX(B231,($B$4*6/10)))),0))*1000,0)</f>
        <v>0</v>
      </c>
      <c r="AH231" s="120">
        <f>IF(AND(J231="OK",ISNUMBER($B$5),$B$5&gt;0,ISNUMBER($B$3),$B$3&gt;0),F231/(6*$B$3*1000000*$B$5)*(IF(B231&lt;($B$4*7/10),($B$4*7/10)*(MIN(C231,($B$4*7/10))^3-B231^3)-(MIN(C231,($B$4*7/10))^4-B231^4)/4,0)+IF(C231&gt;($B$4*7/10),($B$4*7/10)^2*(1.5*(C231^2-MAX(B231,($B$4*7/10))^2)-($B$4*7/10)*(C231-MAX(B231,($B$4*7/10)))),0))*1000,0)</f>
        <v>0</v>
      </c>
      <c r="AI231" s="120">
        <f>IF(AND(J231="OK",ISNUMBER($B$5),$B$5&gt;0,ISNUMBER($B$3),$B$3&gt;0),F231/(6*$B$3*1000000*$B$5)*(IF(B231&lt;($B$4*8/10),($B$4*8/10)*(MIN(C231,($B$4*8/10))^3-B231^3)-(MIN(C231,($B$4*8/10))^4-B231^4)/4,0)+IF(C231&gt;($B$4*8/10),($B$4*8/10)^2*(1.5*(C231^2-MAX(B231,($B$4*8/10))^2)-($B$4*8/10)*(C231-MAX(B231,($B$4*8/10)))),0))*1000,0)</f>
        <v>0</v>
      </c>
      <c r="AJ231" s="120">
        <f>IF(AND(J231="OK",ISNUMBER($B$5),$B$5&gt;0,ISNUMBER($B$3),$B$3&gt;0),F231/(6*$B$3*1000000*$B$5)*(IF(B231&lt;($B$4*9/10),($B$4*9/10)*(MIN(C231,($B$4*9/10))^3-B231^3)-(MIN(C231,($B$4*9/10))^4-B231^4)/4,0)+IF(C231&gt;($B$4*9/10),($B$4*9/10)^2*(1.5*(C231^2-MAX(B231,($B$4*9/10))^2)-($B$4*9/10)*(C231-MAX(B231,($B$4*9/10)))),0))*1000,0)</f>
        <v>0</v>
      </c>
      <c r="AK231" s="120">
        <f>IF(AND(J231="OK",ISNUMBER($B$5),$B$5&gt;0,ISNUMBER($B$3),$B$3&gt;0),F231/(6*$B$3*1000000*$B$5)*(IF(B231&lt;($B$4*10/10),($B$4*10/10)*(MIN(C231,($B$4*10/10))^3-B231^3)-(MIN(C231,($B$4*10/10))^4-B231^4)/4,0)+IF(C231&gt;($B$4*10/10),($B$4*10/10)^2*(1.5*(C231^2-MAX(B231,($B$4*10/10))^2)-($B$4*10/10)*(C231-MAX(B231,($B$4*10/10)))),0))*1000,0)</f>
        <v>0</v>
      </c>
      <c r="AM231" s="120">
        <f>IF(AND(V231="OK",ISNUMBER($N$5),$N$5&gt;0,ISNUMBER($N$3),$N$3&gt;0),R231/(6*$N$3*1000000*$N$5)*(IF(N231&lt;($N$4*0/10),($N$4*0/10)*(MIN(O231,($N$4*0/10))^3-N231^3)-(MIN(O231,($N$4*0/10))^4-N231^4)/4,0)+IF(O231&gt;($N$4*0/10),($N$4*0/10)^2*(1.5*(O231^2-MAX(N231,($N$4*0/10))^2)-($N$4*0/10)*(O231-MAX(N231,($N$4*0/10)))),0))*1000,0)</f>
        <v>0</v>
      </c>
      <c r="AN231" s="120">
        <f>IF(AND(V231="OK",ISNUMBER($N$5),$N$5&gt;0,ISNUMBER($N$3),$N$3&gt;0),R231/(6*$N$3*1000000*$N$5)*(IF(N231&lt;($N$4*1/10),($N$4*1/10)*(MIN(O231,($N$4*1/10))^3-N231^3)-(MIN(O231,($N$4*1/10))^4-N231^4)/4,0)+IF(O231&gt;($N$4*1/10),($N$4*1/10)^2*(1.5*(O231^2-MAX(N231,($N$4*1/10))^2)-($N$4*1/10)*(O231-MAX(N231,($N$4*1/10)))),0))*1000,0)</f>
        <v>0</v>
      </c>
      <c r="AO231" s="120">
        <f>IF(AND(V231="OK",ISNUMBER($N$5),$N$5&gt;0,ISNUMBER($N$3),$N$3&gt;0),R231/(6*$N$3*1000000*$N$5)*(IF(N231&lt;($N$4*2/10),($N$4*2/10)*(MIN(O231,($N$4*2/10))^3-N231^3)-(MIN(O231,($N$4*2/10))^4-N231^4)/4,0)+IF(O231&gt;($N$4*2/10),($N$4*2/10)^2*(1.5*(O231^2-MAX(N231,($N$4*2/10))^2)-($N$4*2/10)*(O231-MAX(N231,($N$4*2/10)))),0))*1000,0)</f>
        <v>0</v>
      </c>
      <c r="AP231" s="120">
        <f>IF(AND(V231="OK",ISNUMBER($N$5),$N$5&gt;0,ISNUMBER($N$3),$N$3&gt;0),R231/(6*$N$3*1000000*$N$5)*(IF(N231&lt;($N$4*3/10),($N$4*3/10)*(MIN(O231,($N$4*3/10))^3-N231^3)-(MIN(O231,($N$4*3/10))^4-N231^4)/4,0)+IF(O231&gt;($N$4*3/10),($N$4*3/10)^2*(1.5*(O231^2-MAX(N231,($N$4*3/10))^2)-($N$4*3/10)*(O231-MAX(N231,($N$4*3/10)))),0))*1000,0)</f>
        <v>0</v>
      </c>
      <c r="AQ231" s="120">
        <f>IF(AND(V231="OK",ISNUMBER($N$5),$N$5&gt;0,ISNUMBER($N$3),$N$3&gt;0),R231/(6*$N$3*1000000*$N$5)*(IF(N231&lt;($N$4*4/10),($N$4*4/10)*(MIN(O231,($N$4*4/10))^3-N231^3)-(MIN(O231,($N$4*4/10))^4-N231^4)/4,0)+IF(O231&gt;($N$4*4/10),($N$4*4/10)^2*(1.5*(O231^2-MAX(N231,($N$4*4/10))^2)-($N$4*4/10)*(O231-MAX(N231,($N$4*4/10)))),0))*1000,0)</f>
        <v>0</v>
      </c>
      <c r="AR231" s="120">
        <f>IF(AND(V231="OK",ISNUMBER($N$5),$N$5&gt;0,ISNUMBER($N$3),$N$3&gt;0),R231/(6*$N$3*1000000*$N$5)*(IF(N231&lt;($N$4*5/10),($N$4*5/10)*(MIN(O231,($N$4*5/10))^3-N231^3)-(MIN(O231,($N$4*5/10))^4-N231^4)/4,0)+IF(O231&gt;($N$4*5/10),($N$4*5/10)^2*(1.5*(O231^2-MAX(N231,($N$4*5/10))^2)-($N$4*5/10)*(O231-MAX(N231,($N$4*5/10)))),0))*1000,0)</f>
        <v>0</v>
      </c>
      <c r="AS231" s="120">
        <f>IF(AND(V231="OK",ISNUMBER($N$5),$N$5&gt;0,ISNUMBER($N$3),$N$3&gt;0),R231/(6*$N$3*1000000*$N$5)*(IF(N231&lt;($N$4*6/10),($N$4*6/10)*(MIN(O231,($N$4*6/10))^3-N231^3)-(MIN(O231,($N$4*6/10))^4-N231^4)/4,0)+IF(O231&gt;($N$4*6/10),($N$4*6/10)^2*(1.5*(O231^2-MAX(N231,($N$4*6/10))^2)-($N$4*6/10)*(O231-MAX(N231,($N$4*6/10)))),0))*1000,0)</f>
        <v>0</v>
      </c>
      <c r="AT231" s="120">
        <f>IF(AND(V231="OK",ISNUMBER($N$5),$N$5&gt;0,ISNUMBER($N$3),$N$3&gt;0),R231/(6*$N$3*1000000*$N$5)*(IF(N231&lt;($N$4*7/10),($N$4*7/10)*(MIN(O231,($N$4*7/10))^3-N231^3)-(MIN(O231,($N$4*7/10))^4-N231^4)/4,0)+IF(O231&gt;($N$4*7/10),($N$4*7/10)^2*(1.5*(O231^2-MAX(N231,($N$4*7/10))^2)-($N$4*7/10)*(O231-MAX(N231,($N$4*7/10)))),0))*1000,0)</f>
        <v>0</v>
      </c>
      <c r="AU231" s="120">
        <f>IF(AND(V231="OK",ISNUMBER($N$5),$N$5&gt;0,ISNUMBER($N$3),$N$3&gt;0),R231/(6*$N$3*1000000*$N$5)*(IF(N231&lt;($N$4*8/10),($N$4*8/10)*(MIN(O231,($N$4*8/10))^3-N231^3)-(MIN(O231,($N$4*8/10))^4-N231^4)/4,0)+IF(O231&gt;($N$4*8/10),($N$4*8/10)^2*(1.5*(O231^2-MAX(N231,($N$4*8/10))^2)-($N$4*8/10)*(O231-MAX(N231,($N$4*8/10)))),0))*1000,0)</f>
        <v>0</v>
      </c>
      <c r="AV231" s="120">
        <f>IF(AND(V231="OK",ISNUMBER($N$5),$N$5&gt;0,ISNUMBER($N$3),$N$3&gt;0),R231/(6*$N$3*1000000*$N$5)*(IF(N231&lt;($N$4*9/10),($N$4*9/10)*(MIN(O231,($N$4*9/10))^3-N231^3)-(MIN(O231,($N$4*9/10))^4-N231^4)/4,0)+IF(O231&gt;($N$4*9/10),($N$4*9/10)^2*(1.5*(O231^2-MAX(N231,($N$4*9/10))^2)-($N$4*9/10)*(O231-MAX(N231,($N$4*9/10)))),0))*1000,0)</f>
        <v>0</v>
      </c>
      <c r="AW231" s="120">
        <f>IF(AND(V231="OK",ISNUMBER($N$5),$N$5&gt;0,ISNUMBER($N$3),$N$3&gt;0),R231/(6*$N$3*1000000*$N$5)*(IF(N231&lt;($N$4*10/10),($N$4*10/10)*(MIN(O231,($N$4*10/10))^3-N231^3)-(MIN(O231,($N$4*10/10))^4-N231^4)/4,0)+IF(O231&gt;($N$4*10/10),($N$4*10/10)^2*(1.5*(O231^2-MAX(N231,($N$4*10/10))^2)-($N$4*10/10)*(O231-MAX(N231,($N$4*10/10)))),0))*1000,0)</f>
        <v>0</v>
      </c>
    </row>
    <row r="232" spans="1:49">
      <c r="A232" s="124"/>
      <c r="B232" s="125"/>
      <c r="C232" s="125"/>
      <c r="D232" s="125"/>
      <c r="E232" s="125"/>
      <c r="F232" s="126" t="str">
        <f>IF(J232="OK",D232*E232,"")</f>
        <v/>
      </c>
      <c r="G232" s="126" t="str">
        <f>IF(J232="OK",F232*(C232-B232),"")</f>
        <v/>
      </c>
      <c r="H232" s="126" t="str">
        <f>IF(J232="OK",G232*(C232+B232)/2,"")</f>
        <v/>
      </c>
      <c r="I232" s="126" t="str">
        <f>IF(AND(J232="OK",ISNUMBER($B$5),$B$5&gt;0,ISNUMBER($B$3),$B$3&gt;0),F232*(4*$B$4*(C232^3-B232^3)-(C232^4-B232^4))/(24*$B$3*1000000*$B$5)*1000,"")</f>
        <v/>
      </c>
      <c r="J232" s="120" t="str">
        <f>IF(COUNTA(A232:E232)=0,"",IF(AND(COUNT(B232:E232)=4,B232&gt;=0,C232&gt;B232,C232&lt;=$B$4,D232&gt;=0,E232&gt;0),IF(COUNTIFS($B$13:$B$231,"&lt;"&amp;C232,$C$13:$C$231,"&gt;"&amp;B232)&gt;0,"OVERLAP","OK"),"CHECK INPUTS"))</f>
        <v/>
      </c>
      <c r="M232" s="124"/>
      <c r="N232" s="125"/>
      <c r="O232" s="125"/>
      <c r="P232" s="125"/>
      <c r="Q232" s="125"/>
      <c r="R232" s="126" t="str">
        <f>IF(V232="OK",P232*Q232,"")</f>
        <v/>
      </c>
      <c r="S232" s="126" t="str">
        <f>IF(V232="OK",R232*(O232-N232),"")</f>
        <v/>
      </c>
      <c r="T232" s="126" t="str">
        <f>IF(V232="OK",S232*(O232+N232)/2,"")</f>
        <v/>
      </c>
      <c r="U232" s="126" t="str">
        <f>IF(AND(V232="OK",ISNUMBER($N$5),$N$5&gt;0,ISNUMBER($N$3),$N$3&gt;0),R232*(4*$N$4*(O232^3-N232^3)-(O232^4-N232^4))/(24*$N$3*1000000*$N$5)*1000,"")</f>
        <v/>
      </c>
      <c r="V232" s="120" t="str">
        <f>IF(COUNTA(M232:Q232)=0,"",IF(AND(COUNT(N232:Q232)=4,N232&gt;=0,O232&gt;N232,O232&lt;=$N$4,P232&gt;=0,Q232&gt;0),IF(COUNTIFS($N$13:$N$231,"&lt;"&amp;O232,$O$13:$O$231,"&gt;"&amp;N232)&gt;0,"OVERLAP","OK"),"CHECK INPUTS"))</f>
        <v/>
      </c>
      <c r="AA232" s="120">
        <f>IF(AND(J232="OK",ISNUMBER($B$5),$B$5&gt;0,ISNUMBER($B$3),$B$3&gt;0),F232/(6*$B$3*1000000*$B$5)*(IF(B232&lt;($B$4*0/10),($B$4*0/10)*(MIN(C232,($B$4*0/10))^3-B232^3)-(MIN(C232,($B$4*0/10))^4-B232^4)/4,0)+IF(C232&gt;($B$4*0/10),($B$4*0/10)^2*(1.5*(C232^2-MAX(B232,($B$4*0/10))^2)-($B$4*0/10)*(C232-MAX(B232,($B$4*0/10)))),0))*1000,0)</f>
        <v>0</v>
      </c>
      <c r="AB232" s="120">
        <f>IF(AND(J232="OK",ISNUMBER($B$5),$B$5&gt;0,ISNUMBER($B$3),$B$3&gt;0),F232/(6*$B$3*1000000*$B$5)*(IF(B232&lt;($B$4*1/10),($B$4*1/10)*(MIN(C232,($B$4*1/10))^3-B232^3)-(MIN(C232,($B$4*1/10))^4-B232^4)/4,0)+IF(C232&gt;($B$4*1/10),($B$4*1/10)^2*(1.5*(C232^2-MAX(B232,($B$4*1/10))^2)-($B$4*1/10)*(C232-MAX(B232,($B$4*1/10)))),0))*1000,0)</f>
        <v>0</v>
      </c>
      <c r="AC232" s="120">
        <f>IF(AND(J232="OK",ISNUMBER($B$5),$B$5&gt;0,ISNUMBER($B$3),$B$3&gt;0),F232/(6*$B$3*1000000*$B$5)*(IF(B232&lt;($B$4*2/10),($B$4*2/10)*(MIN(C232,($B$4*2/10))^3-B232^3)-(MIN(C232,($B$4*2/10))^4-B232^4)/4,0)+IF(C232&gt;($B$4*2/10),($B$4*2/10)^2*(1.5*(C232^2-MAX(B232,($B$4*2/10))^2)-($B$4*2/10)*(C232-MAX(B232,($B$4*2/10)))),0))*1000,0)</f>
        <v>0</v>
      </c>
      <c r="AD232" s="120">
        <f>IF(AND(J232="OK",ISNUMBER($B$5),$B$5&gt;0,ISNUMBER($B$3),$B$3&gt;0),F232/(6*$B$3*1000000*$B$5)*(IF(B232&lt;($B$4*3/10),($B$4*3/10)*(MIN(C232,($B$4*3/10))^3-B232^3)-(MIN(C232,($B$4*3/10))^4-B232^4)/4,0)+IF(C232&gt;($B$4*3/10),($B$4*3/10)^2*(1.5*(C232^2-MAX(B232,($B$4*3/10))^2)-($B$4*3/10)*(C232-MAX(B232,($B$4*3/10)))),0))*1000,0)</f>
        <v>0</v>
      </c>
      <c r="AE232" s="120">
        <f>IF(AND(J232="OK",ISNUMBER($B$5),$B$5&gt;0,ISNUMBER($B$3),$B$3&gt;0),F232/(6*$B$3*1000000*$B$5)*(IF(B232&lt;($B$4*4/10),($B$4*4/10)*(MIN(C232,($B$4*4/10))^3-B232^3)-(MIN(C232,($B$4*4/10))^4-B232^4)/4,0)+IF(C232&gt;($B$4*4/10),($B$4*4/10)^2*(1.5*(C232^2-MAX(B232,($B$4*4/10))^2)-($B$4*4/10)*(C232-MAX(B232,($B$4*4/10)))),0))*1000,0)</f>
        <v>0</v>
      </c>
      <c r="AF232" s="120">
        <f>IF(AND(J232="OK",ISNUMBER($B$5),$B$5&gt;0,ISNUMBER($B$3),$B$3&gt;0),F232/(6*$B$3*1000000*$B$5)*(IF(B232&lt;($B$4*5/10),($B$4*5/10)*(MIN(C232,($B$4*5/10))^3-B232^3)-(MIN(C232,($B$4*5/10))^4-B232^4)/4,0)+IF(C232&gt;($B$4*5/10),($B$4*5/10)^2*(1.5*(C232^2-MAX(B232,($B$4*5/10))^2)-($B$4*5/10)*(C232-MAX(B232,($B$4*5/10)))),0))*1000,0)</f>
        <v>0</v>
      </c>
      <c r="AG232" s="120">
        <f>IF(AND(J232="OK",ISNUMBER($B$5),$B$5&gt;0,ISNUMBER($B$3),$B$3&gt;0),F232/(6*$B$3*1000000*$B$5)*(IF(B232&lt;($B$4*6/10),($B$4*6/10)*(MIN(C232,($B$4*6/10))^3-B232^3)-(MIN(C232,($B$4*6/10))^4-B232^4)/4,0)+IF(C232&gt;($B$4*6/10),($B$4*6/10)^2*(1.5*(C232^2-MAX(B232,($B$4*6/10))^2)-($B$4*6/10)*(C232-MAX(B232,($B$4*6/10)))),0))*1000,0)</f>
        <v>0</v>
      </c>
      <c r="AH232" s="120">
        <f>IF(AND(J232="OK",ISNUMBER($B$5),$B$5&gt;0,ISNUMBER($B$3),$B$3&gt;0),F232/(6*$B$3*1000000*$B$5)*(IF(B232&lt;($B$4*7/10),($B$4*7/10)*(MIN(C232,($B$4*7/10))^3-B232^3)-(MIN(C232,($B$4*7/10))^4-B232^4)/4,0)+IF(C232&gt;($B$4*7/10),($B$4*7/10)^2*(1.5*(C232^2-MAX(B232,($B$4*7/10))^2)-($B$4*7/10)*(C232-MAX(B232,($B$4*7/10)))),0))*1000,0)</f>
        <v>0</v>
      </c>
      <c r="AI232" s="120">
        <f>IF(AND(J232="OK",ISNUMBER($B$5),$B$5&gt;0,ISNUMBER($B$3),$B$3&gt;0),F232/(6*$B$3*1000000*$B$5)*(IF(B232&lt;($B$4*8/10),($B$4*8/10)*(MIN(C232,($B$4*8/10))^3-B232^3)-(MIN(C232,($B$4*8/10))^4-B232^4)/4,0)+IF(C232&gt;($B$4*8/10),($B$4*8/10)^2*(1.5*(C232^2-MAX(B232,($B$4*8/10))^2)-($B$4*8/10)*(C232-MAX(B232,($B$4*8/10)))),0))*1000,0)</f>
        <v>0</v>
      </c>
      <c r="AJ232" s="120">
        <f>IF(AND(J232="OK",ISNUMBER($B$5),$B$5&gt;0,ISNUMBER($B$3),$B$3&gt;0),F232/(6*$B$3*1000000*$B$5)*(IF(B232&lt;($B$4*9/10),($B$4*9/10)*(MIN(C232,($B$4*9/10))^3-B232^3)-(MIN(C232,($B$4*9/10))^4-B232^4)/4,0)+IF(C232&gt;($B$4*9/10),($B$4*9/10)^2*(1.5*(C232^2-MAX(B232,($B$4*9/10))^2)-($B$4*9/10)*(C232-MAX(B232,($B$4*9/10)))),0))*1000,0)</f>
        <v>0</v>
      </c>
      <c r="AK232" s="120">
        <f>IF(AND(J232="OK",ISNUMBER($B$5),$B$5&gt;0,ISNUMBER($B$3),$B$3&gt;0),F232/(6*$B$3*1000000*$B$5)*(IF(B232&lt;($B$4*10/10),($B$4*10/10)*(MIN(C232,($B$4*10/10))^3-B232^3)-(MIN(C232,($B$4*10/10))^4-B232^4)/4,0)+IF(C232&gt;($B$4*10/10),($B$4*10/10)^2*(1.5*(C232^2-MAX(B232,($B$4*10/10))^2)-($B$4*10/10)*(C232-MAX(B232,($B$4*10/10)))),0))*1000,0)</f>
        <v>0</v>
      </c>
      <c r="AM232" s="120">
        <f>IF(AND(V232="OK",ISNUMBER($N$5),$N$5&gt;0,ISNUMBER($N$3),$N$3&gt;0),R232/(6*$N$3*1000000*$N$5)*(IF(N232&lt;($N$4*0/10),($N$4*0/10)*(MIN(O232,($N$4*0/10))^3-N232^3)-(MIN(O232,($N$4*0/10))^4-N232^4)/4,0)+IF(O232&gt;($N$4*0/10),($N$4*0/10)^2*(1.5*(O232^2-MAX(N232,($N$4*0/10))^2)-($N$4*0/10)*(O232-MAX(N232,($N$4*0/10)))),0))*1000,0)</f>
        <v>0</v>
      </c>
      <c r="AN232" s="120">
        <f>IF(AND(V232="OK",ISNUMBER($N$5),$N$5&gt;0,ISNUMBER($N$3),$N$3&gt;0),R232/(6*$N$3*1000000*$N$5)*(IF(N232&lt;($N$4*1/10),($N$4*1/10)*(MIN(O232,($N$4*1/10))^3-N232^3)-(MIN(O232,($N$4*1/10))^4-N232^4)/4,0)+IF(O232&gt;($N$4*1/10),($N$4*1/10)^2*(1.5*(O232^2-MAX(N232,($N$4*1/10))^2)-($N$4*1/10)*(O232-MAX(N232,($N$4*1/10)))),0))*1000,0)</f>
        <v>0</v>
      </c>
      <c r="AO232" s="120">
        <f>IF(AND(V232="OK",ISNUMBER($N$5),$N$5&gt;0,ISNUMBER($N$3),$N$3&gt;0),R232/(6*$N$3*1000000*$N$5)*(IF(N232&lt;($N$4*2/10),($N$4*2/10)*(MIN(O232,($N$4*2/10))^3-N232^3)-(MIN(O232,($N$4*2/10))^4-N232^4)/4,0)+IF(O232&gt;($N$4*2/10),($N$4*2/10)^2*(1.5*(O232^2-MAX(N232,($N$4*2/10))^2)-($N$4*2/10)*(O232-MAX(N232,($N$4*2/10)))),0))*1000,0)</f>
        <v>0</v>
      </c>
      <c r="AP232" s="120">
        <f>IF(AND(V232="OK",ISNUMBER($N$5),$N$5&gt;0,ISNUMBER($N$3),$N$3&gt;0),R232/(6*$N$3*1000000*$N$5)*(IF(N232&lt;($N$4*3/10),($N$4*3/10)*(MIN(O232,($N$4*3/10))^3-N232^3)-(MIN(O232,($N$4*3/10))^4-N232^4)/4,0)+IF(O232&gt;($N$4*3/10),($N$4*3/10)^2*(1.5*(O232^2-MAX(N232,($N$4*3/10))^2)-($N$4*3/10)*(O232-MAX(N232,($N$4*3/10)))),0))*1000,0)</f>
        <v>0</v>
      </c>
      <c r="AQ232" s="120">
        <f>IF(AND(V232="OK",ISNUMBER($N$5),$N$5&gt;0,ISNUMBER($N$3),$N$3&gt;0),R232/(6*$N$3*1000000*$N$5)*(IF(N232&lt;($N$4*4/10),($N$4*4/10)*(MIN(O232,($N$4*4/10))^3-N232^3)-(MIN(O232,($N$4*4/10))^4-N232^4)/4,0)+IF(O232&gt;($N$4*4/10),($N$4*4/10)^2*(1.5*(O232^2-MAX(N232,($N$4*4/10))^2)-($N$4*4/10)*(O232-MAX(N232,($N$4*4/10)))),0))*1000,0)</f>
        <v>0</v>
      </c>
      <c r="AR232" s="120">
        <f>IF(AND(V232="OK",ISNUMBER($N$5),$N$5&gt;0,ISNUMBER($N$3),$N$3&gt;0),R232/(6*$N$3*1000000*$N$5)*(IF(N232&lt;($N$4*5/10),($N$4*5/10)*(MIN(O232,($N$4*5/10))^3-N232^3)-(MIN(O232,($N$4*5/10))^4-N232^4)/4,0)+IF(O232&gt;($N$4*5/10),($N$4*5/10)^2*(1.5*(O232^2-MAX(N232,($N$4*5/10))^2)-($N$4*5/10)*(O232-MAX(N232,($N$4*5/10)))),0))*1000,0)</f>
        <v>0</v>
      </c>
      <c r="AS232" s="120">
        <f>IF(AND(V232="OK",ISNUMBER($N$5),$N$5&gt;0,ISNUMBER($N$3),$N$3&gt;0),R232/(6*$N$3*1000000*$N$5)*(IF(N232&lt;($N$4*6/10),($N$4*6/10)*(MIN(O232,($N$4*6/10))^3-N232^3)-(MIN(O232,($N$4*6/10))^4-N232^4)/4,0)+IF(O232&gt;($N$4*6/10),($N$4*6/10)^2*(1.5*(O232^2-MAX(N232,($N$4*6/10))^2)-($N$4*6/10)*(O232-MAX(N232,($N$4*6/10)))),0))*1000,0)</f>
        <v>0</v>
      </c>
      <c r="AT232" s="120">
        <f>IF(AND(V232="OK",ISNUMBER($N$5),$N$5&gt;0,ISNUMBER($N$3),$N$3&gt;0),R232/(6*$N$3*1000000*$N$5)*(IF(N232&lt;($N$4*7/10),($N$4*7/10)*(MIN(O232,($N$4*7/10))^3-N232^3)-(MIN(O232,($N$4*7/10))^4-N232^4)/4,0)+IF(O232&gt;($N$4*7/10),($N$4*7/10)^2*(1.5*(O232^2-MAX(N232,($N$4*7/10))^2)-($N$4*7/10)*(O232-MAX(N232,($N$4*7/10)))),0))*1000,0)</f>
        <v>0</v>
      </c>
      <c r="AU232" s="120">
        <f>IF(AND(V232="OK",ISNUMBER($N$5),$N$5&gt;0,ISNUMBER($N$3),$N$3&gt;0),R232/(6*$N$3*1000000*$N$5)*(IF(N232&lt;($N$4*8/10),($N$4*8/10)*(MIN(O232,($N$4*8/10))^3-N232^3)-(MIN(O232,($N$4*8/10))^4-N232^4)/4,0)+IF(O232&gt;($N$4*8/10),($N$4*8/10)^2*(1.5*(O232^2-MAX(N232,($N$4*8/10))^2)-($N$4*8/10)*(O232-MAX(N232,($N$4*8/10)))),0))*1000,0)</f>
        <v>0</v>
      </c>
      <c r="AV232" s="120">
        <f>IF(AND(V232="OK",ISNUMBER($N$5),$N$5&gt;0,ISNUMBER($N$3),$N$3&gt;0),R232/(6*$N$3*1000000*$N$5)*(IF(N232&lt;($N$4*9/10),($N$4*9/10)*(MIN(O232,($N$4*9/10))^3-N232^3)-(MIN(O232,($N$4*9/10))^4-N232^4)/4,0)+IF(O232&gt;($N$4*9/10),($N$4*9/10)^2*(1.5*(O232^2-MAX(N232,($N$4*9/10))^2)-($N$4*9/10)*(O232-MAX(N232,($N$4*9/10)))),0))*1000,0)</f>
        <v>0</v>
      </c>
      <c r="AW232" s="120">
        <f>IF(AND(V232="OK",ISNUMBER($N$5),$N$5&gt;0,ISNUMBER($N$3),$N$3&gt;0),R232/(6*$N$3*1000000*$N$5)*(IF(N232&lt;($N$4*10/10),($N$4*10/10)*(MIN(O232,($N$4*10/10))^3-N232^3)-(MIN(O232,($N$4*10/10))^4-N232^4)/4,0)+IF(O232&gt;($N$4*10/10),($N$4*10/10)^2*(1.5*(O232^2-MAX(N232,($N$4*10/10))^2)-($N$4*10/10)*(O232-MAX(N232,($N$4*10/10)))),0))*1000,0)</f>
        <v>0</v>
      </c>
    </row>
    <row r="233" spans="1:49">
      <c r="A233" s="124"/>
      <c r="B233" s="125"/>
      <c r="C233" s="125"/>
      <c r="D233" s="125"/>
      <c r="E233" s="125"/>
      <c r="F233" s="126" t="str">
        <f>IF(J233="OK",D233*E233,"")</f>
        <v/>
      </c>
      <c r="G233" s="126" t="str">
        <f>IF(J233="OK",F233*(C233-B233),"")</f>
        <v/>
      </c>
      <c r="H233" s="126" t="str">
        <f>IF(J233="OK",G233*(C233+B233)/2,"")</f>
        <v/>
      </c>
      <c r="I233" s="126" t="str">
        <f>IF(AND(J233="OK",ISNUMBER($B$5),$B$5&gt;0,ISNUMBER($B$3),$B$3&gt;0),F233*(4*$B$4*(C233^3-B233^3)-(C233^4-B233^4))/(24*$B$3*1000000*$B$5)*1000,"")</f>
        <v/>
      </c>
      <c r="J233" s="120" t="str">
        <f>IF(COUNTA(A233:E233)=0,"",IF(AND(COUNT(B233:E233)=4,B233&gt;=0,C233&gt;B233,C233&lt;=$B$4,D233&gt;=0,E233&gt;0),IF(COUNTIFS($B$13:$B$232,"&lt;"&amp;C233,$C$13:$C$232,"&gt;"&amp;B233)&gt;0,"OVERLAP","OK"),"CHECK INPUTS"))</f>
        <v/>
      </c>
      <c r="M233" s="124"/>
      <c r="N233" s="125"/>
      <c r="O233" s="125"/>
      <c r="P233" s="125"/>
      <c r="Q233" s="125"/>
      <c r="R233" s="126" t="str">
        <f>IF(V233="OK",P233*Q233,"")</f>
        <v/>
      </c>
      <c r="S233" s="126" t="str">
        <f>IF(V233="OK",R233*(O233-N233),"")</f>
        <v/>
      </c>
      <c r="T233" s="126" t="str">
        <f>IF(V233="OK",S233*(O233+N233)/2,"")</f>
        <v/>
      </c>
      <c r="U233" s="126" t="str">
        <f>IF(AND(V233="OK",ISNUMBER($N$5),$N$5&gt;0,ISNUMBER($N$3),$N$3&gt;0),R233*(4*$N$4*(O233^3-N233^3)-(O233^4-N233^4))/(24*$N$3*1000000*$N$5)*1000,"")</f>
        <v/>
      </c>
      <c r="V233" s="120" t="str">
        <f>IF(COUNTA(M233:Q233)=0,"",IF(AND(COUNT(N233:Q233)=4,N233&gt;=0,O233&gt;N233,O233&lt;=$N$4,P233&gt;=0,Q233&gt;0),IF(COUNTIFS($N$13:$N$232,"&lt;"&amp;O233,$O$13:$O$232,"&gt;"&amp;N233)&gt;0,"OVERLAP","OK"),"CHECK INPUTS"))</f>
        <v/>
      </c>
      <c r="AA233" s="120">
        <f>IF(AND(J233="OK",ISNUMBER($B$5),$B$5&gt;0,ISNUMBER($B$3),$B$3&gt;0),F233/(6*$B$3*1000000*$B$5)*(IF(B233&lt;($B$4*0/10),($B$4*0/10)*(MIN(C233,($B$4*0/10))^3-B233^3)-(MIN(C233,($B$4*0/10))^4-B233^4)/4,0)+IF(C233&gt;($B$4*0/10),($B$4*0/10)^2*(1.5*(C233^2-MAX(B233,($B$4*0/10))^2)-($B$4*0/10)*(C233-MAX(B233,($B$4*0/10)))),0))*1000,0)</f>
        <v>0</v>
      </c>
      <c r="AB233" s="120">
        <f>IF(AND(J233="OK",ISNUMBER($B$5),$B$5&gt;0,ISNUMBER($B$3),$B$3&gt;0),F233/(6*$B$3*1000000*$B$5)*(IF(B233&lt;($B$4*1/10),($B$4*1/10)*(MIN(C233,($B$4*1/10))^3-B233^3)-(MIN(C233,($B$4*1/10))^4-B233^4)/4,0)+IF(C233&gt;($B$4*1/10),($B$4*1/10)^2*(1.5*(C233^2-MAX(B233,($B$4*1/10))^2)-($B$4*1/10)*(C233-MAX(B233,($B$4*1/10)))),0))*1000,0)</f>
        <v>0</v>
      </c>
      <c r="AC233" s="120">
        <f>IF(AND(J233="OK",ISNUMBER($B$5),$B$5&gt;0,ISNUMBER($B$3),$B$3&gt;0),F233/(6*$B$3*1000000*$B$5)*(IF(B233&lt;($B$4*2/10),($B$4*2/10)*(MIN(C233,($B$4*2/10))^3-B233^3)-(MIN(C233,($B$4*2/10))^4-B233^4)/4,0)+IF(C233&gt;($B$4*2/10),($B$4*2/10)^2*(1.5*(C233^2-MAX(B233,($B$4*2/10))^2)-($B$4*2/10)*(C233-MAX(B233,($B$4*2/10)))),0))*1000,0)</f>
        <v>0</v>
      </c>
      <c r="AD233" s="120">
        <f>IF(AND(J233="OK",ISNUMBER($B$5),$B$5&gt;0,ISNUMBER($B$3),$B$3&gt;0),F233/(6*$B$3*1000000*$B$5)*(IF(B233&lt;($B$4*3/10),($B$4*3/10)*(MIN(C233,($B$4*3/10))^3-B233^3)-(MIN(C233,($B$4*3/10))^4-B233^4)/4,0)+IF(C233&gt;($B$4*3/10),($B$4*3/10)^2*(1.5*(C233^2-MAX(B233,($B$4*3/10))^2)-($B$4*3/10)*(C233-MAX(B233,($B$4*3/10)))),0))*1000,0)</f>
        <v>0</v>
      </c>
      <c r="AE233" s="120">
        <f>IF(AND(J233="OK",ISNUMBER($B$5),$B$5&gt;0,ISNUMBER($B$3),$B$3&gt;0),F233/(6*$B$3*1000000*$B$5)*(IF(B233&lt;($B$4*4/10),($B$4*4/10)*(MIN(C233,($B$4*4/10))^3-B233^3)-(MIN(C233,($B$4*4/10))^4-B233^4)/4,0)+IF(C233&gt;($B$4*4/10),($B$4*4/10)^2*(1.5*(C233^2-MAX(B233,($B$4*4/10))^2)-($B$4*4/10)*(C233-MAX(B233,($B$4*4/10)))),0))*1000,0)</f>
        <v>0</v>
      </c>
      <c r="AF233" s="120">
        <f>IF(AND(J233="OK",ISNUMBER($B$5),$B$5&gt;0,ISNUMBER($B$3),$B$3&gt;0),F233/(6*$B$3*1000000*$B$5)*(IF(B233&lt;($B$4*5/10),($B$4*5/10)*(MIN(C233,($B$4*5/10))^3-B233^3)-(MIN(C233,($B$4*5/10))^4-B233^4)/4,0)+IF(C233&gt;($B$4*5/10),($B$4*5/10)^2*(1.5*(C233^2-MAX(B233,($B$4*5/10))^2)-($B$4*5/10)*(C233-MAX(B233,($B$4*5/10)))),0))*1000,0)</f>
        <v>0</v>
      </c>
      <c r="AG233" s="120">
        <f>IF(AND(J233="OK",ISNUMBER($B$5),$B$5&gt;0,ISNUMBER($B$3),$B$3&gt;0),F233/(6*$B$3*1000000*$B$5)*(IF(B233&lt;($B$4*6/10),($B$4*6/10)*(MIN(C233,($B$4*6/10))^3-B233^3)-(MIN(C233,($B$4*6/10))^4-B233^4)/4,0)+IF(C233&gt;($B$4*6/10),($B$4*6/10)^2*(1.5*(C233^2-MAX(B233,($B$4*6/10))^2)-($B$4*6/10)*(C233-MAX(B233,($B$4*6/10)))),0))*1000,0)</f>
        <v>0</v>
      </c>
      <c r="AH233" s="120">
        <f>IF(AND(J233="OK",ISNUMBER($B$5),$B$5&gt;0,ISNUMBER($B$3),$B$3&gt;0),F233/(6*$B$3*1000000*$B$5)*(IF(B233&lt;($B$4*7/10),($B$4*7/10)*(MIN(C233,($B$4*7/10))^3-B233^3)-(MIN(C233,($B$4*7/10))^4-B233^4)/4,0)+IF(C233&gt;($B$4*7/10),($B$4*7/10)^2*(1.5*(C233^2-MAX(B233,($B$4*7/10))^2)-($B$4*7/10)*(C233-MAX(B233,($B$4*7/10)))),0))*1000,0)</f>
        <v>0</v>
      </c>
      <c r="AI233" s="120">
        <f>IF(AND(J233="OK",ISNUMBER($B$5),$B$5&gt;0,ISNUMBER($B$3),$B$3&gt;0),F233/(6*$B$3*1000000*$B$5)*(IF(B233&lt;($B$4*8/10),($B$4*8/10)*(MIN(C233,($B$4*8/10))^3-B233^3)-(MIN(C233,($B$4*8/10))^4-B233^4)/4,0)+IF(C233&gt;($B$4*8/10),($B$4*8/10)^2*(1.5*(C233^2-MAX(B233,($B$4*8/10))^2)-($B$4*8/10)*(C233-MAX(B233,($B$4*8/10)))),0))*1000,0)</f>
        <v>0</v>
      </c>
      <c r="AJ233" s="120">
        <f>IF(AND(J233="OK",ISNUMBER($B$5),$B$5&gt;0,ISNUMBER($B$3),$B$3&gt;0),F233/(6*$B$3*1000000*$B$5)*(IF(B233&lt;($B$4*9/10),($B$4*9/10)*(MIN(C233,($B$4*9/10))^3-B233^3)-(MIN(C233,($B$4*9/10))^4-B233^4)/4,0)+IF(C233&gt;($B$4*9/10),($B$4*9/10)^2*(1.5*(C233^2-MAX(B233,($B$4*9/10))^2)-($B$4*9/10)*(C233-MAX(B233,($B$4*9/10)))),0))*1000,0)</f>
        <v>0</v>
      </c>
      <c r="AK233" s="120">
        <f>IF(AND(J233="OK",ISNUMBER($B$5),$B$5&gt;0,ISNUMBER($B$3),$B$3&gt;0),F233/(6*$B$3*1000000*$B$5)*(IF(B233&lt;($B$4*10/10),($B$4*10/10)*(MIN(C233,($B$4*10/10))^3-B233^3)-(MIN(C233,($B$4*10/10))^4-B233^4)/4,0)+IF(C233&gt;($B$4*10/10),($B$4*10/10)^2*(1.5*(C233^2-MAX(B233,($B$4*10/10))^2)-($B$4*10/10)*(C233-MAX(B233,($B$4*10/10)))),0))*1000,0)</f>
        <v>0</v>
      </c>
      <c r="AM233" s="120">
        <f>IF(AND(V233="OK",ISNUMBER($N$5),$N$5&gt;0,ISNUMBER($N$3),$N$3&gt;0),R233/(6*$N$3*1000000*$N$5)*(IF(N233&lt;($N$4*0/10),($N$4*0/10)*(MIN(O233,($N$4*0/10))^3-N233^3)-(MIN(O233,($N$4*0/10))^4-N233^4)/4,0)+IF(O233&gt;($N$4*0/10),($N$4*0/10)^2*(1.5*(O233^2-MAX(N233,($N$4*0/10))^2)-($N$4*0/10)*(O233-MAX(N233,($N$4*0/10)))),0))*1000,0)</f>
        <v>0</v>
      </c>
      <c r="AN233" s="120">
        <f>IF(AND(V233="OK",ISNUMBER($N$5),$N$5&gt;0,ISNUMBER($N$3),$N$3&gt;0),R233/(6*$N$3*1000000*$N$5)*(IF(N233&lt;($N$4*1/10),($N$4*1/10)*(MIN(O233,($N$4*1/10))^3-N233^3)-(MIN(O233,($N$4*1/10))^4-N233^4)/4,0)+IF(O233&gt;($N$4*1/10),($N$4*1/10)^2*(1.5*(O233^2-MAX(N233,($N$4*1/10))^2)-($N$4*1/10)*(O233-MAX(N233,($N$4*1/10)))),0))*1000,0)</f>
        <v>0</v>
      </c>
      <c r="AO233" s="120">
        <f>IF(AND(V233="OK",ISNUMBER($N$5),$N$5&gt;0,ISNUMBER($N$3),$N$3&gt;0),R233/(6*$N$3*1000000*$N$5)*(IF(N233&lt;($N$4*2/10),($N$4*2/10)*(MIN(O233,($N$4*2/10))^3-N233^3)-(MIN(O233,($N$4*2/10))^4-N233^4)/4,0)+IF(O233&gt;($N$4*2/10),($N$4*2/10)^2*(1.5*(O233^2-MAX(N233,($N$4*2/10))^2)-($N$4*2/10)*(O233-MAX(N233,($N$4*2/10)))),0))*1000,0)</f>
        <v>0</v>
      </c>
      <c r="AP233" s="120">
        <f>IF(AND(V233="OK",ISNUMBER($N$5),$N$5&gt;0,ISNUMBER($N$3),$N$3&gt;0),R233/(6*$N$3*1000000*$N$5)*(IF(N233&lt;($N$4*3/10),($N$4*3/10)*(MIN(O233,($N$4*3/10))^3-N233^3)-(MIN(O233,($N$4*3/10))^4-N233^4)/4,0)+IF(O233&gt;($N$4*3/10),($N$4*3/10)^2*(1.5*(O233^2-MAX(N233,($N$4*3/10))^2)-($N$4*3/10)*(O233-MAX(N233,($N$4*3/10)))),0))*1000,0)</f>
        <v>0</v>
      </c>
      <c r="AQ233" s="120">
        <f>IF(AND(V233="OK",ISNUMBER($N$5),$N$5&gt;0,ISNUMBER($N$3),$N$3&gt;0),R233/(6*$N$3*1000000*$N$5)*(IF(N233&lt;($N$4*4/10),($N$4*4/10)*(MIN(O233,($N$4*4/10))^3-N233^3)-(MIN(O233,($N$4*4/10))^4-N233^4)/4,0)+IF(O233&gt;($N$4*4/10),($N$4*4/10)^2*(1.5*(O233^2-MAX(N233,($N$4*4/10))^2)-($N$4*4/10)*(O233-MAX(N233,($N$4*4/10)))),0))*1000,0)</f>
        <v>0</v>
      </c>
      <c r="AR233" s="120">
        <f>IF(AND(V233="OK",ISNUMBER($N$5),$N$5&gt;0,ISNUMBER($N$3),$N$3&gt;0),R233/(6*$N$3*1000000*$N$5)*(IF(N233&lt;($N$4*5/10),($N$4*5/10)*(MIN(O233,($N$4*5/10))^3-N233^3)-(MIN(O233,($N$4*5/10))^4-N233^4)/4,0)+IF(O233&gt;($N$4*5/10),($N$4*5/10)^2*(1.5*(O233^2-MAX(N233,($N$4*5/10))^2)-($N$4*5/10)*(O233-MAX(N233,($N$4*5/10)))),0))*1000,0)</f>
        <v>0</v>
      </c>
      <c r="AS233" s="120">
        <f>IF(AND(V233="OK",ISNUMBER($N$5),$N$5&gt;0,ISNUMBER($N$3),$N$3&gt;0),R233/(6*$N$3*1000000*$N$5)*(IF(N233&lt;($N$4*6/10),($N$4*6/10)*(MIN(O233,($N$4*6/10))^3-N233^3)-(MIN(O233,($N$4*6/10))^4-N233^4)/4,0)+IF(O233&gt;($N$4*6/10),($N$4*6/10)^2*(1.5*(O233^2-MAX(N233,($N$4*6/10))^2)-($N$4*6/10)*(O233-MAX(N233,($N$4*6/10)))),0))*1000,0)</f>
        <v>0</v>
      </c>
      <c r="AT233" s="120">
        <f>IF(AND(V233="OK",ISNUMBER($N$5),$N$5&gt;0,ISNUMBER($N$3),$N$3&gt;0),R233/(6*$N$3*1000000*$N$5)*(IF(N233&lt;($N$4*7/10),($N$4*7/10)*(MIN(O233,($N$4*7/10))^3-N233^3)-(MIN(O233,($N$4*7/10))^4-N233^4)/4,0)+IF(O233&gt;($N$4*7/10),($N$4*7/10)^2*(1.5*(O233^2-MAX(N233,($N$4*7/10))^2)-($N$4*7/10)*(O233-MAX(N233,($N$4*7/10)))),0))*1000,0)</f>
        <v>0</v>
      </c>
      <c r="AU233" s="120">
        <f>IF(AND(V233="OK",ISNUMBER($N$5),$N$5&gt;0,ISNUMBER($N$3),$N$3&gt;0),R233/(6*$N$3*1000000*$N$5)*(IF(N233&lt;($N$4*8/10),($N$4*8/10)*(MIN(O233,($N$4*8/10))^3-N233^3)-(MIN(O233,($N$4*8/10))^4-N233^4)/4,0)+IF(O233&gt;($N$4*8/10),($N$4*8/10)^2*(1.5*(O233^2-MAX(N233,($N$4*8/10))^2)-($N$4*8/10)*(O233-MAX(N233,($N$4*8/10)))),0))*1000,0)</f>
        <v>0</v>
      </c>
      <c r="AV233" s="120">
        <f>IF(AND(V233="OK",ISNUMBER($N$5),$N$5&gt;0,ISNUMBER($N$3),$N$3&gt;0),R233/(6*$N$3*1000000*$N$5)*(IF(N233&lt;($N$4*9/10),($N$4*9/10)*(MIN(O233,($N$4*9/10))^3-N233^3)-(MIN(O233,($N$4*9/10))^4-N233^4)/4,0)+IF(O233&gt;($N$4*9/10),($N$4*9/10)^2*(1.5*(O233^2-MAX(N233,($N$4*9/10))^2)-($N$4*9/10)*(O233-MAX(N233,($N$4*9/10)))),0))*1000,0)</f>
        <v>0</v>
      </c>
      <c r="AW233" s="120">
        <f>IF(AND(V233="OK",ISNUMBER($N$5),$N$5&gt;0,ISNUMBER($N$3),$N$3&gt;0),R233/(6*$N$3*1000000*$N$5)*(IF(N233&lt;($N$4*10/10),($N$4*10/10)*(MIN(O233,($N$4*10/10))^3-N233^3)-(MIN(O233,($N$4*10/10))^4-N233^4)/4,0)+IF(O233&gt;($N$4*10/10),($N$4*10/10)^2*(1.5*(O233^2-MAX(N233,($N$4*10/10))^2)-($N$4*10/10)*(O233-MAX(N233,($N$4*10/10)))),0))*1000,0)</f>
        <v>0</v>
      </c>
    </row>
    <row r="234" spans="1:49">
      <c r="A234" s="124"/>
      <c r="B234" s="125"/>
      <c r="C234" s="125"/>
      <c r="D234" s="125"/>
      <c r="E234" s="125"/>
      <c r="F234" s="126" t="str">
        <f>IF(J234="OK",D234*E234,"")</f>
        <v/>
      </c>
      <c r="G234" s="126" t="str">
        <f>IF(J234="OK",F234*(C234-B234),"")</f>
        <v/>
      </c>
      <c r="H234" s="126" t="str">
        <f>IF(J234="OK",G234*(C234+B234)/2,"")</f>
        <v/>
      </c>
      <c r="I234" s="126" t="str">
        <f>IF(AND(J234="OK",ISNUMBER($B$5),$B$5&gt;0,ISNUMBER($B$3),$B$3&gt;0),F234*(4*$B$4*(C234^3-B234^3)-(C234^4-B234^4))/(24*$B$3*1000000*$B$5)*1000,"")</f>
        <v/>
      </c>
      <c r="J234" s="120" t="str">
        <f>IF(COUNTA(A234:E234)=0,"",IF(AND(COUNT(B234:E234)=4,B234&gt;=0,C234&gt;B234,C234&lt;=$B$4,D234&gt;=0,E234&gt;0),IF(COUNTIFS($B$13:$B$233,"&lt;"&amp;C234,$C$13:$C$233,"&gt;"&amp;B234)&gt;0,"OVERLAP","OK"),"CHECK INPUTS"))</f>
        <v/>
      </c>
      <c r="M234" s="124"/>
      <c r="N234" s="125"/>
      <c r="O234" s="125"/>
      <c r="P234" s="125"/>
      <c r="Q234" s="125"/>
      <c r="R234" s="126" t="str">
        <f>IF(V234="OK",P234*Q234,"")</f>
        <v/>
      </c>
      <c r="S234" s="126" t="str">
        <f>IF(V234="OK",R234*(O234-N234),"")</f>
        <v/>
      </c>
      <c r="T234" s="126" t="str">
        <f>IF(V234="OK",S234*(O234+N234)/2,"")</f>
        <v/>
      </c>
      <c r="U234" s="126" t="str">
        <f>IF(AND(V234="OK",ISNUMBER($N$5),$N$5&gt;0,ISNUMBER($N$3),$N$3&gt;0),R234*(4*$N$4*(O234^3-N234^3)-(O234^4-N234^4))/(24*$N$3*1000000*$N$5)*1000,"")</f>
        <v/>
      </c>
      <c r="V234" s="120" t="str">
        <f>IF(COUNTA(M234:Q234)=0,"",IF(AND(COUNT(N234:Q234)=4,N234&gt;=0,O234&gt;N234,O234&lt;=$N$4,P234&gt;=0,Q234&gt;0),IF(COUNTIFS($N$13:$N$233,"&lt;"&amp;O234,$O$13:$O$233,"&gt;"&amp;N234)&gt;0,"OVERLAP","OK"),"CHECK INPUTS"))</f>
        <v/>
      </c>
      <c r="AA234" s="120">
        <f>IF(AND(J234="OK",ISNUMBER($B$5),$B$5&gt;0,ISNUMBER($B$3),$B$3&gt;0),F234/(6*$B$3*1000000*$B$5)*(IF(B234&lt;($B$4*0/10),($B$4*0/10)*(MIN(C234,($B$4*0/10))^3-B234^3)-(MIN(C234,($B$4*0/10))^4-B234^4)/4,0)+IF(C234&gt;($B$4*0/10),($B$4*0/10)^2*(1.5*(C234^2-MAX(B234,($B$4*0/10))^2)-($B$4*0/10)*(C234-MAX(B234,($B$4*0/10)))),0))*1000,0)</f>
        <v>0</v>
      </c>
      <c r="AB234" s="120">
        <f>IF(AND(J234="OK",ISNUMBER($B$5),$B$5&gt;0,ISNUMBER($B$3),$B$3&gt;0),F234/(6*$B$3*1000000*$B$5)*(IF(B234&lt;($B$4*1/10),($B$4*1/10)*(MIN(C234,($B$4*1/10))^3-B234^3)-(MIN(C234,($B$4*1/10))^4-B234^4)/4,0)+IF(C234&gt;($B$4*1/10),($B$4*1/10)^2*(1.5*(C234^2-MAX(B234,($B$4*1/10))^2)-($B$4*1/10)*(C234-MAX(B234,($B$4*1/10)))),0))*1000,0)</f>
        <v>0</v>
      </c>
      <c r="AC234" s="120">
        <f>IF(AND(J234="OK",ISNUMBER($B$5),$B$5&gt;0,ISNUMBER($B$3),$B$3&gt;0),F234/(6*$B$3*1000000*$B$5)*(IF(B234&lt;($B$4*2/10),($B$4*2/10)*(MIN(C234,($B$4*2/10))^3-B234^3)-(MIN(C234,($B$4*2/10))^4-B234^4)/4,0)+IF(C234&gt;($B$4*2/10),($B$4*2/10)^2*(1.5*(C234^2-MAX(B234,($B$4*2/10))^2)-($B$4*2/10)*(C234-MAX(B234,($B$4*2/10)))),0))*1000,0)</f>
        <v>0</v>
      </c>
      <c r="AD234" s="120">
        <f>IF(AND(J234="OK",ISNUMBER($B$5),$B$5&gt;0,ISNUMBER($B$3),$B$3&gt;0),F234/(6*$B$3*1000000*$B$5)*(IF(B234&lt;($B$4*3/10),($B$4*3/10)*(MIN(C234,($B$4*3/10))^3-B234^3)-(MIN(C234,($B$4*3/10))^4-B234^4)/4,0)+IF(C234&gt;($B$4*3/10),($B$4*3/10)^2*(1.5*(C234^2-MAX(B234,($B$4*3/10))^2)-($B$4*3/10)*(C234-MAX(B234,($B$4*3/10)))),0))*1000,0)</f>
        <v>0</v>
      </c>
      <c r="AE234" s="120">
        <f>IF(AND(J234="OK",ISNUMBER($B$5),$B$5&gt;0,ISNUMBER($B$3),$B$3&gt;0),F234/(6*$B$3*1000000*$B$5)*(IF(B234&lt;($B$4*4/10),($B$4*4/10)*(MIN(C234,($B$4*4/10))^3-B234^3)-(MIN(C234,($B$4*4/10))^4-B234^4)/4,0)+IF(C234&gt;($B$4*4/10),($B$4*4/10)^2*(1.5*(C234^2-MAX(B234,($B$4*4/10))^2)-($B$4*4/10)*(C234-MAX(B234,($B$4*4/10)))),0))*1000,0)</f>
        <v>0</v>
      </c>
      <c r="AF234" s="120">
        <f>IF(AND(J234="OK",ISNUMBER($B$5),$B$5&gt;0,ISNUMBER($B$3),$B$3&gt;0),F234/(6*$B$3*1000000*$B$5)*(IF(B234&lt;($B$4*5/10),($B$4*5/10)*(MIN(C234,($B$4*5/10))^3-B234^3)-(MIN(C234,($B$4*5/10))^4-B234^4)/4,0)+IF(C234&gt;($B$4*5/10),($B$4*5/10)^2*(1.5*(C234^2-MAX(B234,($B$4*5/10))^2)-($B$4*5/10)*(C234-MAX(B234,($B$4*5/10)))),0))*1000,0)</f>
        <v>0</v>
      </c>
      <c r="AG234" s="120">
        <f>IF(AND(J234="OK",ISNUMBER($B$5),$B$5&gt;0,ISNUMBER($B$3),$B$3&gt;0),F234/(6*$B$3*1000000*$B$5)*(IF(B234&lt;($B$4*6/10),($B$4*6/10)*(MIN(C234,($B$4*6/10))^3-B234^3)-(MIN(C234,($B$4*6/10))^4-B234^4)/4,0)+IF(C234&gt;($B$4*6/10),($B$4*6/10)^2*(1.5*(C234^2-MAX(B234,($B$4*6/10))^2)-($B$4*6/10)*(C234-MAX(B234,($B$4*6/10)))),0))*1000,0)</f>
        <v>0</v>
      </c>
      <c r="AH234" s="120">
        <f>IF(AND(J234="OK",ISNUMBER($B$5),$B$5&gt;0,ISNUMBER($B$3),$B$3&gt;0),F234/(6*$B$3*1000000*$B$5)*(IF(B234&lt;($B$4*7/10),($B$4*7/10)*(MIN(C234,($B$4*7/10))^3-B234^3)-(MIN(C234,($B$4*7/10))^4-B234^4)/4,0)+IF(C234&gt;($B$4*7/10),($B$4*7/10)^2*(1.5*(C234^2-MAX(B234,($B$4*7/10))^2)-($B$4*7/10)*(C234-MAX(B234,($B$4*7/10)))),0))*1000,0)</f>
        <v>0</v>
      </c>
      <c r="AI234" s="120">
        <f>IF(AND(J234="OK",ISNUMBER($B$5),$B$5&gt;0,ISNUMBER($B$3),$B$3&gt;0),F234/(6*$B$3*1000000*$B$5)*(IF(B234&lt;($B$4*8/10),($B$4*8/10)*(MIN(C234,($B$4*8/10))^3-B234^3)-(MIN(C234,($B$4*8/10))^4-B234^4)/4,0)+IF(C234&gt;($B$4*8/10),($B$4*8/10)^2*(1.5*(C234^2-MAX(B234,($B$4*8/10))^2)-($B$4*8/10)*(C234-MAX(B234,($B$4*8/10)))),0))*1000,0)</f>
        <v>0</v>
      </c>
      <c r="AJ234" s="120">
        <f>IF(AND(J234="OK",ISNUMBER($B$5),$B$5&gt;0,ISNUMBER($B$3),$B$3&gt;0),F234/(6*$B$3*1000000*$B$5)*(IF(B234&lt;($B$4*9/10),($B$4*9/10)*(MIN(C234,($B$4*9/10))^3-B234^3)-(MIN(C234,($B$4*9/10))^4-B234^4)/4,0)+IF(C234&gt;($B$4*9/10),($B$4*9/10)^2*(1.5*(C234^2-MAX(B234,($B$4*9/10))^2)-($B$4*9/10)*(C234-MAX(B234,($B$4*9/10)))),0))*1000,0)</f>
        <v>0</v>
      </c>
      <c r="AK234" s="120">
        <f>IF(AND(J234="OK",ISNUMBER($B$5),$B$5&gt;0,ISNUMBER($B$3),$B$3&gt;0),F234/(6*$B$3*1000000*$B$5)*(IF(B234&lt;($B$4*10/10),($B$4*10/10)*(MIN(C234,($B$4*10/10))^3-B234^3)-(MIN(C234,($B$4*10/10))^4-B234^4)/4,0)+IF(C234&gt;($B$4*10/10),($B$4*10/10)^2*(1.5*(C234^2-MAX(B234,($B$4*10/10))^2)-($B$4*10/10)*(C234-MAX(B234,($B$4*10/10)))),0))*1000,0)</f>
        <v>0</v>
      </c>
      <c r="AM234" s="120">
        <f>IF(AND(V234="OK",ISNUMBER($N$5),$N$5&gt;0,ISNUMBER($N$3),$N$3&gt;0),R234/(6*$N$3*1000000*$N$5)*(IF(N234&lt;($N$4*0/10),($N$4*0/10)*(MIN(O234,($N$4*0/10))^3-N234^3)-(MIN(O234,($N$4*0/10))^4-N234^4)/4,0)+IF(O234&gt;($N$4*0/10),($N$4*0/10)^2*(1.5*(O234^2-MAX(N234,($N$4*0/10))^2)-($N$4*0/10)*(O234-MAX(N234,($N$4*0/10)))),0))*1000,0)</f>
        <v>0</v>
      </c>
      <c r="AN234" s="120">
        <f>IF(AND(V234="OK",ISNUMBER($N$5),$N$5&gt;0,ISNUMBER($N$3),$N$3&gt;0),R234/(6*$N$3*1000000*$N$5)*(IF(N234&lt;($N$4*1/10),($N$4*1/10)*(MIN(O234,($N$4*1/10))^3-N234^3)-(MIN(O234,($N$4*1/10))^4-N234^4)/4,0)+IF(O234&gt;($N$4*1/10),($N$4*1/10)^2*(1.5*(O234^2-MAX(N234,($N$4*1/10))^2)-($N$4*1/10)*(O234-MAX(N234,($N$4*1/10)))),0))*1000,0)</f>
        <v>0</v>
      </c>
      <c r="AO234" s="120">
        <f>IF(AND(V234="OK",ISNUMBER($N$5),$N$5&gt;0,ISNUMBER($N$3),$N$3&gt;0),R234/(6*$N$3*1000000*$N$5)*(IF(N234&lt;($N$4*2/10),($N$4*2/10)*(MIN(O234,($N$4*2/10))^3-N234^3)-(MIN(O234,($N$4*2/10))^4-N234^4)/4,0)+IF(O234&gt;($N$4*2/10),($N$4*2/10)^2*(1.5*(O234^2-MAX(N234,($N$4*2/10))^2)-($N$4*2/10)*(O234-MAX(N234,($N$4*2/10)))),0))*1000,0)</f>
        <v>0</v>
      </c>
      <c r="AP234" s="120">
        <f>IF(AND(V234="OK",ISNUMBER($N$5),$N$5&gt;0,ISNUMBER($N$3),$N$3&gt;0),R234/(6*$N$3*1000000*$N$5)*(IF(N234&lt;($N$4*3/10),($N$4*3/10)*(MIN(O234,($N$4*3/10))^3-N234^3)-(MIN(O234,($N$4*3/10))^4-N234^4)/4,0)+IF(O234&gt;($N$4*3/10),($N$4*3/10)^2*(1.5*(O234^2-MAX(N234,($N$4*3/10))^2)-($N$4*3/10)*(O234-MAX(N234,($N$4*3/10)))),0))*1000,0)</f>
        <v>0</v>
      </c>
      <c r="AQ234" s="120">
        <f>IF(AND(V234="OK",ISNUMBER($N$5),$N$5&gt;0,ISNUMBER($N$3),$N$3&gt;0),R234/(6*$N$3*1000000*$N$5)*(IF(N234&lt;($N$4*4/10),($N$4*4/10)*(MIN(O234,($N$4*4/10))^3-N234^3)-(MIN(O234,($N$4*4/10))^4-N234^4)/4,0)+IF(O234&gt;($N$4*4/10),($N$4*4/10)^2*(1.5*(O234^2-MAX(N234,($N$4*4/10))^2)-($N$4*4/10)*(O234-MAX(N234,($N$4*4/10)))),0))*1000,0)</f>
        <v>0</v>
      </c>
      <c r="AR234" s="120">
        <f>IF(AND(V234="OK",ISNUMBER($N$5),$N$5&gt;0,ISNUMBER($N$3),$N$3&gt;0),R234/(6*$N$3*1000000*$N$5)*(IF(N234&lt;($N$4*5/10),($N$4*5/10)*(MIN(O234,($N$4*5/10))^3-N234^3)-(MIN(O234,($N$4*5/10))^4-N234^4)/4,0)+IF(O234&gt;($N$4*5/10),($N$4*5/10)^2*(1.5*(O234^2-MAX(N234,($N$4*5/10))^2)-($N$4*5/10)*(O234-MAX(N234,($N$4*5/10)))),0))*1000,0)</f>
        <v>0</v>
      </c>
      <c r="AS234" s="120">
        <f>IF(AND(V234="OK",ISNUMBER($N$5),$N$5&gt;0,ISNUMBER($N$3),$N$3&gt;0),R234/(6*$N$3*1000000*$N$5)*(IF(N234&lt;($N$4*6/10),($N$4*6/10)*(MIN(O234,($N$4*6/10))^3-N234^3)-(MIN(O234,($N$4*6/10))^4-N234^4)/4,0)+IF(O234&gt;($N$4*6/10),($N$4*6/10)^2*(1.5*(O234^2-MAX(N234,($N$4*6/10))^2)-($N$4*6/10)*(O234-MAX(N234,($N$4*6/10)))),0))*1000,0)</f>
        <v>0</v>
      </c>
      <c r="AT234" s="120">
        <f>IF(AND(V234="OK",ISNUMBER($N$5),$N$5&gt;0,ISNUMBER($N$3),$N$3&gt;0),R234/(6*$N$3*1000000*$N$5)*(IF(N234&lt;($N$4*7/10),($N$4*7/10)*(MIN(O234,($N$4*7/10))^3-N234^3)-(MIN(O234,($N$4*7/10))^4-N234^4)/4,0)+IF(O234&gt;($N$4*7/10),($N$4*7/10)^2*(1.5*(O234^2-MAX(N234,($N$4*7/10))^2)-($N$4*7/10)*(O234-MAX(N234,($N$4*7/10)))),0))*1000,0)</f>
        <v>0</v>
      </c>
      <c r="AU234" s="120">
        <f>IF(AND(V234="OK",ISNUMBER($N$5),$N$5&gt;0,ISNUMBER($N$3),$N$3&gt;0),R234/(6*$N$3*1000000*$N$5)*(IF(N234&lt;($N$4*8/10),($N$4*8/10)*(MIN(O234,($N$4*8/10))^3-N234^3)-(MIN(O234,($N$4*8/10))^4-N234^4)/4,0)+IF(O234&gt;($N$4*8/10),($N$4*8/10)^2*(1.5*(O234^2-MAX(N234,($N$4*8/10))^2)-($N$4*8/10)*(O234-MAX(N234,($N$4*8/10)))),0))*1000,0)</f>
        <v>0</v>
      </c>
      <c r="AV234" s="120">
        <f>IF(AND(V234="OK",ISNUMBER($N$5),$N$5&gt;0,ISNUMBER($N$3),$N$3&gt;0),R234/(6*$N$3*1000000*$N$5)*(IF(N234&lt;($N$4*9/10),($N$4*9/10)*(MIN(O234,($N$4*9/10))^3-N234^3)-(MIN(O234,($N$4*9/10))^4-N234^4)/4,0)+IF(O234&gt;($N$4*9/10),($N$4*9/10)^2*(1.5*(O234^2-MAX(N234,($N$4*9/10))^2)-($N$4*9/10)*(O234-MAX(N234,($N$4*9/10)))),0))*1000,0)</f>
        <v>0</v>
      </c>
      <c r="AW234" s="120">
        <f>IF(AND(V234="OK",ISNUMBER($N$5),$N$5&gt;0,ISNUMBER($N$3),$N$3&gt;0),R234/(6*$N$3*1000000*$N$5)*(IF(N234&lt;($N$4*10/10),($N$4*10/10)*(MIN(O234,($N$4*10/10))^3-N234^3)-(MIN(O234,($N$4*10/10))^4-N234^4)/4,0)+IF(O234&gt;($N$4*10/10),($N$4*10/10)^2*(1.5*(O234^2-MAX(N234,($N$4*10/10))^2)-($N$4*10/10)*(O234-MAX(N234,($N$4*10/10)))),0))*1000,0)</f>
        <v>0</v>
      </c>
    </row>
    <row r="235" spans="1:49">
      <c r="A235" s="124"/>
      <c r="B235" s="125"/>
      <c r="C235" s="125"/>
      <c r="D235" s="125"/>
      <c r="E235" s="125"/>
      <c r="F235" s="126" t="str">
        <f>IF(J235="OK",D235*E235,"")</f>
        <v/>
      </c>
      <c r="G235" s="126" t="str">
        <f>IF(J235="OK",F235*(C235-B235),"")</f>
        <v/>
      </c>
      <c r="H235" s="126" t="str">
        <f>IF(J235="OK",G235*(C235+B235)/2,"")</f>
        <v/>
      </c>
      <c r="I235" s="126" t="str">
        <f>IF(AND(J235="OK",ISNUMBER($B$5),$B$5&gt;0,ISNUMBER($B$3),$B$3&gt;0),F235*(4*$B$4*(C235^3-B235^3)-(C235^4-B235^4))/(24*$B$3*1000000*$B$5)*1000,"")</f>
        <v/>
      </c>
      <c r="J235" s="120" t="str">
        <f>IF(COUNTA(A235:E235)=0,"",IF(AND(COUNT(B235:E235)=4,B235&gt;=0,C235&gt;B235,C235&lt;=$B$4,D235&gt;=0,E235&gt;0),IF(COUNTIFS($B$13:$B$234,"&lt;"&amp;C235,$C$13:$C$234,"&gt;"&amp;B235)&gt;0,"OVERLAP","OK"),"CHECK INPUTS"))</f>
        <v/>
      </c>
      <c r="M235" s="124"/>
      <c r="N235" s="125"/>
      <c r="O235" s="125"/>
      <c r="P235" s="125"/>
      <c r="Q235" s="125"/>
      <c r="R235" s="126" t="str">
        <f>IF(V235="OK",P235*Q235,"")</f>
        <v/>
      </c>
      <c r="S235" s="126" t="str">
        <f>IF(V235="OK",R235*(O235-N235),"")</f>
        <v/>
      </c>
      <c r="T235" s="126" t="str">
        <f>IF(V235="OK",S235*(O235+N235)/2,"")</f>
        <v/>
      </c>
      <c r="U235" s="126" t="str">
        <f>IF(AND(V235="OK",ISNUMBER($N$5),$N$5&gt;0,ISNUMBER($N$3),$N$3&gt;0),R235*(4*$N$4*(O235^3-N235^3)-(O235^4-N235^4))/(24*$N$3*1000000*$N$5)*1000,"")</f>
        <v/>
      </c>
      <c r="V235" s="120" t="str">
        <f>IF(COUNTA(M235:Q235)=0,"",IF(AND(COUNT(N235:Q235)=4,N235&gt;=0,O235&gt;N235,O235&lt;=$N$4,P235&gt;=0,Q235&gt;0),IF(COUNTIFS($N$13:$N$234,"&lt;"&amp;O235,$O$13:$O$234,"&gt;"&amp;N235)&gt;0,"OVERLAP","OK"),"CHECK INPUTS"))</f>
        <v/>
      </c>
      <c r="AA235" s="120">
        <f>IF(AND(J235="OK",ISNUMBER($B$5),$B$5&gt;0,ISNUMBER($B$3),$B$3&gt;0),F235/(6*$B$3*1000000*$B$5)*(IF(B235&lt;($B$4*0/10),($B$4*0/10)*(MIN(C235,($B$4*0/10))^3-B235^3)-(MIN(C235,($B$4*0/10))^4-B235^4)/4,0)+IF(C235&gt;($B$4*0/10),($B$4*0/10)^2*(1.5*(C235^2-MAX(B235,($B$4*0/10))^2)-($B$4*0/10)*(C235-MAX(B235,($B$4*0/10)))),0))*1000,0)</f>
        <v>0</v>
      </c>
      <c r="AB235" s="120">
        <f>IF(AND(J235="OK",ISNUMBER($B$5),$B$5&gt;0,ISNUMBER($B$3),$B$3&gt;0),F235/(6*$B$3*1000000*$B$5)*(IF(B235&lt;($B$4*1/10),($B$4*1/10)*(MIN(C235,($B$4*1/10))^3-B235^3)-(MIN(C235,($B$4*1/10))^4-B235^4)/4,0)+IF(C235&gt;($B$4*1/10),($B$4*1/10)^2*(1.5*(C235^2-MAX(B235,($B$4*1/10))^2)-($B$4*1/10)*(C235-MAX(B235,($B$4*1/10)))),0))*1000,0)</f>
        <v>0</v>
      </c>
      <c r="AC235" s="120">
        <f>IF(AND(J235="OK",ISNUMBER($B$5),$B$5&gt;0,ISNUMBER($B$3),$B$3&gt;0),F235/(6*$B$3*1000000*$B$5)*(IF(B235&lt;($B$4*2/10),($B$4*2/10)*(MIN(C235,($B$4*2/10))^3-B235^3)-(MIN(C235,($B$4*2/10))^4-B235^4)/4,0)+IF(C235&gt;($B$4*2/10),($B$4*2/10)^2*(1.5*(C235^2-MAX(B235,($B$4*2/10))^2)-($B$4*2/10)*(C235-MAX(B235,($B$4*2/10)))),0))*1000,0)</f>
        <v>0</v>
      </c>
      <c r="AD235" s="120">
        <f>IF(AND(J235="OK",ISNUMBER($B$5),$B$5&gt;0,ISNUMBER($B$3),$B$3&gt;0),F235/(6*$B$3*1000000*$B$5)*(IF(B235&lt;($B$4*3/10),($B$4*3/10)*(MIN(C235,($B$4*3/10))^3-B235^3)-(MIN(C235,($B$4*3/10))^4-B235^4)/4,0)+IF(C235&gt;($B$4*3/10),($B$4*3/10)^2*(1.5*(C235^2-MAX(B235,($B$4*3/10))^2)-($B$4*3/10)*(C235-MAX(B235,($B$4*3/10)))),0))*1000,0)</f>
        <v>0</v>
      </c>
      <c r="AE235" s="120">
        <f>IF(AND(J235="OK",ISNUMBER($B$5),$B$5&gt;0,ISNUMBER($B$3),$B$3&gt;0),F235/(6*$B$3*1000000*$B$5)*(IF(B235&lt;($B$4*4/10),($B$4*4/10)*(MIN(C235,($B$4*4/10))^3-B235^3)-(MIN(C235,($B$4*4/10))^4-B235^4)/4,0)+IF(C235&gt;($B$4*4/10),($B$4*4/10)^2*(1.5*(C235^2-MAX(B235,($B$4*4/10))^2)-($B$4*4/10)*(C235-MAX(B235,($B$4*4/10)))),0))*1000,0)</f>
        <v>0</v>
      </c>
      <c r="AF235" s="120">
        <f>IF(AND(J235="OK",ISNUMBER($B$5),$B$5&gt;0,ISNUMBER($B$3),$B$3&gt;0),F235/(6*$B$3*1000000*$B$5)*(IF(B235&lt;($B$4*5/10),($B$4*5/10)*(MIN(C235,($B$4*5/10))^3-B235^3)-(MIN(C235,($B$4*5/10))^4-B235^4)/4,0)+IF(C235&gt;($B$4*5/10),($B$4*5/10)^2*(1.5*(C235^2-MAX(B235,($B$4*5/10))^2)-($B$4*5/10)*(C235-MAX(B235,($B$4*5/10)))),0))*1000,0)</f>
        <v>0</v>
      </c>
      <c r="AG235" s="120">
        <f>IF(AND(J235="OK",ISNUMBER($B$5),$B$5&gt;0,ISNUMBER($B$3),$B$3&gt;0),F235/(6*$B$3*1000000*$B$5)*(IF(B235&lt;($B$4*6/10),($B$4*6/10)*(MIN(C235,($B$4*6/10))^3-B235^3)-(MIN(C235,($B$4*6/10))^4-B235^4)/4,0)+IF(C235&gt;($B$4*6/10),($B$4*6/10)^2*(1.5*(C235^2-MAX(B235,($B$4*6/10))^2)-($B$4*6/10)*(C235-MAX(B235,($B$4*6/10)))),0))*1000,0)</f>
        <v>0</v>
      </c>
      <c r="AH235" s="120">
        <f>IF(AND(J235="OK",ISNUMBER($B$5),$B$5&gt;0,ISNUMBER($B$3),$B$3&gt;0),F235/(6*$B$3*1000000*$B$5)*(IF(B235&lt;($B$4*7/10),($B$4*7/10)*(MIN(C235,($B$4*7/10))^3-B235^3)-(MIN(C235,($B$4*7/10))^4-B235^4)/4,0)+IF(C235&gt;($B$4*7/10),($B$4*7/10)^2*(1.5*(C235^2-MAX(B235,($B$4*7/10))^2)-($B$4*7/10)*(C235-MAX(B235,($B$4*7/10)))),0))*1000,0)</f>
        <v>0</v>
      </c>
      <c r="AI235" s="120">
        <f>IF(AND(J235="OK",ISNUMBER($B$5),$B$5&gt;0,ISNUMBER($B$3),$B$3&gt;0),F235/(6*$B$3*1000000*$B$5)*(IF(B235&lt;($B$4*8/10),($B$4*8/10)*(MIN(C235,($B$4*8/10))^3-B235^3)-(MIN(C235,($B$4*8/10))^4-B235^4)/4,0)+IF(C235&gt;($B$4*8/10),($B$4*8/10)^2*(1.5*(C235^2-MAX(B235,($B$4*8/10))^2)-($B$4*8/10)*(C235-MAX(B235,($B$4*8/10)))),0))*1000,0)</f>
        <v>0</v>
      </c>
      <c r="AJ235" s="120">
        <f>IF(AND(J235="OK",ISNUMBER($B$5),$B$5&gt;0,ISNUMBER($B$3),$B$3&gt;0),F235/(6*$B$3*1000000*$B$5)*(IF(B235&lt;($B$4*9/10),($B$4*9/10)*(MIN(C235,($B$4*9/10))^3-B235^3)-(MIN(C235,($B$4*9/10))^4-B235^4)/4,0)+IF(C235&gt;($B$4*9/10),($B$4*9/10)^2*(1.5*(C235^2-MAX(B235,($B$4*9/10))^2)-($B$4*9/10)*(C235-MAX(B235,($B$4*9/10)))),0))*1000,0)</f>
        <v>0</v>
      </c>
      <c r="AK235" s="120">
        <f>IF(AND(J235="OK",ISNUMBER($B$5),$B$5&gt;0,ISNUMBER($B$3),$B$3&gt;0),F235/(6*$B$3*1000000*$B$5)*(IF(B235&lt;($B$4*10/10),($B$4*10/10)*(MIN(C235,($B$4*10/10))^3-B235^3)-(MIN(C235,($B$4*10/10))^4-B235^4)/4,0)+IF(C235&gt;($B$4*10/10),($B$4*10/10)^2*(1.5*(C235^2-MAX(B235,($B$4*10/10))^2)-($B$4*10/10)*(C235-MAX(B235,($B$4*10/10)))),0))*1000,0)</f>
        <v>0</v>
      </c>
      <c r="AM235" s="120">
        <f>IF(AND(V235="OK",ISNUMBER($N$5),$N$5&gt;0,ISNUMBER($N$3),$N$3&gt;0),R235/(6*$N$3*1000000*$N$5)*(IF(N235&lt;($N$4*0/10),($N$4*0/10)*(MIN(O235,($N$4*0/10))^3-N235^3)-(MIN(O235,($N$4*0/10))^4-N235^4)/4,0)+IF(O235&gt;($N$4*0/10),($N$4*0/10)^2*(1.5*(O235^2-MAX(N235,($N$4*0/10))^2)-($N$4*0/10)*(O235-MAX(N235,($N$4*0/10)))),0))*1000,0)</f>
        <v>0</v>
      </c>
      <c r="AN235" s="120">
        <f>IF(AND(V235="OK",ISNUMBER($N$5),$N$5&gt;0,ISNUMBER($N$3),$N$3&gt;0),R235/(6*$N$3*1000000*$N$5)*(IF(N235&lt;($N$4*1/10),($N$4*1/10)*(MIN(O235,($N$4*1/10))^3-N235^3)-(MIN(O235,($N$4*1/10))^4-N235^4)/4,0)+IF(O235&gt;($N$4*1/10),($N$4*1/10)^2*(1.5*(O235^2-MAX(N235,($N$4*1/10))^2)-($N$4*1/10)*(O235-MAX(N235,($N$4*1/10)))),0))*1000,0)</f>
        <v>0</v>
      </c>
      <c r="AO235" s="120">
        <f>IF(AND(V235="OK",ISNUMBER($N$5),$N$5&gt;0,ISNUMBER($N$3),$N$3&gt;0),R235/(6*$N$3*1000000*$N$5)*(IF(N235&lt;($N$4*2/10),($N$4*2/10)*(MIN(O235,($N$4*2/10))^3-N235^3)-(MIN(O235,($N$4*2/10))^4-N235^4)/4,0)+IF(O235&gt;($N$4*2/10),($N$4*2/10)^2*(1.5*(O235^2-MAX(N235,($N$4*2/10))^2)-($N$4*2/10)*(O235-MAX(N235,($N$4*2/10)))),0))*1000,0)</f>
        <v>0</v>
      </c>
      <c r="AP235" s="120">
        <f>IF(AND(V235="OK",ISNUMBER($N$5),$N$5&gt;0,ISNUMBER($N$3),$N$3&gt;0),R235/(6*$N$3*1000000*$N$5)*(IF(N235&lt;($N$4*3/10),($N$4*3/10)*(MIN(O235,($N$4*3/10))^3-N235^3)-(MIN(O235,($N$4*3/10))^4-N235^4)/4,0)+IF(O235&gt;($N$4*3/10),($N$4*3/10)^2*(1.5*(O235^2-MAX(N235,($N$4*3/10))^2)-($N$4*3/10)*(O235-MAX(N235,($N$4*3/10)))),0))*1000,0)</f>
        <v>0</v>
      </c>
      <c r="AQ235" s="120">
        <f>IF(AND(V235="OK",ISNUMBER($N$5),$N$5&gt;0,ISNUMBER($N$3),$N$3&gt;0),R235/(6*$N$3*1000000*$N$5)*(IF(N235&lt;($N$4*4/10),($N$4*4/10)*(MIN(O235,($N$4*4/10))^3-N235^3)-(MIN(O235,($N$4*4/10))^4-N235^4)/4,0)+IF(O235&gt;($N$4*4/10),($N$4*4/10)^2*(1.5*(O235^2-MAX(N235,($N$4*4/10))^2)-($N$4*4/10)*(O235-MAX(N235,($N$4*4/10)))),0))*1000,0)</f>
        <v>0</v>
      </c>
      <c r="AR235" s="120">
        <f>IF(AND(V235="OK",ISNUMBER($N$5),$N$5&gt;0,ISNUMBER($N$3),$N$3&gt;0),R235/(6*$N$3*1000000*$N$5)*(IF(N235&lt;($N$4*5/10),($N$4*5/10)*(MIN(O235,($N$4*5/10))^3-N235^3)-(MIN(O235,($N$4*5/10))^4-N235^4)/4,0)+IF(O235&gt;($N$4*5/10),($N$4*5/10)^2*(1.5*(O235^2-MAX(N235,($N$4*5/10))^2)-($N$4*5/10)*(O235-MAX(N235,($N$4*5/10)))),0))*1000,0)</f>
        <v>0</v>
      </c>
      <c r="AS235" s="120">
        <f>IF(AND(V235="OK",ISNUMBER($N$5),$N$5&gt;0,ISNUMBER($N$3),$N$3&gt;0),R235/(6*$N$3*1000000*$N$5)*(IF(N235&lt;($N$4*6/10),($N$4*6/10)*(MIN(O235,($N$4*6/10))^3-N235^3)-(MIN(O235,($N$4*6/10))^4-N235^4)/4,0)+IF(O235&gt;($N$4*6/10),($N$4*6/10)^2*(1.5*(O235^2-MAX(N235,($N$4*6/10))^2)-($N$4*6/10)*(O235-MAX(N235,($N$4*6/10)))),0))*1000,0)</f>
        <v>0</v>
      </c>
      <c r="AT235" s="120">
        <f>IF(AND(V235="OK",ISNUMBER($N$5),$N$5&gt;0,ISNUMBER($N$3),$N$3&gt;0),R235/(6*$N$3*1000000*$N$5)*(IF(N235&lt;($N$4*7/10),($N$4*7/10)*(MIN(O235,($N$4*7/10))^3-N235^3)-(MIN(O235,($N$4*7/10))^4-N235^4)/4,0)+IF(O235&gt;($N$4*7/10),($N$4*7/10)^2*(1.5*(O235^2-MAX(N235,($N$4*7/10))^2)-($N$4*7/10)*(O235-MAX(N235,($N$4*7/10)))),0))*1000,0)</f>
        <v>0</v>
      </c>
      <c r="AU235" s="120">
        <f>IF(AND(V235="OK",ISNUMBER($N$5),$N$5&gt;0,ISNUMBER($N$3),$N$3&gt;0),R235/(6*$N$3*1000000*$N$5)*(IF(N235&lt;($N$4*8/10),($N$4*8/10)*(MIN(O235,($N$4*8/10))^3-N235^3)-(MIN(O235,($N$4*8/10))^4-N235^4)/4,0)+IF(O235&gt;($N$4*8/10),($N$4*8/10)^2*(1.5*(O235^2-MAX(N235,($N$4*8/10))^2)-($N$4*8/10)*(O235-MAX(N235,($N$4*8/10)))),0))*1000,0)</f>
        <v>0</v>
      </c>
      <c r="AV235" s="120">
        <f>IF(AND(V235="OK",ISNUMBER($N$5),$N$5&gt;0,ISNUMBER($N$3),$N$3&gt;0),R235/(6*$N$3*1000000*$N$5)*(IF(N235&lt;($N$4*9/10),($N$4*9/10)*(MIN(O235,($N$4*9/10))^3-N235^3)-(MIN(O235,($N$4*9/10))^4-N235^4)/4,0)+IF(O235&gt;($N$4*9/10),($N$4*9/10)^2*(1.5*(O235^2-MAX(N235,($N$4*9/10))^2)-($N$4*9/10)*(O235-MAX(N235,($N$4*9/10)))),0))*1000,0)</f>
        <v>0</v>
      </c>
      <c r="AW235" s="120">
        <f>IF(AND(V235="OK",ISNUMBER($N$5),$N$5&gt;0,ISNUMBER($N$3),$N$3&gt;0),R235/(6*$N$3*1000000*$N$5)*(IF(N235&lt;($N$4*10/10),($N$4*10/10)*(MIN(O235,($N$4*10/10))^3-N235^3)-(MIN(O235,($N$4*10/10))^4-N235^4)/4,0)+IF(O235&gt;($N$4*10/10),($N$4*10/10)^2*(1.5*(O235^2-MAX(N235,($N$4*10/10))^2)-($N$4*10/10)*(O235-MAX(N235,($N$4*10/10)))),0))*1000,0)</f>
        <v>0</v>
      </c>
    </row>
    <row r="236" spans="1:49">
      <c r="A236" s="124"/>
      <c r="B236" s="125"/>
      <c r="C236" s="125"/>
      <c r="D236" s="125"/>
      <c r="E236" s="125"/>
      <c r="F236" s="126" t="str">
        <f>IF(J236="OK",D236*E236,"")</f>
        <v/>
      </c>
      <c r="G236" s="126" t="str">
        <f>IF(J236="OK",F236*(C236-B236),"")</f>
        <v/>
      </c>
      <c r="H236" s="126" t="str">
        <f>IF(J236="OK",G236*(C236+B236)/2,"")</f>
        <v/>
      </c>
      <c r="I236" s="126" t="str">
        <f>IF(AND(J236="OK",ISNUMBER($B$5),$B$5&gt;0,ISNUMBER($B$3),$B$3&gt;0),F236*(4*$B$4*(C236^3-B236^3)-(C236^4-B236^4))/(24*$B$3*1000000*$B$5)*1000,"")</f>
        <v/>
      </c>
      <c r="J236" s="120" t="str">
        <f>IF(COUNTA(A236:E236)=0,"",IF(AND(COUNT(B236:E236)=4,B236&gt;=0,C236&gt;B236,C236&lt;=$B$4,D236&gt;=0,E236&gt;0),IF(COUNTIFS($B$13:$B$235,"&lt;"&amp;C236,$C$13:$C$235,"&gt;"&amp;B236)&gt;0,"OVERLAP","OK"),"CHECK INPUTS"))</f>
        <v/>
      </c>
      <c r="M236" s="124"/>
      <c r="N236" s="125"/>
      <c r="O236" s="125"/>
      <c r="P236" s="125"/>
      <c r="Q236" s="125"/>
      <c r="R236" s="126" t="str">
        <f>IF(V236="OK",P236*Q236,"")</f>
        <v/>
      </c>
      <c r="S236" s="126" t="str">
        <f>IF(V236="OK",R236*(O236-N236),"")</f>
        <v/>
      </c>
      <c r="T236" s="126" t="str">
        <f>IF(V236="OK",S236*(O236+N236)/2,"")</f>
        <v/>
      </c>
      <c r="U236" s="126" t="str">
        <f>IF(AND(V236="OK",ISNUMBER($N$5),$N$5&gt;0,ISNUMBER($N$3),$N$3&gt;0),R236*(4*$N$4*(O236^3-N236^3)-(O236^4-N236^4))/(24*$N$3*1000000*$N$5)*1000,"")</f>
        <v/>
      </c>
      <c r="V236" s="120" t="str">
        <f>IF(COUNTA(M236:Q236)=0,"",IF(AND(COUNT(N236:Q236)=4,N236&gt;=0,O236&gt;N236,O236&lt;=$N$4,P236&gt;=0,Q236&gt;0),IF(COUNTIFS($N$13:$N$235,"&lt;"&amp;O236,$O$13:$O$235,"&gt;"&amp;N236)&gt;0,"OVERLAP","OK"),"CHECK INPUTS"))</f>
        <v/>
      </c>
      <c r="AA236" s="120">
        <f>IF(AND(J236="OK",ISNUMBER($B$5),$B$5&gt;0,ISNUMBER($B$3),$B$3&gt;0),F236/(6*$B$3*1000000*$B$5)*(IF(B236&lt;($B$4*0/10),($B$4*0/10)*(MIN(C236,($B$4*0/10))^3-B236^3)-(MIN(C236,($B$4*0/10))^4-B236^4)/4,0)+IF(C236&gt;($B$4*0/10),($B$4*0/10)^2*(1.5*(C236^2-MAX(B236,($B$4*0/10))^2)-($B$4*0/10)*(C236-MAX(B236,($B$4*0/10)))),0))*1000,0)</f>
        <v>0</v>
      </c>
      <c r="AB236" s="120">
        <f>IF(AND(J236="OK",ISNUMBER($B$5),$B$5&gt;0,ISNUMBER($B$3),$B$3&gt;0),F236/(6*$B$3*1000000*$B$5)*(IF(B236&lt;($B$4*1/10),($B$4*1/10)*(MIN(C236,($B$4*1/10))^3-B236^3)-(MIN(C236,($B$4*1/10))^4-B236^4)/4,0)+IF(C236&gt;($B$4*1/10),($B$4*1/10)^2*(1.5*(C236^2-MAX(B236,($B$4*1/10))^2)-($B$4*1/10)*(C236-MAX(B236,($B$4*1/10)))),0))*1000,0)</f>
        <v>0</v>
      </c>
      <c r="AC236" s="120">
        <f>IF(AND(J236="OK",ISNUMBER($B$5),$B$5&gt;0,ISNUMBER($B$3),$B$3&gt;0),F236/(6*$B$3*1000000*$B$5)*(IF(B236&lt;($B$4*2/10),($B$4*2/10)*(MIN(C236,($B$4*2/10))^3-B236^3)-(MIN(C236,($B$4*2/10))^4-B236^4)/4,0)+IF(C236&gt;($B$4*2/10),($B$4*2/10)^2*(1.5*(C236^2-MAX(B236,($B$4*2/10))^2)-($B$4*2/10)*(C236-MAX(B236,($B$4*2/10)))),0))*1000,0)</f>
        <v>0</v>
      </c>
      <c r="AD236" s="120">
        <f>IF(AND(J236="OK",ISNUMBER($B$5),$B$5&gt;0,ISNUMBER($B$3),$B$3&gt;0),F236/(6*$B$3*1000000*$B$5)*(IF(B236&lt;($B$4*3/10),($B$4*3/10)*(MIN(C236,($B$4*3/10))^3-B236^3)-(MIN(C236,($B$4*3/10))^4-B236^4)/4,0)+IF(C236&gt;($B$4*3/10),($B$4*3/10)^2*(1.5*(C236^2-MAX(B236,($B$4*3/10))^2)-($B$4*3/10)*(C236-MAX(B236,($B$4*3/10)))),0))*1000,0)</f>
        <v>0</v>
      </c>
      <c r="AE236" s="120">
        <f>IF(AND(J236="OK",ISNUMBER($B$5),$B$5&gt;0,ISNUMBER($B$3),$B$3&gt;0),F236/(6*$B$3*1000000*$B$5)*(IF(B236&lt;($B$4*4/10),($B$4*4/10)*(MIN(C236,($B$4*4/10))^3-B236^3)-(MIN(C236,($B$4*4/10))^4-B236^4)/4,0)+IF(C236&gt;($B$4*4/10),($B$4*4/10)^2*(1.5*(C236^2-MAX(B236,($B$4*4/10))^2)-($B$4*4/10)*(C236-MAX(B236,($B$4*4/10)))),0))*1000,0)</f>
        <v>0</v>
      </c>
      <c r="AF236" s="120">
        <f>IF(AND(J236="OK",ISNUMBER($B$5),$B$5&gt;0,ISNUMBER($B$3),$B$3&gt;0),F236/(6*$B$3*1000000*$B$5)*(IF(B236&lt;($B$4*5/10),($B$4*5/10)*(MIN(C236,($B$4*5/10))^3-B236^3)-(MIN(C236,($B$4*5/10))^4-B236^4)/4,0)+IF(C236&gt;($B$4*5/10),($B$4*5/10)^2*(1.5*(C236^2-MAX(B236,($B$4*5/10))^2)-($B$4*5/10)*(C236-MAX(B236,($B$4*5/10)))),0))*1000,0)</f>
        <v>0</v>
      </c>
      <c r="AG236" s="120">
        <f>IF(AND(J236="OK",ISNUMBER($B$5),$B$5&gt;0,ISNUMBER($B$3),$B$3&gt;0),F236/(6*$B$3*1000000*$B$5)*(IF(B236&lt;($B$4*6/10),($B$4*6/10)*(MIN(C236,($B$4*6/10))^3-B236^3)-(MIN(C236,($B$4*6/10))^4-B236^4)/4,0)+IF(C236&gt;($B$4*6/10),($B$4*6/10)^2*(1.5*(C236^2-MAX(B236,($B$4*6/10))^2)-($B$4*6/10)*(C236-MAX(B236,($B$4*6/10)))),0))*1000,0)</f>
        <v>0</v>
      </c>
      <c r="AH236" s="120">
        <f>IF(AND(J236="OK",ISNUMBER($B$5),$B$5&gt;0,ISNUMBER($B$3),$B$3&gt;0),F236/(6*$B$3*1000000*$B$5)*(IF(B236&lt;($B$4*7/10),($B$4*7/10)*(MIN(C236,($B$4*7/10))^3-B236^3)-(MIN(C236,($B$4*7/10))^4-B236^4)/4,0)+IF(C236&gt;($B$4*7/10),($B$4*7/10)^2*(1.5*(C236^2-MAX(B236,($B$4*7/10))^2)-($B$4*7/10)*(C236-MAX(B236,($B$4*7/10)))),0))*1000,0)</f>
        <v>0</v>
      </c>
      <c r="AI236" s="120">
        <f>IF(AND(J236="OK",ISNUMBER($B$5),$B$5&gt;0,ISNUMBER($B$3),$B$3&gt;0),F236/(6*$B$3*1000000*$B$5)*(IF(B236&lt;($B$4*8/10),($B$4*8/10)*(MIN(C236,($B$4*8/10))^3-B236^3)-(MIN(C236,($B$4*8/10))^4-B236^4)/4,0)+IF(C236&gt;($B$4*8/10),($B$4*8/10)^2*(1.5*(C236^2-MAX(B236,($B$4*8/10))^2)-($B$4*8/10)*(C236-MAX(B236,($B$4*8/10)))),0))*1000,0)</f>
        <v>0</v>
      </c>
      <c r="AJ236" s="120">
        <f>IF(AND(J236="OK",ISNUMBER($B$5),$B$5&gt;0,ISNUMBER($B$3),$B$3&gt;0),F236/(6*$B$3*1000000*$B$5)*(IF(B236&lt;($B$4*9/10),($B$4*9/10)*(MIN(C236,($B$4*9/10))^3-B236^3)-(MIN(C236,($B$4*9/10))^4-B236^4)/4,0)+IF(C236&gt;($B$4*9/10),($B$4*9/10)^2*(1.5*(C236^2-MAX(B236,($B$4*9/10))^2)-($B$4*9/10)*(C236-MAX(B236,($B$4*9/10)))),0))*1000,0)</f>
        <v>0</v>
      </c>
      <c r="AK236" s="120">
        <f>IF(AND(J236="OK",ISNUMBER($B$5),$B$5&gt;0,ISNUMBER($B$3),$B$3&gt;0),F236/(6*$B$3*1000000*$B$5)*(IF(B236&lt;($B$4*10/10),($B$4*10/10)*(MIN(C236,($B$4*10/10))^3-B236^3)-(MIN(C236,($B$4*10/10))^4-B236^4)/4,0)+IF(C236&gt;($B$4*10/10),($B$4*10/10)^2*(1.5*(C236^2-MAX(B236,($B$4*10/10))^2)-($B$4*10/10)*(C236-MAX(B236,($B$4*10/10)))),0))*1000,0)</f>
        <v>0</v>
      </c>
      <c r="AM236" s="120">
        <f>IF(AND(V236="OK",ISNUMBER($N$5),$N$5&gt;0,ISNUMBER($N$3),$N$3&gt;0),R236/(6*$N$3*1000000*$N$5)*(IF(N236&lt;($N$4*0/10),($N$4*0/10)*(MIN(O236,($N$4*0/10))^3-N236^3)-(MIN(O236,($N$4*0/10))^4-N236^4)/4,0)+IF(O236&gt;($N$4*0/10),($N$4*0/10)^2*(1.5*(O236^2-MAX(N236,($N$4*0/10))^2)-($N$4*0/10)*(O236-MAX(N236,($N$4*0/10)))),0))*1000,0)</f>
        <v>0</v>
      </c>
      <c r="AN236" s="120">
        <f>IF(AND(V236="OK",ISNUMBER($N$5),$N$5&gt;0,ISNUMBER($N$3),$N$3&gt;0),R236/(6*$N$3*1000000*$N$5)*(IF(N236&lt;($N$4*1/10),($N$4*1/10)*(MIN(O236,($N$4*1/10))^3-N236^3)-(MIN(O236,($N$4*1/10))^4-N236^4)/4,0)+IF(O236&gt;($N$4*1/10),($N$4*1/10)^2*(1.5*(O236^2-MAX(N236,($N$4*1/10))^2)-($N$4*1/10)*(O236-MAX(N236,($N$4*1/10)))),0))*1000,0)</f>
        <v>0</v>
      </c>
      <c r="AO236" s="120">
        <f>IF(AND(V236="OK",ISNUMBER($N$5),$N$5&gt;0,ISNUMBER($N$3),$N$3&gt;0),R236/(6*$N$3*1000000*$N$5)*(IF(N236&lt;($N$4*2/10),($N$4*2/10)*(MIN(O236,($N$4*2/10))^3-N236^3)-(MIN(O236,($N$4*2/10))^4-N236^4)/4,0)+IF(O236&gt;($N$4*2/10),($N$4*2/10)^2*(1.5*(O236^2-MAX(N236,($N$4*2/10))^2)-($N$4*2/10)*(O236-MAX(N236,($N$4*2/10)))),0))*1000,0)</f>
        <v>0</v>
      </c>
      <c r="AP236" s="120">
        <f>IF(AND(V236="OK",ISNUMBER($N$5),$N$5&gt;0,ISNUMBER($N$3),$N$3&gt;0),R236/(6*$N$3*1000000*$N$5)*(IF(N236&lt;($N$4*3/10),($N$4*3/10)*(MIN(O236,($N$4*3/10))^3-N236^3)-(MIN(O236,($N$4*3/10))^4-N236^4)/4,0)+IF(O236&gt;($N$4*3/10),($N$4*3/10)^2*(1.5*(O236^2-MAX(N236,($N$4*3/10))^2)-($N$4*3/10)*(O236-MAX(N236,($N$4*3/10)))),0))*1000,0)</f>
        <v>0</v>
      </c>
      <c r="AQ236" s="120">
        <f>IF(AND(V236="OK",ISNUMBER($N$5),$N$5&gt;0,ISNUMBER($N$3),$N$3&gt;0),R236/(6*$N$3*1000000*$N$5)*(IF(N236&lt;($N$4*4/10),($N$4*4/10)*(MIN(O236,($N$4*4/10))^3-N236^3)-(MIN(O236,($N$4*4/10))^4-N236^4)/4,0)+IF(O236&gt;($N$4*4/10),($N$4*4/10)^2*(1.5*(O236^2-MAX(N236,($N$4*4/10))^2)-($N$4*4/10)*(O236-MAX(N236,($N$4*4/10)))),0))*1000,0)</f>
        <v>0</v>
      </c>
      <c r="AR236" s="120">
        <f>IF(AND(V236="OK",ISNUMBER($N$5),$N$5&gt;0,ISNUMBER($N$3),$N$3&gt;0),R236/(6*$N$3*1000000*$N$5)*(IF(N236&lt;($N$4*5/10),($N$4*5/10)*(MIN(O236,($N$4*5/10))^3-N236^3)-(MIN(O236,($N$4*5/10))^4-N236^4)/4,0)+IF(O236&gt;($N$4*5/10),($N$4*5/10)^2*(1.5*(O236^2-MAX(N236,($N$4*5/10))^2)-($N$4*5/10)*(O236-MAX(N236,($N$4*5/10)))),0))*1000,0)</f>
        <v>0</v>
      </c>
      <c r="AS236" s="120">
        <f>IF(AND(V236="OK",ISNUMBER($N$5),$N$5&gt;0,ISNUMBER($N$3),$N$3&gt;0),R236/(6*$N$3*1000000*$N$5)*(IF(N236&lt;($N$4*6/10),($N$4*6/10)*(MIN(O236,($N$4*6/10))^3-N236^3)-(MIN(O236,($N$4*6/10))^4-N236^4)/4,0)+IF(O236&gt;($N$4*6/10),($N$4*6/10)^2*(1.5*(O236^2-MAX(N236,($N$4*6/10))^2)-($N$4*6/10)*(O236-MAX(N236,($N$4*6/10)))),0))*1000,0)</f>
        <v>0</v>
      </c>
      <c r="AT236" s="120">
        <f>IF(AND(V236="OK",ISNUMBER($N$5),$N$5&gt;0,ISNUMBER($N$3),$N$3&gt;0),R236/(6*$N$3*1000000*$N$5)*(IF(N236&lt;($N$4*7/10),($N$4*7/10)*(MIN(O236,($N$4*7/10))^3-N236^3)-(MIN(O236,($N$4*7/10))^4-N236^4)/4,0)+IF(O236&gt;($N$4*7/10),($N$4*7/10)^2*(1.5*(O236^2-MAX(N236,($N$4*7/10))^2)-($N$4*7/10)*(O236-MAX(N236,($N$4*7/10)))),0))*1000,0)</f>
        <v>0</v>
      </c>
      <c r="AU236" s="120">
        <f>IF(AND(V236="OK",ISNUMBER($N$5),$N$5&gt;0,ISNUMBER($N$3),$N$3&gt;0),R236/(6*$N$3*1000000*$N$5)*(IF(N236&lt;($N$4*8/10),($N$4*8/10)*(MIN(O236,($N$4*8/10))^3-N236^3)-(MIN(O236,($N$4*8/10))^4-N236^4)/4,0)+IF(O236&gt;($N$4*8/10),($N$4*8/10)^2*(1.5*(O236^2-MAX(N236,($N$4*8/10))^2)-($N$4*8/10)*(O236-MAX(N236,($N$4*8/10)))),0))*1000,0)</f>
        <v>0</v>
      </c>
      <c r="AV236" s="120">
        <f>IF(AND(V236="OK",ISNUMBER($N$5),$N$5&gt;0,ISNUMBER($N$3),$N$3&gt;0),R236/(6*$N$3*1000000*$N$5)*(IF(N236&lt;($N$4*9/10),($N$4*9/10)*(MIN(O236,($N$4*9/10))^3-N236^3)-(MIN(O236,($N$4*9/10))^4-N236^4)/4,0)+IF(O236&gt;($N$4*9/10),($N$4*9/10)^2*(1.5*(O236^2-MAX(N236,($N$4*9/10))^2)-($N$4*9/10)*(O236-MAX(N236,($N$4*9/10)))),0))*1000,0)</f>
        <v>0</v>
      </c>
      <c r="AW236" s="120">
        <f>IF(AND(V236="OK",ISNUMBER($N$5),$N$5&gt;0,ISNUMBER($N$3),$N$3&gt;0),R236/(6*$N$3*1000000*$N$5)*(IF(N236&lt;($N$4*10/10),($N$4*10/10)*(MIN(O236,($N$4*10/10))^3-N236^3)-(MIN(O236,($N$4*10/10))^4-N236^4)/4,0)+IF(O236&gt;($N$4*10/10),($N$4*10/10)^2*(1.5*(O236^2-MAX(N236,($N$4*10/10))^2)-($N$4*10/10)*(O236-MAX(N236,($N$4*10/10)))),0))*1000,0)</f>
        <v>0</v>
      </c>
    </row>
    <row r="237" spans="1:49">
      <c r="A237" s="124"/>
      <c r="B237" s="125"/>
      <c r="C237" s="125"/>
      <c r="D237" s="125"/>
      <c r="E237" s="125"/>
      <c r="F237" s="126" t="str">
        <f>IF(J237="OK",D237*E237,"")</f>
        <v/>
      </c>
      <c r="G237" s="126" t="str">
        <f>IF(J237="OK",F237*(C237-B237),"")</f>
        <v/>
      </c>
      <c r="H237" s="126" t="str">
        <f>IF(J237="OK",G237*(C237+B237)/2,"")</f>
        <v/>
      </c>
      <c r="I237" s="126" t="str">
        <f>IF(AND(J237="OK",ISNUMBER($B$5),$B$5&gt;0,ISNUMBER($B$3),$B$3&gt;0),F237*(4*$B$4*(C237^3-B237^3)-(C237^4-B237^4))/(24*$B$3*1000000*$B$5)*1000,"")</f>
        <v/>
      </c>
      <c r="J237" s="120" t="str">
        <f>IF(COUNTA(A237:E237)=0,"",IF(AND(COUNT(B237:E237)=4,B237&gt;=0,C237&gt;B237,C237&lt;=$B$4,D237&gt;=0,E237&gt;0),IF(COUNTIFS($B$13:$B$236,"&lt;"&amp;C237,$C$13:$C$236,"&gt;"&amp;B237)&gt;0,"OVERLAP","OK"),"CHECK INPUTS"))</f>
        <v/>
      </c>
      <c r="M237" s="124"/>
      <c r="N237" s="125"/>
      <c r="O237" s="125"/>
      <c r="P237" s="125"/>
      <c r="Q237" s="125"/>
      <c r="R237" s="126" t="str">
        <f>IF(V237="OK",P237*Q237,"")</f>
        <v/>
      </c>
      <c r="S237" s="126" t="str">
        <f>IF(V237="OK",R237*(O237-N237),"")</f>
        <v/>
      </c>
      <c r="T237" s="126" t="str">
        <f>IF(V237="OK",S237*(O237+N237)/2,"")</f>
        <v/>
      </c>
      <c r="U237" s="126" t="str">
        <f>IF(AND(V237="OK",ISNUMBER($N$5),$N$5&gt;0,ISNUMBER($N$3),$N$3&gt;0),R237*(4*$N$4*(O237^3-N237^3)-(O237^4-N237^4))/(24*$N$3*1000000*$N$5)*1000,"")</f>
        <v/>
      </c>
      <c r="V237" s="120" t="str">
        <f>IF(COUNTA(M237:Q237)=0,"",IF(AND(COUNT(N237:Q237)=4,N237&gt;=0,O237&gt;N237,O237&lt;=$N$4,P237&gt;=0,Q237&gt;0),IF(COUNTIFS($N$13:$N$236,"&lt;"&amp;O237,$O$13:$O$236,"&gt;"&amp;N237)&gt;0,"OVERLAP","OK"),"CHECK INPUTS"))</f>
        <v/>
      </c>
      <c r="AA237" s="120">
        <f>IF(AND(J237="OK",ISNUMBER($B$5),$B$5&gt;0,ISNUMBER($B$3),$B$3&gt;0),F237/(6*$B$3*1000000*$B$5)*(IF(B237&lt;($B$4*0/10),($B$4*0/10)*(MIN(C237,($B$4*0/10))^3-B237^3)-(MIN(C237,($B$4*0/10))^4-B237^4)/4,0)+IF(C237&gt;($B$4*0/10),($B$4*0/10)^2*(1.5*(C237^2-MAX(B237,($B$4*0/10))^2)-($B$4*0/10)*(C237-MAX(B237,($B$4*0/10)))),0))*1000,0)</f>
        <v>0</v>
      </c>
      <c r="AB237" s="120">
        <f>IF(AND(J237="OK",ISNUMBER($B$5),$B$5&gt;0,ISNUMBER($B$3),$B$3&gt;0),F237/(6*$B$3*1000000*$B$5)*(IF(B237&lt;($B$4*1/10),($B$4*1/10)*(MIN(C237,($B$4*1/10))^3-B237^3)-(MIN(C237,($B$4*1/10))^4-B237^4)/4,0)+IF(C237&gt;($B$4*1/10),($B$4*1/10)^2*(1.5*(C237^2-MAX(B237,($B$4*1/10))^2)-($B$4*1/10)*(C237-MAX(B237,($B$4*1/10)))),0))*1000,0)</f>
        <v>0</v>
      </c>
      <c r="AC237" s="120">
        <f>IF(AND(J237="OK",ISNUMBER($B$5),$B$5&gt;0,ISNUMBER($B$3),$B$3&gt;0),F237/(6*$B$3*1000000*$B$5)*(IF(B237&lt;($B$4*2/10),($B$4*2/10)*(MIN(C237,($B$4*2/10))^3-B237^3)-(MIN(C237,($B$4*2/10))^4-B237^4)/4,0)+IF(C237&gt;($B$4*2/10),($B$4*2/10)^2*(1.5*(C237^2-MAX(B237,($B$4*2/10))^2)-($B$4*2/10)*(C237-MAX(B237,($B$4*2/10)))),0))*1000,0)</f>
        <v>0</v>
      </c>
      <c r="AD237" s="120">
        <f>IF(AND(J237="OK",ISNUMBER($B$5),$B$5&gt;0,ISNUMBER($B$3),$B$3&gt;0),F237/(6*$B$3*1000000*$B$5)*(IF(B237&lt;($B$4*3/10),($B$4*3/10)*(MIN(C237,($B$4*3/10))^3-B237^3)-(MIN(C237,($B$4*3/10))^4-B237^4)/4,0)+IF(C237&gt;($B$4*3/10),($B$4*3/10)^2*(1.5*(C237^2-MAX(B237,($B$4*3/10))^2)-($B$4*3/10)*(C237-MAX(B237,($B$4*3/10)))),0))*1000,0)</f>
        <v>0</v>
      </c>
      <c r="AE237" s="120">
        <f>IF(AND(J237="OK",ISNUMBER($B$5),$B$5&gt;0,ISNUMBER($B$3),$B$3&gt;0),F237/(6*$B$3*1000000*$B$5)*(IF(B237&lt;($B$4*4/10),($B$4*4/10)*(MIN(C237,($B$4*4/10))^3-B237^3)-(MIN(C237,($B$4*4/10))^4-B237^4)/4,0)+IF(C237&gt;($B$4*4/10),($B$4*4/10)^2*(1.5*(C237^2-MAX(B237,($B$4*4/10))^2)-($B$4*4/10)*(C237-MAX(B237,($B$4*4/10)))),0))*1000,0)</f>
        <v>0</v>
      </c>
      <c r="AF237" s="120">
        <f>IF(AND(J237="OK",ISNUMBER($B$5),$B$5&gt;0,ISNUMBER($B$3),$B$3&gt;0),F237/(6*$B$3*1000000*$B$5)*(IF(B237&lt;($B$4*5/10),($B$4*5/10)*(MIN(C237,($B$4*5/10))^3-B237^3)-(MIN(C237,($B$4*5/10))^4-B237^4)/4,0)+IF(C237&gt;($B$4*5/10),($B$4*5/10)^2*(1.5*(C237^2-MAX(B237,($B$4*5/10))^2)-($B$4*5/10)*(C237-MAX(B237,($B$4*5/10)))),0))*1000,0)</f>
        <v>0</v>
      </c>
      <c r="AG237" s="120">
        <f>IF(AND(J237="OK",ISNUMBER($B$5),$B$5&gt;0,ISNUMBER($B$3),$B$3&gt;0),F237/(6*$B$3*1000000*$B$5)*(IF(B237&lt;($B$4*6/10),($B$4*6/10)*(MIN(C237,($B$4*6/10))^3-B237^3)-(MIN(C237,($B$4*6/10))^4-B237^4)/4,0)+IF(C237&gt;($B$4*6/10),($B$4*6/10)^2*(1.5*(C237^2-MAX(B237,($B$4*6/10))^2)-($B$4*6/10)*(C237-MAX(B237,($B$4*6/10)))),0))*1000,0)</f>
        <v>0</v>
      </c>
      <c r="AH237" s="120">
        <f>IF(AND(J237="OK",ISNUMBER($B$5),$B$5&gt;0,ISNUMBER($B$3),$B$3&gt;0),F237/(6*$B$3*1000000*$B$5)*(IF(B237&lt;($B$4*7/10),($B$4*7/10)*(MIN(C237,($B$4*7/10))^3-B237^3)-(MIN(C237,($B$4*7/10))^4-B237^4)/4,0)+IF(C237&gt;($B$4*7/10),($B$4*7/10)^2*(1.5*(C237^2-MAX(B237,($B$4*7/10))^2)-($B$4*7/10)*(C237-MAX(B237,($B$4*7/10)))),0))*1000,0)</f>
        <v>0</v>
      </c>
      <c r="AI237" s="120">
        <f>IF(AND(J237="OK",ISNUMBER($B$5),$B$5&gt;0,ISNUMBER($B$3),$B$3&gt;0),F237/(6*$B$3*1000000*$B$5)*(IF(B237&lt;($B$4*8/10),($B$4*8/10)*(MIN(C237,($B$4*8/10))^3-B237^3)-(MIN(C237,($B$4*8/10))^4-B237^4)/4,0)+IF(C237&gt;($B$4*8/10),($B$4*8/10)^2*(1.5*(C237^2-MAX(B237,($B$4*8/10))^2)-($B$4*8/10)*(C237-MAX(B237,($B$4*8/10)))),0))*1000,0)</f>
        <v>0</v>
      </c>
      <c r="AJ237" s="120">
        <f>IF(AND(J237="OK",ISNUMBER($B$5),$B$5&gt;0,ISNUMBER($B$3),$B$3&gt;0),F237/(6*$B$3*1000000*$B$5)*(IF(B237&lt;($B$4*9/10),($B$4*9/10)*(MIN(C237,($B$4*9/10))^3-B237^3)-(MIN(C237,($B$4*9/10))^4-B237^4)/4,0)+IF(C237&gt;($B$4*9/10),($B$4*9/10)^2*(1.5*(C237^2-MAX(B237,($B$4*9/10))^2)-($B$4*9/10)*(C237-MAX(B237,($B$4*9/10)))),0))*1000,0)</f>
        <v>0</v>
      </c>
      <c r="AK237" s="120">
        <f>IF(AND(J237="OK",ISNUMBER($B$5),$B$5&gt;0,ISNUMBER($B$3),$B$3&gt;0),F237/(6*$B$3*1000000*$B$5)*(IF(B237&lt;($B$4*10/10),($B$4*10/10)*(MIN(C237,($B$4*10/10))^3-B237^3)-(MIN(C237,($B$4*10/10))^4-B237^4)/4,0)+IF(C237&gt;($B$4*10/10),($B$4*10/10)^2*(1.5*(C237^2-MAX(B237,($B$4*10/10))^2)-($B$4*10/10)*(C237-MAX(B237,($B$4*10/10)))),0))*1000,0)</f>
        <v>0</v>
      </c>
      <c r="AM237" s="120">
        <f>IF(AND(V237="OK",ISNUMBER($N$5),$N$5&gt;0,ISNUMBER($N$3),$N$3&gt;0),R237/(6*$N$3*1000000*$N$5)*(IF(N237&lt;($N$4*0/10),($N$4*0/10)*(MIN(O237,($N$4*0/10))^3-N237^3)-(MIN(O237,($N$4*0/10))^4-N237^4)/4,0)+IF(O237&gt;($N$4*0/10),($N$4*0/10)^2*(1.5*(O237^2-MAX(N237,($N$4*0/10))^2)-($N$4*0/10)*(O237-MAX(N237,($N$4*0/10)))),0))*1000,0)</f>
        <v>0</v>
      </c>
      <c r="AN237" s="120">
        <f>IF(AND(V237="OK",ISNUMBER($N$5),$N$5&gt;0,ISNUMBER($N$3),$N$3&gt;0),R237/(6*$N$3*1000000*$N$5)*(IF(N237&lt;($N$4*1/10),($N$4*1/10)*(MIN(O237,($N$4*1/10))^3-N237^3)-(MIN(O237,($N$4*1/10))^4-N237^4)/4,0)+IF(O237&gt;($N$4*1/10),($N$4*1/10)^2*(1.5*(O237^2-MAX(N237,($N$4*1/10))^2)-($N$4*1/10)*(O237-MAX(N237,($N$4*1/10)))),0))*1000,0)</f>
        <v>0</v>
      </c>
      <c r="AO237" s="120">
        <f>IF(AND(V237="OK",ISNUMBER($N$5),$N$5&gt;0,ISNUMBER($N$3),$N$3&gt;0),R237/(6*$N$3*1000000*$N$5)*(IF(N237&lt;($N$4*2/10),($N$4*2/10)*(MIN(O237,($N$4*2/10))^3-N237^3)-(MIN(O237,($N$4*2/10))^4-N237^4)/4,0)+IF(O237&gt;($N$4*2/10),($N$4*2/10)^2*(1.5*(O237^2-MAX(N237,($N$4*2/10))^2)-($N$4*2/10)*(O237-MAX(N237,($N$4*2/10)))),0))*1000,0)</f>
        <v>0</v>
      </c>
      <c r="AP237" s="120">
        <f>IF(AND(V237="OK",ISNUMBER($N$5),$N$5&gt;0,ISNUMBER($N$3),$N$3&gt;0),R237/(6*$N$3*1000000*$N$5)*(IF(N237&lt;($N$4*3/10),($N$4*3/10)*(MIN(O237,($N$4*3/10))^3-N237^3)-(MIN(O237,($N$4*3/10))^4-N237^4)/4,0)+IF(O237&gt;($N$4*3/10),($N$4*3/10)^2*(1.5*(O237^2-MAX(N237,($N$4*3/10))^2)-($N$4*3/10)*(O237-MAX(N237,($N$4*3/10)))),0))*1000,0)</f>
        <v>0</v>
      </c>
      <c r="AQ237" s="120">
        <f>IF(AND(V237="OK",ISNUMBER($N$5),$N$5&gt;0,ISNUMBER($N$3),$N$3&gt;0),R237/(6*$N$3*1000000*$N$5)*(IF(N237&lt;($N$4*4/10),($N$4*4/10)*(MIN(O237,($N$4*4/10))^3-N237^3)-(MIN(O237,($N$4*4/10))^4-N237^4)/4,0)+IF(O237&gt;($N$4*4/10),($N$4*4/10)^2*(1.5*(O237^2-MAX(N237,($N$4*4/10))^2)-($N$4*4/10)*(O237-MAX(N237,($N$4*4/10)))),0))*1000,0)</f>
        <v>0</v>
      </c>
      <c r="AR237" s="120">
        <f>IF(AND(V237="OK",ISNUMBER($N$5),$N$5&gt;0,ISNUMBER($N$3),$N$3&gt;0),R237/(6*$N$3*1000000*$N$5)*(IF(N237&lt;($N$4*5/10),($N$4*5/10)*(MIN(O237,($N$4*5/10))^3-N237^3)-(MIN(O237,($N$4*5/10))^4-N237^4)/4,0)+IF(O237&gt;($N$4*5/10),($N$4*5/10)^2*(1.5*(O237^2-MAX(N237,($N$4*5/10))^2)-($N$4*5/10)*(O237-MAX(N237,($N$4*5/10)))),0))*1000,0)</f>
        <v>0</v>
      </c>
      <c r="AS237" s="120">
        <f>IF(AND(V237="OK",ISNUMBER($N$5),$N$5&gt;0,ISNUMBER($N$3),$N$3&gt;0),R237/(6*$N$3*1000000*$N$5)*(IF(N237&lt;($N$4*6/10),($N$4*6/10)*(MIN(O237,($N$4*6/10))^3-N237^3)-(MIN(O237,($N$4*6/10))^4-N237^4)/4,0)+IF(O237&gt;($N$4*6/10),($N$4*6/10)^2*(1.5*(O237^2-MAX(N237,($N$4*6/10))^2)-($N$4*6/10)*(O237-MAX(N237,($N$4*6/10)))),0))*1000,0)</f>
        <v>0</v>
      </c>
      <c r="AT237" s="120">
        <f>IF(AND(V237="OK",ISNUMBER($N$5),$N$5&gt;0,ISNUMBER($N$3),$N$3&gt;0),R237/(6*$N$3*1000000*$N$5)*(IF(N237&lt;($N$4*7/10),($N$4*7/10)*(MIN(O237,($N$4*7/10))^3-N237^3)-(MIN(O237,($N$4*7/10))^4-N237^4)/4,0)+IF(O237&gt;($N$4*7/10),($N$4*7/10)^2*(1.5*(O237^2-MAX(N237,($N$4*7/10))^2)-($N$4*7/10)*(O237-MAX(N237,($N$4*7/10)))),0))*1000,0)</f>
        <v>0</v>
      </c>
      <c r="AU237" s="120">
        <f>IF(AND(V237="OK",ISNUMBER($N$5),$N$5&gt;0,ISNUMBER($N$3),$N$3&gt;0),R237/(6*$N$3*1000000*$N$5)*(IF(N237&lt;($N$4*8/10),($N$4*8/10)*(MIN(O237,($N$4*8/10))^3-N237^3)-(MIN(O237,($N$4*8/10))^4-N237^4)/4,0)+IF(O237&gt;($N$4*8/10),($N$4*8/10)^2*(1.5*(O237^2-MAX(N237,($N$4*8/10))^2)-($N$4*8/10)*(O237-MAX(N237,($N$4*8/10)))),0))*1000,0)</f>
        <v>0</v>
      </c>
      <c r="AV237" s="120">
        <f>IF(AND(V237="OK",ISNUMBER($N$5),$N$5&gt;0,ISNUMBER($N$3),$N$3&gt;0),R237/(6*$N$3*1000000*$N$5)*(IF(N237&lt;($N$4*9/10),($N$4*9/10)*(MIN(O237,($N$4*9/10))^3-N237^3)-(MIN(O237,($N$4*9/10))^4-N237^4)/4,0)+IF(O237&gt;($N$4*9/10),($N$4*9/10)^2*(1.5*(O237^2-MAX(N237,($N$4*9/10))^2)-($N$4*9/10)*(O237-MAX(N237,($N$4*9/10)))),0))*1000,0)</f>
        <v>0</v>
      </c>
      <c r="AW237" s="120">
        <f>IF(AND(V237="OK",ISNUMBER($N$5),$N$5&gt;0,ISNUMBER($N$3),$N$3&gt;0),R237/(6*$N$3*1000000*$N$5)*(IF(N237&lt;($N$4*10/10),($N$4*10/10)*(MIN(O237,($N$4*10/10))^3-N237^3)-(MIN(O237,($N$4*10/10))^4-N237^4)/4,0)+IF(O237&gt;($N$4*10/10),($N$4*10/10)^2*(1.5*(O237^2-MAX(N237,($N$4*10/10))^2)-($N$4*10/10)*(O237-MAX(N237,($N$4*10/10)))),0))*1000,0)</f>
        <v>0</v>
      </c>
    </row>
    <row r="238" spans="1:49">
      <c r="A238" s="124"/>
      <c r="B238" s="125"/>
      <c r="C238" s="125"/>
      <c r="D238" s="125"/>
      <c r="E238" s="125"/>
      <c r="F238" s="126" t="str">
        <f>IF(J238="OK",D238*E238,"")</f>
        <v/>
      </c>
      <c r="G238" s="126" t="str">
        <f>IF(J238="OK",F238*(C238-B238),"")</f>
        <v/>
      </c>
      <c r="H238" s="126" t="str">
        <f>IF(J238="OK",G238*(C238+B238)/2,"")</f>
        <v/>
      </c>
      <c r="I238" s="126" t="str">
        <f>IF(AND(J238="OK",ISNUMBER($B$5),$B$5&gt;0,ISNUMBER($B$3),$B$3&gt;0),F238*(4*$B$4*(C238^3-B238^3)-(C238^4-B238^4))/(24*$B$3*1000000*$B$5)*1000,"")</f>
        <v/>
      </c>
      <c r="J238" s="120" t="str">
        <f>IF(COUNTA(A238:E238)=0,"",IF(AND(COUNT(B238:E238)=4,B238&gt;=0,C238&gt;B238,C238&lt;=$B$4,D238&gt;=0,E238&gt;0),IF(COUNTIFS($B$13:$B$237,"&lt;"&amp;C238,$C$13:$C$237,"&gt;"&amp;B238)&gt;0,"OVERLAP","OK"),"CHECK INPUTS"))</f>
        <v/>
      </c>
      <c r="M238" s="124"/>
      <c r="N238" s="125"/>
      <c r="O238" s="125"/>
      <c r="P238" s="125"/>
      <c r="Q238" s="125"/>
      <c r="R238" s="126" t="str">
        <f>IF(V238="OK",P238*Q238,"")</f>
        <v/>
      </c>
      <c r="S238" s="126" t="str">
        <f>IF(V238="OK",R238*(O238-N238),"")</f>
        <v/>
      </c>
      <c r="T238" s="126" t="str">
        <f>IF(V238="OK",S238*(O238+N238)/2,"")</f>
        <v/>
      </c>
      <c r="U238" s="126" t="str">
        <f>IF(AND(V238="OK",ISNUMBER($N$5),$N$5&gt;0,ISNUMBER($N$3),$N$3&gt;0),R238*(4*$N$4*(O238^3-N238^3)-(O238^4-N238^4))/(24*$N$3*1000000*$N$5)*1000,"")</f>
        <v/>
      </c>
      <c r="V238" s="120" t="str">
        <f>IF(COUNTA(M238:Q238)=0,"",IF(AND(COUNT(N238:Q238)=4,N238&gt;=0,O238&gt;N238,O238&lt;=$N$4,P238&gt;=0,Q238&gt;0),IF(COUNTIFS($N$13:$N$237,"&lt;"&amp;O238,$O$13:$O$237,"&gt;"&amp;N238)&gt;0,"OVERLAP","OK"),"CHECK INPUTS"))</f>
        <v/>
      </c>
      <c r="AA238" s="120">
        <f>IF(AND(J238="OK",ISNUMBER($B$5),$B$5&gt;0,ISNUMBER($B$3),$B$3&gt;0),F238/(6*$B$3*1000000*$B$5)*(IF(B238&lt;($B$4*0/10),($B$4*0/10)*(MIN(C238,($B$4*0/10))^3-B238^3)-(MIN(C238,($B$4*0/10))^4-B238^4)/4,0)+IF(C238&gt;($B$4*0/10),($B$4*0/10)^2*(1.5*(C238^2-MAX(B238,($B$4*0/10))^2)-($B$4*0/10)*(C238-MAX(B238,($B$4*0/10)))),0))*1000,0)</f>
        <v>0</v>
      </c>
      <c r="AB238" s="120">
        <f>IF(AND(J238="OK",ISNUMBER($B$5),$B$5&gt;0,ISNUMBER($B$3),$B$3&gt;0),F238/(6*$B$3*1000000*$B$5)*(IF(B238&lt;($B$4*1/10),($B$4*1/10)*(MIN(C238,($B$4*1/10))^3-B238^3)-(MIN(C238,($B$4*1/10))^4-B238^4)/4,0)+IF(C238&gt;($B$4*1/10),($B$4*1/10)^2*(1.5*(C238^2-MAX(B238,($B$4*1/10))^2)-($B$4*1/10)*(C238-MAX(B238,($B$4*1/10)))),0))*1000,0)</f>
        <v>0</v>
      </c>
      <c r="AC238" s="120">
        <f>IF(AND(J238="OK",ISNUMBER($B$5),$B$5&gt;0,ISNUMBER($B$3),$B$3&gt;0),F238/(6*$B$3*1000000*$B$5)*(IF(B238&lt;($B$4*2/10),($B$4*2/10)*(MIN(C238,($B$4*2/10))^3-B238^3)-(MIN(C238,($B$4*2/10))^4-B238^4)/4,0)+IF(C238&gt;($B$4*2/10),($B$4*2/10)^2*(1.5*(C238^2-MAX(B238,($B$4*2/10))^2)-($B$4*2/10)*(C238-MAX(B238,($B$4*2/10)))),0))*1000,0)</f>
        <v>0</v>
      </c>
      <c r="AD238" s="120">
        <f>IF(AND(J238="OK",ISNUMBER($B$5),$B$5&gt;0,ISNUMBER($B$3),$B$3&gt;0),F238/(6*$B$3*1000000*$B$5)*(IF(B238&lt;($B$4*3/10),($B$4*3/10)*(MIN(C238,($B$4*3/10))^3-B238^3)-(MIN(C238,($B$4*3/10))^4-B238^4)/4,0)+IF(C238&gt;($B$4*3/10),($B$4*3/10)^2*(1.5*(C238^2-MAX(B238,($B$4*3/10))^2)-($B$4*3/10)*(C238-MAX(B238,($B$4*3/10)))),0))*1000,0)</f>
        <v>0</v>
      </c>
      <c r="AE238" s="120">
        <f>IF(AND(J238="OK",ISNUMBER($B$5),$B$5&gt;0,ISNUMBER($B$3),$B$3&gt;0),F238/(6*$B$3*1000000*$B$5)*(IF(B238&lt;($B$4*4/10),($B$4*4/10)*(MIN(C238,($B$4*4/10))^3-B238^3)-(MIN(C238,($B$4*4/10))^4-B238^4)/4,0)+IF(C238&gt;($B$4*4/10),($B$4*4/10)^2*(1.5*(C238^2-MAX(B238,($B$4*4/10))^2)-($B$4*4/10)*(C238-MAX(B238,($B$4*4/10)))),0))*1000,0)</f>
        <v>0</v>
      </c>
      <c r="AF238" s="120">
        <f>IF(AND(J238="OK",ISNUMBER($B$5),$B$5&gt;0,ISNUMBER($B$3),$B$3&gt;0),F238/(6*$B$3*1000000*$B$5)*(IF(B238&lt;($B$4*5/10),($B$4*5/10)*(MIN(C238,($B$4*5/10))^3-B238^3)-(MIN(C238,($B$4*5/10))^4-B238^4)/4,0)+IF(C238&gt;($B$4*5/10),($B$4*5/10)^2*(1.5*(C238^2-MAX(B238,($B$4*5/10))^2)-($B$4*5/10)*(C238-MAX(B238,($B$4*5/10)))),0))*1000,0)</f>
        <v>0</v>
      </c>
      <c r="AG238" s="120">
        <f>IF(AND(J238="OK",ISNUMBER($B$5),$B$5&gt;0,ISNUMBER($B$3),$B$3&gt;0),F238/(6*$B$3*1000000*$B$5)*(IF(B238&lt;($B$4*6/10),($B$4*6/10)*(MIN(C238,($B$4*6/10))^3-B238^3)-(MIN(C238,($B$4*6/10))^4-B238^4)/4,0)+IF(C238&gt;($B$4*6/10),($B$4*6/10)^2*(1.5*(C238^2-MAX(B238,($B$4*6/10))^2)-($B$4*6/10)*(C238-MAX(B238,($B$4*6/10)))),0))*1000,0)</f>
        <v>0</v>
      </c>
      <c r="AH238" s="120">
        <f>IF(AND(J238="OK",ISNUMBER($B$5),$B$5&gt;0,ISNUMBER($B$3),$B$3&gt;0),F238/(6*$B$3*1000000*$B$5)*(IF(B238&lt;($B$4*7/10),($B$4*7/10)*(MIN(C238,($B$4*7/10))^3-B238^3)-(MIN(C238,($B$4*7/10))^4-B238^4)/4,0)+IF(C238&gt;($B$4*7/10),($B$4*7/10)^2*(1.5*(C238^2-MAX(B238,($B$4*7/10))^2)-($B$4*7/10)*(C238-MAX(B238,($B$4*7/10)))),0))*1000,0)</f>
        <v>0</v>
      </c>
      <c r="AI238" s="120">
        <f>IF(AND(J238="OK",ISNUMBER($B$5),$B$5&gt;0,ISNUMBER($B$3),$B$3&gt;0),F238/(6*$B$3*1000000*$B$5)*(IF(B238&lt;($B$4*8/10),($B$4*8/10)*(MIN(C238,($B$4*8/10))^3-B238^3)-(MIN(C238,($B$4*8/10))^4-B238^4)/4,0)+IF(C238&gt;($B$4*8/10),($B$4*8/10)^2*(1.5*(C238^2-MAX(B238,($B$4*8/10))^2)-($B$4*8/10)*(C238-MAX(B238,($B$4*8/10)))),0))*1000,0)</f>
        <v>0</v>
      </c>
      <c r="AJ238" s="120">
        <f>IF(AND(J238="OK",ISNUMBER($B$5),$B$5&gt;0,ISNUMBER($B$3),$B$3&gt;0),F238/(6*$B$3*1000000*$B$5)*(IF(B238&lt;($B$4*9/10),($B$4*9/10)*(MIN(C238,($B$4*9/10))^3-B238^3)-(MIN(C238,($B$4*9/10))^4-B238^4)/4,0)+IF(C238&gt;($B$4*9/10),($B$4*9/10)^2*(1.5*(C238^2-MAX(B238,($B$4*9/10))^2)-($B$4*9/10)*(C238-MAX(B238,($B$4*9/10)))),0))*1000,0)</f>
        <v>0</v>
      </c>
      <c r="AK238" s="120">
        <f>IF(AND(J238="OK",ISNUMBER($B$5),$B$5&gt;0,ISNUMBER($B$3),$B$3&gt;0),F238/(6*$B$3*1000000*$B$5)*(IF(B238&lt;($B$4*10/10),($B$4*10/10)*(MIN(C238,($B$4*10/10))^3-B238^3)-(MIN(C238,($B$4*10/10))^4-B238^4)/4,0)+IF(C238&gt;($B$4*10/10),($B$4*10/10)^2*(1.5*(C238^2-MAX(B238,($B$4*10/10))^2)-($B$4*10/10)*(C238-MAX(B238,($B$4*10/10)))),0))*1000,0)</f>
        <v>0</v>
      </c>
      <c r="AM238" s="120">
        <f>IF(AND(V238="OK",ISNUMBER($N$5),$N$5&gt;0,ISNUMBER($N$3),$N$3&gt;0),R238/(6*$N$3*1000000*$N$5)*(IF(N238&lt;($N$4*0/10),($N$4*0/10)*(MIN(O238,($N$4*0/10))^3-N238^3)-(MIN(O238,($N$4*0/10))^4-N238^4)/4,0)+IF(O238&gt;($N$4*0/10),($N$4*0/10)^2*(1.5*(O238^2-MAX(N238,($N$4*0/10))^2)-($N$4*0/10)*(O238-MAX(N238,($N$4*0/10)))),0))*1000,0)</f>
        <v>0</v>
      </c>
      <c r="AN238" s="120">
        <f>IF(AND(V238="OK",ISNUMBER($N$5),$N$5&gt;0,ISNUMBER($N$3),$N$3&gt;0),R238/(6*$N$3*1000000*$N$5)*(IF(N238&lt;($N$4*1/10),($N$4*1/10)*(MIN(O238,($N$4*1/10))^3-N238^3)-(MIN(O238,($N$4*1/10))^4-N238^4)/4,0)+IF(O238&gt;($N$4*1/10),($N$4*1/10)^2*(1.5*(O238^2-MAX(N238,($N$4*1/10))^2)-($N$4*1/10)*(O238-MAX(N238,($N$4*1/10)))),0))*1000,0)</f>
        <v>0</v>
      </c>
      <c r="AO238" s="120">
        <f>IF(AND(V238="OK",ISNUMBER($N$5),$N$5&gt;0,ISNUMBER($N$3),$N$3&gt;0),R238/(6*$N$3*1000000*$N$5)*(IF(N238&lt;($N$4*2/10),($N$4*2/10)*(MIN(O238,($N$4*2/10))^3-N238^3)-(MIN(O238,($N$4*2/10))^4-N238^4)/4,0)+IF(O238&gt;($N$4*2/10),($N$4*2/10)^2*(1.5*(O238^2-MAX(N238,($N$4*2/10))^2)-($N$4*2/10)*(O238-MAX(N238,($N$4*2/10)))),0))*1000,0)</f>
        <v>0</v>
      </c>
      <c r="AP238" s="120">
        <f>IF(AND(V238="OK",ISNUMBER($N$5),$N$5&gt;0,ISNUMBER($N$3),$N$3&gt;0),R238/(6*$N$3*1000000*$N$5)*(IF(N238&lt;($N$4*3/10),($N$4*3/10)*(MIN(O238,($N$4*3/10))^3-N238^3)-(MIN(O238,($N$4*3/10))^4-N238^4)/4,0)+IF(O238&gt;($N$4*3/10),($N$4*3/10)^2*(1.5*(O238^2-MAX(N238,($N$4*3/10))^2)-($N$4*3/10)*(O238-MAX(N238,($N$4*3/10)))),0))*1000,0)</f>
        <v>0</v>
      </c>
      <c r="AQ238" s="120">
        <f>IF(AND(V238="OK",ISNUMBER($N$5),$N$5&gt;0,ISNUMBER($N$3),$N$3&gt;0),R238/(6*$N$3*1000000*$N$5)*(IF(N238&lt;($N$4*4/10),($N$4*4/10)*(MIN(O238,($N$4*4/10))^3-N238^3)-(MIN(O238,($N$4*4/10))^4-N238^4)/4,0)+IF(O238&gt;($N$4*4/10),($N$4*4/10)^2*(1.5*(O238^2-MAX(N238,($N$4*4/10))^2)-($N$4*4/10)*(O238-MAX(N238,($N$4*4/10)))),0))*1000,0)</f>
        <v>0</v>
      </c>
      <c r="AR238" s="120">
        <f>IF(AND(V238="OK",ISNUMBER($N$5),$N$5&gt;0,ISNUMBER($N$3),$N$3&gt;0),R238/(6*$N$3*1000000*$N$5)*(IF(N238&lt;($N$4*5/10),($N$4*5/10)*(MIN(O238,($N$4*5/10))^3-N238^3)-(MIN(O238,($N$4*5/10))^4-N238^4)/4,0)+IF(O238&gt;($N$4*5/10),($N$4*5/10)^2*(1.5*(O238^2-MAX(N238,($N$4*5/10))^2)-($N$4*5/10)*(O238-MAX(N238,($N$4*5/10)))),0))*1000,0)</f>
        <v>0</v>
      </c>
      <c r="AS238" s="120">
        <f>IF(AND(V238="OK",ISNUMBER($N$5),$N$5&gt;0,ISNUMBER($N$3),$N$3&gt;0),R238/(6*$N$3*1000000*$N$5)*(IF(N238&lt;($N$4*6/10),($N$4*6/10)*(MIN(O238,($N$4*6/10))^3-N238^3)-(MIN(O238,($N$4*6/10))^4-N238^4)/4,0)+IF(O238&gt;($N$4*6/10),($N$4*6/10)^2*(1.5*(O238^2-MAX(N238,($N$4*6/10))^2)-($N$4*6/10)*(O238-MAX(N238,($N$4*6/10)))),0))*1000,0)</f>
        <v>0</v>
      </c>
      <c r="AT238" s="120">
        <f>IF(AND(V238="OK",ISNUMBER($N$5),$N$5&gt;0,ISNUMBER($N$3),$N$3&gt;0),R238/(6*$N$3*1000000*$N$5)*(IF(N238&lt;($N$4*7/10),($N$4*7/10)*(MIN(O238,($N$4*7/10))^3-N238^3)-(MIN(O238,($N$4*7/10))^4-N238^4)/4,0)+IF(O238&gt;($N$4*7/10),($N$4*7/10)^2*(1.5*(O238^2-MAX(N238,($N$4*7/10))^2)-($N$4*7/10)*(O238-MAX(N238,($N$4*7/10)))),0))*1000,0)</f>
        <v>0</v>
      </c>
      <c r="AU238" s="120">
        <f>IF(AND(V238="OK",ISNUMBER($N$5),$N$5&gt;0,ISNUMBER($N$3),$N$3&gt;0),R238/(6*$N$3*1000000*$N$5)*(IF(N238&lt;($N$4*8/10),($N$4*8/10)*(MIN(O238,($N$4*8/10))^3-N238^3)-(MIN(O238,($N$4*8/10))^4-N238^4)/4,0)+IF(O238&gt;($N$4*8/10),($N$4*8/10)^2*(1.5*(O238^2-MAX(N238,($N$4*8/10))^2)-($N$4*8/10)*(O238-MAX(N238,($N$4*8/10)))),0))*1000,0)</f>
        <v>0</v>
      </c>
      <c r="AV238" s="120">
        <f>IF(AND(V238="OK",ISNUMBER($N$5),$N$5&gt;0,ISNUMBER($N$3),$N$3&gt;0),R238/(6*$N$3*1000000*$N$5)*(IF(N238&lt;($N$4*9/10),($N$4*9/10)*(MIN(O238,($N$4*9/10))^3-N238^3)-(MIN(O238,($N$4*9/10))^4-N238^4)/4,0)+IF(O238&gt;($N$4*9/10),($N$4*9/10)^2*(1.5*(O238^2-MAX(N238,($N$4*9/10))^2)-($N$4*9/10)*(O238-MAX(N238,($N$4*9/10)))),0))*1000,0)</f>
        <v>0</v>
      </c>
      <c r="AW238" s="120">
        <f>IF(AND(V238="OK",ISNUMBER($N$5),$N$5&gt;0,ISNUMBER($N$3),$N$3&gt;0),R238/(6*$N$3*1000000*$N$5)*(IF(N238&lt;($N$4*10/10),($N$4*10/10)*(MIN(O238,($N$4*10/10))^3-N238^3)-(MIN(O238,($N$4*10/10))^4-N238^4)/4,0)+IF(O238&gt;($N$4*10/10),($N$4*10/10)^2*(1.5*(O238^2-MAX(N238,($N$4*10/10))^2)-($N$4*10/10)*(O238-MAX(N238,($N$4*10/10)))),0))*1000,0)</f>
        <v>0</v>
      </c>
    </row>
    <row r="239" spans="1:49">
      <c r="A239" s="124"/>
      <c r="B239" s="125"/>
      <c r="C239" s="125"/>
      <c r="D239" s="125"/>
      <c r="E239" s="125"/>
      <c r="F239" s="126" t="str">
        <f>IF(J239="OK",D239*E239,"")</f>
        <v/>
      </c>
      <c r="G239" s="126" t="str">
        <f>IF(J239="OK",F239*(C239-B239),"")</f>
        <v/>
      </c>
      <c r="H239" s="126" t="str">
        <f>IF(J239="OK",G239*(C239+B239)/2,"")</f>
        <v/>
      </c>
      <c r="I239" s="126" t="str">
        <f>IF(AND(J239="OK",ISNUMBER($B$5),$B$5&gt;0,ISNUMBER($B$3),$B$3&gt;0),F239*(4*$B$4*(C239^3-B239^3)-(C239^4-B239^4))/(24*$B$3*1000000*$B$5)*1000,"")</f>
        <v/>
      </c>
      <c r="J239" s="120" t="str">
        <f>IF(COUNTA(A239:E239)=0,"",IF(AND(COUNT(B239:E239)=4,B239&gt;=0,C239&gt;B239,C239&lt;=$B$4,D239&gt;=0,E239&gt;0),IF(COUNTIFS($B$13:$B$238,"&lt;"&amp;C239,$C$13:$C$238,"&gt;"&amp;B239)&gt;0,"OVERLAP","OK"),"CHECK INPUTS"))</f>
        <v/>
      </c>
      <c r="M239" s="124"/>
      <c r="N239" s="125"/>
      <c r="O239" s="125"/>
      <c r="P239" s="125"/>
      <c r="Q239" s="125"/>
      <c r="R239" s="126" t="str">
        <f>IF(V239="OK",P239*Q239,"")</f>
        <v/>
      </c>
      <c r="S239" s="126" t="str">
        <f>IF(V239="OK",R239*(O239-N239),"")</f>
        <v/>
      </c>
      <c r="T239" s="126" t="str">
        <f>IF(V239="OK",S239*(O239+N239)/2,"")</f>
        <v/>
      </c>
      <c r="U239" s="126" t="str">
        <f>IF(AND(V239="OK",ISNUMBER($N$5),$N$5&gt;0,ISNUMBER($N$3),$N$3&gt;0),R239*(4*$N$4*(O239^3-N239^3)-(O239^4-N239^4))/(24*$N$3*1000000*$N$5)*1000,"")</f>
        <v/>
      </c>
      <c r="V239" s="120" t="str">
        <f>IF(COUNTA(M239:Q239)=0,"",IF(AND(COUNT(N239:Q239)=4,N239&gt;=0,O239&gt;N239,O239&lt;=$N$4,P239&gt;=0,Q239&gt;0),IF(COUNTIFS($N$13:$N$238,"&lt;"&amp;O239,$O$13:$O$238,"&gt;"&amp;N239)&gt;0,"OVERLAP","OK"),"CHECK INPUTS"))</f>
        <v/>
      </c>
      <c r="AA239" s="120">
        <f>IF(AND(J239="OK",ISNUMBER($B$5),$B$5&gt;0,ISNUMBER($B$3),$B$3&gt;0),F239/(6*$B$3*1000000*$B$5)*(IF(B239&lt;($B$4*0/10),($B$4*0/10)*(MIN(C239,($B$4*0/10))^3-B239^3)-(MIN(C239,($B$4*0/10))^4-B239^4)/4,0)+IF(C239&gt;($B$4*0/10),($B$4*0/10)^2*(1.5*(C239^2-MAX(B239,($B$4*0/10))^2)-($B$4*0/10)*(C239-MAX(B239,($B$4*0/10)))),0))*1000,0)</f>
        <v>0</v>
      </c>
      <c r="AB239" s="120">
        <f>IF(AND(J239="OK",ISNUMBER($B$5),$B$5&gt;0,ISNUMBER($B$3),$B$3&gt;0),F239/(6*$B$3*1000000*$B$5)*(IF(B239&lt;($B$4*1/10),($B$4*1/10)*(MIN(C239,($B$4*1/10))^3-B239^3)-(MIN(C239,($B$4*1/10))^4-B239^4)/4,0)+IF(C239&gt;($B$4*1/10),($B$4*1/10)^2*(1.5*(C239^2-MAX(B239,($B$4*1/10))^2)-($B$4*1/10)*(C239-MAX(B239,($B$4*1/10)))),0))*1000,0)</f>
        <v>0</v>
      </c>
      <c r="AC239" s="120">
        <f>IF(AND(J239="OK",ISNUMBER($B$5),$B$5&gt;0,ISNUMBER($B$3),$B$3&gt;0),F239/(6*$B$3*1000000*$B$5)*(IF(B239&lt;($B$4*2/10),($B$4*2/10)*(MIN(C239,($B$4*2/10))^3-B239^3)-(MIN(C239,($B$4*2/10))^4-B239^4)/4,0)+IF(C239&gt;($B$4*2/10),($B$4*2/10)^2*(1.5*(C239^2-MAX(B239,($B$4*2/10))^2)-($B$4*2/10)*(C239-MAX(B239,($B$4*2/10)))),0))*1000,0)</f>
        <v>0</v>
      </c>
      <c r="AD239" s="120">
        <f>IF(AND(J239="OK",ISNUMBER($B$5),$B$5&gt;0,ISNUMBER($B$3),$B$3&gt;0),F239/(6*$B$3*1000000*$B$5)*(IF(B239&lt;($B$4*3/10),($B$4*3/10)*(MIN(C239,($B$4*3/10))^3-B239^3)-(MIN(C239,($B$4*3/10))^4-B239^4)/4,0)+IF(C239&gt;($B$4*3/10),($B$4*3/10)^2*(1.5*(C239^2-MAX(B239,($B$4*3/10))^2)-($B$4*3/10)*(C239-MAX(B239,($B$4*3/10)))),0))*1000,0)</f>
        <v>0</v>
      </c>
      <c r="AE239" s="120">
        <f>IF(AND(J239="OK",ISNUMBER($B$5),$B$5&gt;0,ISNUMBER($B$3),$B$3&gt;0),F239/(6*$B$3*1000000*$B$5)*(IF(B239&lt;($B$4*4/10),($B$4*4/10)*(MIN(C239,($B$4*4/10))^3-B239^3)-(MIN(C239,($B$4*4/10))^4-B239^4)/4,0)+IF(C239&gt;($B$4*4/10),($B$4*4/10)^2*(1.5*(C239^2-MAX(B239,($B$4*4/10))^2)-($B$4*4/10)*(C239-MAX(B239,($B$4*4/10)))),0))*1000,0)</f>
        <v>0</v>
      </c>
      <c r="AF239" s="120">
        <f>IF(AND(J239="OK",ISNUMBER($B$5),$B$5&gt;0,ISNUMBER($B$3),$B$3&gt;0),F239/(6*$B$3*1000000*$B$5)*(IF(B239&lt;($B$4*5/10),($B$4*5/10)*(MIN(C239,($B$4*5/10))^3-B239^3)-(MIN(C239,($B$4*5/10))^4-B239^4)/4,0)+IF(C239&gt;($B$4*5/10),($B$4*5/10)^2*(1.5*(C239^2-MAX(B239,($B$4*5/10))^2)-($B$4*5/10)*(C239-MAX(B239,($B$4*5/10)))),0))*1000,0)</f>
        <v>0</v>
      </c>
      <c r="AG239" s="120">
        <f>IF(AND(J239="OK",ISNUMBER($B$5),$B$5&gt;0,ISNUMBER($B$3),$B$3&gt;0),F239/(6*$B$3*1000000*$B$5)*(IF(B239&lt;($B$4*6/10),($B$4*6/10)*(MIN(C239,($B$4*6/10))^3-B239^3)-(MIN(C239,($B$4*6/10))^4-B239^4)/4,0)+IF(C239&gt;($B$4*6/10),($B$4*6/10)^2*(1.5*(C239^2-MAX(B239,($B$4*6/10))^2)-($B$4*6/10)*(C239-MAX(B239,($B$4*6/10)))),0))*1000,0)</f>
        <v>0</v>
      </c>
      <c r="AH239" s="120">
        <f>IF(AND(J239="OK",ISNUMBER($B$5),$B$5&gt;0,ISNUMBER($B$3),$B$3&gt;0),F239/(6*$B$3*1000000*$B$5)*(IF(B239&lt;($B$4*7/10),($B$4*7/10)*(MIN(C239,($B$4*7/10))^3-B239^3)-(MIN(C239,($B$4*7/10))^4-B239^4)/4,0)+IF(C239&gt;($B$4*7/10),($B$4*7/10)^2*(1.5*(C239^2-MAX(B239,($B$4*7/10))^2)-($B$4*7/10)*(C239-MAX(B239,($B$4*7/10)))),0))*1000,0)</f>
        <v>0</v>
      </c>
      <c r="AI239" s="120">
        <f>IF(AND(J239="OK",ISNUMBER($B$5),$B$5&gt;0,ISNUMBER($B$3),$B$3&gt;0),F239/(6*$B$3*1000000*$B$5)*(IF(B239&lt;($B$4*8/10),($B$4*8/10)*(MIN(C239,($B$4*8/10))^3-B239^3)-(MIN(C239,($B$4*8/10))^4-B239^4)/4,0)+IF(C239&gt;($B$4*8/10),($B$4*8/10)^2*(1.5*(C239^2-MAX(B239,($B$4*8/10))^2)-($B$4*8/10)*(C239-MAX(B239,($B$4*8/10)))),0))*1000,0)</f>
        <v>0</v>
      </c>
      <c r="AJ239" s="120">
        <f>IF(AND(J239="OK",ISNUMBER($B$5),$B$5&gt;0,ISNUMBER($B$3),$B$3&gt;0),F239/(6*$B$3*1000000*$B$5)*(IF(B239&lt;($B$4*9/10),($B$4*9/10)*(MIN(C239,($B$4*9/10))^3-B239^3)-(MIN(C239,($B$4*9/10))^4-B239^4)/4,0)+IF(C239&gt;($B$4*9/10),($B$4*9/10)^2*(1.5*(C239^2-MAX(B239,($B$4*9/10))^2)-($B$4*9/10)*(C239-MAX(B239,($B$4*9/10)))),0))*1000,0)</f>
        <v>0</v>
      </c>
      <c r="AK239" s="120">
        <f>IF(AND(J239="OK",ISNUMBER($B$5),$B$5&gt;0,ISNUMBER($B$3),$B$3&gt;0),F239/(6*$B$3*1000000*$B$5)*(IF(B239&lt;($B$4*10/10),($B$4*10/10)*(MIN(C239,($B$4*10/10))^3-B239^3)-(MIN(C239,($B$4*10/10))^4-B239^4)/4,0)+IF(C239&gt;($B$4*10/10),($B$4*10/10)^2*(1.5*(C239^2-MAX(B239,($B$4*10/10))^2)-($B$4*10/10)*(C239-MAX(B239,($B$4*10/10)))),0))*1000,0)</f>
        <v>0</v>
      </c>
      <c r="AM239" s="120">
        <f>IF(AND(V239="OK",ISNUMBER($N$5),$N$5&gt;0,ISNUMBER($N$3),$N$3&gt;0),R239/(6*$N$3*1000000*$N$5)*(IF(N239&lt;($N$4*0/10),($N$4*0/10)*(MIN(O239,($N$4*0/10))^3-N239^3)-(MIN(O239,($N$4*0/10))^4-N239^4)/4,0)+IF(O239&gt;($N$4*0/10),($N$4*0/10)^2*(1.5*(O239^2-MAX(N239,($N$4*0/10))^2)-($N$4*0/10)*(O239-MAX(N239,($N$4*0/10)))),0))*1000,0)</f>
        <v>0</v>
      </c>
      <c r="AN239" s="120">
        <f>IF(AND(V239="OK",ISNUMBER($N$5),$N$5&gt;0,ISNUMBER($N$3),$N$3&gt;0),R239/(6*$N$3*1000000*$N$5)*(IF(N239&lt;($N$4*1/10),($N$4*1/10)*(MIN(O239,($N$4*1/10))^3-N239^3)-(MIN(O239,($N$4*1/10))^4-N239^4)/4,0)+IF(O239&gt;($N$4*1/10),($N$4*1/10)^2*(1.5*(O239^2-MAX(N239,($N$4*1/10))^2)-($N$4*1/10)*(O239-MAX(N239,($N$4*1/10)))),0))*1000,0)</f>
        <v>0</v>
      </c>
      <c r="AO239" s="120">
        <f>IF(AND(V239="OK",ISNUMBER($N$5),$N$5&gt;0,ISNUMBER($N$3),$N$3&gt;0),R239/(6*$N$3*1000000*$N$5)*(IF(N239&lt;($N$4*2/10),($N$4*2/10)*(MIN(O239,($N$4*2/10))^3-N239^3)-(MIN(O239,($N$4*2/10))^4-N239^4)/4,0)+IF(O239&gt;($N$4*2/10),($N$4*2/10)^2*(1.5*(O239^2-MAX(N239,($N$4*2/10))^2)-($N$4*2/10)*(O239-MAX(N239,($N$4*2/10)))),0))*1000,0)</f>
        <v>0</v>
      </c>
      <c r="AP239" s="120">
        <f>IF(AND(V239="OK",ISNUMBER($N$5),$N$5&gt;0,ISNUMBER($N$3),$N$3&gt;0),R239/(6*$N$3*1000000*$N$5)*(IF(N239&lt;($N$4*3/10),($N$4*3/10)*(MIN(O239,($N$4*3/10))^3-N239^3)-(MIN(O239,($N$4*3/10))^4-N239^4)/4,0)+IF(O239&gt;($N$4*3/10),($N$4*3/10)^2*(1.5*(O239^2-MAX(N239,($N$4*3/10))^2)-($N$4*3/10)*(O239-MAX(N239,($N$4*3/10)))),0))*1000,0)</f>
        <v>0</v>
      </c>
      <c r="AQ239" s="120">
        <f>IF(AND(V239="OK",ISNUMBER($N$5),$N$5&gt;0,ISNUMBER($N$3),$N$3&gt;0),R239/(6*$N$3*1000000*$N$5)*(IF(N239&lt;($N$4*4/10),($N$4*4/10)*(MIN(O239,($N$4*4/10))^3-N239^3)-(MIN(O239,($N$4*4/10))^4-N239^4)/4,0)+IF(O239&gt;($N$4*4/10),($N$4*4/10)^2*(1.5*(O239^2-MAX(N239,($N$4*4/10))^2)-($N$4*4/10)*(O239-MAX(N239,($N$4*4/10)))),0))*1000,0)</f>
        <v>0</v>
      </c>
      <c r="AR239" s="120">
        <f>IF(AND(V239="OK",ISNUMBER($N$5),$N$5&gt;0,ISNUMBER($N$3),$N$3&gt;0),R239/(6*$N$3*1000000*$N$5)*(IF(N239&lt;($N$4*5/10),($N$4*5/10)*(MIN(O239,($N$4*5/10))^3-N239^3)-(MIN(O239,($N$4*5/10))^4-N239^4)/4,0)+IF(O239&gt;($N$4*5/10),($N$4*5/10)^2*(1.5*(O239^2-MAX(N239,($N$4*5/10))^2)-($N$4*5/10)*(O239-MAX(N239,($N$4*5/10)))),0))*1000,0)</f>
        <v>0</v>
      </c>
      <c r="AS239" s="120">
        <f>IF(AND(V239="OK",ISNUMBER($N$5),$N$5&gt;0,ISNUMBER($N$3),$N$3&gt;0),R239/(6*$N$3*1000000*$N$5)*(IF(N239&lt;($N$4*6/10),($N$4*6/10)*(MIN(O239,($N$4*6/10))^3-N239^3)-(MIN(O239,($N$4*6/10))^4-N239^4)/4,0)+IF(O239&gt;($N$4*6/10),($N$4*6/10)^2*(1.5*(O239^2-MAX(N239,($N$4*6/10))^2)-($N$4*6/10)*(O239-MAX(N239,($N$4*6/10)))),0))*1000,0)</f>
        <v>0</v>
      </c>
      <c r="AT239" s="120">
        <f>IF(AND(V239="OK",ISNUMBER($N$5),$N$5&gt;0,ISNUMBER($N$3),$N$3&gt;0),R239/(6*$N$3*1000000*$N$5)*(IF(N239&lt;($N$4*7/10),($N$4*7/10)*(MIN(O239,($N$4*7/10))^3-N239^3)-(MIN(O239,($N$4*7/10))^4-N239^4)/4,0)+IF(O239&gt;($N$4*7/10),($N$4*7/10)^2*(1.5*(O239^2-MAX(N239,($N$4*7/10))^2)-($N$4*7/10)*(O239-MAX(N239,($N$4*7/10)))),0))*1000,0)</f>
        <v>0</v>
      </c>
      <c r="AU239" s="120">
        <f>IF(AND(V239="OK",ISNUMBER($N$5),$N$5&gt;0,ISNUMBER($N$3),$N$3&gt;0),R239/(6*$N$3*1000000*$N$5)*(IF(N239&lt;($N$4*8/10),($N$4*8/10)*(MIN(O239,($N$4*8/10))^3-N239^3)-(MIN(O239,($N$4*8/10))^4-N239^4)/4,0)+IF(O239&gt;($N$4*8/10),($N$4*8/10)^2*(1.5*(O239^2-MAX(N239,($N$4*8/10))^2)-($N$4*8/10)*(O239-MAX(N239,($N$4*8/10)))),0))*1000,0)</f>
        <v>0</v>
      </c>
      <c r="AV239" s="120">
        <f>IF(AND(V239="OK",ISNUMBER($N$5),$N$5&gt;0,ISNUMBER($N$3),$N$3&gt;0),R239/(6*$N$3*1000000*$N$5)*(IF(N239&lt;($N$4*9/10),($N$4*9/10)*(MIN(O239,($N$4*9/10))^3-N239^3)-(MIN(O239,($N$4*9/10))^4-N239^4)/4,0)+IF(O239&gt;($N$4*9/10),($N$4*9/10)^2*(1.5*(O239^2-MAX(N239,($N$4*9/10))^2)-($N$4*9/10)*(O239-MAX(N239,($N$4*9/10)))),0))*1000,0)</f>
        <v>0</v>
      </c>
      <c r="AW239" s="120">
        <f>IF(AND(V239="OK",ISNUMBER($N$5),$N$5&gt;0,ISNUMBER($N$3),$N$3&gt;0),R239/(6*$N$3*1000000*$N$5)*(IF(N239&lt;($N$4*10/10),($N$4*10/10)*(MIN(O239,($N$4*10/10))^3-N239^3)-(MIN(O239,($N$4*10/10))^4-N239^4)/4,0)+IF(O239&gt;($N$4*10/10),($N$4*10/10)^2*(1.5*(O239^2-MAX(N239,($N$4*10/10))^2)-($N$4*10/10)*(O239-MAX(N239,($N$4*10/10)))),0))*1000,0)</f>
        <v>0</v>
      </c>
    </row>
    <row r="240" spans="1:49">
      <c r="A240" s="124"/>
      <c r="B240" s="125"/>
      <c r="C240" s="125"/>
      <c r="D240" s="125"/>
      <c r="E240" s="125"/>
      <c r="F240" s="126" t="str">
        <f>IF(J240="OK",D240*E240,"")</f>
        <v/>
      </c>
      <c r="G240" s="126" t="str">
        <f>IF(J240="OK",F240*(C240-B240),"")</f>
        <v/>
      </c>
      <c r="H240" s="126" t="str">
        <f>IF(J240="OK",G240*(C240+B240)/2,"")</f>
        <v/>
      </c>
      <c r="I240" s="126" t="str">
        <f>IF(AND(J240="OK",ISNUMBER($B$5),$B$5&gt;0,ISNUMBER($B$3),$B$3&gt;0),F240*(4*$B$4*(C240^3-B240^3)-(C240^4-B240^4))/(24*$B$3*1000000*$B$5)*1000,"")</f>
        <v/>
      </c>
      <c r="J240" s="120" t="str">
        <f>IF(COUNTA(A240:E240)=0,"",IF(AND(COUNT(B240:E240)=4,B240&gt;=0,C240&gt;B240,C240&lt;=$B$4,D240&gt;=0,E240&gt;0),IF(COUNTIFS($B$13:$B$239,"&lt;"&amp;C240,$C$13:$C$239,"&gt;"&amp;B240)&gt;0,"OVERLAP","OK"),"CHECK INPUTS"))</f>
        <v/>
      </c>
      <c r="M240" s="124"/>
      <c r="N240" s="125"/>
      <c r="O240" s="125"/>
      <c r="P240" s="125"/>
      <c r="Q240" s="125"/>
      <c r="R240" s="126" t="str">
        <f>IF(V240="OK",P240*Q240,"")</f>
        <v/>
      </c>
      <c r="S240" s="126" t="str">
        <f>IF(V240="OK",R240*(O240-N240),"")</f>
        <v/>
      </c>
      <c r="T240" s="126" t="str">
        <f>IF(V240="OK",S240*(O240+N240)/2,"")</f>
        <v/>
      </c>
      <c r="U240" s="126" t="str">
        <f>IF(AND(V240="OK",ISNUMBER($N$5),$N$5&gt;0,ISNUMBER($N$3),$N$3&gt;0),R240*(4*$N$4*(O240^3-N240^3)-(O240^4-N240^4))/(24*$N$3*1000000*$N$5)*1000,"")</f>
        <v/>
      </c>
      <c r="V240" s="120" t="str">
        <f>IF(COUNTA(M240:Q240)=0,"",IF(AND(COUNT(N240:Q240)=4,N240&gt;=0,O240&gt;N240,O240&lt;=$N$4,P240&gt;=0,Q240&gt;0),IF(COUNTIFS($N$13:$N$239,"&lt;"&amp;O240,$O$13:$O$239,"&gt;"&amp;N240)&gt;0,"OVERLAP","OK"),"CHECK INPUTS"))</f>
        <v/>
      </c>
      <c r="AA240" s="120">
        <f>IF(AND(J240="OK",ISNUMBER($B$5),$B$5&gt;0,ISNUMBER($B$3),$B$3&gt;0),F240/(6*$B$3*1000000*$B$5)*(IF(B240&lt;($B$4*0/10),($B$4*0/10)*(MIN(C240,($B$4*0/10))^3-B240^3)-(MIN(C240,($B$4*0/10))^4-B240^4)/4,0)+IF(C240&gt;($B$4*0/10),($B$4*0/10)^2*(1.5*(C240^2-MAX(B240,($B$4*0/10))^2)-($B$4*0/10)*(C240-MAX(B240,($B$4*0/10)))),0))*1000,0)</f>
        <v>0</v>
      </c>
      <c r="AB240" s="120">
        <f>IF(AND(J240="OK",ISNUMBER($B$5),$B$5&gt;0,ISNUMBER($B$3),$B$3&gt;0),F240/(6*$B$3*1000000*$B$5)*(IF(B240&lt;($B$4*1/10),($B$4*1/10)*(MIN(C240,($B$4*1/10))^3-B240^3)-(MIN(C240,($B$4*1/10))^4-B240^4)/4,0)+IF(C240&gt;($B$4*1/10),($B$4*1/10)^2*(1.5*(C240^2-MAX(B240,($B$4*1/10))^2)-($B$4*1/10)*(C240-MAX(B240,($B$4*1/10)))),0))*1000,0)</f>
        <v>0</v>
      </c>
      <c r="AC240" s="120">
        <f>IF(AND(J240="OK",ISNUMBER($B$5),$B$5&gt;0,ISNUMBER($B$3),$B$3&gt;0),F240/(6*$B$3*1000000*$B$5)*(IF(B240&lt;($B$4*2/10),($B$4*2/10)*(MIN(C240,($B$4*2/10))^3-B240^3)-(MIN(C240,($B$4*2/10))^4-B240^4)/4,0)+IF(C240&gt;($B$4*2/10),($B$4*2/10)^2*(1.5*(C240^2-MAX(B240,($B$4*2/10))^2)-($B$4*2/10)*(C240-MAX(B240,($B$4*2/10)))),0))*1000,0)</f>
        <v>0</v>
      </c>
      <c r="AD240" s="120">
        <f>IF(AND(J240="OK",ISNUMBER($B$5),$B$5&gt;0,ISNUMBER($B$3),$B$3&gt;0),F240/(6*$B$3*1000000*$B$5)*(IF(B240&lt;($B$4*3/10),($B$4*3/10)*(MIN(C240,($B$4*3/10))^3-B240^3)-(MIN(C240,($B$4*3/10))^4-B240^4)/4,0)+IF(C240&gt;($B$4*3/10),($B$4*3/10)^2*(1.5*(C240^2-MAX(B240,($B$4*3/10))^2)-($B$4*3/10)*(C240-MAX(B240,($B$4*3/10)))),0))*1000,0)</f>
        <v>0</v>
      </c>
      <c r="AE240" s="120">
        <f>IF(AND(J240="OK",ISNUMBER($B$5),$B$5&gt;0,ISNUMBER($B$3),$B$3&gt;0),F240/(6*$B$3*1000000*$B$5)*(IF(B240&lt;($B$4*4/10),($B$4*4/10)*(MIN(C240,($B$4*4/10))^3-B240^3)-(MIN(C240,($B$4*4/10))^4-B240^4)/4,0)+IF(C240&gt;($B$4*4/10),($B$4*4/10)^2*(1.5*(C240^2-MAX(B240,($B$4*4/10))^2)-($B$4*4/10)*(C240-MAX(B240,($B$4*4/10)))),0))*1000,0)</f>
        <v>0</v>
      </c>
      <c r="AF240" s="120">
        <f>IF(AND(J240="OK",ISNUMBER($B$5),$B$5&gt;0,ISNUMBER($B$3),$B$3&gt;0),F240/(6*$B$3*1000000*$B$5)*(IF(B240&lt;($B$4*5/10),($B$4*5/10)*(MIN(C240,($B$4*5/10))^3-B240^3)-(MIN(C240,($B$4*5/10))^4-B240^4)/4,0)+IF(C240&gt;($B$4*5/10),($B$4*5/10)^2*(1.5*(C240^2-MAX(B240,($B$4*5/10))^2)-($B$4*5/10)*(C240-MAX(B240,($B$4*5/10)))),0))*1000,0)</f>
        <v>0</v>
      </c>
      <c r="AG240" s="120">
        <f>IF(AND(J240="OK",ISNUMBER($B$5),$B$5&gt;0,ISNUMBER($B$3),$B$3&gt;0),F240/(6*$B$3*1000000*$B$5)*(IF(B240&lt;($B$4*6/10),($B$4*6/10)*(MIN(C240,($B$4*6/10))^3-B240^3)-(MIN(C240,($B$4*6/10))^4-B240^4)/4,0)+IF(C240&gt;($B$4*6/10),($B$4*6/10)^2*(1.5*(C240^2-MAX(B240,($B$4*6/10))^2)-($B$4*6/10)*(C240-MAX(B240,($B$4*6/10)))),0))*1000,0)</f>
        <v>0</v>
      </c>
      <c r="AH240" s="120">
        <f>IF(AND(J240="OK",ISNUMBER($B$5),$B$5&gt;0,ISNUMBER($B$3),$B$3&gt;0),F240/(6*$B$3*1000000*$B$5)*(IF(B240&lt;($B$4*7/10),($B$4*7/10)*(MIN(C240,($B$4*7/10))^3-B240^3)-(MIN(C240,($B$4*7/10))^4-B240^4)/4,0)+IF(C240&gt;($B$4*7/10),($B$4*7/10)^2*(1.5*(C240^2-MAX(B240,($B$4*7/10))^2)-($B$4*7/10)*(C240-MAX(B240,($B$4*7/10)))),0))*1000,0)</f>
        <v>0</v>
      </c>
      <c r="AI240" s="120">
        <f>IF(AND(J240="OK",ISNUMBER($B$5),$B$5&gt;0,ISNUMBER($B$3),$B$3&gt;0),F240/(6*$B$3*1000000*$B$5)*(IF(B240&lt;($B$4*8/10),($B$4*8/10)*(MIN(C240,($B$4*8/10))^3-B240^3)-(MIN(C240,($B$4*8/10))^4-B240^4)/4,0)+IF(C240&gt;($B$4*8/10),($B$4*8/10)^2*(1.5*(C240^2-MAX(B240,($B$4*8/10))^2)-($B$4*8/10)*(C240-MAX(B240,($B$4*8/10)))),0))*1000,0)</f>
        <v>0</v>
      </c>
      <c r="AJ240" s="120">
        <f>IF(AND(J240="OK",ISNUMBER($B$5),$B$5&gt;0,ISNUMBER($B$3),$B$3&gt;0),F240/(6*$B$3*1000000*$B$5)*(IF(B240&lt;($B$4*9/10),($B$4*9/10)*(MIN(C240,($B$4*9/10))^3-B240^3)-(MIN(C240,($B$4*9/10))^4-B240^4)/4,0)+IF(C240&gt;($B$4*9/10),($B$4*9/10)^2*(1.5*(C240^2-MAX(B240,($B$4*9/10))^2)-($B$4*9/10)*(C240-MAX(B240,($B$4*9/10)))),0))*1000,0)</f>
        <v>0</v>
      </c>
      <c r="AK240" s="120">
        <f>IF(AND(J240="OK",ISNUMBER($B$5),$B$5&gt;0,ISNUMBER($B$3),$B$3&gt;0),F240/(6*$B$3*1000000*$B$5)*(IF(B240&lt;($B$4*10/10),($B$4*10/10)*(MIN(C240,($B$4*10/10))^3-B240^3)-(MIN(C240,($B$4*10/10))^4-B240^4)/4,0)+IF(C240&gt;($B$4*10/10),($B$4*10/10)^2*(1.5*(C240^2-MAX(B240,($B$4*10/10))^2)-($B$4*10/10)*(C240-MAX(B240,($B$4*10/10)))),0))*1000,0)</f>
        <v>0</v>
      </c>
      <c r="AM240" s="120">
        <f>IF(AND(V240="OK",ISNUMBER($N$5),$N$5&gt;0,ISNUMBER($N$3),$N$3&gt;0),R240/(6*$N$3*1000000*$N$5)*(IF(N240&lt;($N$4*0/10),($N$4*0/10)*(MIN(O240,($N$4*0/10))^3-N240^3)-(MIN(O240,($N$4*0/10))^4-N240^4)/4,0)+IF(O240&gt;($N$4*0/10),($N$4*0/10)^2*(1.5*(O240^2-MAX(N240,($N$4*0/10))^2)-($N$4*0/10)*(O240-MAX(N240,($N$4*0/10)))),0))*1000,0)</f>
        <v>0</v>
      </c>
      <c r="AN240" s="120">
        <f>IF(AND(V240="OK",ISNUMBER($N$5),$N$5&gt;0,ISNUMBER($N$3),$N$3&gt;0),R240/(6*$N$3*1000000*$N$5)*(IF(N240&lt;($N$4*1/10),($N$4*1/10)*(MIN(O240,($N$4*1/10))^3-N240^3)-(MIN(O240,($N$4*1/10))^4-N240^4)/4,0)+IF(O240&gt;($N$4*1/10),($N$4*1/10)^2*(1.5*(O240^2-MAX(N240,($N$4*1/10))^2)-($N$4*1/10)*(O240-MAX(N240,($N$4*1/10)))),0))*1000,0)</f>
        <v>0</v>
      </c>
      <c r="AO240" s="120">
        <f>IF(AND(V240="OK",ISNUMBER($N$5),$N$5&gt;0,ISNUMBER($N$3),$N$3&gt;0),R240/(6*$N$3*1000000*$N$5)*(IF(N240&lt;($N$4*2/10),($N$4*2/10)*(MIN(O240,($N$4*2/10))^3-N240^3)-(MIN(O240,($N$4*2/10))^4-N240^4)/4,0)+IF(O240&gt;($N$4*2/10),($N$4*2/10)^2*(1.5*(O240^2-MAX(N240,($N$4*2/10))^2)-($N$4*2/10)*(O240-MAX(N240,($N$4*2/10)))),0))*1000,0)</f>
        <v>0</v>
      </c>
      <c r="AP240" s="120">
        <f>IF(AND(V240="OK",ISNUMBER($N$5),$N$5&gt;0,ISNUMBER($N$3),$N$3&gt;0),R240/(6*$N$3*1000000*$N$5)*(IF(N240&lt;($N$4*3/10),($N$4*3/10)*(MIN(O240,($N$4*3/10))^3-N240^3)-(MIN(O240,($N$4*3/10))^4-N240^4)/4,0)+IF(O240&gt;($N$4*3/10),($N$4*3/10)^2*(1.5*(O240^2-MAX(N240,($N$4*3/10))^2)-($N$4*3/10)*(O240-MAX(N240,($N$4*3/10)))),0))*1000,0)</f>
        <v>0</v>
      </c>
      <c r="AQ240" s="120">
        <f>IF(AND(V240="OK",ISNUMBER($N$5),$N$5&gt;0,ISNUMBER($N$3),$N$3&gt;0),R240/(6*$N$3*1000000*$N$5)*(IF(N240&lt;($N$4*4/10),($N$4*4/10)*(MIN(O240,($N$4*4/10))^3-N240^3)-(MIN(O240,($N$4*4/10))^4-N240^4)/4,0)+IF(O240&gt;($N$4*4/10),($N$4*4/10)^2*(1.5*(O240^2-MAX(N240,($N$4*4/10))^2)-($N$4*4/10)*(O240-MAX(N240,($N$4*4/10)))),0))*1000,0)</f>
        <v>0</v>
      </c>
      <c r="AR240" s="120">
        <f>IF(AND(V240="OK",ISNUMBER($N$5),$N$5&gt;0,ISNUMBER($N$3),$N$3&gt;0),R240/(6*$N$3*1000000*$N$5)*(IF(N240&lt;($N$4*5/10),($N$4*5/10)*(MIN(O240,($N$4*5/10))^3-N240^3)-(MIN(O240,($N$4*5/10))^4-N240^4)/4,0)+IF(O240&gt;($N$4*5/10),($N$4*5/10)^2*(1.5*(O240^2-MAX(N240,($N$4*5/10))^2)-($N$4*5/10)*(O240-MAX(N240,($N$4*5/10)))),0))*1000,0)</f>
        <v>0</v>
      </c>
      <c r="AS240" s="120">
        <f>IF(AND(V240="OK",ISNUMBER($N$5),$N$5&gt;0,ISNUMBER($N$3),$N$3&gt;0),R240/(6*$N$3*1000000*$N$5)*(IF(N240&lt;($N$4*6/10),($N$4*6/10)*(MIN(O240,($N$4*6/10))^3-N240^3)-(MIN(O240,($N$4*6/10))^4-N240^4)/4,0)+IF(O240&gt;($N$4*6/10),($N$4*6/10)^2*(1.5*(O240^2-MAX(N240,($N$4*6/10))^2)-($N$4*6/10)*(O240-MAX(N240,($N$4*6/10)))),0))*1000,0)</f>
        <v>0</v>
      </c>
      <c r="AT240" s="120">
        <f>IF(AND(V240="OK",ISNUMBER($N$5),$N$5&gt;0,ISNUMBER($N$3),$N$3&gt;0),R240/(6*$N$3*1000000*$N$5)*(IF(N240&lt;($N$4*7/10),($N$4*7/10)*(MIN(O240,($N$4*7/10))^3-N240^3)-(MIN(O240,($N$4*7/10))^4-N240^4)/4,0)+IF(O240&gt;($N$4*7/10),($N$4*7/10)^2*(1.5*(O240^2-MAX(N240,($N$4*7/10))^2)-($N$4*7/10)*(O240-MAX(N240,($N$4*7/10)))),0))*1000,0)</f>
        <v>0</v>
      </c>
      <c r="AU240" s="120">
        <f>IF(AND(V240="OK",ISNUMBER($N$5),$N$5&gt;0,ISNUMBER($N$3),$N$3&gt;0),R240/(6*$N$3*1000000*$N$5)*(IF(N240&lt;($N$4*8/10),($N$4*8/10)*(MIN(O240,($N$4*8/10))^3-N240^3)-(MIN(O240,($N$4*8/10))^4-N240^4)/4,0)+IF(O240&gt;($N$4*8/10),($N$4*8/10)^2*(1.5*(O240^2-MAX(N240,($N$4*8/10))^2)-($N$4*8/10)*(O240-MAX(N240,($N$4*8/10)))),0))*1000,0)</f>
        <v>0</v>
      </c>
      <c r="AV240" s="120">
        <f>IF(AND(V240="OK",ISNUMBER($N$5),$N$5&gt;0,ISNUMBER($N$3),$N$3&gt;0),R240/(6*$N$3*1000000*$N$5)*(IF(N240&lt;($N$4*9/10),($N$4*9/10)*(MIN(O240,($N$4*9/10))^3-N240^3)-(MIN(O240,($N$4*9/10))^4-N240^4)/4,0)+IF(O240&gt;($N$4*9/10),($N$4*9/10)^2*(1.5*(O240^2-MAX(N240,($N$4*9/10))^2)-($N$4*9/10)*(O240-MAX(N240,($N$4*9/10)))),0))*1000,0)</f>
        <v>0</v>
      </c>
      <c r="AW240" s="120">
        <f>IF(AND(V240="OK",ISNUMBER($N$5),$N$5&gt;0,ISNUMBER($N$3),$N$3&gt;0),R240/(6*$N$3*1000000*$N$5)*(IF(N240&lt;($N$4*10/10),($N$4*10/10)*(MIN(O240,($N$4*10/10))^3-N240^3)-(MIN(O240,($N$4*10/10))^4-N240^4)/4,0)+IF(O240&gt;($N$4*10/10),($N$4*10/10)^2*(1.5*(O240^2-MAX(N240,($N$4*10/10))^2)-($N$4*10/10)*(O240-MAX(N240,($N$4*10/10)))),0))*1000,0)</f>
        <v>0</v>
      </c>
    </row>
    <row r="241" spans="1:49">
      <c r="A241" s="124"/>
      <c r="B241" s="125"/>
      <c r="C241" s="125"/>
      <c r="D241" s="125"/>
      <c r="E241" s="125"/>
      <c r="F241" s="126" t="str">
        <f>IF(J241="OK",D241*E241,"")</f>
        <v/>
      </c>
      <c r="G241" s="126" t="str">
        <f>IF(J241="OK",F241*(C241-B241),"")</f>
        <v/>
      </c>
      <c r="H241" s="126" t="str">
        <f>IF(J241="OK",G241*(C241+B241)/2,"")</f>
        <v/>
      </c>
      <c r="I241" s="126" t="str">
        <f>IF(AND(J241="OK",ISNUMBER($B$5),$B$5&gt;0,ISNUMBER($B$3),$B$3&gt;0),F241*(4*$B$4*(C241^3-B241^3)-(C241^4-B241^4))/(24*$B$3*1000000*$B$5)*1000,"")</f>
        <v/>
      </c>
      <c r="J241" s="120" t="str">
        <f>IF(COUNTA(A241:E241)=0,"",IF(AND(COUNT(B241:E241)=4,B241&gt;=0,C241&gt;B241,C241&lt;=$B$4,D241&gt;=0,E241&gt;0),IF(COUNTIFS($B$13:$B$240,"&lt;"&amp;C241,$C$13:$C$240,"&gt;"&amp;B241)&gt;0,"OVERLAP","OK"),"CHECK INPUTS"))</f>
        <v/>
      </c>
      <c r="M241" s="124"/>
      <c r="N241" s="125"/>
      <c r="O241" s="125"/>
      <c r="P241" s="125"/>
      <c r="Q241" s="125"/>
      <c r="R241" s="126" t="str">
        <f>IF(V241="OK",P241*Q241,"")</f>
        <v/>
      </c>
      <c r="S241" s="126" t="str">
        <f>IF(V241="OK",R241*(O241-N241),"")</f>
        <v/>
      </c>
      <c r="T241" s="126" t="str">
        <f>IF(V241="OK",S241*(O241+N241)/2,"")</f>
        <v/>
      </c>
      <c r="U241" s="126" t="str">
        <f>IF(AND(V241="OK",ISNUMBER($N$5),$N$5&gt;0,ISNUMBER($N$3),$N$3&gt;0),R241*(4*$N$4*(O241^3-N241^3)-(O241^4-N241^4))/(24*$N$3*1000000*$N$5)*1000,"")</f>
        <v/>
      </c>
      <c r="V241" s="120" t="str">
        <f>IF(COUNTA(M241:Q241)=0,"",IF(AND(COUNT(N241:Q241)=4,N241&gt;=0,O241&gt;N241,O241&lt;=$N$4,P241&gt;=0,Q241&gt;0),IF(COUNTIFS($N$13:$N$240,"&lt;"&amp;O241,$O$13:$O$240,"&gt;"&amp;N241)&gt;0,"OVERLAP","OK"),"CHECK INPUTS"))</f>
        <v/>
      </c>
      <c r="AA241" s="120">
        <f>IF(AND(J241="OK",ISNUMBER($B$5),$B$5&gt;0,ISNUMBER($B$3),$B$3&gt;0),F241/(6*$B$3*1000000*$B$5)*(IF(B241&lt;($B$4*0/10),($B$4*0/10)*(MIN(C241,($B$4*0/10))^3-B241^3)-(MIN(C241,($B$4*0/10))^4-B241^4)/4,0)+IF(C241&gt;($B$4*0/10),($B$4*0/10)^2*(1.5*(C241^2-MAX(B241,($B$4*0/10))^2)-($B$4*0/10)*(C241-MAX(B241,($B$4*0/10)))),0))*1000,0)</f>
        <v>0</v>
      </c>
      <c r="AB241" s="120">
        <f>IF(AND(J241="OK",ISNUMBER($B$5),$B$5&gt;0,ISNUMBER($B$3),$B$3&gt;0),F241/(6*$B$3*1000000*$B$5)*(IF(B241&lt;($B$4*1/10),($B$4*1/10)*(MIN(C241,($B$4*1/10))^3-B241^3)-(MIN(C241,($B$4*1/10))^4-B241^4)/4,0)+IF(C241&gt;($B$4*1/10),($B$4*1/10)^2*(1.5*(C241^2-MAX(B241,($B$4*1/10))^2)-($B$4*1/10)*(C241-MAX(B241,($B$4*1/10)))),0))*1000,0)</f>
        <v>0</v>
      </c>
      <c r="AC241" s="120">
        <f>IF(AND(J241="OK",ISNUMBER($B$5),$B$5&gt;0,ISNUMBER($B$3),$B$3&gt;0),F241/(6*$B$3*1000000*$B$5)*(IF(B241&lt;($B$4*2/10),($B$4*2/10)*(MIN(C241,($B$4*2/10))^3-B241^3)-(MIN(C241,($B$4*2/10))^4-B241^4)/4,0)+IF(C241&gt;($B$4*2/10),($B$4*2/10)^2*(1.5*(C241^2-MAX(B241,($B$4*2/10))^2)-($B$4*2/10)*(C241-MAX(B241,($B$4*2/10)))),0))*1000,0)</f>
        <v>0</v>
      </c>
      <c r="AD241" s="120">
        <f>IF(AND(J241="OK",ISNUMBER($B$5),$B$5&gt;0,ISNUMBER($B$3),$B$3&gt;0),F241/(6*$B$3*1000000*$B$5)*(IF(B241&lt;($B$4*3/10),($B$4*3/10)*(MIN(C241,($B$4*3/10))^3-B241^3)-(MIN(C241,($B$4*3/10))^4-B241^4)/4,0)+IF(C241&gt;($B$4*3/10),($B$4*3/10)^2*(1.5*(C241^2-MAX(B241,($B$4*3/10))^2)-($B$4*3/10)*(C241-MAX(B241,($B$4*3/10)))),0))*1000,0)</f>
        <v>0</v>
      </c>
      <c r="AE241" s="120">
        <f>IF(AND(J241="OK",ISNUMBER($B$5),$B$5&gt;0,ISNUMBER($B$3),$B$3&gt;0),F241/(6*$B$3*1000000*$B$5)*(IF(B241&lt;($B$4*4/10),($B$4*4/10)*(MIN(C241,($B$4*4/10))^3-B241^3)-(MIN(C241,($B$4*4/10))^4-B241^4)/4,0)+IF(C241&gt;($B$4*4/10),($B$4*4/10)^2*(1.5*(C241^2-MAX(B241,($B$4*4/10))^2)-($B$4*4/10)*(C241-MAX(B241,($B$4*4/10)))),0))*1000,0)</f>
        <v>0</v>
      </c>
      <c r="AF241" s="120">
        <f>IF(AND(J241="OK",ISNUMBER($B$5),$B$5&gt;0,ISNUMBER($B$3),$B$3&gt;0),F241/(6*$B$3*1000000*$B$5)*(IF(B241&lt;($B$4*5/10),($B$4*5/10)*(MIN(C241,($B$4*5/10))^3-B241^3)-(MIN(C241,($B$4*5/10))^4-B241^4)/4,0)+IF(C241&gt;($B$4*5/10),($B$4*5/10)^2*(1.5*(C241^2-MAX(B241,($B$4*5/10))^2)-($B$4*5/10)*(C241-MAX(B241,($B$4*5/10)))),0))*1000,0)</f>
        <v>0</v>
      </c>
      <c r="AG241" s="120">
        <f>IF(AND(J241="OK",ISNUMBER($B$5),$B$5&gt;0,ISNUMBER($B$3),$B$3&gt;0),F241/(6*$B$3*1000000*$B$5)*(IF(B241&lt;($B$4*6/10),($B$4*6/10)*(MIN(C241,($B$4*6/10))^3-B241^3)-(MIN(C241,($B$4*6/10))^4-B241^4)/4,0)+IF(C241&gt;($B$4*6/10),($B$4*6/10)^2*(1.5*(C241^2-MAX(B241,($B$4*6/10))^2)-($B$4*6/10)*(C241-MAX(B241,($B$4*6/10)))),0))*1000,0)</f>
        <v>0</v>
      </c>
      <c r="AH241" s="120">
        <f>IF(AND(J241="OK",ISNUMBER($B$5),$B$5&gt;0,ISNUMBER($B$3),$B$3&gt;0),F241/(6*$B$3*1000000*$B$5)*(IF(B241&lt;($B$4*7/10),($B$4*7/10)*(MIN(C241,($B$4*7/10))^3-B241^3)-(MIN(C241,($B$4*7/10))^4-B241^4)/4,0)+IF(C241&gt;($B$4*7/10),($B$4*7/10)^2*(1.5*(C241^2-MAX(B241,($B$4*7/10))^2)-($B$4*7/10)*(C241-MAX(B241,($B$4*7/10)))),0))*1000,0)</f>
        <v>0</v>
      </c>
      <c r="AI241" s="120">
        <f>IF(AND(J241="OK",ISNUMBER($B$5),$B$5&gt;0,ISNUMBER($B$3),$B$3&gt;0),F241/(6*$B$3*1000000*$B$5)*(IF(B241&lt;($B$4*8/10),($B$4*8/10)*(MIN(C241,($B$4*8/10))^3-B241^3)-(MIN(C241,($B$4*8/10))^4-B241^4)/4,0)+IF(C241&gt;($B$4*8/10),($B$4*8/10)^2*(1.5*(C241^2-MAX(B241,($B$4*8/10))^2)-($B$4*8/10)*(C241-MAX(B241,($B$4*8/10)))),0))*1000,0)</f>
        <v>0</v>
      </c>
      <c r="AJ241" s="120">
        <f>IF(AND(J241="OK",ISNUMBER($B$5),$B$5&gt;0,ISNUMBER($B$3),$B$3&gt;0),F241/(6*$B$3*1000000*$B$5)*(IF(B241&lt;($B$4*9/10),($B$4*9/10)*(MIN(C241,($B$4*9/10))^3-B241^3)-(MIN(C241,($B$4*9/10))^4-B241^4)/4,0)+IF(C241&gt;($B$4*9/10),($B$4*9/10)^2*(1.5*(C241^2-MAX(B241,($B$4*9/10))^2)-($B$4*9/10)*(C241-MAX(B241,($B$4*9/10)))),0))*1000,0)</f>
        <v>0</v>
      </c>
      <c r="AK241" s="120">
        <f>IF(AND(J241="OK",ISNUMBER($B$5),$B$5&gt;0,ISNUMBER($B$3),$B$3&gt;0),F241/(6*$B$3*1000000*$B$5)*(IF(B241&lt;($B$4*10/10),($B$4*10/10)*(MIN(C241,($B$4*10/10))^3-B241^3)-(MIN(C241,($B$4*10/10))^4-B241^4)/4,0)+IF(C241&gt;($B$4*10/10),($B$4*10/10)^2*(1.5*(C241^2-MAX(B241,($B$4*10/10))^2)-($B$4*10/10)*(C241-MAX(B241,($B$4*10/10)))),0))*1000,0)</f>
        <v>0</v>
      </c>
      <c r="AM241" s="120">
        <f>IF(AND(V241="OK",ISNUMBER($N$5),$N$5&gt;0,ISNUMBER($N$3),$N$3&gt;0),R241/(6*$N$3*1000000*$N$5)*(IF(N241&lt;($N$4*0/10),($N$4*0/10)*(MIN(O241,($N$4*0/10))^3-N241^3)-(MIN(O241,($N$4*0/10))^4-N241^4)/4,0)+IF(O241&gt;($N$4*0/10),($N$4*0/10)^2*(1.5*(O241^2-MAX(N241,($N$4*0/10))^2)-($N$4*0/10)*(O241-MAX(N241,($N$4*0/10)))),0))*1000,0)</f>
        <v>0</v>
      </c>
      <c r="AN241" s="120">
        <f>IF(AND(V241="OK",ISNUMBER($N$5),$N$5&gt;0,ISNUMBER($N$3),$N$3&gt;0),R241/(6*$N$3*1000000*$N$5)*(IF(N241&lt;($N$4*1/10),($N$4*1/10)*(MIN(O241,($N$4*1/10))^3-N241^3)-(MIN(O241,($N$4*1/10))^4-N241^4)/4,0)+IF(O241&gt;($N$4*1/10),($N$4*1/10)^2*(1.5*(O241^2-MAX(N241,($N$4*1/10))^2)-($N$4*1/10)*(O241-MAX(N241,($N$4*1/10)))),0))*1000,0)</f>
        <v>0</v>
      </c>
      <c r="AO241" s="120">
        <f>IF(AND(V241="OK",ISNUMBER($N$5),$N$5&gt;0,ISNUMBER($N$3),$N$3&gt;0),R241/(6*$N$3*1000000*$N$5)*(IF(N241&lt;($N$4*2/10),($N$4*2/10)*(MIN(O241,($N$4*2/10))^3-N241^3)-(MIN(O241,($N$4*2/10))^4-N241^4)/4,0)+IF(O241&gt;($N$4*2/10),($N$4*2/10)^2*(1.5*(O241^2-MAX(N241,($N$4*2/10))^2)-($N$4*2/10)*(O241-MAX(N241,($N$4*2/10)))),0))*1000,0)</f>
        <v>0</v>
      </c>
      <c r="AP241" s="120">
        <f>IF(AND(V241="OK",ISNUMBER($N$5),$N$5&gt;0,ISNUMBER($N$3),$N$3&gt;0),R241/(6*$N$3*1000000*$N$5)*(IF(N241&lt;($N$4*3/10),($N$4*3/10)*(MIN(O241,($N$4*3/10))^3-N241^3)-(MIN(O241,($N$4*3/10))^4-N241^4)/4,0)+IF(O241&gt;($N$4*3/10),($N$4*3/10)^2*(1.5*(O241^2-MAX(N241,($N$4*3/10))^2)-($N$4*3/10)*(O241-MAX(N241,($N$4*3/10)))),0))*1000,0)</f>
        <v>0</v>
      </c>
      <c r="AQ241" s="120">
        <f>IF(AND(V241="OK",ISNUMBER($N$5),$N$5&gt;0,ISNUMBER($N$3),$N$3&gt;0),R241/(6*$N$3*1000000*$N$5)*(IF(N241&lt;($N$4*4/10),($N$4*4/10)*(MIN(O241,($N$4*4/10))^3-N241^3)-(MIN(O241,($N$4*4/10))^4-N241^4)/4,0)+IF(O241&gt;($N$4*4/10),($N$4*4/10)^2*(1.5*(O241^2-MAX(N241,($N$4*4/10))^2)-($N$4*4/10)*(O241-MAX(N241,($N$4*4/10)))),0))*1000,0)</f>
        <v>0</v>
      </c>
      <c r="AR241" s="120">
        <f>IF(AND(V241="OK",ISNUMBER($N$5),$N$5&gt;0,ISNUMBER($N$3),$N$3&gt;0),R241/(6*$N$3*1000000*$N$5)*(IF(N241&lt;($N$4*5/10),($N$4*5/10)*(MIN(O241,($N$4*5/10))^3-N241^3)-(MIN(O241,($N$4*5/10))^4-N241^4)/4,0)+IF(O241&gt;($N$4*5/10),($N$4*5/10)^2*(1.5*(O241^2-MAX(N241,($N$4*5/10))^2)-($N$4*5/10)*(O241-MAX(N241,($N$4*5/10)))),0))*1000,0)</f>
        <v>0</v>
      </c>
      <c r="AS241" s="120">
        <f>IF(AND(V241="OK",ISNUMBER($N$5),$N$5&gt;0,ISNUMBER($N$3),$N$3&gt;0),R241/(6*$N$3*1000000*$N$5)*(IF(N241&lt;($N$4*6/10),($N$4*6/10)*(MIN(O241,($N$4*6/10))^3-N241^3)-(MIN(O241,($N$4*6/10))^4-N241^4)/4,0)+IF(O241&gt;($N$4*6/10),($N$4*6/10)^2*(1.5*(O241^2-MAX(N241,($N$4*6/10))^2)-($N$4*6/10)*(O241-MAX(N241,($N$4*6/10)))),0))*1000,0)</f>
        <v>0</v>
      </c>
      <c r="AT241" s="120">
        <f>IF(AND(V241="OK",ISNUMBER($N$5),$N$5&gt;0,ISNUMBER($N$3),$N$3&gt;0),R241/(6*$N$3*1000000*$N$5)*(IF(N241&lt;($N$4*7/10),($N$4*7/10)*(MIN(O241,($N$4*7/10))^3-N241^3)-(MIN(O241,($N$4*7/10))^4-N241^4)/4,0)+IF(O241&gt;($N$4*7/10),($N$4*7/10)^2*(1.5*(O241^2-MAX(N241,($N$4*7/10))^2)-($N$4*7/10)*(O241-MAX(N241,($N$4*7/10)))),0))*1000,0)</f>
        <v>0</v>
      </c>
      <c r="AU241" s="120">
        <f>IF(AND(V241="OK",ISNUMBER($N$5),$N$5&gt;0,ISNUMBER($N$3),$N$3&gt;0),R241/(6*$N$3*1000000*$N$5)*(IF(N241&lt;($N$4*8/10),($N$4*8/10)*(MIN(O241,($N$4*8/10))^3-N241^3)-(MIN(O241,($N$4*8/10))^4-N241^4)/4,0)+IF(O241&gt;($N$4*8/10),($N$4*8/10)^2*(1.5*(O241^2-MAX(N241,($N$4*8/10))^2)-($N$4*8/10)*(O241-MAX(N241,($N$4*8/10)))),0))*1000,0)</f>
        <v>0</v>
      </c>
      <c r="AV241" s="120">
        <f>IF(AND(V241="OK",ISNUMBER($N$5),$N$5&gt;0,ISNUMBER($N$3),$N$3&gt;0),R241/(6*$N$3*1000000*$N$5)*(IF(N241&lt;($N$4*9/10),($N$4*9/10)*(MIN(O241,($N$4*9/10))^3-N241^3)-(MIN(O241,($N$4*9/10))^4-N241^4)/4,0)+IF(O241&gt;($N$4*9/10),($N$4*9/10)^2*(1.5*(O241^2-MAX(N241,($N$4*9/10))^2)-($N$4*9/10)*(O241-MAX(N241,($N$4*9/10)))),0))*1000,0)</f>
        <v>0</v>
      </c>
      <c r="AW241" s="120">
        <f>IF(AND(V241="OK",ISNUMBER($N$5),$N$5&gt;0,ISNUMBER($N$3),$N$3&gt;0),R241/(6*$N$3*1000000*$N$5)*(IF(N241&lt;($N$4*10/10),($N$4*10/10)*(MIN(O241,($N$4*10/10))^3-N241^3)-(MIN(O241,($N$4*10/10))^4-N241^4)/4,0)+IF(O241&gt;($N$4*10/10),($N$4*10/10)^2*(1.5*(O241^2-MAX(N241,($N$4*10/10))^2)-($N$4*10/10)*(O241-MAX(N241,($N$4*10/10)))),0))*1000,0)</f>
        <v>0</v>
      </c>
    </row>
    <row r="242" spans="1:49">
      <c r="A242" s="124"/>
      <c r="B242" s="125"/>
      <c r="C242" s="125"/>
      <c r="D242" s="125"/>
      <c r="E242" s="125"/>
      <c r="F242" s="126" t="str">
        <f>IF(J242="OK",D242*E242,"")</f>
        <v/>
      </c>
      <c r="G242" s="126" t="str">
        <f>IF(J242="OK",F242*(C242-B242),"")</f>
        <v/>
      </c>
      <c r="H242" s="126" t="str">
        <f>IF(J242="OK",G242*(C242+B242)/2,"")</f>
        <v/>
      </c>
      <c r="I242" s="126" t="str">
        <f>IF(AND(J242="OK",ISNUMBER($B$5),$B$5&gt;0,ISNUMBER($B$3),$B$3&gt;0),F242*(4*$B$4*(C242^3-B242^3)-(C242^4-B242^4))/(24*$B$3*1000000*$B$5)*1000,"")</f>
        <v/>
      </c>
      <c r="J242" s="120" t="str">
        <f>IF(COUNTA(A242:E242)=0,"",IF(AND(COUNT(B242:E242)=4,B242&gt;=0,C242&gt;B242,C242&lt;=$B$4,D242&gt;=0,E242&gt;0),IF(COUNTIFS($B$13:$B$241,"&lt;"&amp;C242,$C$13:$C$241,"&gt;"&amp;B242)&gt;0,"OVERLAP","OK"),"CHECK INPUTS"))</f>
        <v/>
      </c>
      <c r="M242" s="124"/>
      <c r="N242" s="125"/>
      <c r="O242" s="125"/>
      <c r="P242" s="125"/>
      <c r="Q242" s="125"/>
      <c r="R242" s="126" t="str">
        <f>IF(V242="OK",P242*Q242,"")</f>
        <v/>
      </c>
      <c r="S242" s="126" t="str">
        <f>IF(V242="OK",R242*(O242-N242),"")</f>
        <v/>
      </c>
      <c r="T242" s="126" t="str">
        <f>IF(V242="OK",S242*(O242+N242)/2,"")</f>
        <v/>
      </c>
      <c r="U242" s="126" t="str">
        <f>IF(AND(V242="OK",ISNUMBER($N$5),$N$5&gt;0,ISNUMBER($N$3),$N$3&gt;0),R242*(4*$N$4*(O242^3-N242^3)-(O242^4-N242^4))/(24*$N$3*1000000*$N$5)*1000,"")</f>
        <v/>
      </c>
      <c r="V242" s="120" t="str">
        <f>IF(COUNTA(M242:Q242)=0,"",IF(AND(COUNT(N242:Q242)=4,N242&gt;=0,O242&gt;N242,O242&lt;=$N$4,P242&gt;=0,Q242&gt;0),IF(COUNTIFS($N$13:$N$241,"&lt;"&amp;O242,$O$13:$O$241,"&gt;"&amp;N242)&gt;0,"OVERLAP","OK"),"CHECK INPUTS"))</f>
        <v/>
      </c>
      <c r="AA242" s="120">
        <f>IF(AND(J242="OK",ISNUMBER($B$5),$B$5&gt;0,ISNUMBER($B$3),$B$3&gt;0),F242/(6*$B$3*1000000*$B$5)*(IF(B242&lt;($B$4*0/10),($B$4*0/10)*(MIN(C242,($B$4*0/10))^3-B242^3)-(MIN(C242,($B$4*0/10))^4-B242^4)/4,0)+IF(C242&gt;($B$4*0/10),($B$4*0/10)^2*(1.5*(C242^2-MAX(B242,($B$4*0/10))^2)-($B$4*0/10)*(C242-MAX(B242,($B$4*0/10)))),0))*1000,0)</f>
        <v>0</v>
      </c>
      <c r="AB242" s="120">
        <f>IF(AND(J242="OK",ISNUMBER($B$5),$B$5&gt;0,ISNUMBER($B$3),$B$3&gt;0),F242/(6*$B$3*1000000*$B$5)*(IF(B242&lt;($B$4*1/10),($B$4*1/10)*(MIN(C242,($B$4*1/10))^3-B242^3)-(MIN(C242,($B$4*1/10))^4-B242^4)/4,0)+IF(C242&gt;($B$4*1/10),($B$4*1/10)^2*(1.5*(C242^2-MAX(B242,($B$4*1/10))^2)-($B$4*1/10)*(C242-MAX(B242,($B$4*1/10)))),0))*1000,0)</f>
        <v>0</v>
      </c>
      <c r="AC242" s="120">
        <f>IF(AND(J242="OK",ISNUMBER($B$5),$B$5&gt;0,ISNUMBER($B$3),$B$3&gt;0),F242/(6*$B$3*1000000*$B$5)*(IF(B242&lt;($B$4*2/10),($B$4*2/10)*(MIN(C242,($B$4*2/10))^3-B242^3)-(MIN(C242,($B$4*2/10))^4-B242^4)/4,0)+IF(C242&gt;($B$4*2/10),($B$4*2/10)^2*(1.5*(C242^2-MAX(B242,($B$4*2/10))^2)-($B$4*2/10)*(C242-MAX(B242,($B$4*2/10)))),0))*1000,0)</f>
        <v>0</v>
      </c>
      <c r="AD242" s="120">
        <f>IF(AND(J242="OK",ISNUMBER($B$5),$B$5&gt;0,ISNUMBER($B$3),$B$3&gt;0),F242/(6*$B$3*1000000*$B$5)*(IF(B242&lt;($B$4*3/10),($B$4*3/10)*(MIN(C242,($B$4*3/10))^3-B242^3)-(MIN(C242,($B$4*3/10))^4-B242^4)/4,0)+IF(C242&gt;($B$4*3/10),($B$4*3/10)^2*(1.5*(C242^2-MAX(B242,($B$4*3/10))^2)-($B$4*3/10)*(C242-MAX(B242,($B$4*3/10)))),0))*1000,0)</f>
        <v>0</v>
      </c>
      <c r="AE242" s="120">
        <f>IF(AND(J242="OK",ISNUMBER($B$5),$B$5&gt;0,ISNUMBER($B$3),$B$3&gt;0),F242/(6*$B$3*1000000*$B$5)*(IF(B242&lt;($B$4*4/10),($B$4*4/10)*(MIN(C242,($B$4*4/10))^3-B242^3)-(MIN(C242,($B$4*4/10))^4-B242^4)/4,0)+IF(C242&gt;($B$4*4/10),($B$4*4/10)^2*(1.5*(C242^2-MAX(B242,($B$4*4/10))^2)-($B$4*4/10)*(C242-MAX(B242,($B$4*4/10)))),0))*1000,0)</f>
        <v>0</v>
      </c>
      <c r="AF242" s="120">
        <f>IF(AND(J242="OK",ISNUMBER($B$5),$B$5&gt;0,ISNUMBER($B$3),$B$3&gt;0),F242/(6*$B$3*1000000*$B$5)*(IF(B242&lt;($B$4*5/10),($B$4*5/10)*(MIN(C242,($B$4*5/10))^3-B242^3)-(MIN(C242,($B$4*5/10))^4-B242^4)/4,0)+IF(C242&gt;($B$4*5/10),($B$4*5/10)^2*(1.5*(C242^2-MAX(B242,($B$4*5/10))^2)-($B$4*5/10)*(C242-MAX(B242,($B$4*5/10)))),0))*1000,0)</f>
        <v>0</v>
      </c>
      <c r="AG242" s="120">
        <f>IF(AND(J242="OK",ISNUMBER($B$5),$B$5&gt;0,ISNUMBER($B$3),$B$3&gt;0),F242/(6*$B$3*1000000*$B$5)*(IF(B242&lt;($B$4*6/10),($B$4*6/10)*(MIN(C242,($B$4*6/10))^3-B242^3)-(MIN(C242,($B$4*6/10))^4-B242^4)/4,0)+IF(C242&gt;($B$4*6/10),($B$4*6/10)^2*(1.5*(C242^2-MAX(B242,($B$4*6/10))^2)-($B$4*6/10)*(C242-MAX(B242,($B$4*6/10)))),0))*1000,0)</f>
        <v>0</v>
      </c>
      <c r="AH242" s="120">
        <f>IF(AND(J242="OK",ISNUMBER($B$5),$B$5&gt;0,ISNUMBER($B$3),$B$3&gt;0),F242/(6*$B$3*1000000*$B$5)*(IF(B242&lt;($B$4*7/10),($B$4*7/10)*(MIN(C242,($B$4*7/10))^3-B242^3)-(MIN(C242,($B$4*7/10))^4-B242^4)/4,0)+IF(C242&gt;($B$4*7/10),($B$4*7/10)^2*(1.5*(C242^2-MAX(B242,($B$4*7/10))^2)-($B$4*7/10)*(C242-MAX(B242,($B$4*7/10)))),0))*1000,0)</f>
        <v>0</v>
      </c>
      <c r="AI242" s="120">
        <f>IF(AND(J242="OK",ISNUMBER($B$5),$B$5&gt;0,ISNUMBER($B$3),$B$3&gt;0),F242/(6*$B$3*1000000*$B$5)*(IF(B242&lt;($B$4*8/10),($B$4*8/10)*(MIN(C242,($B$4*8/10))^3-B242^3)-(MIN(C242,($B$4*8/10))^4-B242^4)/4,0)+IF(C242&gt;($B$4*8/10),($B$4*8/10)^2*(1.5*(C242^2-MAX(B242,($B$4*8/10))^2)-($B$4*8/10)*(C242-MAX(B242,($B$4*8/10)))),0))*1000,0)</f>
        <v>0</v>
      </c>
      <c r="AJ242" s="120">
        <f>IF(AND(J242="OK",ISNUMBER($B$5),$B$5&gt;0,ISNUMBER($B$3),$B$3&gt;0),F242/(6*$B$3*1000000*$B$5)*(IF(B242&lt;($B$4*9/10),($B$4*9/10)*(MIN(C242,($B$4*9/10))^3-B242^3)-(MIN(C242,($B$4*9/10))^4-B242^4)/4,0)+IF(C242&gt;($B$4*9/10),($B$4*9/10)^2*(1.5*(C242^2-MAX(B242,($B$4*9/10))^2)-($B$4*9/10)*(C242-MAX(B242,($B$4*9/10)))),0))*1000,0)</f>
        <v>0</v>
      </c>
      <c r="AK242" s="120">
        <f>IF(AND(J242="OK",ISNUMBER($B$5),$B$5&gt;0,ISNUMBER($B$3),$B$3&gt;0),F242/(6*$B$3*1000000*$B$5)*(IF(B242&lt;($B$4*10/10),($B$4*10/10)*(MIN(C242,($B$4*10/10))^3-B242^3)-(MIN(C242,($B$4*10/10))^4-B242^4)/4,0)+IF(C242&gt;($B$4*10/10),($B$4*10/10)^2*(1.5*(C242^2-MAX(B242,($B$4*10/10))^2)-($B$4*10/10)*(C242-MAX(B242,($B$4*10/10)))),0))*1000,0)</f>
        <v>0</v>
      </c>
      <c r="AM242" s="120">
        <f>IF(AND(V242="OK",ISNUMBER($N$5),$N$5&gt;0,ISNUMBER($N$3),$N$3&gt;0),R242/(6*$N$3*1000000*$N$5)*(IF(N242&lt;($N$4*0/10),($N$4*0/10)*(MIN(O242,($N$4*0/10))^3-N242^3)-(MIN(O242,($N$4*0/10))^4-N242^4)/4,0)+IF(O242&gt;($N$4*0/10),($N$4*0/10)^2*(1.5*(O242^2-MAX(N242,($N$4*0/10))^2)-($N$4*0/10)*(O242-MAX(N242,($N$4*0/10)))),0))*1000,0)</f>
        <v>0</v>
      </c>
      <c r="AN242" s="120">
        <f>IF(AND(V242="OK",ISNUMBER($N$5),$N$5&gt;0,ISNUMBER($N$3),$N$3&gt;0),R242/(6*$N$3*1000000*$N$5)*(IF(N242&lt;($N$4*1/10),($N$4*1/10)*(MIN(O242,($N$4*1/10))^3-N242^3)-(MIN(O242,($N$4*1/10))^4-N242^4)/4,0)+IF(O242&gt;($N$4*1/10),($N$4*1/10)^2*(1.5*(O242^2-MAX(N242,($N$4*1/10))^2)-($N$4*1/10)*(O242-MAX(N242,($N$4*1/10)))),0))*1000,0)</f>
        <v>0</v>
      </c>
      <c r="AO242" s="120">
        <f>IF(AND(V242="OK",ISNUMBER($N$5),$N$5&gt;0,ISNUMBER($N$3),$N$3&gt;0),R242/(6*$N$3*1000000*$N$5)*(IF(N242&lt;($N$4*2/10),($N$4*2/10)*(MIN(O242,($N$4*2/10))^3-N242^3)-(MIN(O242,($N$4*2/10))^4-N242^4)/4,0)+IF(O242&gt;($N$4*2/10),($N$4*2/10)^2*(1.5*(O242^2-MAX(N242,($N$4*2/10))^2)-($N$4*2/10)*(O242-MAX(N242,($N$4*2/10)))),0))*1000,0)</f>
        <v>0</v>
      </c>
      <c r="AP242" s="120">
        <f>IF(AND(V242="OK",ISNUMBER($N$5),$N$5&gt;0,ISNUMBER($N$3),$N$3&gt;0),R242/(6*$N$3*1000000*$N$5)*(IF(N242&lt;($N$4*3/10),($N$4*3/10)*(MIN(O242,($N$4*3/10))^3-N242^3)-(MIN(O242,($N$4*3/10))^4-N242^4)/4,0)+IF(O242&gt;($N$4*3/10),($N$4*3/10)^2*(1.5*(O242^2-MAX(N242,($N$4*3/10))^2)-($N$4*3/10)*(O242-MAX(N242,($N$4*3/10)))),0))*1000,0)</f>
        <v>0</v>
      </c>
      <c r="AQ242" s="120">
        <f>IF(AND(V242="OK",ISNUMBER($N$5),$N$5&gt;0,ISNUMBER($N$3),$N$3&gt;0),R242/(6*$N$3*1000000*$N$5)*(IF(N242&lt;($N$4*4/10),($N$4*4/10)*(MIN(O242,($N$4*4/10))^3-N242^3)-(MIN(O242,($N$4*4/10))^4-N242^4)/4,0)+IF(O242&gt;($N$4*4/10),($N$4*4/10)^2*(1.5*(O242^2-MAX(N242,($N$4*4/10))^2)-($N$4*4/10)*(O242-MAX(N242,($N$4*4/10)))),0))*1000,0)</f>
        <v>0</v>
      </c>
      <c r="AR242" s="120">
        <f>IF(AND(V242="OK",ISNUMBER($N$5),$N$5&gt;0,ISNUMBER($N$3),$N$3&gt;0),R242/(6*$N$3*1000000*$N$5)*(IF(N242&lt;($N$4*5/10),($N$4*5/10)*(MIN(O242,($N$4*5/10))^3-N242^3)-(MIN(O242,($N$4*5/10))^4-N242^4)/4,0)+IF(O242&gt;($N$4*5/10),($N$4*5/10)^2*(1.5*(O242^2-MAX(N242,($N$4*5/10))^2)-($N$4*5/10)*(O242-MAX(N242,($N$4*5/10)))),0))*1000,0)</f>
        <v>0</v>
      </c>
      <c r="AS242" s="120">
        <f>IF(AND(V242="OK",ISNUMBER($N$5),$N$5&gt;0,ISNUMBER($N$3),$N$3&gt;0),R242/(6*$N$3*1000000*$N$5)*(IF(N242&lt;($N$4*6/10),($N$4*6/10)*(MIN(O242,($N$4*6/10))^3-N242^3)-(MIN(O242,($N$4*6/10))^4-N242^4)/4,0)+IF(O242&gt;($N$4*6/10),($N$4*6/10)^2*(1.5*(O242^2-MAX(N242,($N$4*6/10))^2)-($N$4*6/10)*(O242-MAX(N242,($N$4*6/10)))),0))*1000,0)</f>
        <v>0</v>
      </c>
      <c r="AT242" s="120">
        <f>IF(AND(V242="OK",ISNUMBER($N$5),$N$5&gt;0,ISNUMBER($N$3),$N$3&gt;0),R242/(6*$N$3*1000000*$N$5)*(IF(N242&lt;($N$4*7/10),($N$4*7/10)*(MIN(O242,($N$4*7/10))^3-N242^3)-(MIN(O242,($N$4*7/10))^4-N242^4)/4,0)+IF(O242&gt;($N$4*7/10),($N$4*7/10)^2*(1.5*(O242^2-MAX(N242,($N$4*7/10))^2)-($N$4*7/10)*(O242-MAX(N242,($N$4*7/10)))),0))*1000,0)</f>
        <v>0</v>
      </c>
      <c r="AU242" s="120">
        <f>IF(AND(V242="OK",ISNUMBER($N$5),$N$5&gt;0,ISNUMBER($N$3),$N$3&gt;0),R242/(6*$N$3*1000000*$N$5)*(IF(N242&lt;($N$4*8/10),($N$4*8/10)*(MIN(O242,($N$4*8/10))^3-N242^3)-(MIN(O242,($N$4*8/10))^4-N242^4)/4,0)+IF(O242&gt;($N$4*8/10),($N$4*8/10)^2*(1.5*(O242^2-MAX(N242,($N$4*8/10))^2)-($N$4*8/10)*(O242-MAX(N242,($N$4*8/10)))),0))*1000,0)</f>
        <v>0</v>
      </c>
      <c r="AV242" s="120">
        <f>IF(AND(V242="OK",ISNUMBER($N$5),$N$5&gt;0,ISNUMBER($N$3),$N$3&gt;0),R242/(6*$N$3*1000000*$N$5)*(IF(N242&lt;($N$4*9/10),($N$4*9/10)*(MIN(O242,($N$4*9/10))^3-N242^3)-(MIN(O242,($N$4*9/10))^4-N242^4)/4,0)+IF(O242&gt;($N$4*9/10),($N$4*9/10)^2*(1.5*(O242^2-MAX(N242,($N$4*9/10))^2)-($N$4*9/10)*(O242-MAX(N242,($N$4*9/10)))),0))*1000,0)</f>
        <v>0</v>
      </c>
      <c r="AW242" s="120">
        <f>IF(AND(V242="OK",ISNUMBER($N$5),$N$5&gt;0,ISNUMBER($N$3),$N$3&gt;0),R242/(6*$N$3*1000000*$N$5)*(IF(N242&lt;($N$4*10/10),($N$4*10/10)*(MIN(O242,($N$4*10/10))^3-N242^3)-(MIN(O242,($N$4*10/10))^4-N242^4)/4,0)+IF(O242&gt;($N$4*10/10),($N$4*10/10)^2*(1.5*(O242^2-MAX(N242,($N$4*10/10))^2)-($N$4*10/10)*(O242-MAX(N242,($N$4*10/10)))),0))*1000,0)</f>
        <v>0</v>
      </c>
    </row>
    <row r="243" spans="1:49">
      <c r="A243" s="124"/>
      <c r="B243" s="125"/>
      <c r="C243" s="125"/>
      <c r="D243" s="125"/>
      <c r="E243" s="125"/>
      <c r="F243" s="126" t="str">
        <f>IF(J243="OK",D243*E243,"")</f>
        <v/>
      </c>
      <c r="G243" s="126" t="str">
        <f>IF(J243="OK",F243*(C243-B243),"")</f>
        <v/>
      </c>
      <c r="H243" s="126" t="str">
        <f>IF(J243="OK",G243*(C243+B243)/2,"")</f>
        <v/>
      </c>
      <c r="I243" s="126" t="str">
        <f>IF(AND(J243="OK",ISNUMBER($B$5),$B$5&gt;0,ISNUMBER($B$3),$B$3&gt;0),F243*(4*$B$4*(C243^3-B243^3)-(C243^4-B243^4))/(24*$B$3*1000000*$B$5)*1000,"")</f>
        <v/>
      </c>
      <c r="J243" s="120" t="str">
        <f>IF(COUNTA(A243:E243)=0,"",IF(AND(COUNT(B243:E243)=4,B243&gt;=0,C243&gt;B243,C243&lt;=$B$4,D243&gt;=0,E243&gt;0),IF(COUNTIFS($B$13:$B$242,"&lt;"&amp;C243,$C$13:$C$242,"&gt;"&amp;B243)&gt;0,"OVERLAP","OK"),"CHECK INPUTS"))</f>
        <v/>
      </c>
      <c r="M243" s="124"/>
      <c r="N243" s="125"/>
      <c r="O243" s="125"/>
      <c r="P243" s="125"/>
      <c r="Q243" s="125"/>
      <c r="R243" s="126" t="str">
        <f>IF(V243="OK",P243*Q243,"")</f>
        <v/>
      </c>
      <c r="S243" s="126" t="str">
        <f>IF(V243="OK",R243*(O243-N243),"")</f>
        <v/>
      </c>
      <c r="T243" s="126" t="str">
        <f>IF(V243="OK",S243*(O243+N243)/2,"")</f>
        <v/>
      </c>
      <c r="U243" s="126" t="str">
        <f>IF(AND(V243="OK",ISNUMBER($N$5),$N$5&gt;0,ISNUMBER($N$3),$N$3&gt;0),R243*(4*$N$4*(O243^3-N243^3)-(O243^4-N243^4))/(24*$N$3*1000000*$N$5)*1000,"")</f>
        <v/>
      </c>
      <c r="V243" s="120" t="str">
        <f>IF(COUNTA(M243:Q243)=0,"",IF(AND(COUNT(N243:Q243)=4,N243&gt;=0,O243&gt;N243,O243&lt;=$N$4,P243&gt;=0,Q243&gt;0),IF(COUNTIFS($N$13:$N$242,"&lt;"&amp;O243,$O$13:$O$242,"&gt;"&amp;N243)&gt;0,"OVERLAP","OK"),"CHECK INPUTS"))</f>
        <v/>
      </c>
      <c r="AA243" s="120">
        <f>IF(AND(J243="OK",ISNUMBER($B$5),$B$5&gt;0,ISNUMBER($B$3),$B$3&gt;0),F243/(6*$B$3*1000000*$B$5)*(IF(B243&lt;($B$4*0/10),($B$4*0/10)*(MIN(C243,($B$4*0/10))^3-B243^3)-(MIN(C243,($B$4*0/10))^4-B243^4)/4,0)+IF(C243&gt;($B$4*0/10),($B$4*0/10)^2*(1.5*(C243^2-MAX(B243,($B$4*0/10))^2)-($B$4*0/10)*(C243-MAX(B243,($B$4*0/10)))),0))*1000,0)</f>
        <v>0</v>
      </c>
      <c r="AB243" s="120">
        <f>IF(AND(J243="OK",ISNUMBER($B$5),$B$5&gt;0,ISNUMBER($B$3),$B$3&gt;0),F243/(6*$B$3*1000000*$B$5)*(IF(B243&lt;($B$4*1/10),($B$4*1/10)*(MIN(C243,($B$4*1/10))^3-B243^3)-(MIN(C243,($B$4*1/10))^4-B243^4)/4,0)+IF(C243&gt;($B$4*1/10),($B$4*1/10)^2*(1.5*(C243^2-MAX(B243,($B$4*1/10))^2)-($B$4*1/10)*(C243-MAX(B243,($B$4*1/10)))),0))*1000,0)</f>
        <v>0</v>
      </c>
      <c r="AC243" s="120">
        <f>IF(AND(J243="OK",ISNUMBER($B$5),$B$5&gt;0,ISNUMBER($B$3),$B$3&gt;0),F243/(6*$B$3*1000000*$B$5)*(IF(B243&lt;($B$4*2/10),($B$4*2/10)*(MIN(C243,($B$4*2/10))^3-B243^3)-(MIN(C243,($B$4*2/10))^4-B243^4)/4,0)+IF(C243&gt;($B$4*2/10),($B$4*2/10)^2*(1.5*(C243^2-MAX(B243,($B$4*2/10))^2)-($B$4*2/10)*(C243-MAX(B243,($B$4*2/10)))),0))*1000,0)</f>
        <v>0</v>
      </c>
      <c r="AD243" s="120">
        <f>IF(AND(J243="OK",ISNUMBER($B$5),$B$5&gt;0,ISNUMBER($B$3),$B$3&gt;0),F243/(6*$B$3*1000000*$B$5)*(IF(B243&lt;($B$4*3/10),($B$4*3/10)*(MIN(C243,($B$4*3/10))^3-B243^3)-(MIN(C243,($B$4*3/10))^4-B243^4)/4,0)+IF(C243&gt;($B$4*3/10),($B$4*3/10)^2*(1.5*(C243^2-MAX(B243,($B$4*3/10))^2)-($B$4*3/10)*(C243-MAX(B243,($B$4*3/10)))),0))*1000,0)</f>
        <v>0</v>
      </c>
      <c r="AE243" s="120">
        <f>IF(AND(J243="OK",ISNUMBER($B$5),$B$5&gt;0,ISNUMBER($B$3),$B$3&gt;0),F243/(6*$B$3*1000000*$B$5)*(IF(B243&lt;($B$4*4/10),($B$4*4/10)*(MIN(C243,($B$4*4/10))^3-B243^3)-(MIN(C243,($B$4*4/10))^4-B243^4)/4,0)+IF(C243&gt;($B$4*4/10),($B$4*4/10)^2*(1.5*(C243^2-MAX(B243,($B$4*4/10))^2)-($B$4*4/10)*(C243-MAX(B243,($B$4*4/10)))),0))*1000,0)</f>
        <v>0</v>
      </c>
      <c r="AF243" s="120">
        <f>IF(AND(J243="OK",ISNUMBER($B$5),$B$5&gt;0,ISNUMBER($B$3),$B$3&gt;0),F243/(6*$B$3*1000000*$B$5)*(IF(B243&lt;($B$4*5/10),($B$4*5/10)*(MIN(C243,($B$4*5/10))^3-B243^3)-(MIN(C243,($B$4*5/10))^4-B243^4)/4,0)+IF(C243&gt;($B$4*5/10),($B$4*5/10)^2*(1.5*(C243^2-MAX(B243,($B$4*5/10))^2)-($B$4*5/10)*(C243-MAX(B243,($B$4*5/10)))),0))*1000,0)</f>
        <v>0</v>
      </c>
      <c r="AG243" s="120">
        <f>IF(AND(J243="OK",ISNUMBER($B$5),$B$5&gt;0,ISNUMBER($B$3),$B$3&gt;0),F243/(6*$B$3*1000000*$B$5)*(IF(B243&lt;($B$4*6/10),($B$4*6/10)*(MIN(C243,($B$4*6/10))^3-B243^3)-(MIN(C243,($B$4*6/10))^4-B243^4)/4,0)+IF(C243&gt;($B$4*6/10),($B$4*6/10)^2*(1.5*(C243^2-MAX(B243,($B$4*6/10))^2)-($B$4*6/10)*(C243-MAX(B243,($B$4*6/10)))),0))*1000,0)</f>
        <v>0</v>
      </c>
      <c r="AH243" s="120">
        <f>IF(AND(J243="OK",ISNUMBER($B$5),$B$5&gt;0,ISNUMBER($B$3),$B$3&gt;0),F243/(6*$B$3*1000000*$B$5)*(IF(B243&lt;($B$4*7/10),($B$4*7/10)*(MIN(C243,($B$4*7/10))^3-B243^3)-(MIN(C243,($B$4*7/10))^4-B243^4)/4,0)+IF(C243&gt;($B$4*7/10),($B$4*7/10)^2*(1.5*(C243^2-MAX(B243,($B$4*7/10))^2)-($B$4*7/10)*(C243-MAX(B243,($B$4*7/10)))),0))*1000,0)</f>
        <v>0</v>
      </c>
      <c r="AI243" s="120">
        <f>IF(AND(J243="OK",ISNUMBER($B$5),$B$5&gt;0,ISNUMBER($B$3),$B$3&gt;0),F243/(6*$B$3*1000000*$B$5)*(IF(B243&lt;($B$4*8/10),($B$4*8/10)*(MIN(C243,($B$4*8/10))^3-B243^3)-(MIN(C243,($B$4*8/10))^4-B243^4)/4,0)+IF(C243&gt;($B$4*8/10),($B$4*8/10)^2*(1.5*(C243^2-MAX(B243,($B$4*8/10))^2)-($B$4*8/10)*(C243-MAX(B243,($B$4*8/10)))),0))*1000,0)</f>
        <v>0</v>
      </c>
      <c r="AJ243" s="120">
        <f>IF(AND(J243="OK",ISNUMBER($B$5),$B$5&gt;0,ISNUMBER($B$3),$B$3&gt;0),F243/(6*$B$3*1000000*$B$5)*(IF(B243&lt;($B$4*9/10),($B$4*9/10)*(MIN(C243,($B$4*9/10))^3-B243^3)-(MIN(C243,($B$4*9/10))^4-B243^4)/4,0)+IF(C243&gt;($B$4*9/10),($B$4*9/10)^2*(1.5*(C243^2-MAX(B243,($B$4*9/10))^2)-($B$4*9/10)*(C243-MAX(B243,($B$4*9/10)))),0))*1000,0)</f>
        <v>0</v>
      </c>
      <c r="AK243" s="120">
        <f>IF(AND(J243="OK",ISNUMBER($B$5),$B$5&gt;0,ISNUMBER($B$3),$B$3&gt;0),F243/(6*$B$3*1000000*$B$5)*(IF(B243&lt;($B$4*10/10),($B$4*10/10)*(MIN(C243,($B$4*10/10))^3-B243^3)-(MIN(C243,($B$4*10/10))^4-B243^4)/4,0)+IF(C243&gt;($B$4*10/10),($B$4*10/10)^2*(1.5*(C243^2-MAX(B243,($B$4*10/10))^2)-($B$4*10/10)*(C243-MAX(B243,($B$4*10/10)))),0))*1000,0)</f>
        <v>0</v>
      </c>
      <c r="AM243" s="120">
        <f>IF(AND(V243="OK",ISNUMBER($N$5),$N$5&gt;0,ISNUMBER($N$3),$N$3&gt;0),R243/(6*$N$3*1000000*$N$5)*(IF(N243&lt;($N$4*0/10),($N$4*0/10)*(MIN(O243,($N$4*0/10))^3-N243^3)-(MIN(O243,($N$4*0/10))^4-N243^4)/4,0)+IF(O243&gt;($N$4*0/10),($N$4*0/10)^2*(1.5*(O243^2-MAX(N243,($N$4*0/10))^2)-($N$4*0/10)*(O243-MAX(N243,($N$4*0/10)))),0))*1000,0)</f>
        <v>0</v>
      </c>
      <c r="AN243" s="120">
        <f>IF(AND(V243="OK",ISNUMBER($N$5),$N$5&gt;0,ISNUMBER($N$3),$N$3&gt;0),R243/(6*$N$3*1000000*$N$5)*(IF(N243&lt;($N$4*1/10),($N$4*1/10)*(MIN(O243,($N$4*1/10))^3-N243^3)-(MIN(O243,($N$4*1/10))^4-N243^4)/4,0)+IF(O243&gt;($N$4*1/10),($N$4*1/10)^2*(1.5*(O243^2-MAX(N243,($N$4*1/10))^2)-($N$4*1/10)*(O243-MAX(N243,($N$4*1/10)))),0))*1000,0)</f>
        <v>0</v>
      </c>
      <c r="AO243" s="120">
        <f>IF(AND(V243="OK",ISNUMBER($N$5),$N$5&gt;0,ISNUMBER($N$3),$N$3&gt;0),R243/(6*$N$3*1000000*$N$5)*(IF(N243&lt;($N$4*2/10),($N$4*2/10)*(MIN(O243,($N$4*2/10))^3-N243^3)-(MIN(O243,($N$4*2/10))^4-N243^4)/4,0)+IF(O243&gt;($N$4*2/10),($N$4*2/10)^2*(1.5*(O243^2-MAX(N243,($N$4*2/10))^2)-($N$4*2/10)*(O243-MAX(N243,($N$4*2/10)))),0))*1000,0)</f>
        <v>0</v>
      </c>
      <c r="AP243" s="120">
        <f>IF(AND(V243="OK",ISNUMBER($N$5),$N$5&gt;0,ISNUMBER($N$3),$N$3&gt;0),R243/(6*$N$3*1000000*$N$5)*(IF(N243&lt;($N$4*3/10),($N$4*3/10)*(MIN(O243,($N$4*3/10))^3-N243^3)-(MIN(O243,($N$4*3/10))^4-N243^4)/4,0)+IF(O243&gt;($N$4*3/10),($N$4*3/10)^2*(1.5*(O243^2-MAX(N243,($N$4*3/10))^2)-($N$4*3/10)*(O243-MAX(N243,($N$4*3/10)))),0))*1000,0)</f>
        <v>0</v>
      </c>
      <c r="AQ243" s="120">
        <f>IF(AND(V243="OK",ISNUMBER($N$5),$N$5&gt;0,ISNUMBER($N$3),$N$3&gt;0),R243/(6*$N$3*1000000*$N$5)*(IF(N243&lt;($N$4*4/10),($N$4*4/10)*(MIN(O243,($N$4*4/10))^3-N243^3)-(MIN(O243,($N$4*4/10))^4-N243^4)/4,0)+IF(O243&gt;($N$4*4/10),($N$4*4/10)^2*(1.5*(O243^2-MAX(N243,($N$4*4/10))^2)-($N$4*4/10)*(O243-MAX(N243,($N$4*4/10)))),0))*1000,0)</f>
        <v>0</v>
      </c>
      <c r="AR243" s="120">
        <f>IF(AND(V243="OK",ISNUMBER($N$5),$N$5&gt;0,ISNUMBER($N$3),$N$3&gt;0),R243/(6*$N$3*1000000*$N$5)*(IF(N243&lt;($N$4*5/10),($N$4*5/10)*(MIN(O243,($N$4*5/10))^3-N243^3)-(MIN(O243,($N$4*5/10))^4-N243^4)/4,0)+IF(O243&gt;($N$4*5/10),($N$4*5/10)^2*(1.5*(O243^2-MAX(N243,($N$4*5/10))^2)-($N$4*5/10)*(O243-MAX(N243,($N$4*5/10)))),0))*1000,0)</f>
        <v>0</v>
      </c>
      <c r="AS243" s="120">
        <f>IF(AND(V243="OK",ISNUMBER($N$5),$N$5&gt;0,ISNUMBER($N$3),$N$3&gt;0),R243/(6*$N$3*1000000*$N$5)*(IF(N243&lt;($N$4*6/10),($N$4*6/10)*(MIN(O243,($N$4*6/10))^3-N243^3)-(MIN(O243,($N$4*6/10))^4-N243^4)/4,0)+IF(O243&gt;($N$4*6/10),($N$4*6/10)^2*(1.5*(O243^2-MAX(N243,($N$4*6/10))^2)-($N$4*6/10)*(O243-MAX(N243,($N$4*6/10)))),0))*1000,0)</f>
        <v>0</v>
      </c>
      <c r="AT243" s="120">
        <f>IF(AND(V243="OK",ISNUMBER($N$5),$N$5&gt;0,ISNUMBER($N$3),$N$3&gt;0),R243/(6*$N$3*1000000*$N$5)*(IF(N243&lt;($N$4*7/10),($N$4*7/10)*(MIN(O243,($N$4*7/10))^3-N243^3)-(MIN(O243,($N$4*7/10))^4-N243^4)/4,0)+IF(O243&gt;($N$4*7/10),($N$4*7/10)^2*(1.5*(O243^2-MAX(N243,($N$4*7/10))^2)-($N$4*7/10)*(O243-MAX(N243,($N$4*7/10)))),0))*1000,0)</f>
        <v>0</v>
      </c>
      <c r="AU243" s="120">
        <f>IF(AND(V243="OK",ISNUMBER($N$5),$N$5&gt;0,ISNUMBER($N$3),$N$3&gt;0),R243/(6*$N$3*1000000*$N$5)*(IF(N243&lt;($N$4*8/10),($N$4*8/10)*(MIN(O243,($N$4*8/10))^3-N243^3)-(MIN(O243,($N$4*8/10))^4-N243^4)/4,0)+IF(O243&gt;($N$4*8/10),($N$4*8/10)^2*(1.5*(O243^2-MAX(N243,($N$4*8/10))^2)-($N$4*8/10)*(O243-MAX(N243,($N$4*8/10)))),0))*1000,0)</f>
        <v>0</v>
      </c>
      <c r="AV243" s="120">
        <f>IF(AND(V243="OK",ISNUMBER($N$5),$N$5&gt;0,ISNUMBER($N$3),$N$3&gt;0),R243/(6*$N$3*1000000*$N$5)*(IF(N243&lt;($N$4*9/10),($N$4*9/10)*(MIN(O243,($N$4*9/10))^3-N243^3)-(MIN(O243,($N$4*9/10))^4-N243^4)/4,0)+IF(O243&gt;($N$4*9/10),($N$4*9/10)^2*(1.5*(O243^2-MAX(N243,($N$4*9/10))^2)-($N$4*9/10)*(O243-MAX(N243,($N$4*9/10)))),0))*1000,0)</f>
        <v>0</v>
      </c>
      <c r="AW243" s="120">
        <f>IF(AND(V243="OK",ISNUMBER($N$5),$N$5&gt;0,ISNUMBER($N$3),$N$3&gt;0),R243/(6*$N$3*1000000*$N$5)*(IF(N243&lt;($N$4*10/10),($N$4*10/10)*(MIN(O243,($N$4*10/10))^3-N243^3)-(MIN(O243,($N$4*10/10))^4-N243^4)/4,0)+IF(O243&gt;($N$4*10/10),($N$4*10/10)^2*(1.5*(O243^2-MAX(N243,($N$4*10/10))^2)-($N$4*10/10)*(O243-MAX(N243,($N$4*10/10)))),0))*1000,0)</f>
        <v>0</v>
      </c>
    </row>
    <row r="244" spans="1:49">
      <c r="A244" s="124"/>
      <c r="B244" s="125"/>
      <c r="C244" s="125"/>
      <c r="D244" s="125"/>
      <c r="E244" s="125"/>
      <c r="F244" s="126" t="str">
        <f>IF(J244="OK",D244*E244,"")</f>
        <v/>
      </c>
      <c r="G244" s="126" t="str">
        <f>IF(J244="OK",F244*(C244-B244),"")</f>
        <v/>
      </c>
      <c r="H244" s="126" t="str">
        <f>IF(J244="OK",G244*(C244+B244)/2,"")</f>
        <v/>
      </c>
      <c r="I244" s="126" t="str">
        <f>IF(AND(J244="OK",ISNUMBER($B$5),$B$5&gt;0,ISNUMBER($B$3),$B$3&gt;0),F244*(4*$B$4*(C244^3-B244^3)-(C244^4-B244^4))/(24*$B$3*1000000*$B$5)*1000,"")</f>
        <v/>
      </c>
      <c r="J244" s="120" t="str">
        <f>IF(COUNTA(A244:E244)=0,"",IF(AND(COUNT(B244:E244)=4,B244&gt;=0,C244&gt;B244,C244&lt;=$B$4,D244&gt;=0,E244&gt;0),IF(COUNTIFS($B$13:$B$243,"&lt;"&amp;C244,$C$13:$C$243,"&gt;"&amp;B244)&gt;0,"OVERLAP","OK"),"CHECK INPUTS"))</f>
        <v/>
      </c>
      <c r="M244" s="124"/>
      <c r="N244" s="125"/>
      <c r="O244" s="125"/>
      <c r="P244" s="125"/>
      <c r="Q244" s="125"/>
      <c r="R244" s="126" t="str">
        <f>IF(V244="OK",P244*Q244,"")</f>
        <v/>
      </c>
      <c r="S244" s="126" t="str">
        <f>IF(V244="OK",R244*(O244-N244),"")</f>
        <v/>
      </c>
      <c r="T244" s="126" t="str">
        <f>IF(V244="OK",S244*(O244+N244)/2,"")</f>
        <v/>
      </c>
      <c r="U244" s="126" t="str">
        <f>IF(AND(V244="OK",ISNUMBER($N$5),$N$5&gt;0,ISNUMBER($N$3),$N$3&gt;0),R244*(4*$N$4*(O244^3-N244^3)-(O244^4-N244^4))/(24*$N$3*1000000*$N$5)*1000,"")</f>
        <v/>
      </c>
      <c r="V244" s="120" t="str">
        <f>IF(COUNTA(M244:Q244)=0,"",IF(AND(COUNT(N244:Q244)=4,N244&gt;=0,O244&gt;N244,O244&lt;=$N$4,P244&gt;=0,Q244&gt;0),IF(COUNTIFS($N$13:$N$243,"&lt;"&amp;O244,$O$13:$O$243,"&gt;"&amp;N244)&gt;0,"OVERLAP","OK"),"CHECK INPUTS"))</f>
        <v/>
      </c>
      <c r="AA244" s="120">
        <f>IF(AND(J244="OK",ISNUMBER($B$5),$B$5&gt;0,ISNUMBER($B$3),$B$3&gt;0),F244/(6*$B$3*1000000*$B$5)*(IF(B244&lt;($B$4*0/10),($B$4*0/10)*(MIN(C244,($B$4*0/10))^3-B244^3)-(MIN(C244,($B$4*0/10))^4-B244^4)/4,0)+IF(C244&gt;($B$4*0/10),($B$4*0/10)^2*(1.5*(C244^2-MAX(B244,($B$4*0/10))^2)-($B$4*0/10)*(C244-MAX(B244,($B$4*0/10)))),0))*1000,0)</f>
        <v>0</v>
      </c>
      <c r="AB244" s="120">
        <f>IF(AND(J244="OK",ISNUMBER($B$5),$B$5&gt;0,ISNUMBER($B$3),$B$3&gt;0),F244/(6*$B$3*1000000*$B$5)*(IF(B244&lt;($B$4*1/10),($B$4*1/10)*(MIN(C244,($B$4*1/10))^3-B244^3)-(MIN(C244,($B$4*1/10))^4-B244^4)/4,0)+IF(C244&gt;($B$4*1/10),($B$4*1/10)^2*(1.5*(C244^2-MAX(B244,($B$4*1/10))^2)-($B$4*1/10)*(C244-MAX(B244,($B$4*1/10)))),0))*1000,0)</f>
        <v>0</v>
      </c>
      <c r="AC244" s="120">
        <f>IF(AND(J244="OK",ISNUMBER($B$5),$B$5&gt;0,ISNUMBER($B$3),$B$3&gt;0),F244/(6*$B$3*1000000*$B$5)*(IF(B244&lt;($B$4*2/10),($B$4*2/10)*(MIN(C244,($B$4*2/10))^3-B244^3)-(MIN(C244,($B$4*2/10))^4-B244^4)/4,0)+IF(C244&gt;($B$4*2/10),($B$4*2/10)^2*(1.5*(C244^2-MAX(B244,($B$4*2/10))^2)-($B$4*2/10)*(C244-MAX(B244,($B$4*2/10)))),0))*1000,0)</f>
        <v>0</v>
      </c>
      <c r="AD244" s="120">
        <f>IF(AND(J244="OK",ISNUMBER($B$5),$B$5&gt;0,ISNUMBER($B$3),$B$3&gt;0),F244/(6*$B$3*1000000*$B$5)*(IF(B244&lt;($B$4*3/10),($B$4*3/10)*(MIN(C244,($B$4*3/10))^3-B244^3)-(MIN(C244,($B$4*3/10))^4-B244^4)/4,0)+IF(C244&gt;($B$4*3/10),($B$4*3/10)^2*(1.5*(C244^2-MAX(B244,($B$4*3/10))^2)-($B$4*3/10)*(C244-MAX(B244,($B$4*3/10)))),0))*1000,0)</f>
        <v>0</v>
      </c>
      <c r="AE244" s="120">
        <f>IF(AND(J244="OK",ISNUMBER($B$5),$B$5&gt;0,ISNUMBER($B$3),$B$3&gt;0),F244/(6*$B$3*1000000*$B$5)*(IF(B244&lt;($B$4*4/10),($B$4*4/10)*(MIN(C244,($B$4*4/10))^3-B244^3)-(MIN(C244,($B$4*4/10))^4-B244^4)/4,0)+IF(C244&gt;($B$4*4/10),($B$4*4/10)^2*(1.5*(C244^2-MAX(B244,($B$4*4/10))^2)-($B$4*4/10)*(C244-MAX(B244,($B$4*4/10)))),0))*1000,0)</f>
        <v>0</v>
      </c>
      <c r="AF244" s="120">
        <f>IF(AND(J244="OK",ISNUMBER($B$5),$B$5&gt;0,ISNUMBER($B$3),$B$3&gt;0),F244/(6*$B$3*1000000*$B$5)*(IF(B244&lt;($B$4*5/10),($B$4*5/10)*(MIN(C244,($B$4*5/10))^3-B244^3)-(MIN(C244,($B$4*5/10))^4-B244^4)/4,0)+IF(C244&gt;($B$4*5/10),($B$4*5/10)^2*(1.5*(C244^2-MAX(B244,($B$4*5/10))^2)-($B$4*5/10)*(C244-MAX(B244,($B$4*5/10)))),0))*1000,0)</f>
        <v>0</v>
      </c>
      <c r="AG244" s="120">
        <f>IF(AND(J244="OK",ISNUMBER($B$5),$B$5&gt;0,ISNUMBER($B$3),$B$3&gt;0),F244/(6*$B$3*1000000*$B$5)*(IF(B244&lt;($B$4*6/10),($B$4*6/10)*(MIN(C244,($B$4*6/10))^3-B244^3)-(MIN(C244,($B$4*6/10))^4-B244^4)/4,0)+IF(C244&gt;($B$4*6/10),($B$4*6/10)^2*(1.5*(C244^2-MAX(B244,($B$4*6/10))^2)-($B$4*6/10)*(C244-MAX(B244,($B$4*6/10)))),0))*1000,0)</f>
        <v>0</v>
      </c>
      <c r="AH244" s="120">
        <f>IF(AND(J244="OK",ISNUMBER($B$5),$B$5&gt;0,ISNUMBER($B$3),$B$3&gt;0),F244/(6*$B$3*1000000*$B$5)*(IF(B244&lt;($B$4*7/10),($B$4*7/10)*(MIN(C244,($B$4*7/10))^3-B244^3)-(MIN(C244,($B$4*7/10))^4-B244^4)/4,0)+IF(C244&gt;($B$4*7/10),($B$4*7/10)^2*(1.5*(C244^2-MAX(B244,($B$4*7/10))^2)-($B$4*7/10)*(C244-MAX(B244,($B$4*7/10)))),0))*1000,0)</f>
        <v>0</v>
      </c>
      <c r="AI244" s="120">
        <f>IF(AND(J244="OK",ISNUMBER($B$5),$B$5&gt;0,ISNUMBER($B$3),$B$3&gt;0),F244/(6*$B$3*1000000*$B$5)*(IF(B244&lt;($B$4*8/10),($B$4*8/10)*(MIN(C244,($B$4*8/10))^3-B244^3)-(MIN(C244,($B$4*8/10))^4-B244^4)/4,0)+IF(C244&gt;($B$4*8/10),($B$4*8/10)^2*(1.5*(C244^2-MAX(B244,($B$4*8/10))^2)-($B$4*8/10)*(C244-MAX(B244,($B$4*8/10)))),0))*1000,0)</f>
        <v>0</v>
      </c>
      <c r="AJ244" s="120">
        <f>IF(AND(J244="OK",ISNUMBER($B$5),$B$5&gt;0,ISNUMBER($B$3),$B$3&gt;0),F244/(6*$B$3*1000000*$B$5)*(IF(B244&lt;($B$4*9/10),($B$4*9/10)*(MIN(C244,($B$4*9/10))^3-B244^3)-(MIN(C244,($B$4*9/10))^4-B244^4)/4,0)+IF(C244&gt;($B$4*9/10),($B$4*9/10)^2*(1.5*(C244^2-MAX(B244,($B$4*9/10))^2)-($B$4*9/10)*(C244-MAX(B244,($B$4*9/10)))),0))*1000,0)</f>
        <v>0</v>
      </c>
      <c r="AK244" s="120">
        <f>IF(AND(J244="OK",ISNUMBER($B$5),$B$5&gt;0,ISNUMBER($B$3),$B$3&gt;0),F244/(6*$B$3*1000000*$B$5)*(IF(B244&lt;($B$4*10/10),($B$4*10/10)*(MIN(C244,($B$4*10/10))^3-B244^3)-(MIN(C244,($B$4*10/10))^4-B244^4)/4,0)+IF(C244&gt;($B$4*10/10),($B$4*10/10)^2*(1.5*(C244^2-MAX(B244,($B$4*10/10))^2)-($B$4*10/10)*(C244-MAX(B244,($B$4*10/10)))),0))*1000,0)</f>
        <v>0</v>
      </c>
      <c r="AM244" s="120">
        <f>IF(AND(V244="OK",ISNUMBER($N$5),$N$5&gt;0,ISNUMBER($N$3),$N$3&gt;0),R244/(6*$N$3*1000000*$N$5)*(IF(N244&lt;($N$4*0/10),($N$4*0/10)*(MIN(O244,($N$4*0/10))^3-N244^3)-(MIN(O244,($N$4*0/10))^4-N244^4)/4,0)+IF(O244&gt;($N$4*0/10),($N$4*0/10)^2*(1.5*(O244^2-MAX(N244,($N$4*0/10))^2)-($N$4*0/10)*(O244-MAX(N244,($N$4*0/10)))),0))*1000,0)</f>
        <v>0</v>
      </c>
      <c r="AN244" s="120">
        <f>IF(AND(V244="OK",ISNUMBER($N$5),$N$5&gt;0,ISNUMBER($N$3),$N$3&gt;0),R244/(6*$N$3*1000000*$N$5)*(IF(N244&lt;($N$4*1/10),($N$4*1/10)*(MIN(O244,($N$4*1/10))^3-N244^3)-(MIN(O244,($N$4*1/10))^4-N244^4)/4,0)+IF(O244&gt;($N$4*1/10),($N$4*1/10)^2*(1.5*(O244^2-MAX(N244,($N$4*1/10))^2)-($N$4*1/10)*(O244-MAX(N244,($N$4*1/10)))),0))*1000,0)</f>
        <v>0</v>
      </c>
      <c r="AO244" s="120">
        <f>IF(AND(V244="OK",ISNUMBER($N$5),$N$5&gt;0,ISNUMBER($N$3),$N$3&gt;0),R244/(6*$N$3*1000000*$N$5)*(IF(N244&lt;($N$4*2/10),($N$4*2/10)*(MIN(O244,($N$4*2/10))^3-N244^3)-(MIN(O244,($N$4*2/10))^4-N244^4)/4,0)+IF(O244&gt;($N$4*2/10),($N$4*2/10)^2*(1.5*(O244^2-MAX(N244,($N$4*2/10))^2)-($N$4*2/10)*(O244-MAX(N244,($N$4*2/10)))),0))*1000,0)</f>
        <v>0</v>
      </c>
      <c r="AP244" s="120">
        <f>IF(AND(V244="OK",ISNUMBER($N$5),$N$5&gt;0,ISNUMBER($N$3),$N$3&gt;0),R244/(6*$N$3*1000000*$N$5)*(IF(N244&lt;($N$4*3/10),($N$4*3/10)*(MIN(O244,($N$4*3/10))^3-N244^3)-(MIN(O244,($N$4*3/10))^4-N244^4)/4,0)+IF(O244&gt;($N$4*3/10),($N$4*3/10)^2*(1.5*(O244^2-MAX(N244,($N$4*3/10))^2)-($N$4*3/10)*(O244-MAX(N244,($N$4*3/10)))),0))*1000,0)</f>
        <v>0</v>
      </c>
      <c r="AQ244" s="120">
        <f>IF(AND(V244="OK",ISNUMBER($N$5),$N$5&gt;0,ISNUMBER($N$3),$N$3&gt;0),R244/(6*$N$3*1000000*$N$5)*(IF(N244&lt;($N$4*4/10),($N$4*4/10)*(MIN(O244,($N$4*4/10))^3-N244^3)-(MIN(O244,($N$4*4/10))^4-N244^4)/4,0)+IF(O244&gt;($N$4*4/10),($N$4*4/10)^2*(1.5*(O244^2-MAX(N244,($N$4*4/10))^2)-($N$4*4/10)*(O244-MAX(N244,($N$4*4/10)))),0))*1000,0)</f>
        <v>0</v>
      </c>
      <c r="AR244" s="120">
        <f>IF(AND(V244="OK",ISNUMBER($N$5),$N$5&gt;0,ISNUMBER($N$3),$N$3&gt;0),R244/(6*$N$3*1000000*$N$5)*(IF(N244&lt;($N$4*5/10),($N$4*5/10)*(MIN(O244,($N$4*5/10))^3-N244^3)-(MIN(O244,($N$4*5/10))^4-N244^4)/4,0)+IF(O244&gt;($N$4*5/10),($N$4*5/10)^2*(1.5*(O244^2-MAX(N244,($N$4*5/10))^2)-($N$4*5/10)*(O244-MAX(N244,($N$4*5/10)))),0))*1000,0)</f>
        <v>0</v>
      </c>
      <c r="AS244" s="120">
        <f>IF(AND(V244="OK",ISNUMBER($N$5),$N$5&gt;0,ISNUMBER($N$3),$N$3&gt;0),R244/(6*$N$3*1000000*$N$5)*(IF(N244&lt;($N$4*6/10),($N$4*6/10)*(MIN(O244,($N$4*6/10))^3-N244^3)-(MIN(O244,($N$4*6/10))^4-N244^4)/4,0)+IF(O244&gt;($N$4*6/10),($N$4*6/10)^2*(1.5*(O244^2-MAX(N244,($N$4*6/10))^2)-($N$4*6/10)*(O244-MAX(N244,($N$4*6/10)))),0))*1000,0)</f>
        <v>0</v>
      </c>
      <c r="AT244" s="120">
        <f>IF(AND(V244="OK",ISNUMBER($N$5),$N$5&gt;0,ISNUMBER($N$3),$N$3&gt;0),R244/(6*$N$3*1000000*$N$5)*(IF(N244&lt;($N$4*7/10),($N$4*7/10)*(MIN(O244,($N$4*7/10))^3-N244^3)-(MIN(O244,($N$4*7/10))^4-N244^4)/4,0)+IF(O244&gt;($N$4*7/10),($N$4*7/10)^2*(1.5*(O244^2-MAX(N244,($N$4*7/10))^2)-($N$4*7/10)*(O244-MAX(N244,($N$4*7/10)))),0))*1000,0)</f>
        <v>0</v>
      </c>
      <c r="AU244" s="120">
        <f>IF(AND(V244="OK",ISNUMBER($N$5),$N$5&gt;0,ISNUMBER($N$3),$N$3&gt;0),R244/(6*$N$3*1000000*$N$5)*(IF(N244&lt;($N$4*8/10),($N$4*8/10)*(MIN(O244,($N$4*8/10))^3-N244^3)-(MIN(O244,($N$4*8/10))^4-N244^4)/4,0)+IF(O244&gt;($N$4*8/10),($N$4*8/10)^2*(1.5*(O244^2-MAX(N244,($N$4*8/10))^2)-($N$4*8/10)*(O244-MAX(N244,($N$4*8/10)))),0))*1000,0)</f>
        <v>0</v>
      </c>
      <c r="AV244" s="120">
        <f>IF(AND(V244="OK",ISNUMBER($N$5),$N$5&gt;0,ISNUMBER($N$3),$N$3&gt;0),R244/(6*$N$3*1000000*$N$5)*(IF(N244&lt;($N$4*9/10),($N$4*9/10)*(MIN(O244,($N$4*9/10))^3-N244^3)-(MIN(O244,($N$4*9/10))^4-N244^4)/4,0)+IF(O244&gt;($N$4*9/10),($N$4*9/10)^2*(1.5*(O244^2-MAX(N244,($N$4*9/10))^2)-($N$4*9/10)*(O244-MAX(N244,($N$4*9/10)))),0))*1000,0)</f>
        <v>0</v>
      </c>
      <c r="AW244" s="120">
        <f>IF(AND(V244="OK",ISNUMBER($N$5),$N$5&gt;0,ISNUMBER($N$3),$N$3&gt;0),R244/(6*$N$3*1000000*$N$5)*(IF(N244&lt;($N$4*10/10),($N$4*10/10)*(MIN(O244,($N$4*10/10))^3-N244^3)-(MIN(O244,($N$4*10/10))^4-N244^4)/4,0)+IF(O244&gt;($N$4*10/10),($N$4*10/10)^2*(1.5*(O244^2-MAX(N244,($N$4*10/10))^2)-($N$4*10/10)*(O244-MAX(N244,($N$4*10/10)))),0))*1000,0)</f>
        <v>0</v>
      </c>
    </row>
    <row r="245" spans="1:49">
      <c r="A245" s="124"/>
      <c r="B245" s="125"/>
      <c r="C245" s="125"/>
      <c r="D245" s="125"/>
      <c r="E245" s="125"/>
      <c r="F245" s="126" t="str">
        <f>IF(J245="OK",D245*E245,"")</f>
        <v/>
      </c>
      <c r="G245" s="126" t="str">
        <f>IF(J245="OK",F245*(C245-B245),"")</f>
        <v/>
      </c>
      <c r="H245" s="126" t="str">
        <f>IF(J245="OK",G245*(C245+B245)/2,"")</f>
        <v/>
      </c>
      <c r="I245" s="126" t="str">
        <f>IF(AND(J245="OK",ISNUMBER($B$5),$B$5&gt;0,ISNUMBER($B$3),$B$3&gt;0),F245*(4*$B$4*(C245^3-B245^3)-(C245^4-B245^4))/(24*$B$3*1000000*$B$5)*1000,"")</f>
        <v/>
      </c>
      <c r="J245" s="120" t="str">
        <f>IF(COUNTA(A245:E245)=0,"",IF(AND(COUNT(B245:E245)=4,B245&gt;=0,C245&gt;B245,C245&lt;=$B$4,D245&gt;=0,E245&gt;0),IF(COUNTIFS($B$13:$B$244,"&lt;"&amp;C245,$C$13:$C$244,"&gt;"&amp;B245)&gt;0,"OVERLAP","OK"),"CHECK INPUTS"))</f>
        <v/>
      </c>
      <c r="M245" s="124"/>
      <c r="N245" s="125"/>
      <c r="O245" s="125"/>
      <c r="P245" s="125"/>
      <c r="Q245" s="125"/>
      <c r="R245" s="126" t="str">
        <f>IF(V245="OK",P245*Q245,"")</f>
        <v/>
      </c>
      <c r="S245" s="126" t="str">
        <f>IF(V245="OK",R245*(O245-N245),"")</f>
        <v/>
      </c>
      <c r="T245" s="126" t="str">
        <f>IF(V245="OK",S245*(O245+N245)/2,"")</f>
        <v/>
      </c>
      <c r="U245" s="126" t="str">
        <f>IF(AND(V245="OK",ISNUMBER($N$5),$N$5&gt;0,ISNUMBER($N$3),$N$3&gt;0),R245*(4*$N$4*(O245^3-N245^3)-(O245^4-N245^4))/(24*$N$3*1000000*$N$5)*1000,"")</f>
        <v/>
      </c>
      <c r="V245" s="120" t="str">
        <f>IF(COUNTA(M245:Q245)=0,"",IF(AND(COUNT(N245:Q245)=4,N245&gt;=0,O245&gt;N245,O245&lt;=$N$4,P245&gt;=0,Q245&gt;0),IF(COUNTIFS($N$13:$N$244,"&lt;"&amp;O245,$O$13:$O$244,"&gt;"&amp;N245)&gt;0,"OVERLAP","OK"),"CHECK INPUTS"))</f>
        <v/>
      </c>
      <c r="AA245" s="120">
        <f>IF(AND(J245="OK",ISNUMBER($B$5),$B$5&gt;0,ISNUMBER($B$3),$B$3&gt;0),F245/(6*$B$3*1000000*$B$5)*(IF(B245&lt;($B$4*0/10),($B$4*0/10)*(MIN(C245,($B$4*0/10))^3-B245^3)-(MIN(C245,($B$4*0/10))^4-B245^4)/4,0)+IF(C245&gt;($B$4*0/10),($B$4*0/10)^2*(1.5*(C245^2-MAX(B245,($B$4*0/10))^2)-($B$4*0/10)*(C245-MAX(B245,($B$4*0/10)))),0))*1000,0)</f>
        <v>0</v>
      </c>
      <c r="AB245" s="120">
        <f>IF(AND(J245="OK",ISNUMBER($B$5),$B$5&gt;0,ISNUMBER($B$3),$B$3&gt;0),F245/(6*$B$3*1000000*$B$5)*(IF(B245&lt;($B$4*1/10),($B$4*1/10)*(MIN(C245,($B$4*1/10))^3-B245^3)-(MIN(C245,($B$4*1/10))^4-B245^4)/4,0)+IF(C245&gt;($B$4*1/10),($B$4*1/10)^2*(1.5*(C245^2-MAX(B245,($B$4*1/10))^2)-($B$4*1/10)*(C245-MAX(B245,($B$4*1/10)))),0))*1000,0)</f>
        <v>0</v>
      </c>
      <c r="AC245" s="120">
        <f>IF(AND(J245="OK",ISNUMBER($B$5),$B$5&gt;0,ISNUMBER($B$3),$B$3&gt;0),F245/(6*$B$3*1000000*$B$5)*(IF(B245&lt;($B$4*2/10),($B$4*2/10)*(MIN(C245,($B$4*2/10))^3-B245^3)-(MIN(C245,($B$4*2/10))^4-B245^4)/4,0)+IF(C245&gt;($B$4*2/10),($B$4*2/10)^2*(1.5*(C245^2-MAX(B245,($B$4*2/10))^2)-($B$4*2/10)*(C245-MAX(B245,($B$4*2/10)))),0))*1000,0)</f>
        <v>0</v>
      </c>
      <c r="AD245" s="120">
        <f>IF(AND(J245="OK",ISNUMBER($B$5),$B$5&gt;0,ISNUMBER($B$3),$B$3&gt;0),F245/(6*$B$3*1000000*$B$5)*(IF(B245&lt;($B$4*3/10),($B$4*3/10)*(MIN(C245,($B$4*3/10))^3-B245^3)-(MIN(C245,($B$4*3/10))^4-B245^4)/4,0)+IF(C245&gt;($B$4*3/10),($B$4*3/10)^2*(1.5*(C245^2-MAX(B245,($B$4*3/10))^2)-($B$4*3/10)*(C245-MAX(B245,($B$4*3/10)))),0))*1000,0)</f>
        <v>0</v>
      </c>
      <c r="AE245" s="120">
        <f>IF(AND(J245="OK",ISNUMBER($B$5),$B$5&gt;0,ISNUMBER($B$3),$B$3&gt;0),F245/(6*$B$3*1000000*$B$5)*(IF(B245&lt;($B$4*4/10),($B$4*4/10)*(MIN(C245,($B$4*4/10))^3-B245^3)-(MIN(C245,($B$4*4/10))^4-B245^4)/4,0)+IF(C245&gt;($B$4*4/10),($B$4*4/10)^2*(1.5*(C245^2-MAX(B245,($B$4*4/10))^2)-($B$4*4/10)*(C245-MAX(B245,($B$4*4/10)))),0))*1000,0)</f>
        <v>0</v>
      </c>
      <c r="AF245" s="120">
        <f>IF(AND(J245="OK",ISNUMBER($B$5),$B$5&gt;0,ISNUMBER($B$3),$B$3&gt;0),F245/(6*$B$3*1000000*$B$5)*(IF(B245&lt;($B$4*5/10),($B$4*5/10)*(MIN(C245,($B$4*5/10))^3-B245^3)-(MIN(C245,($B$4*5/10))^4-B245^4)/4,0)+IF(C245&gt;($B$4*5/10),($B$4*5/10)^2*(1.5*(C245^2-MAX(B245,($B$4*5/10))^2)-($B$4*5/10)*(C245-MAX(B245,($B$4*5/10)))),0))*1000,0)</f>
        <v>0</v>
      </c>
      <c r="AG245" s="120">
        <f>IF(AND(J245="OK",ISNUMBER($B$5),$B$5&gt;0,ISNUMBER($B$3),$B$3&gt;0),F245/(6*$B$3*1000000*$B$5)*(IF(B245&lt;($B$4*6/10),($B$4*6/10)*(MIN(C245,($B$4*6/10))^3-B245^3)-(MIN(C245,($B$4*6/10))^4-B245^4)/4,0)+IF(C245&gt;($B$4*6/10),($B$4*6/10)^2*(1.5*(C245^2-MAX(B245,($B$4*6/10))^2)-($B$4*6/10)*(C245-MAX(B245,($B$4*6/10)))),0))*1000,0)</f>
        <v>0</v>
      </c>
      <c r="AH245" s="120">
        <f>IF(AND(J245="OK",ISNUMBER($B$5),$B$5&gt;0,ISNUMBER($B$3),$B$3&gt;0),F245/(6*$B$3*1000000*$B$5)*(IF(B245&lt;($B$4*7/10),($B$4*7/10)*(MIN(C245,($B$4*7/10))^3-B245^3)-(MIN(C245,($B$4*7/10))^4-B245^4)/4,0)+IF(C245&gt;($B$4*7/10),($B$4*7/10)^2*(1.5*(C245^2-MAX(B245,($B$4*7/10))^2)-($B$4*7/10)*(C245-MAX(B245,($B$4*7/10)))),0))*1000,0)</f>
        <v>0</v>
      </c>
      <c r="AI245" s="120">
        <f>IF(AND(J245="OK",ISNUMBER($B$5),$B$5&gt;0,ISNUMBER($B$3),$B$3&gt;0),F245/(6*$B$3*1000000*$B$5)*(IF(B245&lt;($B$4*8/10),($B$4*8/10)*(MIN(C245,($B$4*8/10))^3-B245^3)-(MIN(C245,($B$4*8/10))^4-B245^4)/4,0)+IF(C245&gt;($B$4*8/10),($B$4*8/10)^2*(1.5*(C245^2-MAX(B245,($B$4*8/10))^2)-($B$4*8/10)*(C245-MAX(B245,($B$4*8/10)))),0))*1000,0)</f>
        <v>0</v>
      </c>
      <c r="AJ245" s="120">
        <f>IF(AND(J245="OK",ISNUMBER($B$5),$B$5&gt;0,ISNUMBER($B$3),$B$3&gt;0),F245/(6*$B$3*1000000*$B$5)*(IF(B245&lt;($B$4*9/10),($B$4*9/10)*(MIN(C245,($B$4*9/10))^3-B245^3)-(MIN(C245,($B$4*9/10))^4-B245^4)/4,0)+IF(C245&gt;($B$4*9/10),($B$4*9/10)^2*(1.5*(C245^2-MAX(B245,($B$4*9/10))^2)-($B$4*9/10)*(C245-MAX(B245,($B$4*9/10)))),0))*1000,0)</f>
        <v>0</v>
      </c>
      <c r="AK245" s="120">
        <f>IF(AND(J245="OK",ISNUMBER($B$5),$B$5&gt;0,ISNUMBER($B$3),$B$3&gt;0),F245/(6*$B$3*1000000*$B$5)*(IF(B245&lt;($B$4*10/10),($B$4*10/10)*(MIN(C245,($B$4*10/10))^3-B245^3)-(MIN(C245,($B$4*10/10))^4-B245^4)/4,0)+IF(C245&gt;($B$4*10/10),($B$4*10/10)^2*(1.5*(C245^2-MAX(B245,($B$4*10/10))^2)-($B$4*10/10)*(C245-MAX(B245,($B$4*10/10)))),0))*1000,0)</f>
        <v>0</v>
      </c>
      <c r="AM245" s="120">
        <f>IF(AND(V245="OK",ISNUMBER($N$5),$N$5&gt;0,ISNUMBER($N$3),$N$3&gt;0),R245/(6*$N$3*1000000*$N$5)*(IF(N245&lt;($N$4*0/10),($N$4*0/10)*(MIN(O245,($N$4*0/10))^3-N245^3)-(MIN(O245,($N$4*0/10))^4-N245^4)/4,0)+IF(O245&gt;($N$4*0/10),($N$4*0/10)^2*(1.5*(O245^2-MAX(N245,($N$4*0/10))^2)-($N$4*0/10)*(O245-MAX(N245,($N$4*0/10)))),0))*1000,0)</f>
        <v>0</v>
      </c>
      <c r="AN245" s="120">
        <f>IF(AND(V245="OK",ISNUMBER($N$5),$N$5&gt;0,ISNUMBER($N$3),$N$3&gt;0),R245/(6*$N$3*1000000*$N$5)*(IF(N245&lt;($N$4*1/10),($N$4*1/10)*(MIN(O245,($N$4*1/10))^3-N245^3)-(MIN(O245,($N$4*1/10))^4-N245^4)/4,0)+IF(O245&gt;($N$4*1/10),($N$4*1/10)^2*(1.5*(O245^2-MAX(N245,($N$4*1/10))^2)-($N$4*1/10)*(O245-MAX(N245,($N$4*1/10)))),0))*1000,0)</f>
        <v>0</v>
      </c>
      <c r="AO245" s="120">
        <f>IF(AND(V245="OK",ISNUMBER($N$5),$N$5&gt;0,ISNUMBER($N$3),$N$3&gt;0),R245/(6*$N$3*1000000*$N$5)*(IF(N245&lt;($N$4*2/10),($N$4*2/10)*(MIN(O245,($N$4*2/10))^3-N245^3)-(MIN(O245,($N$4*2/10))^4-N245^4)/4,0)+IF(O245&gt;($N$4*2/10),($N$4*2/10)^2*(1.5*(O245^2-MAX(N245,($N$4*2/10))^2)-($N$4*2/10)*(O245-MAX(N245,($N$4*2/10)))),0))*1000,0)</f>
        <v>0</v>
      </c>
      <c r="AP245" s="120">
        <f>IF(AND(V245="OK",ISNUMBER($N$5),$N$5&gt;0,ISNUMBER($N$3),$N$3&gt;0),R245/(6*$N$3*1000000*$N$5)*(IF(N245&lt;($N$4*3/10),($N$4*3/10)*(MIN(O245,($N$4*3/10))^3-N245^3)-(MIN(O245,($N$4*3/10))^4-N245^4)/4,0)+IF(O245&gt;($N$4*3/10),($N$4*3/10)^2*(1.5*(O245^2-MAX(N245,($N$4*3/10))^2)-($N$4*3/10)*(O245-MAX(N245,($N$4*3/10)))),0))*1000,0)</f>
        <v>0</v>
      </c>
      <c r="AQ245" s="120">
        <f>IF(AND(V245="OK",ISNUMBER($N$5),$N$5&gt;0,ISNUMBER($N$3),$N$3&gt;0),R245/(6*$N$3*1000000*$N$5)*(IF(N245&lt;($N$4*4/10),($N$4*4/10)*(MIN(O245,($N$4*4/10))^3-N245^3)-(MIN(O245,($N$4*4/10))^4-N245^4)/4,0)+IF(O245&gt;($N$4*4/10),($N$4*4/10)^2*(1.5*(O245^2-MAX(N245,($N$4*4/10))^2)-($N$4*4/10)*(O245-MAX(N245,($N$4*4/10)))),0))*1000,0)</f>
        <v>0</v>
      </c>
      <c r="AR245" s="120">
        <f>IF(AND(V245="OK",ISNUMBER($N$5),$N$5&gt;0,ISNUMBER($N$3),$N$3&gt;0),R245/(6*$N$3*1000000*$N$5)*(IF(N245&lt;($N$4*5/10),($N$4*5/10)*(MIN(O245,($N$4*5/10))^3-N245^3)-(MIN(O245,($N$4*5/10))^4-N245^4)/4,0)+IF(O245&gt;($N$4*5/10),($N$4*5/10)^2*(1.5*(O245^2-MAX(N245,($N$4*5/10))^2)-($N$4*5/10)*(O245-MAX(N245,($N$4*5/10)))),0))*1000,0)</f>
        <v>0</v>
      </c>
      <c r="AS245" s="120">
        <f>IF(AND(V245="OK",ISNUMBER($N$5),$N$5&gt;0,ISNUMBER($N$3),$N$3&gt;0),R245/(6*$N$3*1000000*$N$5)*(IF(N245&lt;($N$4*6/10),($N$4*6/10)*(MIN(O245,($N$4*6/10))^3-N245^3)-(MIN(O245,($N$4*6/10))^4-N245^4)/4,0)+IF(O245&gt;($N$4*6/10),($N$4*6/10)^2*(1.5*(O245^2-MAX(N245,($N$4*6/10))^2)-($N$4*6/10)*(O245-MAX(N245,($N$4*6/10)))),0))*1000,0)</f>
        <v>0</v>
      </c>
      <c r="AT245" s="120">
        <f>IF(AND(V245="OK",ISNUMBER($N$5),$N$5&gt;0,ISNUMBER($N$3),$N$3&gt;0),R245/(6*$N$3*1000000*$N$5)*(IF(N245&lt;($N$4*7/10),($N$4*7/10)*(MIN(O245,($N$4*7/10))^3-N245^3)-(MIN(O245,($N$4*7/10))^4-N245^4)/4,0)+IF(O245&gt;($N$4*7/10),($N$4*7/10)^2*(1.5*(O245^2-MAX(N245,($N$4*7/10))^2)-($N$4*7/10)*(O245-MAX(N245,($N$4*7/10)))),0))*1000,0)</f>
        <v>0</v>
      </c>
      <c r="AU245" s="120">
        <f>IF(AND(V245="OK",ISNUMBER($N$5),$N$5&gt;0,ISNUMBER($N$3),$N$3&gt;0),R245/(6*$N$3*1000000*$N$5)*(IF(N245&lt;($N$4*8/10),($N$4*8/10)*(MIN(O245,($N$4*8/10))^3-N245^3)-(MIN(O245,($N$4*8/10))^4-N245^4)/4,0)+IF(O245&gt;($N$4*8/10),($N$4*8/10)^2*(1.5*(O245^2-MAX(N245,($N$4*8/10))^2)-($N$4*8/10)*(O245-MAX(N245,($N$4*8/10)))),0))*1000,0)</f>
        <v>0</v>
      </c>
      <c r="AV245" s="120">
        <f>IF(AND(V245="OK",ISNUMBER($N$5),$N$5&gt;0,ISNUMBER($N$3),$N$3&gt;0),R245/(6*$N$3*1000000*$N$5)*(IF(N245&lt;($N$4*9/10),($N$4*9/10)*(MIN(O245,($N$4*9/10))^3-N245^3)-(MIN(O245,($N$4*9/10))^4-N245^4)/4,0)+IF(O245&gt;($N$4*9/10),($N$4*9/10)^2*(1.5*(O245^2-MAX(N245,($N$4*9/10))^2)-($N$4*9/10)*(O245-MAX(N245,($N$4*9/10)))),0))*1000,0)</f>
        <v>0</v>
      </c>
      <c r="AW245" s="120">
        <f>IF(AND(V245="OK",ISNUMBER($N$5),$N$5&gt;0,ISNUMBER($N$3),$N$3&gt;0),R245/(6*$N$3*1000000*$N$5)*(IF(N245&lt;($N$4*10/10),($N$4*10/10)*(MIN(O245,($N$4*10/10))^3-N245^3)-(MIN(O245,($N$4*10/10))^4-N245^4)/4,0)+IF(O245&gt;($N$4*10/10),($N$4*10/10)^2*(1.5*(O245^2-MAX(N245,($N$4*10/10))^2)-($N$4*10/10)*(O245-MAX(N245,($N$4*10/10)))),0))*1000,0)</f>
        <v>0</v>
      </c>
    </row>
    <row r="246" spans="1:49">
      <c r="A246" s="124"/>
      <c r="B246" s="125"/>
      <c r="C246" s="125"/>
      <c r="D246" s="125"/>
      <c r="E246" s="125"/>
      <c r="F246" s="126" t="str">
        <f>IF(J246="OK",D246*E246,"")</f>
        <v/>
      </c>
      <c r="G246" s="126" t="str">
        <f>IF(J246="OK",F246*(C246-B246),"")</f>
        <v/>
      </c>
      <c r="H246" s="126" t="str">
        <f>IF(J246="OK",G246*(C246+B246)/2,"")</f>
        <v/>
      </c>
      <c r="I246" s="126" t="str">
        <f>IF(AND(J246="OK",ISNUMBER($B$5),$B$5&gt;0,ISNUMBER($B$3),$B$3&gt;0),F246*(4*$B$4*(C246^3-B246^3)-(C246^4-B246^4))/(24*$B$3*1000000*$B$5)*1000,"")</f>
        <v/>
      </c>
      <c r="J246" s="120" t="str">
        <f>IF(COUNTA(A246:E246)=0,"",IF(AND(COUNT(B246:E246)=4,B246&gt;=0,C246&gt;B246,C246&lt;=$B$4,D246&gt;=0,E246&gt;0),IF(COUNTIFS($B$13:$B$245,"&lt;"&amp;C246,$C$13:$C$245,"&gt;"&amp;B246)&gt;0,"OVERLAP","OK"),"CHECK INPUTS"))</f>
        <v/>
      </c>
      <c r="M246" s="124"/>
      <c r="N246" s="125"/>
      <c r="O246" s="125"/>
      <c r="P246" s="125"/>
      <c r="Q246" s="125"/>
      <c r="R246" s="126" t="str">
        <f>IF(V246="OK",P246*Q246,"")</f>
        <v/>
      </c>
      <c r="S246" s="126" t="str">
        <f>IF(V246="OK",R246*(O246-N246),"")</f>
        <v/>
      </c>
      <c r="T246" s="126" t="str">
        <f>IF(V246="OK",S246*(O246+N246)/2,"")</f>
        <v/>
      </c>
      <c r="U246" s="126" t="str">
        <f>IF(AND(V246="OK",ISNUMBER($N$5),$N$5&gt;0,ISNUMBER($N$3),$N$3&gt;0),R246*(4*$N$4*(O246^3-N246^3)-(O246^4-N246^4))/(24*$N$3*1000000*$N$5)*1000,"")</f>
        <v/>
      </c>
      <c r="V246" s="120" t="str">
        <f>IF(COUNTA(M246:Q246)=0,"",IF(AND(COUNT(N246:Q246)=4,N246&gt;=0,O246&gt;N246,O246&lt;=$N$4,P246&gt;=0,Q246&gt;0),IF(COUNTIFS($N$13:$N$245,"&lt;"&amp;O246,$O$13:$O$245,"&gt;"&amp;N246)&gt;0,"OVERLAP","OK"),"CHECK INPUTS"))</f>
        <v/>
      </c>
      <c r="AA246" s="120">
        <f>IF(AND(J246="OK",ISNUMBER($B$5),$B$5&gt;0,ISNUMBER($B$3),$B$3&gt;0),F246/(6*$B$3*1000000*$B$5)*(IF(B246&lt;($B$4*0/10),($B$4*0/10)*(MIN(C246,($B$4*0/10))^3-B246^3)-(MIN(C246,($B$4*0/10))^4-B246^4)/4,0)+IF(C246&gt;($B$4*0/10),($B$4*0/10)^2*(1.5*(C246^2-MAX(B246,($B$4*0/10))^2)-($B$4*0/10)*(C246-MAX(B246,($B$4*0/10)))),0))*1000,0)</f>
        <v>0</v>
      </c>
      <c r="AB246" s="120">
        <f>IF(AND(J246="OK",ISNUMBER($B$5),$B$5&gt;0,ISNUMBER($B$3),$B$3&gt;0),F246/(6*$B$3*1000000*$B$5)*(IF(B246&lt;($B$4*1/10),($B$4*1/10)*(MIN(C246,($B$4*1/10))^3-B246^3)-(MIN(C246,($B$4*1/10))^4-B246^4)/4,0)+IF(C246&gt;($B$4*1/10),($B$4*1/10)^2*(1.5*(C246^2-MAX(B246,($B$4*1/10))^2)-($B$4*1/10)*(C246-MAX(B246,($B$4*1/10)))),0))*1000,0)</f>
        <v>0</v>
      </c>
      <c r="AC246" s="120">
        <f>IF(AND(J246="OK",ISNUMBER($B$5),$B$5&gt;0,ISNUMBER($B$3),$B$3&gt;0),F246/(6*$B$3*1000000*$B$5)*(IF(B246&lt;($B$4*2/10),($B$4*2/10)*(MIN(C246,($B$4*2/10))^3-B246^3)-(MIN(C246,($B$4*2/10))^4-B246^4)/4,0)+IF(C246&gt;($B$4*2/10),($B$4*2/10)^2*(1.5*(C246^2-MAX(B246,($B$4*2/10))^2)-($B$4*2/10)*(C246-MAX(B246,($B$4*2/10)))),0))*1000,0)</f>
        <v>0</v>
      </c>
      <c r="AD246" s="120">
        <f>IF(AND(J246="OK",ISNUMBER($B$5),$B$5&gt;0,ISNUMBER($B$3),$B$3&gt;0),F246/(6*$B$3*1000000*$B$5)*(IF(B246&lt;($B$4*3/10),($B$4*3/10)*(MIN(C246,($B$4*3/10))^3-B246^3)-(MIN(C246,($B$4*3/10))^4-B246^4)/4,0)+IF(C246&gt;($B$4*3/10),($B$4*3/10)^2*(1.5*(C246^2-MAX(B246,($B$4*3/10))^2)-($B$4*3/10)*(C246-MAX(B246,($B$4*3/10)))),0))*1000,0)</f>
        <v>0</v>
      </c>
      <c r="AE246" s="120">
        <f>IF(AND(J246="OK",ISNUMBER($B$5),$B$5&gt;0,ISNUMBER($B$3),$B$3&gt;0),F246/(6*$B$3*1000000*$B$5)*(IF(B246&lt;($B$4*4/10),($B$4*4/10)*(MIN(C246,($B$4*4/10))^3-B246^3)-(MIN(C246,($B$4*4/10))^4-B246^4)/4,0)+IF(C246&gt;($B$4*4/10),($B$4*4/10)^2*(1.5*(C246^2-MAX(B246,($B$4*4/10))^2)-($B$4*4/10)*(C246-MAX(B246,($B$4*4/10)))),0))*1000,0)</f>
        <v>0</v>
      </c>
      <c r="AF246" s="120">
        <f>IF(AND(J246="OK",ISNUMBER($B$5),$B$5&gt;0,ISNUMBER($B$3),$B$3&gt;0),F246/(6*$B$3*1000000*$B$5)*(IF(B246&lt;($B$4*5/10),($B$4*5/10)*(MIN(C246,($B$4*5/10))^3-B246^3)-(MIN(C246,($B$4*5/10))^4-B246^4)/4,0)+IF(C246&gt;($B$4*5/10),($B$4*5/10)^2*(1.5*(C246^2-MAX(B246,($B$4*5/10))^2)-($B$4*5/10)*(C246-MAX(B246,($B$4*5/10)))),0))*1000,0)</f>
        <v>0</v>
      </c>
      <c r="AG246" s="120">
        <f>IF(AND(J246="OK",ISNUMBER($B$5),$B$5&gt;0,ISNUMBER($B$3),$B$3&gt;0),F246/(6*$B$3*1000000*$B$5)*(IF(B246&lt;($B$4*6/10),($B$4*6/10)*(MIN(C246,($B$4*6/10))^3-B246^3)-(MIN(C246,($B$4*6/10))^4-B246^4)/4,0)+IF(C246&gt;($B$4*6/10),($B$4*6/10)^2*(1.5*(C246^2-MAX(B246,($B$4*6/10))^2)-($B$4*6/10)*(C246-MAX(B246,($B$4*6/10)))),0))*1000,0)</f>
        <v>0</v>
      </c>
      <c r="AH246" s="120">
        <f>IF(AND(J246="OK",ISNUMBER($B$5),$B$5&gt;0,ISNUMBER($B$3),$B$3&gt;0),F246/(6*$B$3*1000000*$B$5)*(IF(B246&lt;($B$4*7/10),($B$4*7/10)*(MIN(C246,($B$4*7/10))^3-B246^3)-(MIN(C246,($B$4*7/10))^4-B246^4)/4,0)+IF(C246&gt;($B$4*7/10),($B$4*7/10)^2*(1.5*(C246^2-MAX(B246,($B$4*7/10))^2)-($B$4*7/10)*(C246-MAX(B246,($B$4*7/10)))),0))*1000,0)</f>
        <v>0</v>
      </c>
      <c r="AI246" s="120">
        <f>IF(AND(J246="OK",ISNUMBER($B$5),$B$5&gt;0,ISNUMBER($B$3),$B$3&gt;0),F246/(6*$B$3*1000000*$B$5)*(IF(B246&lt;($B$4*8/10),($B$4*8/10)*(MIN(C246,($B$4*8/10))^3-B246^3)-(MIN(C246,($B$4*8/10))^4-B246^4)/4,0)+IF(C246&gt;($B$4*8/10),($B$4*8/10)^2*(1.5*(C246^2-MAX(B246,($B$4*8/10))^2)-($B$4*8/10)*(C246-MAX(B246,($B$4*8/10)))),0))*1000,0)</f>
        <v>0</v>
      </c>
      <c r="AJ246" s="120">
        <f>IF(AND(J246="OK",ISNUMBER($B$5),$B$5&gt;0,ISNUMBER($B$3),$B$3&gt;0),F246/(6*$B$3*1000000*$B$5)*(IF(B246&lt;($B$4*9/10),($B$4*9/10)*(MIN(C246,($B$4*9/10))^3-B246^3)-(MIN(C246,($B$4*9/10))^4-B246^4)/4,0)+IF(C246&gt;($B$4*9/10),($B$4*9/10)^2*(1.5*(C246^2-MAX(B246,($B$4*9/10))^2)-($B$4*9/10)*(C246-MAX(B246,($B$4*9/10)))),0))*1000,0)</f>
        <v>0</v>
      </c>
      <c r="AK246" s="120">
        <f>IF(AND(J246="OK",ISNUMBER($B$5),$B$5&gt;0,ISNUMBER($B$3),$B$3&gt;0),F246/(6*$B$3*1000000*$B$5)*(IF(B246&lt;($B$4*10/10),($B$4*10/10)*(MIN(C246,($B$4*10/10))^3-B246^3)-(MIN(C246,($B$4*10/10))^4-B246^4)/4,0)+IF(C246&gt;($B$4*10/10),($B$4*10/10)^2*(1.5*(C246^2-MAX(B246,($B$4*10/10))^2)-($B$4*10/10)*(C246-MAX(B246,($B$4*10/10)))),0))*1000,0)</f>
        <v>0</v>
      </c>
      <c r="AM246" s="120">
        <f>IF(AND(V246="OK",ISNUMBER($N$5),$N$5&gt;0,ISNUMBER($N$3),$N$3&gt;0),R246/(6*$N$3*1000000*$N$5)*(IF(N246&lt;($N$4*0/10),($N$4*0/10)*(MIN(O246,($N$4*0/10))^3-N246^3)-(MIN(O246,($N$4*0/10))^4-N246^4)/4,0)+IF(O246&gt;($N$4*0/10),($N$4*0/10)^2*(1.5*(O246^2-MAX(N246,($N$4*0/10))^2)-($N$4*0/10)*(O246-MAX(N246,($N$4*0/10)))),0))*1000,0)</f>
        <v>0</v>
      </c>
      <c r="AN246" s="120">
        <f>IF(AND(V246="OK",ISNUMBER($N$5),$N$5&gt;0,ISNUMBER($N$3),$N$3&gt;0),R246/(6*$N$3*1000000*$N$5)*(IF(N246&lt;($N$4*1/10),($N$4*1/10)*(MIN(O246,($N$4*1/10))^3-N246^3)-(MIN(O246,($N$4*1/10))^4-N246^4)/4,0)+IF(O246&gt;($N$4*1/10),($N$4*1/10)^2*(1.5*(O246^2-MAX(N246,($N$4*1/10))^2)-($N$4*1/10)*(O246-MAX(N246,($N$4*1/10)))),0))*1000,0)</f>
        <v>0</v>
      </c>
      <c r="AO246" s="120">
        <f>IF(AND(V246="OK",ISNUMBER($N$5),$N$5&gt;0,ISNUMBER($N$3),$N$3&gt;0),R246/(6*$N$3*1000000*$N$5)*(IF(N246&lt;($N$4*2/10),($N$4*2/10)*(MIN(O246,($N$4*2/10))^3-N246^3)-(MIN(O246,($N$4*2/10))^4-N246^4)/4,0)+IF(O246&gt;($N$4*2/10),($N$4*2/10)^2*(1.5*(O246^2-MAX(N246,($N$4*2/10))^2)-($N$4*2/10)*(O246-MAX(N246,($N$4*2/10)))),0))*1000,0)</f>
        <v>0</v>
      </c>
      <c r="AP246" s="120">
        <f>IF(AND(V246="OK",ISNUMBER($N$5),$N$5&gt;0,ISNUMBER($N$3),$N$3&gt;0),R246/(6*$N$3*1000000*$N$5)*(IF(N246&lt;($N$4*3/10),($N$4*3/10)*(MIN(O246,($N$4*3/10))^3-N246^3)-(MIN(O246,($N$4*3/10))^4-N246^4)/4,0)+IF(O246&gt;($N$4*3/10),($N$4*3/10)^2*(1.5*(O246^2-MAX(N246,($N$4*3/10))^2)-($N$4*3/10)*(O246-MAX(N246,($N$4*3/10)))),0))*1000,0)</f>
        <v>0</v>
      </c>
      <c r="AQ246" s="120">
        <f>IF(AND(V246="OK",ISNUMBER($N$5),$N$5&gt;0,ISNUMBER($N$3),$N$3&gt;0),R246/(6*$N$3*1000000*$N$5)*(IF(N246&lt;($N$4*4/10),($N$4*4/10)*(MIN(O246,($N$4*4/10))^3-N246^3)-(MIN(O246,($N$4*4/10))^4-N246^4)/4,0)+IF(O246&gt;($N$4*4/10),($N$4*4/10)^2*(1.5*(O246^2-MAX(N246,($N$4*4/10))^2)-($N$4*4/10)*(O246-MAX(N246,($N$4*4/10)))),0))*1000,0)</f>
        <v>0</v>
      </c>
      <c r="AR246" s="120">
        <f>IF(AND(V246="OK",ISNUMBER($N$5),$N$5&gt;0,ISNUMBER($N$3),$N$3&gt;0),R246/(6*$N$3*1000000*$N$5)*(IF(N246&lt;($N$4*5/10),($N$4*5/10)*(MIN(O246,($N$4*5/10))^3-N246^3)-(MIN(O246,($N$4*5/10))^4-N246^4)/4,0)+IF(O246&gt;($N$4*5/10),($N$4*5/10)^2*(1.5*(O246^2-MAX(N246,($N$4*5/10))^2)-($N$4*5/10)*(O246-MAX(N246,($N$4*5/10)))),0))*1000,0)</f>
        <v>0</v>
      </c>
      <c r="AS246" s="120">
        <f>IF(AND(V246="OK",ISNUMBER($N$5),$N$5&gt;0,ISNUMBER($N$3),$N$3&gt;0),R246/(6*$N$3*1000000*$N$5)*(IF(N246&lt;($N$4*6/10),($N$4*6/10)*(MIN(O246,($N$4*6/10))^3-N246^3)-(MIN(O246,($N$4*6/10))^4-N246^4)/4,0)+IF(O246&gt;($N$4*6/10),($N$4*6/10)^2*(1.5*(O246^2-MAX(N246,($N$4*6/10))^2)-($N$4*6/10)*(O246-MAX(N246,($N$4*6/10)))),0))*1000,0)</f>
        <v>0</v>
      </c>
      <c r="AT246" s="120">
        <f>IF(AND(V246="OK",ISNUMBER($N$5),$N$5&gt;0,ISNUMBER($N$3),$N$3&gt;0),R246/(6*$N$3*1000000*$N$5)*(IF(N246&lt;($N$4*7/10),($N$4*7/10)*(MIN(O246,($N$4*7/10))^3-N246^3)-(MIN(O246,($N$4*7/10))^4-N246^4)/4,0)+IF(O246&gt;($N$4*7/10),($N$4*7/10)^2*(1.5*(O246^2-MAX(N246,($N$4*7/10))^2)-($N$4*7/10)*(O246-MAX(N246,($N$4*7/10)))),0))*1000,0)</f>
        <v>0</v>
      </c>
      <c r="AU246" s="120">
        <f>IF(AND(V246="OK",ISNUMBER($N$5),$N$5&gt;0,ISNUMBER($N$3),$N$3&gt;0),R246/(6*$N$3*1000000*$N$5)*(IF(N246&lt;($N$4*8/10),($N$4*8/10)*(MIN(O246,($N$4*8/10))^3-N246^3)-(MIN(O246,($N$4*8/10))^4-N246^4)/4,0)+IF(O246&gt;($N$4*8/10),($N$4*8/10)^2*(1.5*(O246^2-MAX(N246,($N$4*8/10))^2)-($N$4*8/10)*(O246-MAX(N246,($N$4*8/10)))),0))*1000,0)</f>
        <v>0</v>
      </c>
      <c r="AV246" s="120">
        <f>IF(AND(V246="OK",ISNUMBER($N$5),$N$5&gt;0,ISNUMBER($N$3),$N$3&gt;0),R246/(6*$N$3*1000000*$N$5)*(IF(N246&lt;($N$4*9/10),($N$4*9/10)*(MIN(O246,($N$4*9/10))^3-N246^3)-(MIN(O246,($N$4*9/10))^4-N246^4)/4,0)+IF(O246&gt;($N$4*9/10),($N$4*9/10)^2*(1.5*(O246^2-MAX(N246,($N$4*9/10))^2)-($N$4*9/10)*(O246-MAX(N246,($N$4*9/10)))),0))*1000,0)</f>
        <v>0</v>
      </c>
      <c r="AW246" s="120">
        <f>IF(AND(V246="OK",ISNUMBER($N$5),$N$5&gt;0,ISNUMBER($N$3),$N$3&gt;0),R246/(6*$N$3*1000000*$N$5)*(IF(N246&lt;($N$4*10/10),($N$4*10/10)*(MIN(O246,($N$4*10/10))^3-N246^3)-(MIN(O246,($N$4*10/10))^4-N246^4)/4,0)+IF(O246&gt;($N$4*10/10),($N$4*10/10)^2*(1.5*(O246^2-MAX(N246,($N$4*10/10))^2)-($N$4*10/10)*(O246-MAX(N246,($N$4*10/10)))),0))*1000,0)</f>
        <v>0</v>
      </c>
    </row>
    <row r="247" spans="1:49">
      <c r="A247" s="124"/>
      <c r="B247" s="125"/>
      <c r="C247" s="125"/>
      <c r="D247" s="125"/>
      <c r="E247" s="125"/>
      <c r="F247" s="126" t="str">
        <f>IF(J247="OK",D247*E247,"")</f>
        <v/>
      </c>
      <c r="G247" s="126" t="str">
        <f>IF(J247="OK",F247*(C247-B247),"")</f>
        <v/>
      </c>
      <c r="H247" s="126" t="str">
        <f>IF(J247="OK",G247*(C247+B247)/2,"")</f>
        <v/>
      </c>
      <c r="I247" s="126" t="str">
        <f>IF(AND(J247="OK",ISNUMBER($B$5),$B$5&gt;0,ISNUMBER($B$3),$B$3&gt;0),F247*(4*$B$4*(C247^3-B247^3)-(C247^4-B247^4))/(24*$B$3*1000000*$B$5)*1000,"")</f>
        <v/>
      </c>
      <c r="J247" s="120" t="str">
        <f>IF(COUNTA(A247:E247)=0,"",IF(AND(COUNT(B247:E247)=4,B247&gt;=0,C247&gt;B247,C247&lt;=$B$4,D247&gt;=0,E247&gt;0),IF(COUNTIFS($B$13:$B$246,"&lt;"&amp;C247,$C$13:$C$246,"&gt;"&amp;B247)&gt;0,"OVERLAP","OK"),"CHECK INPUTS"))</f>
        <v/>
      </c>
      <c r="M247" s="124"/>
      <c r="N247" s="125"/>
      <c r="O247" s="125"/>
      <c r="P247" s="125"/>
      <c r="Q247" s="125"/>
      <c r="R247" s="126" t="str">
        <f>IF(V247="OK",P247*Q247,"")</f>
        <v/>
      </c>
      <c r="S247" s="126" t="str">
        <f>IF(V247="OK",R247*(O247-N247),"")</f>
        <v/>
      </c>
      <c r="T247" s="126" t="str">
        <f>IF(V247="OK",S247*(O247+N247)/2,"")</f>
        <v/>
      </c>
      <c r="U247" s="126" t="str">
        <f>IF(AND(V247="OK",ISNUMBER($N$5),$N$5&gt;0,ISNUMBER($N$3),$N$3&gt;0),R247*(4*$N$4*(O247^3-N247^3)-(O247^4-N247^4))/(24*$N$3*1000000*$N$5)*1000,"")</f>
        <v/>
      </c>
      <c r="V247" s="120" t="str">
        <f>IF(COUNTA(M247:Q247)=0,"",IF(AND(COUNT(N247:Q247)=4,N247&gt;=0,O247&gt;N247,O247&lt;=$N$4,P247&gt;=0,Q247&gt;0),IF(COUNTIFS($N$13:$N$246,"&lt;"&amp;O247,$O$13:$O$246,"&gt;"&amp;N247)&gt;0,"OVERLAP","OK"),"CHECK INPUTS"))</f>
        <v/>
      </c>
      <c r="AA247" s="120">
        <f>IF(AND(J247="OK",ISNUMBER($B$5),$B$5&gt;0,ISNUMBER($B$3),$B$3&gt;0),F247/(6*$B$3*1000000*$B$5)*(IF(B247&lt;($B$4*0/10),($B$4*0/10)*(MIN(C247,($B$4*0/10))^3-B247^3)-(MIN(C247,($B$4*0/10))^4-B247^4)/4,0)+IF(C247&gt;($B$4*0/10),($B$4*0/10)^2*(1.5*(C247^2-MAX(B247,($B$4*0/10))^2)-($B$4*0/10)*(C247-MAX(B247,($B$4*0/10)))),0))*1000,0)</f>
        <v>0</v>
      </c>
      <c r="AB247" s="120">
        <f>IF(AND(J247="OK",ISNUMBER($B$5),$B$5&gt;0,ISNUMBER($B$3),$B$3&gt;0),F247/(6*$B$3*1000000*$B$5)*(IF(B247&lt;($B$4*1/10),($B$4*1/10)*(MIN(C247,($B$4*1/10))^3-B247^3)-(MIN(C247,($B$4*1/10))^4-B247^4)/4,0)+IF(C247&gt;($B$4*1/10),($B$4*1/10)^2*(1.5*(C247^2-MAX(B247,($B$4*1/10))^2)-($B$4*1/10)*(C247-MAX(B247,($B$4*1/10)))),0))*1000,0)</f>
        <v>0</v>
      </c>
      <c r="AC247" s="120">
        <f>IF(AND(J247="OK",ISNUMBER($B$5),$B$5&gt;0,ISNUMBER($B$3),$B$3&gt;0),F247/(6*$B$3*1000000*$B$5)*(IF(B247&lt;($B$4*2/10),($B$4*2/10)*(MIN(C247,($B$4*2/10))^3-B247^3)-(MIN(C247,($B$4*2/10))^4-B247^4)/4,0)+IF(C247&gt;($B$4*2/10),($B$4*2/10)^2*(1.5*(C247^2-MAX(B247,($B$4*2/10))^2)-($B$4*2/10)*(C247-MAX(B247,($B$4*2/10)))),0))*1000,0)</f>
        <v>0</v>
      </c>
      <c r="AD247" s="120">
        <f>IF(AND(J247="OK",ISNUMBER($B$5),$B$5&gt;0,ISNUMBER($B$3),$B$3&gt;0),F247/(6*$B$3*1000000*$B$5)*(IF(B247&lt;($B$4*3/10),($B$4*3/10)*(MIN(C247,($B$4*3/10))^3-B247^3)-(MIN(C247,($B$4*3/10))^4-B247^4)/4,0)+IF(C247&gt;($B$4*3/10),($B$4*3/10)^2*(1.5*(C247^2-MAX(B247,($B$4*3/10))^2)-($B$4*3/10)*(C247-MAX(B247,($B$4*3/10)))),0))*1000,0)</f>
        <v>0</v>
      </c>
      <c r="AE247" s="120">
        <f>IF(AND(J247="OK",ISNUMBER($B$5),$B$5&gt;0,ISNUMBER($B$3),$B$3&gt;0),F247/(6*$B$3*1000000*$B$5)*(IF(B247&lt;($B$4*4/10),($B$4*4/10)*(MIN(C247,($B$4*4/10))^3-B247^3)-(MIN(C247,($B$4*4/10))^4-B247^4)/4,0)+IF(C247&gt;($B$4*4/10),($B$4*4/10)^2*(1.5*(C247^2-MAX(B247,($B$4*4/10))^2)-($B$4*4/10)*(C247-MAX(B247,($B$4*4/10)))),0))*1000,0)</f>
        <v>0</v>
      </c>
      <c r="AF247" s="120">
        <f>IF(AND(J247="OK",ISNUMBER($B$5),$B$5&gt;0,ISNUMBER($B$3),$B$3&gt;0),F247/(6*$B$3*1000000*$B$5)*(IF(B247&lt;($B$4*5/10),($B$4*5/10)*(MIN(C247,($B$4*5/10))^3-B247^3)-(MIN(C247,($B$4*5/10))^4-B247^4)/4,0)+IF(C247&gt;($B$4*5/10),($B$4*5/10)^2*(1.5*(C247^2-MAX(B247,($B$4*5/10))^2)-($B$4*5/10)*(C247-MAX(B247,($B$4*5/10)))),0))*1000,0)</f>
        <v>0</v>
      </c>
      <c r="AG247" s="120">
        <f>IF(AND(J247="OK",ISNUMBER($B$5),$B$5&gt;0,ISNUMBER($B$3),$B$3&gt;0),F247/(6*$B$3*1000000*$B$5)*(IF(B247&lt;($B$4*6/10),($B$4*6/10)*(MIN(C247,($B$4*6/10))^3-B247^3)-(MIN(C247,($B$4*6/10))^4-B247^4)/4,0)+IF(C247&gt;($B$4*6/10),($B$4*6/10)^2*(1.5*(C247^2-MAX(B247,($B$4*6/10))^2)-($B$4*6/10)*(C247-MAX(B247,($B$4*6/10)))),0))*1000,0)</f>
        <v>0</v>
      </c>
      <c r="AH247" s="120">
        <f>IF(AND(J247="OK",ISNUMBER($B$5),$B$5&gt;0,ISNUMBER($B$3),$B$3&gt;0),F247/(6*$B$3*1000000*$B$5)*(IF(B247&lt;($B$4*7/10),($B$4*7/10)*(MIN(C247,($B$4*7/10))^3-B247^3)-(MIN(C247,($B$4*7/10))^4-B247^4)/4,0)+IF(C247&gt;($B$4*7/10),($B$4*7/10)^2*(1.5*(C247^2-MAX(B247,($B$4*7/10))^2)-($B$4*7/10)*(C247-MAX(B247,($B$4*7/10)))),0))*1000,0)</f>
        <v>0</v>
      </c>
      <c r="AI247" s="120">
        <f>IF(AND(J247="OK",ISNUMBER($B$5),$B$5&gt;0,ISNUMBER($B$3),$B$3&gt;0),F247/(6*$B$3*1000000*$B$5)*(IF(B247&lt;($B$4*8/10),($B$4*8/10)*(MIN(C247,($B$4*8/10))^3-B247^3)-(MIN(C247,($B$4*8/10))^4-B247^4)/4,0)+IF(C247&gt;($B$4*8/10),($B$4*8/10)^2*(1.5*(C247^2-MAX(B247,($B$4*8/10))^2)-($B$4*8/10)*(C247-MAX(B247,($B$4*8/10)))),0))*1000,0)</f>
        <v>0</v>
      </c>
      <c r="AJ247" s="120">
        <f>IF(AND(J247="OK",ISNUMBER($B$5),$B$5&gt;0,ISNUMBER($B$3),$B$3&gt;0),F247/(6*$B$3*1000000*$B$5)*(IF(B247&lt;($B$4*9/10),($B$4*9/10)*(MIN(C247,($B$4*9/10))^3-B247^3)-(MIN(C247,($B$4*9/10))^4-B247^4)/4,0)+IF(C247&gt;($B$4*9/10),($B$4*9/10)^2*(1.5*(C247^2-MAX(B247,($B$4*9/10))^2)-($B$4*9/10)*(C247-MAX(B247,($B$4*9/10)))),0))*1000,0)</f>
        <v>0</v>
      </c>
      <c r="AK247" s="120">
        <f>IF(AND(J247="OK",ISNUMBER($B$5),$B$5&gt;0,ISNUMBER($B$3),$B$3&gt;0),F247/(6*$B$3*1000000*$B$5)*(IF(B247&lt;($B$4*10/10),($B$4*10/10)*(MIN(C247,($B$4*10/10))^3-B247^3)-(MIN(C247,($B$4*10/10))^4-B247^4)/4,0)+IF(C247&gt;($B$4*10/10),($B$4*10/10)^2*(1.5*(C247^2-MAX(B247,($B$4*10/10))^2)-($B$4*10/10)*(C247-MAX(B247,($B$4*10/10)))),0))*1000,0)</f>
        <v>0</v>
      </c>
      <c r="AM247" s="120">
        <f>IF(AND(V247="OK",ISNUMBER($N$5),$N$5&gt;0,ISNUMBER($N$3),$N$3&gt;0),R247/(6*$N$3*1000000*$N$5)*(IF(N247&lt;($N$4*0/10),($N$4*0/10)*(MIN(O247,($N$4*0/10))^3-N247^3)-(MIN(O247,($N$4*0/10))^4-N247^4)/4,0)+IF(O247&gt;($N$4*0/10),($N$4*0/10)^2*(1.5*(O247^2-MAX(N247,($N$4*0/10))^2)-($N$4*0/10)*(O247-MAX(N247,($N$4*0/10)))),0))*1000,0)</f>
        <v>0</v>
      </c>
      <c r="AN247" s="120">
        <f>IF(AND(V247="OK",ISNUMBER($N$5),$N$5&gt;0,ISNUMBER($N$3),$N$3&gt;0),R247/(6*$N$3*1000000*$N$5)*(IF(N247&lt;($N$4*1/10),($N$4*1/10)*(MIN(O247,($N$4*1/10))^3-N247^3)-(MIN(O247,($N$4*1/10))^4-N247^4)/4,0)+IF(O247&gt;($N$4*1/10),($N$4*1/10)^2*(1.5*(O247^2-MAX(N247,($N$4*1/10))^2)-($N$4*1/10)*(O247-MAX(N247,($N$4*1/10)))),0))*1000,0)</f>
        <v>0</v>
      </c>
      <c r="AO247" s="120">
        <f>IF(AND(V247="OK",ISNUMBER($N$5),$N$5&gt;0,ISNUMBER($N$3),$N$3&gt;0),R247/(6*$N$3*1000000*$N$5)*(IF(N247&lt;($N$4*2/10),($N$4*2/10)*(MIN(O247,($N$4*2/10))^3-N247^3)-(MIN(O247,($N$4*2/10))^4-N247^4)/4,0)+IF(O247&gt;($N$4*2/10),($N$4*2/10)^2*(1.5*(O247^2-MAX(N247,($N$4*2/10))^2)-($N$4*2/10)*(O247-MAX(N247,($N$4*2/10)))),0))*1000,0)</f>
        <v>0</v>
      </c>
      <c r="AP247" s="120">
        <f>IF(AND(V247="OK",ISNUMBER($N$5),$N$5&gt;0,ISNUMBER($N$3),$N$3&gt;0),R247/(6*$N$3*1000000*$N$5)*(IF(N247&lt;($N$4*3/10),($N$4*3/10)*(MIN(O247,($N$4*3/10))^3-N247^3)-(MIN(O247,($N$4*3/10))^4-N247^4)/4,0)+IF(O247&gt;($N$4*3/10),($N$4*3/10)^2*(1.5*(O247^2-MAX(N247,($N$4*3/10))^2)-($N$4*3/10)*(O247-MAX(N247,($N$4*3/10)))),0))*1000,0)</f>
        <v>0</v>
      </c>
      <c r="AQ247" s="120">
        <f>IF(AND(V247="OK",ISNUMBER($N$5),$N$5&gt;0,ISNUMBER($N$3),$N$3&gt;0),R247/(6*$N$3*1000000*$N$5)*(IF(N247&lt;($N$4*4/10),($N$4*4/10)*(MIN(O247,($N$4*4/10))^3-N247^3)-(MIN(O247,($N$4*4/10))^4-N247^4)/4,0)+IF(O247&gt;($N$4*4/10),($N$4*4/10)^2*(1.5*(O247^2-MAX(N247,($N$4*4/10))^2)-($N$4*4/10)*(O247-MAX(N247,($N$4*4/10)))),0))*1000,0)</f>
        <v>0</v>
      </c>
      <c r="AR247" s="120">
        <f>IF(AND(V247="OK",ISNUMBER($N$5),$N$5&gt;0,ISNUMBER($N$3),$N$3&gt;0),R247/(6*$N$3*1000000*$N$5)*(IF(N247&lt;($N$4*5/10),($N$4*5/10)*(MIN(O247,($N$4*5/10))^3-N247^3)-(MIN(O247,($N$4*5/10))^4-N247^4)/4,0)+IF(O247&gt;($N$4*5/10),($N$4*5/10)^2*(1.5*(O247^2-MAX(N247,($N$4*5/10))^2)-($N$4*5/10)*(O247-MAX(N247,($N$4*5/10)))),0))*1000,0)</f>
        <v>0</v>
      </c>
      <c r="AS247" s="120">
        <f>IF(AND(V247="OK",ISNUMBER($N$5),$N$5&gt;0,ISNUMBER($N$3),$N$3&gt;0),R247/(6*$N$3*1000000*$N$5)*(IF(N247&lt;($N$4*6/10),($N$4*6/10)*(MIN(O247,($N$4*6/10))^3-N247^3)-(MIN(O247,($N$4*6/10))^4-N247^4)/4,0)+IF(O247&gt;($N$4*6/10),($N$4*6/10)^2*(1.5*(O247^2-MAX(N247,($N$4*6/10))^2)-($N$4*6/10)*(O247-MAX(N247,($N$4*6/10)))),0))*1000,0)</f>
        <v>0</v>
      </c>
      <c r="AT247" s="120">
        <f>IF(AND(V247="OK",ISNUMBER($N$5),$N$5&gt;0,ISNUMBER($N$3),$N$3&gt;0),R247/(6*$N$3*1000000*$N$5)*(IF(N247&lt;($N$4*7/10),($N$4*7/10)*(MIN(O247,($N$4*7/10))^3-N247^3)-(MIN(O247,($N$4*7/10))^4-N247^4)/4,0)+IF(O247&gt;($N$4*7/10),($N$4*7/10)^2*(1.5*(O247^2-MAX(N247,($N$4*7/10))^2)-($N$4*7/10)*(O247-MAX(N247,($N$4*7/10)))),0))*1000,0)</f>
        <v>0</v>
      </c>
      <c r="AU247" s="120">
        <f>IF(AND(V247="OK",ISNUMBER($N$5),$N$5&gt;0,ISNUMBER($N$3),$N$3&gt;0),R247/(6*$N$3*1000000*$N$5)*(IF(N247&lt;($N$4*8/10),($N$4*8/10)*(MIN(O247,($N$4*8/10))^3-N247^3)-(MIN(O247,($N$4*8/10))^4-N247^4)/4,0)+IF(O247&gt;($N$4*8/10),($N$4*8/10)^2*(1.5*(O247^2-MAX(N247,($N$4*8/10))^2)-($N$4*8/10)*(O247-MAX(N247,($N$4*8/10)))),0))*1000,0)</f>
        <v>0</v>
      </c>
      <c r="AV247" s="120">
        <f>IF(AND(V247="OK",ISNUMBER($N$5),$N$5&gt;0,ISNUMBER($N$3),$N$3&gt;0),R247/(6*$N$3*1000000*$N$5)*(IF(N247&lt;($N$4*9/10),($N$4*9/10)*(MIN(O247,($N$4*9/10))^3-N247^3)-(MIN(O247,($N$4*9/10))^4-N247^4)/4,0)+IF(O247&gt;($N$4*9/10),($N$4*9/10)^2*(1.5*(O247^2-MAX(N247,($N$4*9/10))^2)-($N$4*9/10)*(O247-MAX(N247,($N$4*9/10)))),0))*1000,0)</f>
        <v>0</v>
      </c>
      <c r="AW247" s="120">
        <f>IF(AND(V247="OK",ISNUMBER($N$5),$N$5&gt;0,ISNUMBER($N$3),$N$3&gt;0),R247/(6*$N$3*1000000*$N$5)*(IF(N247&lt;($N$4*10/10),($N$4*10/10)*(MIN(O247,($N$4*10/10))^3-N247^3)-(MIN(O247,($N$4*10/10))^4-N247^4)/4,0)+IF(O247&gt;($N$4*10/10),($N$4*10/10)^2*(1.5*(O247^2-MAX(N247,($N$4*10/10))^2)-($N$4*10/10)*(O247-MAX(N247,($N$4*10/10)))),0))*1000,0)</f>
        <v>0</v>
      </c>
    </row>
    <row r="248" spans="1:49">
      <c r="A248" s="124"/>
      <c r="B248" s="125"/>
      <c r="C248" s="125"/>
      <c r="D248" s="125"/>
      <c r="E248" s="125"/>
      <c r="F248" s="126" t="str">
        <f>IF(J248="OK",D248*E248,"")</f>
        <v/>
      </c>
      <c r="G248" s="126" t="str">
        <f>IF(J248="OK",F248*(C248-B248),"")</f>
        <v/>
      </c>
      <c r="H248" s="126" t="str">
        <f>IF(J248="OK",G248*(C248+B248)/2,"")</f>
        <v/>
      </c>
      <c r="I248" s="126" t="str">
        <f>IF(AND(J248="OK",ISNUMBER($B$5),$B$5&gt;0,ISNUMBER($B$3),$B$3&gt;0),F248*(4*$B$4*(C248^3-B248^3)-(C248^4-B248^4))/(24*$B$3*1000000*$B$5)*1000,"")</f>
        <v/>
      </c>
      <c r="J248" s="120" t="str">
        <f>IF(COUNTA(A248:E248)=0,"",IF(AND(COUNT(B248:E248)=4,B248&gt;=0,C248&gt;B248,C248&lt;=$B$4,D248&gt;=0,E248&gt;0),IF(COUNTIFS($B$13:$B$247,"&lt;"&amp;C248,$C$13:$C$247,"&gt;"&amp;B248)&gt;0,"OVERLAP","OK"),"CHECK INPUTS"))</f>
        <v/>
      </c>
      <c r="M248" s="124"/>
      <c r="N248" s="125"/>
      <c r="O248" s="125"/>
      <c r="P248" s="125"/>
      <c r="Q248" s="125"/>
      <c r="R248" s="126" t="str">
        <f>IF(V248="OK",P248*Q248,"")</f>
        <v/>
      </c>
      <c r="S248" s="126" t="str">
        <f>IF(V248="OK",R248*(O248-N248),"")</f>
        <v/>
      </c>
      <c r="T248" s="126" t="str">
        <f>IF(V248="OK",S248*(O248+N248)/2,"")</f>
        <v/>
      </c>
      <c r="U248" s="126" t="str">
        <f>IF(AND(V248="OK",ISNUMBER($N$5),$N$5&gt;0,ISNUMBER($N$3),$N$3&gt;0),R248*(4*$N$4*(O248^3-N248^3)-(O248^4-N248^4))/(24*$N$3*1000000*$N$5)*1000,"")</f>
        <v/>
      </c>
      <c r="V248" s="120" t="str">
        <f>IF(COUNTA(M248:Q248)=0,"",IF(AND(COUNT(N248:Q248)=4,N248&gt;=0,O248&gt;N248,O248&lt;=$N$4,P248&gt;=0,Q248&gt;0),IF(COUNTIFS($N$13:$N$247,"&lt;"&amp;O248,$O$13:$O$247,"&gt;"&amp;N248)&gt;0,"OVERLAP","OK"),"CHECK INPUTS"))</f>
        <v/>
      </c>
      <c r="AA248" s="120">
        <f>IF(AND(J248="OK",ISNUMBER($B$5),$B$5&gt;0,ISNUMBER($B$3),$B$3&gt;0),F248/(6*$B$3*1000000*$B$5)*(IF(B248&lt;($B$4*0/10),($B$4*0/10)*(MIN(C248,($B$4*0/10))^3-B248^3)-(MIN(C248,($B$4*0/10))^4-B248^4)/4,0)+IF(C248&gt;($B$4*0/10),($B$4*0/10)^2*(1.5*(C248^2-MAX(B248,($B$4*0/10))^2)-($B$4*0/10)*(C248-MAX(B248,($B$4*0/10)))),0))*1000,0)</f>
        <v>0</v>
      </c>
      <c r="AB248" s="120">
        <f>IF(AND(J248="OK",ISNUMBER($B$5),$B$5&gt;0,ISNUMBER($B$3),$B$3&gt;0),F248/(6*$B$3*1000000*$B$5)*(IF(B248&lt;($B$4*1/10),($B$4*1/10)*(MIN(C248,($B$4*1/10))^3-B248^3)-(MIN(C248,($B$4*1/10))^4-B248^4)/4,0)+IF(C248&gt;($B$4*1/10),($B$4*1/10)^2*(1.5*(C248^2-MAX(B248,($B$4*1/10))^2)-($B$4*1/10)*(C248-MAX(B248,($B$4*1/10)))),0))*1000,0)</f>
        <v>0</v>
      </c>
      <c r="AC248" s="120">
        <f>IF(AND(J248="OK",ISNUMBER($B$5),$B$5&gt;0,ISNUMBER($B$3),$B$3&gt;0),F248/(6*$B$3*1000000*$B$5)*(IF(B248&lt;($B$4*2/10),($B$4*2/10)*(MIN(C248,($B$4*2/10))^3-B248^3)-(MIN(C248,($B$4*2/10))^4-B248^4)/4,0)+IF(C248&gt;($B$4*2/10),($B$4*2/10)^2*(1.5*(C248^2-MAX(B248,($B$4*2/10))^2)-($B$4*2/10)*(C248-MAX(B248,($B$4*2/10)))),0))*1000,0)</f>
        <v>0</v>
      </c>
      <c r="AD248" s="120">
        <f>IF(AND(J248="OK",ISNUMBER($B$5),$B$5&gt;0,ISNUMBER($B$3),$B$3&gt;0),F248/(6*$B$3*1000000*$B$5)*(IF(B248&lt;($B$4*3/10),($B$4*3/10)*(MIN(C248,($B$4*3/10))^3-B248^3)-(MIN(C248,($B$4*3/10))^4-B248^4)/4,0)+IF(C248&gt;($B$4*3/10),($B$4*3/10)^2*(1.5*(C248^2-MAX(B248,($B$4*3/10))^2)-($B$4*3/10)*(C248-MAX(B248,($B$4*3/10)))),0))*1000,0)</f>
        <v>0</v>
      </c>
      <c r="AE248" s="120">
        <f>IF(AND(J248="OK",ISNUMBER($B$5),$B$5&gt;0,ISNUMBER($B$3),$B$3&gt;0),F248/(6*$B$3*1000000*$B$5)*(IF(B248&lt;($B$4*4/10),($B$4*4/10)*(MIN(C248,($B$4*4/10))^3-B248^3)-(MIN(C248,($B$4*4/10))^4-B248^4)/4,0)+IF(C248&gt;($B$4*4/10),($B$4*4/10)^2*(1.5*(C248^2-MAX(B248,($B$4*4/10))^2)-($B$4*4/10)*(C248-MAX(B248,($B$4*4/10)))),0))*1000,0)</f>
        <v>0</v>
      </c>
      <c r="AF248" s="120">
        <f>IF(AND(J248="OK",ISNUMBER($B$5),$B$5&gt;0,ISNUMBER($B$3),$B$3&gt;0),F248/(6*$B$3*1000000*$B$5)*(IF(B248&lt;($B$4*5/10),($B$4*5/10)*(MIN(C248,($B$4*5/10))^3-B248^3)-(MIN(C248,($B$4*5/10))^4-B248^4)/4,0)+IF(C248&gt;($B$4*5/10),($B$4*5/10)^2*(1.5*(C248^2-MAX(B248,($B$4*5/10))^2)-($B$4*5/10)*(C248-MAX(B248,($B$4*5/10)))),0))*1000,0)</f>
        <v>0</v>
      </c>
      <c r="AG248" s="120">
        <f>IF(AND(J248="OK",ISNUMBER($B$5),$B$5&gt;0,ISNUMBER($B$3),$B$3&gt;0),F248/(6*$B$3*1000000*$B$5)*(IF(B248&lt;($B$4*6/10),($B$4*6/10)*(MIN(C248,($B$4*6/10))^3-B248^3)-(MIN(C248,($B$4*6/10))^4-B248^4)/4,0)+IF(C248&gt;($B$4*6/10),($B$4*6/10)^2*(1.5*(C248^2-MAX(B248,($B$4*6/10))^2)-($B$4*6/10)*(C248-MAX(B248,($B$4*6/10)))),0))*1000,0)</f>
        <v>0</v>
      </c>
      <c r="AH248" s="120">
        <f>IF(AND(J248="OK",ISNUMBER($B$5),$B$5&gt;0,ISNUMBER($B$3),$B$3&gt;0),F248/(6*$B$3*1000000*$B$5)*(IF(B248&lt;($B$4*7/10),($B$4*7/10)*(MIN(C248,($B$4*7/10))^3-B248^3)-(MIN(C248,($B$4*7/10))^4-B248^4)/4,0)+IF(C248&gt;($B$4*7/10),($B$4*7/10)^2*(1.5*(C248^2-MAX(B248,($B$4*7/10))^2)-($B$4*7/10)*(C248-MAX(B248,($B$4*7/10)))),0))*1000,0)</f>
        <v>0</v>
      </c>
      <c r="AI248" s="120">
        <f>IF(AND(J248="OK",ISNUMBER($B$5),$B$5&gt;0,ISNUMBER($B$3),$B$3&gt;0),F248/(6*$B$3*1000000*$B$5)*(IF(B248&lt;($B$4*8/10),($B$4*8/10)*(MIN(C248,($B$4*8/10))^3-B248^3)-(MIN(C248,($B$4*8/10))^4-B248^4)/4,0)+IF(C248&gt;($B$4*8/10),($B$4*8/10)^2*(1.5*(C248^2-MAX(B248,($B$4*8/10))^2)-($B$4*8/10)*(C248-MAX(B248,($B$4*8/10)))),0))*1000,0)</f>
        <v>0</v>
      </c>
      <c r="AJ248" s="120">
        <f>IF(AND(J248="OK",ISNUMBER($B$5),$B$5&gt;0,ISNUMBER($B$3),$B$3&gt;0),F248/(6*$B$3*1000000*$B$5)*(IF(B248&lt;($B$4*9/10),($B$4*9/10)*(MIN(C248,($B$4*9/10))^3-B248^3)-(MIN(C248,($B$4*9/10))^4-B248^4)/4,0)+IF(C248&gt;($B$4*9/10),($B$4*9/10)^2*(1.5*(C248^2-MAX(B248,($B$4*9/10))^2)-($B$4*9/10)*(C248-MAX(B248,($B$4*9/10)))),0))*1000,0)</f>
        <v>0</v>
      </c>
      <c r="AK248" s="120">
        <f>IF(AND(J248="OK",ISNUMBER($B$5),$B$5&gt;0,ISNUMBER($B$3),$B$3&gt;0),F248/(6*$B$3*1000000*$B$5)*(IF(B248&lt;($B$4*10/10),($B$4*10/10)*(MIN(C248,($B$4*10/10))^3-B248^3)-(MIN(C248,($B$4*10/10))^4-B248^4)/4,0)+IF(C248&gt;($B$4*10/10),($B$4*10/10)^2*(1.5*(C248^2-MAX(B248,($B$4*10/10))^2)-($B$4*10/10)*(C248-MAX(B248,($B$4*10/10)))),0))*1000,0)</f>
        <v>0</v>
      </c>
      <c r="AM248" s="120">
        <f>IF(AND(V248="OK",ISNUMBER($N$5),$N$5&gt;0,ISNUMBER($N$3),$N$3&gt;0),R248/(6*$N$3*1000000*$N$5)*(IF(N248&lt;($N$4*0/10),($N$4*0/10)*(MIN(O248,($N$4*0/10))^3-N248^3)-(MIN(O248,($N$4*0/10))^4-N248^4)/4,0)+IF(O248&gt;($N$4*0/10),($N$4*0/10)^2*(1.5*(O248^2-MAX(N248,($N$4*0/10))^2)-($N$4*0/10)*(O248-MAX(N248,($N$4*0/10)))),0))*1000,0)</f>
        <v>0</v>
      </c>
      <c r="AN248" s="120">
        <f>IF(AND(V248="OK",ISNUMBER($N$5),$N$5&gt;0,ISNUMBER($N$3),$N$3&gt;0),R248/(6*$N$3*1000000*$N$5)*(IF(N248&lt;($N$4*1/10),($N$4*1/10)*(MIN(O248,($N$4*1/10))^3-N248^3)-(MIN(O248,($N$4*1/10))^4-N248^4)/4,0)+IF(O248&gt;($N$4*1/10),($N$4*1/10)^2*(1.5*(O248^2-MAX(N248,($N$4*1/10))^2)-($N$4*1/10)*(O248-MAX(N248,($N$4*1/10)))),0))*1000,0)</f>
        <v>0</v>
      </c>
      <c r="AO248" s="120">
        <f>IF(AND(V248="OK",ISNUMBER($N$5),$N$5&gt;0,ISNUMBER($N$3),$N$3&gt;0),R248/(6*$N$3*1000000*$N$5)*(IF(N248&lt;($N$4*2/10),($N$4*2/10)*(MIN(O248,($N$4*2/10))^3-N248^3)-(MIN(O248,($N$4*2/10))^4-N248^4)/4,0)+IF(O248&gt;($N$4*2/10),($N$4*2/10)^2*(1.5*(O248^2-MAX(N248,($N$4*2/10))^2)-($N$4*2/10)*(O248-MAX(N248,($N$4*2/10)))),0))*1000,0)</f>
        <v>0</v>
      </c>
      <c r="AP248" s="120">
        <f>IF(AND(V248="OK",ISNUMBER($N$5),$N$5&gt;0,ISNUMBER($N$3),$N$3&gt;0),R248/(6*$N$3*1000000*$N$5)*(IF(N248&lt;($N$4*3/10),($N$4*3/10)*(MIN(O248,($N$4*3/10))^3-N248^3)-(MIN(O248,($N$4*3/10))^4-N248^4)/4,0)+IF(O248&gt;($N$4*3/10),($N$4*3/10)^2*(1.5*(O248^2-MAX(N248,($N$4*3/10))^2)-($N$4*3/10)*(O248-MAX(N248,($N$4*3/10)))),0))*1000,0)</f>
        <v>0</v>
      </c>
      <c r="AQ248" s="120">
        <f>IF(AND(V248="OK",ISNUMBER($N$5),$N$5&gt;0,ISNUMBER($N$3),$N$3&gt;0),R248/(6*$N$3*1000000*$N$5)*(IF(N248&lt;($N$4*4/10),($N$4*4/10)*(MIN(O248,($N$4*4/10))^3-N248^3)-(MIN(O248,($N$4*4/10))^4-N248^4)/4,0)+IF(O248&gt;($N$4*4/10),($N$4*4/10)^2*(1.5*(O248^2-MAX(N248,($N$4*4/10))^2)-($N$4*4/10)*(O248-MAX(N248,($N$4*4/10)))),0))*1000,0)</f>
        <v>0</v>
      </c>
      <c r="AR248" s="120">
        <f>IF(AND(V248="OK",ISNUMBER($N$5),$N$5&gt;0,ISNUMBER($N$3),$N$3&gt;0),R248/(6*$N$3*1000000*$N$5)*(IF(N248&lt;($N$4*5/10),($N$4*5/10)*(MIN(O248,($N$4*5/10))^3-N248^3)-(MIN(O248,($N$4*5/10))^4-N248^4)/4,0)+IF(O248&gt;($N$4*5/10),($N$4*5/10)^2*(1.5*(O248^2-MAX(N248,($N$4*5/10))^2)-($N$4*5/10)*(O248-MAX(N248,($N$4*5/10)))),0))*1000,0)</f>
        <v>0</v>
      </c>
      <c r="AS248" s="120">
        <f>IF(AND(V248="OK",ISNUMBER($N$5),$N$5&gt;0,ISNUMBER($N$3),$N$3&gt;0),R248/(6*$N$3*1000000*$N$5)*(IF(N248&lt;($N$4*6/10),($N$4*6/10)*(MIN(O248,($N$4*6/10))^3-N248^3)-(MIN(O248,($N$4*6/10))^4-N248^4)/4,0)+IF(O248&gt;($N$4*6/10),($N$4*6/10)^2*(1.5*(O248^2-MAX(N248,($N$4*6/10))^2)-($N$4*6/10)*(O248-MAX(N248,($N$4*6/10)))),0))*1000,0)</f>
        <v>0</v>
      </c>
      <c r="AT248" s="120">
        <f>IF(AND(V248="OK",ISNUMBER($N$5),$N$5&gt;0,ISNUMBER($N$3),$N$3&gt;0),R248/(6*$N$3*1000000*$N$5)*(IF(N248&lt;($N$4*7/10),($N$4*7/10)*(MIN(O248,($N$4*7/10))^3-N248^3)-(MIN(O248,($N$4*7/10))^4-N248^4)/4,0)+IF(O248&gt;($N$4*7/10),($N$4*7/10)^2*(1.5*(O248^2-MAX(N248,($N$4*7/10))^2)-($N$4*7/10)*(O248-MAX(N248,($N$4*7/10)))),0))*1000,0)</f>
        <v>0</v>
      </c>
      <c r="AU248" s="120">
        <f>IF(AND(V248="OK",ISNUMBER($N$5),$N$5&gt;0,ISNUMBER($N$3),$N$3&gt;0),R248/(6*$N$3*1000000*$N$5)*(IF(N248&lt;($N$4*8/10),($N$4*8/10)*(MIN(O248,($N$4*8/10))^3-N248^3)-(MIN(O248,($N$4*8/10))^4-N248^4)/4,0)+IF(O248&gt;($N$4*8/10),($N$4*8/10)^2*(1.5*(O248^2-MAX(N248,($N$4*8/10))^2)-($N$4*8/10)*(O248-MAX(N248,($N$4*8/10)))),0))*1000,0)</f>
        <v>0</v>
      </c>
      <c r="AV248" s="120">
        <f>IF(AND(V248="OK",ISNUMBER($N$5),$N$5&gt;0,ISNUMBER($N$3),$N$3&gt;0),R248/(6*$N$3*1000000*$N$5)*(IF(N248&lt;($N$4*9/10),($N$4*9/10)*(MIN(O248,($N$4*9/10))^3-N248^3)-(MIN(O248,($N$4*9/10))^4-N248^4)/4,0)+IF(O248&gt;($N$4*9/10),($N$4*9/10)^2*(1.5*(O248^2-MAX(N248,($N$4*9/10))^2)-($N$4*9/10)*(O248-MAX(N248,($N$4*9/10)))),0))*1000,0)</f>
        <v>0</v>
      </c>
      <c r="AW248" s="120">
        <f>IF(AND(V248="OK",ISNUMBER($N$5),$N$5&gt;0,ISNUMBER($N$3),$N$3&gt;0),R248/(6*$N$3*1000000*$N$5)*(IF(N248&lt;($N$4*10/10),($N$4*10/10)*(MIN(O248,($N$4*10/10))^3-N248^3)-(MIN(O248,($N$4*10/10))^4-N248^4)/4,0)+IF(O248&gt;($N$4*10/10),($N$4*10/10)^2*(1.5*(O248^2-MAX(N248,($N$4*10/10))^2)-($N$4*10/10)*(O248-MAX(N248,($N$4*10/10)))),0))*1000,0)</f>
        <v>0</v>
      </c>
    </row>
    <row r="249" spans="1:49">
      <c r="A249" s="124"/>
      <c r="B249" s="125"/>
      <c r="C249" s="125"/>
      <c r="D249" s="125"/>
      <c r="E249" s="125"/>
      <c r="F249" s="126" t="str">
        <f>IF(J249="OK",D249*E249,"")</f>
        <v/>
      </c>
      <c r="G249" s="126" t="str">
        <f>IF(J249="OK",F249*(C249-B249),"")</f>
        <v/>
      </c>
      <c r="H249" s="126" t="str">
        <f>IF(J249="OK",G249*(C249+B249)/2,"")</f>
        <v/>
      </c>
      <c r="I249" s="126" t="str">
        <f>IF(AND(J249="OK",ISNUMBER($B$5),$B$5&gt;0,ISNUMBER($B$3),$B$3&gt;0),F249*(4*$B$4*(C249^3-B249^3)-(C249^4-B249^4))/(24*$B$3*1000000*$B$5)*1000,"")</f>
        <v/>
      </c>
      <c r="J249" s="120" t="str">
        <f>IF(COUNTA(A249:E249)=0,"",IF(AND(COUNT(B249:E249)=4,B249&gt;=0,C249&gt;B249,C249&lt;=$B$4,D249&gt;=0,E249&gt;0),IF(COUNTIFS($B$13:$B$248,"&lt;"&amp;C249,$C$13:$C$248,"&gt;"&amp;B249)&gt;0,"OVERLAP","OK"),"CHECK INPUTS"))</f>
        <v/>
      </c>
      <c r="M249" s="124"/>
      <c r="N249" s="125"/>
      <c r="O249" s="125"/>
      <c r="P249" s="125"/>
      <c r="Q249" s="125"/>
      <c r="R249" s="126" t="str">
        <f>IF(V249="OK",P249*Q249,"")</f>
        <v/>
      </c>
      <c r="S249" s="126" t="str">
        <f>IF(V249="OK",R249*(O249-N249),"")</f>
        <v/>
      </c>
      <c r="T249" s="126" t="str">
        <f>IF(V249="OK",S249*(O249+N249)/2,"")</f>
        <v/>
      </c>
      <c r="U249" s="126" t="str">
        <f>IF(AND(V249="OK",ISNUMBER($N$5),$N$5&gt;0,ISNUMBER($N$3),$N$3&gt;0),R249*(4*$N$4*(O249^3-N249^3)-(O249^4-N249^4))/(24*$N$3*1000000*$N$5)*1000,"")</f>
        <v/>
      </c>
      <c r="V249" s="120" t="str">
        <f>IF(COUNTA(M249:Q249)=0,"",IF(AND(COUNT(N249:Q249)=4,N249&gt;=0,O249&gt;N249,O249&lt;=$N$4,P249&gt;=0,Q249&gt;0),IF(COUNTIFS($N$13:$N$248,"&lt;"&amp;O249,$O$13:$O$248,"&gt;"&amp;N249)&gt;0,"OVERLAP","OK"),"CHECK INPUTS"))</f>
        <v/>
      </c>
      <c r="AA249" s="120">
        <f>IF(AND(J249="OK",ISNUMBER($B$5),$B$5&gt;0,ISNUMBER($B$3),$B$3&gt;0),F249/(6*$B$3*1000000*$B$5)*(IF(B249&lt;($B$4*0/10),($B$4*0/10)*(MIN(C249,($B$4*0/10))^3-B249^3)-(MIN(C249,($B$4*0/10))^4-B249^4)/4,0)+IF(C249&gt;($B$4*0/10),($B$4*0/10)^2*(1.5*(C249^2-MAX(B249,($B$4*0/10))^2)-($B$4*0/10)*(C249-MAX(B249,($B$4*0/10)))),0))*1000,0)</f>
        <v>0</v>
      </c>
      <c r="AB249" s="120">
        <f>IF(AND(J249="OK",ISNUMBER($B$5),$B$5&gt;0,ISNUMBER($B$3),$B$3&gt;0),F249/(6*$B$3*1000000*$B$5)*(IF(B249&lt;($B$4*1/10),($B$4*1/10)*(MIN(C249,($B$4*1/10))^3-B249^3)-(MIN(C249,($B$4*1/10))^4-B249^4)/4,0)+IF(C249&gt;($B$4*1/10),($B$4*1/10)^2*(1.5*(C249^2-MAX(B249,($B$4*1/10))^2)-($B$4*1/10)*(C249-MAX(B249,($B$4*1/10)))),0))*1000,0)</f>
        <v>0</v>
      </c>
      <c r="AC249" s="120">
        <f>IF(AND(J249="OK",ISNUMBER($B$5),$B$5&gt;0,ISNUMBER($B$3),$B$3&gt;0),F249/(6*$B$3*1000000*$B$5)*(IF(B249&lt;($B$4*2/10),($B$4*2/10)*(MIN(C249,($B$4*2/10))^3-B249^3)-(MIN(C249,($B$4*2/10))^4-B249^4)/4,0)+IF(C249&gt;($B$4*2/10),($B$4*2/10)^2*(1.5*(C249^2-MAX(B249,($B$4*2/10))^2)-($B$4*2/10)*(C249-MAX(B249,($B$4*2/10)))),0))*1000,0)</f>
        <v>0</v>
      </c>
      <c r="AD249" s="120">
        <f>IF(AND(J249="OK",ISNUMBER($B$5),$B$5&gt;0,ISNUMBER($B$3),$B$3&gt;0),F249/(6*$B$3*1000000*$B$5)*(IF(B249&lt;($B$4*3/10),($B$4*3/10)*(MIN(C249,($B$4*3/10))^3-B249^3)-(MIN(C249,($B$4*3/10))^4-B249^4)/4,0)+IF(C249&gt;($B$4*3/10),($B$4*3/10)^2*(1.5*(C249^2-MAX(B249,($B$4*3/10))^2)-($B$4*3/10)*(C249-MAX(B249,($B$4*3/10)))),0))*1000,0)</f>
        <v>0</v>
      </c>
      <c r="AE249" s="120">
        <f>IF(AND(J249="OK",ISNUMBER($B$5),$B$5&gt;0,ISNUMBER($B$3),$B$3&gt;0),F249/(6*$B$3*1000000*$B$5)*(IF(B249&lt;($B$4*4/10),($B$4*4/10)*(MIN(C249,($B$4*4/10))^3-B249^3)-(MIN(C249,($B$4*4/10))^4-B249^4)/4,0)+IF(C249&gt;($B$4*4/10),($B$4*4/10)^2*(1.5*(C249^2-MAX(B249,($B$4*4/10))^2)-($B$4*4/10)*(C249-MAX(B249,($B$4*4/10)))),0))*1000,0)</f>
        <v>0</v>
      </c>
      <c r="AF249" s="120">
        <f>IF(AND(J249="OK",ISNUMBER($B$5),$B$5&gt;0,ISNUMBER($B$3),$B$3&gt;0),F249/(6*$B$3*1000000*$B$5)*(IF(B249&lt;($B$4*5/10),($B$4*5/10)*(MIN(C249,($B$4*5/10))^3-B249^3)-(MIN(C249,($B$4*5/10))^4-B249^4)/4,0)+IF(C249&gt;($B$4*5/10),($B$4*5/10)^2*(1.5*(C249^2-MAX(B249,($B$4*5/10))^2)-($B$4*5/10)*(C249-MAX(B249,($B$4*5/10)))),0))*1000,0)</f>
        <v>0</v>
      </c>
      <c r="AG249" s="120">
        <f>IF(AND(J249="OK",ISNUMBER($B$5),$B$5&gt;0,ISNUMBER($B$3),$B$3&gt;0),F249/(6*$B$3*1000000*$B$5)*(IF(B249&lt;($B$4*6/10),($B$4*6/10)*(MIN(C249,($B$4*6/10))^3-B249^3)-(MIN(C249,($B$4*6/10))^4-B249^4)/4,0)+IF(C249&gt;($B$4*6/10),($B$4*6/10)^2*(1.5*(C249^2-MAX(B249,($B$4*6/10))^2)-($B$4*6/10)*(C249-MAX(B249,($B$4*6/10)))),0))*1000,0)</f>
        <v>0</v>
      </c>
      <c r="AH249" s="120">
        <f>IF(AND(J249="OK",ISNUMBER($B$5),$B$5&gt;0,ISNUMBER($B$3),$B$3&gt;0),F249/(6*$B$3*1000000*$B$5)*(IF(B249&lt;($B$4*7/10),($B$4*7/10)*(MIN(C249,($B$4*7/10))^3-B249^3)-(MIN(C249,($B$4*7/10))^4-B249^4)/4,0)+IF(C249&gt;($B$4*7/10),($B$4*7/10)^2*(1.5*(C249^2-MAX(B249,($B$4*7/10))^2)-($B$4*7/10)*(C249-MAX(B249,($B$4*7/10)))),0))*1000,0)</f>
        <v>0</v>
      </c>
      <c r="AI249" s="120">
        <f>IF(AND(J249="OK",ISNUMBER($B$5),$B$5&gt;0,ISNUMBER($B$3),$B$3&gt;0),F249/(6*$B$3*1000000*$B$5)*(IF(B249&lt;($B$4*8/10),($B$4*8/10)*(MIN(C249,($B$4*8/10))^3-B249^3)-(MIN(C249,($B$4*8/10))^4-B249^4)/4,0)+IF(C249&gt;($B$4*8/10),($B$4*8/10)^2*(1.5*(C249^2-MAX(B249,($B$4*8/10))^2)-($B$4*8/10)*(C249-MAX(B249,($B$4*8/10)))),0))*1000,0)</f>
        <v>0</v>
      </c>
      <c r="AJ249" s="120">
        <f>IF(AND(J249="OK",ISNUMBER($B$5),$B$5&gt;0,ISNUMBER($B$3),$B$3&gt;0),F249/(6*$B$3*1000000*$B$5)*(IF(B249&lt;($B$4*9/10),($B$4*9/10)*(MIN(C249,($B$4*9/10))^3-B249^3)-(MIN(C249,($B$4*9/10))^4-B249^4)/4,0)+IF(C249&gt;($B$4*9/10),($B$4*9/10)^2*(1.5*(C249^2-MAX(B249,($B$4*9/10))^2)-($B$4*9/10)*(C249-MAX(B249,($B$4*9/10)))),0))*1000,0)</f>
        <v>0</v>
      </c>
      <c r="AK249" s="120">
        <f>IF(AND(J249="OK",ISNUMBER($B$5),$B$5&gt;0,ISNUMBER($B$3),$B$3&gt;0),F249/(6*$B$3*1000000*$B$5)*(IF(B249&lt;($B$4*10/10),($B$4*10/10)*(MIN(C249,($B$4*10/10))^3-B249^3)-(MIN(C249,($B$4*10/10))^4-B249^4)/4,0)+IF(C249&gt;($B$4*10/10),($B$4*10/10)^2*(1.5*(C249^2-MAX(B249,($B$4*10/10))^2)-($B$4*10/10)*(C249-MAX(B249,($B$4*10/10)))),0))*1000,0)</f>
        <v>0</v>
      </c>
      <c r="AM249" s="120">
        <f>IF(AND(V249="OK",ISNUMBER($N$5),$N$5&gt;0,ISNUMBER($N$3),$N$3&gt;0),R249/(6*$N$3*1000000*$N$5)*(IF(N249&lt;($N$4*0/10),($N$4*0/10)*(MIN(O249,($N$4*0/10))^3-N249^3)-(MIN(O249,($N$4*0/10))^4-N249^4)/4,0)+IF(O249&gt;($N$4*0/10),($N$4*0/10)^2*(1.5*(O249^2-MAX(N249,($N$4*0/10))^2)-($N$4*0/10)*(O249-MAX(N249,($N$4*0/10)))),0))*1000,0)</f>
        <v>0</v>
      </c>
      <c r="AN249" s="120">
        <f>IF(AND(V249="OK",ISNUMBER($N$5),$N$5&gt;0,ISNUMBER($N$3),$N$3&gt;0),R249/(6*$N$3*1000000*$N$5)*(IF(N249&lt;($N$4*1/10),($N$4*1/10)*(MIN(O249,($N$4*1/10))^3-N249^3)-(MIN(O249,($N$4*1/10))^4-N249^4)/4,0)+IF(O249&gt;($N$4*1/10),($N$4*1/10)^2*(1.5*(O249^2-MAX(N249,($N$4*1/10))^2)-($N$4*1/10)*(O249-MAX(N249,($N$4*1/10)))),0))*1000,0)</f>
        <v>0</v>
      </c>
      <c r="AO249" s="120">
        <f>IF(AND(V249="OK",ISNUMBER($N$5),$N$5&gt;0,ISNUMBER($N$3),$N$3&gt;0),R249/(6*$N$3*1000000*$N$5)*(IF(N249&lt;($N$4*2/10),($N$4*2/10)*(MIN(O249,($N$4*2/10))^3-N249^3)-(MIN(O249,($N$4*2/10))^4-N249^4)/4,0)+IF(O249&gt;($N$4*2/10),($N$4*2/10)^2*(1.5*(O249^2-MAX(N249,($N$4*2/10))^2)-($N$4*2/10)*(O249-MAX(N249,($N$4*2/10)))),0))*1000,0)</f>
        <v>0</v>
      </c>
      <c r="AP249" s="120">
        <f>IF(AND(V249="OK",ISNUMBER($N$5),$N$5&gt;0,ISNUMBER($N$3),$N$3&gt;0),R249/(6*$N$3*1000000*$N$5)*(IF(N249&lt;($N$4*3/10),($N$4*3/10)*(MIN(O249,($N$4*3/10))^3-N249^3)-(MIN(O249,($N$4*3/10))^4-N249^4)/4,0)+IF(O249&gt;($N$4*3/10),($N$4*3/10)^2*(1.5*(O249^2-MAX(N249,($N$4*3/10))^2)-($N$4*3/10)*(O249-MAX(N249,($N$4*3/10)))),0))*1000,0)</f>
        <v>0</v>
      </c>
      <c r="AQ249" s="120">
        <f>IF(AND(V249="OK",ISNUMBER($N$5),$N$5&gt;0,ISNUMBER($N$3),$N$3&gt;0),R249/(6*$N$3*1000000*$N$5)*(IF(N249&lt;($N$4*4/10),($N$4*4/10)*(MIN(O249,($N$4*4/10))^3-N249^3)-(MIN(O249,($N$4*4/10))^4-N249^4)/4,0)+IF(O249&gt;($N$4*4/10),($N$4*4/10)^2*(1.5*(O249^2-MAX(N249,($N$4*4/10))^2)-($N$4*4/10)*(O249-MAX(N249,($N$4*4/10)))),0))*1000,0)</f>
        <v>0</v>
      </c>
      <c r="AR249" s="120">
        <f>IF(AND(V249="OK",ISNUMBER($N$5),$N$5&gt;0,ISNUMBER($N$3),$N$3&gt;0),R249/(6*$N$3*1000000*$N$5)*(IF(N249&lt;($N$4*5/10),($N$4*5/10)*(MIN(O249,($N$4*5/10))^3-N249^3)-(MIN(O249,($N$4*5/10))^4-N249^4)/4,0)+IF(O249&gt;($N$4*5/10),($N$4*5/10)^2*(1.5*(O249^2-MAX(N249,($N$4*5/10))^2)-($N$4*5/10)*(O249-MAX(N249,($N$4*5/10)))),0))*1000,0)</f>
        <v>0</v>
      </c>
      <c r="AS249" s="120">
        <f>IF(AND(V249="OK",ISNUMBER($N$5),$N$5&gt;0,ISNUMBER($N$3),$N$3&gt;0),R249/(6*$N$3*1000000*$N$5)*(IF(N249&lt;($N$4*6/10),($N$4*6/10)*(MIN(O249,($N$4*6/10))^3-N249^3)-(MIN(O249,($N$4*6/10))^4-N249^4)/4,0)+IF(O249&gt;($N$4*6/10),($N$4*6/10)^2*(1.5*(O249^2-MAX(N249,($N$4*6/10))^2)-($N$4*6/10)*(O249-MAX(N249,($N$4*6/10)))),0))*1000,0)</f>
        <v>0</v>
      </c>
      <c r="AT249" s="120">
        <f>IF(AND(V249="OK",ISNUMBER($N$5),$N$5&gt;0,ISNUMBER($N$3),$N$3&gt;0),R249/(6*$N$3*1000000*$N$5)*(IF(N249&lt;($N$4*7/10),($N$4*7/10)*(MIN(O249,($N$4*7/10))^3-N249^3)-(MIN(O249,($N$4*7/10))^4-N249^4)/4,0)+IF(O249&gt;($N$4*7/10),($N$4*7/10)^2*(1.5*(O249^2-MAX(N249,($N$4*7/10))^2)-($N$4*7/10)*(O249-MAX(N249,($N$4*7/10)))),0))*1000,0)</f>
        <v>0</v>
      </c>
      <c r="AU249" s="120">
        <f>IF(AND(V249="OK",ISNUMBER($N$5),$N$5&gt;0,ISNUMBER($N$3),$N$3&gt;0),R249/(6*$N$3*1000000*$N$5)*(IF(N249&lt;($N$4*8/10),($N$4*8/10)*(MIN(O249,($N$4*8/10))^3-N249^3)-(MIN(O249,($N$4*8/10))^4-N249^4)/4,0)+IF(O249&gt;($N$4*8/10),($N$4*8/10)^2*(1.5*(O249^2-MAX(N249,($N$4*8/10))^2)-($N$4*8/10)*(O249-MAX(N249,($N$4*8/10)))),0))*1000,0)</f>
        <v>0</v>
      </c>
      <c r="AV249" s="120">
        <f>IF(AND(V249="OK",ISNUMBER($N$5),$N$5&gt;0,ISNUMBER($N$3),$N$3&gt;0),R249/(6*$N$3*1000000*$N$5)*(IF(N249&lt;($N$4*9/10),($N$4*9/10)*(MIN(O249,($N$4*9/10))^3-N249^3)-(MIN(O249,($N$4*9/10))^4-N249^4)/4,0)+IF(O249&gt;($N$4*9/10),($N$4*9/10)^2*(1.5*(O249^2-MAX(N249,($N$4*9/10))^2)-($N$4*9/10)*(O249-MAX(N249,($N$4*9/10)))),0))*1000,0)</f>
        <v>0</v>
      </c>
      <c r="AW249" s="120">
        <f>IF(AND(V249="OK",ISNUMBER($N$5),$N$5&gt;0,ISNUMBER($N$3),$N$3&gt;0),R249/(6*$N$3*1000000*$N$5)*(IF(N249&lt;($N$4*10/10),($N$4*10/10)*(MIN(O249,($N$4*10/10))^3-N249^3)-(MIN(O249,($N$4*10/10))^4-N249^4)/4,0)+IF(O249&gt;($N$4*10/10),($N$4*10/10)^2*(1.5*(O249^2-MAX(N249,($N$4*10/10))^2)-($N$4*10/10)*(O249-MAX(N249,($N$4*10/10)))),0))*1000,0)</f>
        <v>0</v>
      </c>
    </row>
    <row r="250" spans="1:49">
      <c r="A250" s="124"/>
      <c r="B250" s="125"/>
      <c r="C250" s="125"/>
      <c r="D250" s="125"/>
      <c r="E250" s="125"/>
      <c r="F250" s="126" t="str">
        <f>IF(J250="OK",D250*E250,"")</f>
        <v/>
      </c>
      <c r="G250" s="126" t="str">
        <f>IF(J250="OK",F250*(C250-B250),"")</f>
        <v/>
      </c>
      <c r="H250" s="126" t="str">
        <f>IF(J250="OK",G250*(C250+B250)/2,"")</f>
        <v/>
      </c>
      <c r="I250" s="126" t="str">
        <f>IF(AND(J250="OK",ISNUMBER($B$5),$B$5&gt;0,ISNUMBER($B$3),$B$3&gt;0),F250*(4*$B$4*(C250^3-B250^3)-(C250^4-B250^4))/(24*$B$3*1000000*$B$5)*1000,"")</f>
        <v/>
      </c>
      <c r="J250" s="120" t="str">
        <f>IF(COUNTA(A250:E250)=0,"",IF(AND(COUNT(B250:E250)=4,B250&gt;=0,C250&gt;B250,C250&lt;=$B$4,D250&gt;=0,E250&gt;0),IF(COUNTIFS($B$13:$B$249,"&lt;"&amp;C250,$C$13:$C$249,"&gt;"&amp;B250)&gt;0,"OVERLAP","OK"),"CHECK INPUTS"))</f>
        <v/>
      </c>
      <c r="M250" s="124"/>
      <c r="N250" s="125"/>
      <c r="O250" s="125"/>
      <c r="P250" s="125"/>
      <c r="Q250" s="125"/>
      <c r="R250" s="126" t="str">
        <f>IF(V250="OK",P250*Q250,"")</f>
        <v/>
      </c>
      <c r="S250" s="126" t="str">
        <f>IF(V250="OK",R250*(O250-N250),"")</f>
        <v/>
      </c>
      <c r="T250" s="126" t="str">
        <f>IF(V250="OK",S250*(O250+N250)/2,"")</f>
        <v/>
      </c>
      <c r="U250" s="126" t="str">
        <f>IF(AND(V250="OK",ISNUMBER($N$5),$N$5&gt;0,ISNUMBER($N$3),$N$3&gt;0),R250*(4*$N$4*(O250^3-N250^3)-(O250^4-N250^4))/(24*$N$3*1000000*$N$5)*1000,"")</f>
        <v/>
      </c>
      <c r="V250" s="120" t="str">
        <f>IF(COUNTA(M250:Q250)=0,"",IF(AND(COUNT(N250:Q250)=4,N250&gt;=0,O250&gt;N250,O250&lt;=$N$4,P250&gt;=0,Q250&gt;0),IF(COUNTIFS($N$13:$N$249,"&lt;"&amp;O250,$O$13:$O$249,"&gt;"&amp;N250)&gt;0,"OVERLAP","OK"),"CHECK INPUTS"))</f>
        <v/>
      </c>
      <c r="AA250" s="120">
        <f>IF(AND(J250="OK",ISNUMBER($B$5),$B$5&gt;0,ISNUMBER($B$3),$B$3&gt;0),F250/(6*$B$3*1000000*$B$5)*(IF(B250&lt;($B$4*0/10),($B$4*0/10)*(MIN(C250,($B$4*0/10))^3-B250^3)-(MIN(C250,($B$4*0/10))^4-B250^4)/4,0)+IF(C250&gt;($B$4*0/10),($B$4*0/10)^2*(1.5*(C250^2-MAX(B250,($B$4*0/10))^2)-($B$4*0/10)*(C250-MAX(B250,($B$4*0/10)))),0))*1000,0)</f>
        <v>0</v>
      </c>
      <c r="AB250" s="120">
        <f>IF(AND(J250="OK",ISNUMBER($B$5),$B$5&gt;0,ISNUMBER($B$3),$B$3&gt;0),F250/(6*$B$3*1000000*$B$5)*(IF(B250&lt;($B$4*1/10),($B$4*1/10)*(MIN(C250,($B$4*1/10))^3-B250^3)-(MIN(C250,($B$4*1/10))^4-B250^4)/4,0)+IF(C250&gt;($B$4*1/10),($B$4*1/10)^2*(1.5*(C250^2-MAX(B250,($B$4*1/10))^2)-($B$4*1/10)*(C250-MAX(B250,($B$4*1/10)))),0))*1000,0)</f>
        <v>0</v>
      </c>
      <c r="AC250" s="120">
        <f>IF(AND(J250="OK",ISNUMBER($B$5),$B$5&gt;0,ISNUMBER($B$3),$B$3&gt;0),F250/(6*$B$3*1000000*$B$5)*(IF(B250&lt;($B$4*2/10),($B$4*2/10)*(MIN(C250,($B$4*2/10))^3-B250^3)-(MIN(C250,($B$4*2/10))^4-B250^4)/4,0)+IF(C250&gt;($B$4*2/10),($B$4*2/10)^2*(1.5*(C250^2-MAX(B250,($B$4*2/10))^2)-($B$4*2/10)*(C250-MAX(B250,($B$4*2/10)))),0))*1000,0)</f>
        <v>0</v>
      </c>
      <c r="AD250" s="120">
        <f>IF(AND(J250="OK",ISNUMBER($B$5),$B$5&gt;0,ISNUMBER($B$3),$B$3&gt;0),F250/(6*$B$3*1000000*$B$5)*(IF(B250&lt;($B$4*3/10),($B$4*3/10)*(MIN(C250,($B$4*3/10))^3-B250^3)-(MIN(C250,($B$4*3/10))^4-B250^4)/4,0)+IF(C250&gt;($B$4*3/10),($B$4*3/10)^2*(1.5*(C250^2-MAX(B250,($B$4*3/10))^2)-($B$4*3/10)*(C250-MAX(B250,($B$4*3/10)))),0))*1000,0)</f>
        <v>0</v>
      </c>
      <c r="AE250" s="120">
        <f>IF(AND(J250="OK",ISNUMBER($B$5),$B$5&gt;0,ISNUMBER($B$3),$B$3&gt;0),F250/(6*$B$3*1000000*$B$5)*(IF(B250&lt;($B$4*4/10),($B$4*4/10)*(MIN(C250,($B$4*4/10))^3-B250^3)-(MIN(C250,($B$4*4/10))^4-B250^4)/4,0)+IF(C250&gt;($B$4*4/10),($B$4*4/10)^2*(1.5*(C250^2-MAX(B250,($B$4*4/10))^2)-($B$4*4/10)*(C250-MAX(B250,($B$4*4/10)))),0))*1000,0)</f>
        <v>0</v>
      </c>
      <c r="AF250" s="120">
        <f>IF(AND(J250="OK",ISNUMBER($B$5),$B$5&gt;0,ISNUMBER($B$3),$B$3&gt;0),F250/(6*$B$3*1000000*$B$5)*(IF(B250&lt;($B$4*5/10),($B$4*5/10)*(MIN(C250,($B$4*5/10))^3-B250^3)-(MIN(C250,($B$4*5/10))^4-B250^4)/4,0)+IF(C250&gt;($B$4*5/10),($B$4*5/10)^2*(1.5*(C250^2-MAX(B250,($B$4*5/10))^2)-($B$4*5/10)*(C250-MAX(B250,($B$4*5/10)))),0))*1000,0)</f>
        <v>0</v>
      </c>
      <c r="AG250" s="120">
        <f>IF(AND(J250="OK",ISNUMBER($B$5),$B$5&gt;0,ISNUMBER($B$3),$B$3&gt;0),F250/(6*$B$3*1000000*$B$5)*(IF(B250&lt;($B$4*6/10),($B$4*6/10)*(MIN(C250,($B$4*6/10))^3-B250^3)-(MIN(C250,($B$4*6/10))^4-B250^4)/4,0)+IF(C250&gt;($B$4*6/10),($B$4*6/10)^2*(1.5*(C250^2-MAX(B250,($B$4*6/10))^2)-($B$4*6/10)*(C250-MAX(B250,($B$4*6/10)))),0))*1000,0)</f>
        <v>0</v>
      </c>
      <c r="AH250" s="120">
        <f>IF(AND(J250="OK",ISNUMBER($B$5),$B$5&gt;0,ISNUMBER($B$3),$B$3&gt;0),F250/(6*$B$3*1000000*$B$5)*(IF(B250&lt;($B$4*7/10),($B$4*7/10)*(MIN(C250,($B$4*7/10))^3-B250^3)-(MIN(C250,($B$4*7/10))^4-B250^4)/4,0)+IF(C250&gt;($B$4*7/10),($B$4*7/10)^2*(1.5*(C250^2-MAX(B250,($B$4*7/10))^2)-($B$4*7/10)*(C250-MAX(B250,($B$4*7/10)))),0))*1000,0)</f>
        <v>0</v>
      </c>
      <c r="AI250" s="120">
        <f>IF(AND(J250="OK",ISNUMBER($B$5),$B$5&gt;0,ISNUMBER($B$3),$B$3&gt;0),F250/(6*$B$3*1000000*$B$5)*(IF(B250&lt;($B$4*8/10),($B$4*8/10)*(MIN(C250,($B$4*8/10))^3-B250^3)-(MIN(C250,($B$4*8/10))^4-B250^4)/4,0)+IF(C250&gt;($B$4*8/10),($B$4*8/10)^2*(1.5*(C250^2-MAX(B250,($B$4*8/10))^2)-($B$4*8/10)*(C250-MAX(B250,($B$4*8/10)))),0))*1000,0)</f>
        <v>0</v>
      </c>
      <c r="AJ250" s="120">
        <f>IF(AND(J250="OK",ISNUMBER($B$5),$B$5&gt;0,ISNUMBER($B$3),$B$3&gt;0),F250/(6*$B$3*1000000*$B$5)*(IF(B250&lt;($B$4*9/10),($B$4*9/10)*(MIN(C250,($B$4*9/10))^3-B250^3)-(MIN(C250,($B$4*9/10))^4-B250^4)/4,0)+IF(C250&gt;($B$4*9/10),($B$4*9/10)^2*(1.5*(C250^2-MAX(B250,($B$4*9/10))^2)-($B$4*9/10)*(C250-MAX(B250,($B$4*9/10)))),0))*1000,0)</f>
        <v>0</v>
      </c>
      <c r="AK250" s="120">
        <f>IF(AND(J250="OK",ISNUMBER($B$5),$B$5&gt;0,ISNUMBER($B$3),$B$3&gt;0),F250/(6*$B$3*1000000*$B$5)*(IF(B250&lt;($B$4*10/10),($B$4*10/10)*(MIN(C250,($B$4*10/10))^3-B250^3)-(MIN(C250,($B$4*10/10))^4-B250^4)/4,0)+IF(C250&gt;($B$4*10/10),($B$4*10/10)^2*(1.5*(C250^2-MAX(B250,($B$4*10/10))^2)-($B$4*10/10)*(C250-MAX(B250,($B$4*10/10)))),0))*1000,0)</f>
        <v>0</v>
      </c>
      <c r="AM250" s="120">
        <f>IF(AND(V250="OK",ISNUMBER($N$5),$N$5&gt;0,ISNUMBER($N$3),$N$3&gt;0),R250/(6*$N$3*1000000*$N$5)*(IF(N250&lt;($N$4*0/10),($N$4*0/10)*(MIN(O250,($N$4*0/10))^3-N250^3)-(MIN(O250,($N$4*0/10))^4-N250^4)/4,0)+IF(O250&gt;($N$4*0/10),($N$4*0/10)^2*(1.5*(O250^2-MAX(N250,($N$4*0/10))^2)-($N$4*0/10)*(O250-MAX(N250,($N$4*0/10)))),0))*1000,0)</f>
        <v>0</v>
      </c>
      <c r="AN250" s="120">
        <f>IF(AND(V250="OK",ISNUMBER($N$5),$N$5&gt;0,ISNUMBER($N$3),$N$3&gt;0),R250/(6*$N$3*1000000*$N$5)*(IF(N250&lt;($N$4*1/10),($N$4*1/10)*(MIN(O250,($N$4*1/10))^3-N250^3)-(MIN(O250,($N$4*1/10))^4-N250^4)/4,0)+IF(O250&gt;($N$4*1/10),($N$4*1/10)^2*(1.5*(O250^2-MAX(N250,($N$4*1/10))^2)-($N$4*1/10)*(O250-MAX(N250,($N$4*1/10)))),0))*1000,0)</f>
        <v>0</v>
      </c>
      <c r="AO250" s="120">
        <f>IF(AND(V250="OK",ISNUMBER($N$5),$N$5&gt;0,ISNUMBER($N$3),$N$3&gt;0),R250/(6*$N$3*1000000*$N$5)*(IF(N250&lt;($N$4*2/10),($N$4*2/10)*(MIN(O250,($N$4*2/10))^3-N250^3)-(MIN(O250,($N$4*2/10))^4-N250^4)/4,0)+IF(O250&gt;($N$4*2/10),($N$4*2/10)^2*(1.5*(O250^2-MAX(N250,($N$4*2/10))^2)-($N$4*2/10)*(O250-MAX(N250,($N$4*2/10)))),0))*1000,0)</f>
        <v>0</v>
      </c>
      <c r="AP250" s="120">
        <f>IF(AND(V250="OK",ISNUMBER($N$5),$N$5&gt;0,ISNUMBER($N$3),$N$3&gt;0),R250/(6*$N$3*1000000*$N$5)*(IF(N250&lt;($N$4*3/10),($N$4*3/10)*(MIN(O250,($N$4*3/10))^3-N250^3)-(MIN(O250,($N$4*3/10))^4-N250^4)/4,0)+IF(O250&gt;($N$4*3/10),($N$4*3/10)^2*(1.5*(O250^2-MAX(N250,($N$4*3/10))^2)-($N$4*3/10)*(O250-MAX(N250,($N$4*3/10)))),0))*1000,0)</f>
        <v>0</v>
      </c>
      <c r="AQ250" s="120">
        <f>IF(AND(V250="OK",ISNUMBER($N$5),$N$5&gt;0,ISNUMBER($N$3),$N$3&gt;0),R250/(6*$N$3*1000000*$N$5)*(IF(N250&lt;($N$4*4/10),($N$4*4/10)*(MIN(O250,($N$4*4/10))^3-N250^3)-(MIN(O250,($N$4*4/10))^4-N250^4)/4,0)+IF(O250&gt;($N$4*4/10),($N$4*4/10)^2*(1.5*(O250^2-MAX(N250,($N$4*4/10))^2)-($N$4*4/10)*(O250-MAX(N250,($N$4*4/10)))),0))*1000,0)</f>
        <v>0</v>
      </c>
      <c r="AR250" s="120">
        <f>IF(AND(V250="OK",ISNUMBER($N$5),$N$5&gt;0,ISNUMBER($N$3),$N$3&gt;0),R250/(6*$N$3*1000000*$N$5)*(IF(N250&lt;($N$4*5/10),($N$4*5/10)*(MIN(O250,($N$4*5/10))^3-N250^3)-(MIN(O250,($N$4*5/10))^4-N250^4)/4,0)+IF(O250&gt;($N$4*5/10),($N$4*5/10)^2*(1.5*(O250^2-MAX(N250,($N$4*5/10))^2)-($N$4*5/10)*(O250-MAX(N250,($N$4*5/10)))),0))*1000,0)</f>
        <v>0</v>
      </c>
      <c r="AS250" s="120">
        <f>IF(AND(V250="OK",ISNUMBER($N$5),$N$5&gt;0,ISNUMBER($N$3),$N$3&gt;0),R250/(6*$N$3*1000000*$N$5)*(IF(N250&lt;($N$4*6/10),($N$4*6/10)*(MIN(O250,($N$4*6/10))^3-N250^3)-(MIN(O250,($N$4*6/10))^4-N250^4)/4,0)+IF(O250&gt;($N$4*6/10),($N$4*6/10)^2*(1.5*(O250^2-MAX(N250,($N$4*6/10))^2)-($N$4*6/10)*(O250-MAX(N250,($N$4*6/10)))),0))*1000,0)</f>
        <v>0</v>
      </c>
      <c r="AT250" s="120">
        <f>IF(AND(V250="OK",ISNUMBER($N$5),$N$5&gt;0,ISNUMBER($N$3),$N$3&gt;0),R250/(6*$N$3*1000000*$N$5)*(IF(N250&lt;($N$4*7/10),($N$4*7/10)*(MIN(O250,($N$4*7/10))^3-N250^3)-(MIN(O250,($N$4*7/10))^4-N250^4)/4,0)+IF(O250&gt;($N$4*7/10),($N$4*7/10)^2*(1.5*(O250^2-MAX(N250,($N$4*7/10))^2)-($N$4*7/10)*(O250-MAX(N250,($N$4*7/10)))),0))*1000,0)</f>
        <v>0</v>
      </c>
      <c r="AU250" s="120">
        <f>IF(AND(V250="OK",ISNUMBER($N$5),$N$5&gt;0,ISNUMBER($N$3),$N$3&gt;0),R250/(6*$N$3*1000000*$N$5)*(IF(N250&lt;($N$4*8/10),($N$4*8/10)*(MIN(O250,($N$4*8/10))^3-N250^3)-(MIN(O250,($N$4*8/10))^4-N250^4)/4,0)+IF(O250&gt;($N$4*8/10),($N$4*8/10)^2*(1.5*(O250^2-MAX(N250,($N$4*8/10))^2)-($N$4*8/10)*(O250-MAX(N250,($N$4*8/10)))),0))*1000,0)</f>
        <v>0</v>
      </c>
      <c r="AV250" s="120">
        <f>IF(AND(V250="OK",ISNUMBER($N$5),$N$5&gt;0,ISNUMBER($N$3),$N$3&gt;0),R250/(6*$N$3*1000000*$N$5)*(IF(N250&lt;($N$4*9/10),($N$4*9/10)*(MIN(O250,($N$4*9/10))^3-N250^3)-(MIN(O250,($N$4*9/10))^4-N250^4)/4,0)+IF(O250&gt;($N$4*9/10),($N$4*9/10)^2*(1.5*(O250^2-MAX(N250,($N$4*9/10))^2)-($N$4*9/10)*(O250-MAX(N250,($N$4*9/10)))),0))*1000,0)</f>
        <v>0</v>
      </c>
      <c r="AW250" s="120">
        <f>IF(AND(V250="OK",ISNUMBER($N$5),$N$5&gt;0,ISNUMBER($N$3),$N$3&gt;0),R250/(6*$N$3*1000000*$N$5)*(IF(N250&lt;($N$4*10/10),($N$4*10/10)*(MIN(O250,($N$4*10/10))^3-N250^3)-(MIN(O250,($N$4*10/10))^4-N250^4)/4,0)+IF(O250&gt;($N$4*10/10),($N$4*10/10)^2*(1.5*(O250^2-MAX(N250,($N$4*10/10))^2)-($N$4*10/10)*(O250-MAX(N250,($N$4*10/10)))),0))*1000,0)</f>
        <v>0</v>
      </c>
    </row>
    <row r="251" spans="1:49">
      <c r="A251" s="124"/>
      <c r="B251" s="125"/>
      <c r="C251" s="125"/>
      <c r="D251" s="125"/>
      <c r="E251" s="125"/>
      <c r="F251" s="126" t="str">
        <f>IF(J251="OK",D251*E251,"")</f>
        <v/>
      </c>
      <c r="G251" s="126" t="str">
        <f>IF(J251="OK",F251*(C251-B251),"")</f>
        <v/>
      </c>
      <c r="H251" s="126" t="str">
        <f>IF(J251="OK",G251*(C251+B251)/2,"")</f>
        <v/>
      </c>
      <c r="I251" s="126" t="str">
        <f>IF(AND(J251="OK",ISNUMBER($B$5),$B$5&gt;0,ISNUMBER($B$3),$B$3&gt;0),F251*(4*$B$4*(C251^3-B251^3)-(C251^4-B251^4))/(24*$B$3*1000000*$B$5)*1000,"")</f>
        <v/>
      </c>
      <c r="J251" s="120" t="str">
        <f>IF(COUNTA(A251:E251)=0,"",IF(AND(COUNT(B251:E251)=4,B251&gt;=0,C251&gt;B251,C251&lt;=$B$4,D251&gt;=0,E251&gt;0),IF(COUNTIFS($B$13:$B$250,"&lt;"&amp;C251,$C$13:$C$250,"&gt;"&amp;B251)&gt;0,"OVERLAP","OK"),"CHECK INPUTS"))</f>
        <v/>
      </c>
      <c r="M251" s="124"/>
      <c r="N251" s="125"/>
      <c r="O251" s="125"/>
      <c r="P251" s="125"/>
      <c r="Q251" s="125"/>
      <c r="R251" s="126" t="str">
        <f>IF(V251="OK",P251*Q251,"")</f>
        <v/>
      </c>
      <c r="S251" s="126" t="str">
        <f>IF(V251="OK",R251*(O251-N251),"")</f>
        <v/>
      </c>
      <c r="T251" s="126" t="str">
        <f>IF(V251="OK",S251*(O251+N251)/2,"")</f>
        <v/>
      </c>
      <c r="U251" s="126" t="str">
        <f>IF(AND(V251="OK",ISNUMBER($N$5),$N$5&gt;0,ISNUMBER($N$3),$N$3&gt;0),R251*(4*$N$4*(O251^3-N251^3)-(O251^4-N251^4))/(24*$N$3*1000000*$N$5)*1000,"")</f>
        <v/>
      </c>
      <c r="V251" s="120" t="str">
        <f>IF(COUNTA(M251:Q251)=0,"",IF(AND(COUNT(N251:Q251)=4,N251&gt;=0,O251&gt;N251,O251&lt;=$N$4,P251&gt;=0,Q251&gt;0),IF(COUNTIFS($N$13:$N$250,"&lt;"&amp;O251,$O$13:$O$250,"&gt;"&amp;N251)&gt;0,"OVERLAP","OK"),"CHECK INPUTS"))</f>
        <v/>
      </c>
      <c r="AA251" s="120">
        <f>IF(AND(J251="OK",ISNUMBER($B$5),$B$5&gt;0,ISNUMBER($B$3),$B$3&gt;0),F251/(6*$B$3*1000000*$B$5)*(IF(B251&lt;($B$4*0/10),($B$4*0/10)*(MIN(C251,($B$4*0/10))^3-B251^3)-(MIN(C251,($B$4*0/10))^4-B251^4)/4,0)+IF(C251&gt;($B$4*0/10),($B$4*0/10)^2*(1.5*(C251^2-MAX(B251,($B$4*0/10))^2)-($B$4*0/10)*(C251-MAX(B251,($B$4*0/10)))),0))*1000,0)</f>
        <v>0</v>
      </c>
      <c r="AB251" s="120">
        <f>IF(AND(J251="OK",ISNUMBER($B$5),$B$5&gt;0,ISNUMBER($B$3),$B$3&gt;0),F251/(6*$B$3*1000000*$B$5)*(IF(B251&lt;($B$4*1/10),($B$4*1/10)*(MIN(C251,($B$4*1/10))^3-B251^3)-(MIN(C251,($B$4*1/10))^4-B251^4)/4,0)+IF(C251&gt;($B$4*1/10),($B$4*1/10)^2*(1.5*(C251^2-MAX(B251,($B$4*1/10))^2)-($B$4*1/10)*(C251-MAX(B251,($B$4*1/10)))),0))*1000,0)</f>
        <v>0</v>
      </c>
      <c r="AC251" s="120">
        <f>IF(AND(J251="OK",ISNUMBER($B$5),$B$5&gt;0,ISNUMBER($B$3),$B$3&gt;0),F251/(6*$B$3*1000000*$B$5)*(IF(B251&lt;($B$4*2/10),($B$4*2/10)*(MIN(C251,($B$4*2/10))^3-B251^3)-(MIN(C251,($B$4*2/10))^4-B251^4)/4,0)+IF(C251&gt;($B$4*2/10),($B$4*2/10)^2*(1.5*(C251^2-MAX(B251,($B$4*2/10))^2)-($B$4*2/10)*(C251-MAX(B251,($B$4*2/10)))),0))*1000,0)</f>
        <v>0</v>
      </c>
      <c r="AD251" s="120">
        <f>IF(AND(J251="OK",ISNUMBER($B$5),$B$5&gt;0,ISNUMBER($B$3),$B$3&gt;0),F251/(6*$B$3*1000000*$B$5)*(IF(B251&lt;($B$4*3/10),($B$4*3/10)*(MIN(C251,($B$4*3/10))^3-B251^3)-(MIN(C251,($B$4*3/10))^4-B251^4)/4,0)+IF(C251&gt;($B$4*3/10),($B$4*3/10)^2*(1.5*(C251^2-MAX(B251,($B$4*3/10))^2)-($B$4*3/10)*(C251-MAX(B251,($B$4*3/10)))),0))*1000,0)</f>
        <v>0</v>
      </c>
      <c r="AE251" s="120">
        <f>IF(AND(J251="OK",ISNUMBER($B$5),$B$5&gt;0,ISNUMBER($B$3),$B$3&gt;0),F251/(6*$B$3*1000000*$B$5)*(IF(B251&lt;($B$4*4/10),($B$4*4/10)*(MIN(C251,($B$4*4/10))^3-B251^3)-(MIN(C251,($B$4*4/10))^4-B251^4)/4,0)+IF(C251&gt;($B$4*4/10),($B$4*4/10)^2*(1.5*(C251^2-MAX(B251,($B$4*4/10))^2)-($B$4*4/10)*(C251-MAX(B251,($B$4*4/10)))),0))*1000,0)</f>
        <v>0</v>
      </c>
      <c r="AF251" s="120">
        <f>IF(AND(J251="OK",ISNUMBER($B$5),$B$5&gt;0,ISNUMBER($B$3),$B$3&gt;0),F251/(6*$B$3*1000000*$B$5)*(IF(B251&lt;($B$4*5/10),($B$4*5/10)*(MIN(C251,($B$4*5/10))^3-B251^3)-(MIN(C251,($B$4*5/10))^4-B251^4)/4,0)+IF(C251&gt;($B$4*5/10),($B$4*5/10)^2*(1.5*(C251^2-MAX(B251,($B$4*5/10))^2)-($B$4*5/10)*(C251-MAX(B251,($B$4*5/10)))),0))*1000,0)</f>
        <v>0</v>
      </c>
      <c r="AG251" s="120">
        <f>IF(AND(J251="OK",ISNUMBER($B$5),$B$5&gt;0,ISNUMBER($B$3),$B$3&gt;0),F251/(6*$B$3*1000000*$B$5)*(IF(B251&lt;($B$4*6/10),($B$4*6/10)*(MIN(C251,($B$4*6/10))^3-B251^3)-(MIN(C251,($B$4*6/10))^4-B251^4)/4,0)+IF(C251&gt;($B$4*6/10),($B$4*6/10)^2*(1.5*(C251^2-MAX(B251,($B$4*6/10))^2)-($B$4*6/10)*(C251-MAX(B251,($B$4*6/10)))),0))*1000,0)</f>
        <v>0</v>
      </c>
      <c r="AH251" s="120">
        <f>IF(AND(J251="OK",ISNUMBER($B$5),$B$5&gt;0,ISNUMBER($B$3),$B$3&gt;0),F251/(6*$B$3*1000000*$B$5)*(IF(B251&lt;($B$4*7/10),($B$4*7/10)*(MIN(C251,($B$4*7/10))^3-B251^3)-(MIN(C251,($B$4*7/10))^4-B251^4)/4,0)+IF(C251&gt;($B$4*7/10),($B$4*7/10)^2*(1.5*(C251^2-MAX(B251,($B$4*7/10))^2)-($B$4*7/10)*(C251-MAX(B251,($B$4*7/10)))),0))*1000,0)</f>
        <v>0</v>
      </c>
      <c r="AI251" s="120">
        <f>IF(AND(J251="OK",ISNUMBER($B$5),$B$5&gt;0,ISNUMBER($B$3),$B$3&gt;0),F251/(6*$B$3*1000000*$B$5)*(IF(B251&lt;($B$4*8/10),($B$4*8/10)*(MIN(C251,($B$4*8/10))^3-B251^3)-(MIN(C251,($B$4*8/10))^4-B251^4)/4,0)+IF(C251&gt;($B$4*8/10),($B$4*8/10)^2*(1.5*(C251^2-MAX(B251,($B$4*8/10))^2)-($B$4*8/10)*(C251-MAX(B251,($B$4*8/10)))),0))*1000,0)</f>
        <v>0</v>
      </c>
      <c r="AJ251" s="120">
        <f>IF(AND(J251="OK",ISNUMBER($B$5),$B$5&gt;0,ISNUMBER($B$3),$B$3&gt;0),F251/(6*$B$3*1000000*$B$5)*(IF(B251&lt;($B$4*9/10),($B$4*9/10)*(MIN(C251,($B$4*9/10))^3-B251^3)-(MIN(C251,($B$4*9/10))^4-B251^4)/4,0)+IF(C251&gt;($B$4*9/10),($B$4*9/10)^2*(1.5*(C251^2-MAX(B251,($B$4*9/10))^2)-($B$4*9/10)*(C251-MAX(B251,($B$4*9/10)))),0))*1000,0)</f>
        <v>0</v>
      </c>
      <c r="AK251" s="120">
        <f>IF(AND(J251="OK",ISNUMBER($B$5),$B$5&gt;0,ISNUMBER($B$3),$B$3&gt;0),F251/(6*$B$3*1000000*$B$5)*(IF(B251&lt;($B$4*10/10),($B$4*10/10)*(MIN(C251,($B$4*10/10))^3-B251^3)-(MIN(C251,($B$4*10/10))^4-B251^4)/4,0)+IF(C251&gt;($B$4*10/10),($B$4*10/10)^2*(1.5*(C251^2-MAX(B251,($B$4*10/10))^2)-($B$4*10/10)*(C251-MAX(B251,($B$4*10/10)))),0))*1000,0)</f>
        <v>0</v>
      </c>
      <c r="AM251" s="120">
        <f>IF(AND(V251="OK",ISNUMBER($N$5),$N$5&gt;0,ISNUMBER($N$3),$N$3&gt;0),R251/(6*$N$3*1000000*$N$5)*(IF(N251&lt;($N$4*0/10),($N$4*0/10)*(MIN(O251,($N$4*0/10))^3-N251^3)-(MIN(O251,($N$4*0/10))^4-N251^4)/4,0)+IF(O251&gt;($N$4*0/10),($N$4*0/10)^2*(1.5*(O251^2-MAX(N251,($N$4*0/10))^2)-($N$4*0/10)*(O251-MAX(N251,($N$4*0/10)))),0))*1000,0)</f>
        <v>0</v>
      </c>
      <c r="AN251" s="120">
        <f>IF(AND(V251="OK",ISNUMBER($N$5),$N$5&gt;0,ISNUMBER($N$3),$N$3&gt;0),R251/(6*$N$3*1000000*$N$5)*(IF(N251&lt;($N$4*1/10),($N$4*1/10)*(MIN(O251,($N$4*1/10))^3-N251^3)-(MIN(O251,($N$4*1/10))^4-N251^4)/4,0)+IF(O251&gt;($N$4*1/10),($N$4*1/10)^2*(1.5*(O251^2-MAX(N251,($N$4*1/10))^2)-($N$4*1/10)*(O251-MAX(N251,($N$4*1/10)))),0))*1000,0)</f>
        <v>0</v>
      </c>
      <c r="AO251" s="120">
        <f>IF(AND(V251="OK",ISNUMBER($N$5),$N$5&gt;0,ISNUMBER($N$3),$N$3&gt;0),R251/(6*$N$3*1000000*$N$5)*(IF(N251&lt;($N$4*2/10),($N$4*2/10)*(MIN(O251,($N$4*2/10))^3-N251^3)-(MIN(O251,($N$4*2/10))^4-N251^4)/4,0)+IF(O251&gt;($N$4*2/10),($N$4*2/10)^2*(1.5*(O251^2-MAX(N251,($N$4*2/10))^2)-($N$4*2/10)*(O251-MAX(N251,($N$4*2/10)))),0))*1000,0)</f>
        <v>0</v>
      </c>
      <c r="AP251" s="120">
        <f>IF(AND(V251="OK",ISNUMBER($N$5),$N$5&gt;0,ISNUMBER($N$3),$N$3&gt;0),R251/(6*$N$3*1000000*$N$5)*(IF(N251&lt;($N$4*3/10),($N$4*3/10)*(MIN(O251,($N$4*3/10))^3-N251^3)-(MIN(O251,($N$4*3/10))^4-N251^4)/4,0)+IF(O251&gt;($N$4*3/10),($N$4*3/10)^2*(1.5*(O251^2-MAX(N251,($N$4*3/10))^2)-($N$4*3/10)*(O251-MAX(N251,($N$4*3/10)))),0))*1000,0)</f>
        <v>0</v>
      </c>
      <c r="AQ251" s="120">
        <f>IF(AND(V251="OK",ISNUMBER($N$5),$N$5&gt;0,ISNUMBER($N$3),$N$3&gt;0),R251/(6*$N$3*1000000*$N$5)*(IF(N251&lt;($N$4*4/10),($N$4*4/10)*(MIN(O251,($N$4*4/10))^3-N251^3)-(MIN(O251,($N$4*4/10))^4-N251^4)/4,0)+IF(O251&gt;($N$4*4/10),($N$4*4/10)^2*(1.5*(O251^2-MAX(N251,($N$4*4/10))^2)-($N$4*4/10)*(O251-MAX(N251,($N$4*4/10)))),0))*1000,0)</f>
        <v>0</v>
      </c>
      <c r="AR251" s="120">
        <f>IF(AND(V251="OK",ISNUMBER($N$5),$N$5&gt;0,ISNUMBER($N$3),$N$3&gt;0),R251/(6*$N$3*1000000*$N$5)*(IF(N251&lt;($N$4*5/10),($N$4*5/10)*(MIN(O251,($N$4*5/10))^3-N251^3)-(MIN(O251,($N$4*5/10))^4-N251^4)/4,0)+IF(O251&gt;($N$4*5/10),($N$4*5/10)^2*(1.5*(O251^2-MAX(N251,($N$4*5/10))^2)-($N$4*5/10)*(O251-MAX(N251,($N$4*5/10)))),0))*1000,0)</f>
        <v>0</v>
      </c>
      <c r="AS251" s="120">
        <f>IF(AND(V251="OK",ISNUMBER($N$5),$N$5&gt;0,ISNUMBER($N$3),$N$3&gt;0),R251/(6*$N$3*1000000*$N$5)*(IF(N251&lt;($N$4*6/10),($N$4*6/10)*(MIN(O251,($N$4*6/10))^3-N251^3)-(MIN(O251,($N$4*6/10))^4-N251^4)/4,0)+IF(O251&gt;($N$4*6/10),($N$4*6/10)^2*(1.5*(O251^2-MAX(N251,($N$4*6/10))^2)-($N$4*6/10)*(O251-MAX(N251,($N$4*6/10)))),0))*1000,0)</f>
        <v>0</v>
      </c>
      <c r="AT251" s="120">
        <f>IF(AND(V251="OK",ISNUMBER($N$5),$N$5&gt;0,ISNUMBER($N$3),$N$3&gt;0),R251/(6*$N$3*1000000*$N$5)*(IF(N251&lt;($N$4*7/10),($N$4*7/10)*(MIN(O251,($N$4*7/10))^3-N251^3)-(MIN(O251,($N$4*7/10))^4-N251^4)/4,0)+IF(O251&gt;($N$4*7/10),($N$4*7/10)^2*(1.5*(O251^2-MAX(N251,($N$4*7/10))^2)-($N$4*7/10)*(O251-MAX(N251,($N$4*7/10)))),0))*1000,0)</f>
        <v>0</v>
      </c>
      <c r="AU251" s="120">
        <f>IF(AND(V251="OK",ISNUMBER($N$5),$N$5&gt;0,ISNUMBER($N$3),$N$3&gt;0),R251/(6*$N$3*1000000*$N$5)*(IF(N251&lt;($N$4*8/10),($N$4*8/10)*(MIN(O251,($N$4*8/10))^3-N251^3)-(MIN(O251,($N$4*8/10))^4-N251^4)/4,0)+IF(O251&gt;($N$4*8/10),($N$4*8/10)^2*(1.5*(O251^2-MAX(N251,($N$4*8/10))^2)-($N$4*8/10)*(O251-MAX(N251,($N$4*8/10)))),0))*1000,0)</f>
        <v>0</v>
      </c>
      <c r="AV251" s="120">
        <f>IF(AND(V251="OK",ISNUMBER($N$5),$N$5&gt;0,ISNUMBER($N$3),$N$3&gt;0),R251/(6*$N$3*1000000*$N$5)*(IF(N251&lt;($N$4*9/10),($N$4*9/10)*(MIN(O251,($N$4*9/10))^3-N251^3)-(MIN(O251,($N$4*9/10))^4-N251^4)/4,0)+IF(O251&gt;($N$4*9/10),($N$4*9/10)^2*(1.5*(O251^2-MAX(N251,($N$4*9/10))^2)-($N$4*9/10)*(O251-MAX(N251,($N$4*9/10)))),0))*1000,0)</f>
        <v>0</v>
      </c>
      <c r="AW251" s="120">
        <f>IF(AND(V251="OK",ISNUMBER($N$5),$N$5&gt;0,ISNUMBER($N$3),$N$3&gt;0),R251/(6*$N$3*1000000*$N$5)*(IF(N251&lt;($N$4*10/10),($N$4*10/10)*(MIN(O251,($N$4*10/10))^3-N251^3)-(MIN(O251,($N$4*10/10))^4-N251^4)/4,0)+IF(O251&gt;($N$4*10/10),($N$4*10/10)^2*(1.5*(O251^2-MAX(N251,($N$4*10/10))^2)-($N$4*10/10)*(O251-MAX(N251,($N$4*10/10)))),0))*1000,0)</f>
        <v>0</v>
      </c>
    </row>
    <row r="252" spans="1:49">
      <c r="A252" s="124"/>
      <c r="B252" s="125"/>
      <c r="C252" s="125"/>
      <c r="D252" s="125"/>
      <c r="E252" s="125"/>
      <c r="F252" s="126" t="str">
        <f>IF(J252="OK",D252*E252,"")</f>
        <v/>
      </c>
      <c r="G252" s="126" t="str">
        <f>IF(J252="OK",F252*(C252-B252),"")</f>
        <v/>
      </c>
      <c r="H252" s="126" t="str">
        <f>IF(J252="OK",G252*(C252+B252)/2,"")</f>
        <v/>
      </c>
      <c r="I252" s="126" t="str">
        <f>IF(AND(J252="OK",ISNUMBER($B$5),$B$5&gt;0,ISNUMBER($B$3),$B$3&gt;0),F252*(4*$B$4*(C252^3-B252^3)-(C252^4-B252^4))/(24*$B$3*1000000*$B$5)*1000,"")</f>
        <v/>
      </c>
      <c r="J252" s="120" t="str">
        <f>IF(COUNTA(A252:E252)=0,"",IF(AND(COUNT(B252:E252)=4,B252&gt;=0,C252&gt;B252,C252&lt;=$B$4,D252&gt;=0,E252&gt;0),IF(COUNTIFS($B$13:$B$251,"&lt;"&amp;C252,$C$13:$C$251,"&gt;"&amp;B252)&gt;0,"OVERLAP","OK"),"CHECK INPUTS"))</f>
        <v/>
      </c>
      <c r="M252" s="124"/>
      <c r="N252" s="125"/>
      <c r="O252" s="125"/>
      <c r="P252" s="125"/>
      <c r="Q252" s="125"/>
      <c r="R252" s="126" t="str">
        <f>IF(V252="OK",P252*Q252,"")</f>
        <v/>
      </c>
      <c r="S252" s="126" t="str">
        <f>IF(V252="OK",R252*(O252-N252),"")</f>
        <v/>
      </c>
      <c r="T252" s="126" t="str">
        <f>IF(V252="OK",S252*(O252+N252)/2,"")</f>
        <v/>
      </c>
      <c r="U252" s="126" t="str">
        <f>IF(AND(V252="OK",ISNUMBER($N$5),$N$5&gt;0,ISNUMBER($N$3),$N$3&gt;0),R252*(4*$N$4*(O252^3-N252^3)-(O252^4-N252^4))/(24*$N$3*1000000*$N$5)*1000,"")</f>
        <v/>
      </c>
      <c r="V252" s="120" t="str">
        <f>IF(COUNTA(M252:Q252)=0,"",IF(AND(COUNT(N252:Q252)=4,N252&gt;=0,O252&gt;N252,O252&lt;=$N$4,P252&gt;=0,Q252&gt;0),IF(COUNTIFS($N$13:$N$251,"&lt;"&amp;O252,$O$13:$O$251,"&gt;"&amp;N252)&gt;0,"OVERLAP","OK"),"CHECK INPUTS"))</f>
        <v/>
      </c>
      <c r="AA252" s="120">
        <f>IF(AND(J252="OK",ISNUMBER($B$5),$B$5&gt;0,ISNUMBER($B$3),$B$3&gt;0),F252/(6*$B$3*1000000*$B$5)*(IF(B252&lt;($B$4*0/10),($B$4*0/10)*(MIN(C252,($B$4*0/10))^3-B252^3)-(MIN(C252,($B$4*0/10))^4-B252^4)/4,0)+IF(C252&gt;($B$4*0/10),($B$4*0/10)^2*(1.5*(C252^2-MAX(B252,($B$4*0/10))^2)-($B$4*0/10)*(C252-MAX(B252,($B$4*0/10)))),0))*1000,0)</f>
        <v>0</v>
      </c>
      <c r="AB252" s="120">
        <f>IF(AND(J252="OK",ISNUMBER($B$5),$B$5&gt;0,ISNUMBER($B$3),$B$3&gt;0),F252/(6*$B$3*1000000*$B$5)*(IF(B252&lt;($B$4*1/10),($B$4*1/10)*(MIN(C252,($B$4*1/10))^3-B252^3)-(MIN(C252,($B$4*1/10))^4-B252^4)/4,0)+IF(C252&gt;($B$4*1/10),($B$4*1/10)^2*(1.5*(C252^2-MAX(B252,($B$4*1/10))^2)-($B$4*1/10)*(C252-MAX(B252,($B$4*1/10)))),0))*1000,0)</f>
        <v>0</v>
      </c>
      <c r="AC252" s="120">
        <f>IF(AND(J252="OK",ISNUMBER($B$5),$B$5&gt;0,ISNUMBER($B$3),$B$3&gt;0),F252/(6*$B$3*1000000*$B$5)*(IF(B252&lt;($B$4*2/10),($B$4*2/10)*(MIN(C252,($B$4*2/10))^3-B252^3)-(MIN(C252,($B$4*2/10))^4-B252^4)/4,0)+IF(C252&gt;($B$4*2/10),($B$4*2/10)^2*(1.5*(C252^2-MAX(B252,($B$4*2/10))^2)-($B$4*2/10)*(C252-MAX(B252,($B$4*2/10)))),0))*1000,0)</f>
        <v>0</v>
      </c>
      <c r="AD252" s="120">
        <f>IF(AND(J252="OK",ISNUMBER($B$5),$B$5&gt;0,ISNUMBER($B$3),$B$3&gt;0),F252/(6*$B$3*1000000*$B$5)*(IF(B252&lt;($B$4*3/10),($B$4*3/10)*(MIN(C252,($B$4*3/10))^3-B252^3)-(MIN(C252,($B$4*3/10))^4-B252^4)/4,0)+IF(C252&gt;($B$4*3/10),($B$4*3/10)^2*(1.5*(C252^2-MAX(B252,($B$4*3/10))^2)-($B$4*3/10)*(C252-MAX(B252,($B$4*3/10)))),0))*1000,0)</f>
        <v>0</v>
      </c>
      <c r="AE252" s="120">
        <f>IF(AND(J252="OK",ISNUMBER($B$5),$B$5&gt;0,ISNUMBER($B$3),$B$3&gt;0),F252/(6*$B$3*1000000*$B$5)*(IF(B252&lt;($B$4*4/10),($B$4*4/10)*(MIN(C252,($B$4*4/10))^3-B252^3)-(MIN(C252,($B$4*4/10))^4-B252^4)/4,0)+IF(C252&gt;($B$4*4/10),($B$4*4/10)^2*(1.5*(C252^2-MAX(B252,($B$4*4/10))^2)-($B$4*4/10)*(C252-MAX(B252,($B$4*4/10)))),0))*1000,0)</f>
        <v>0</v>
      </c>
      <c r="AF252" s="120">
        <f>IF(AND(J252="OK",ISNUMBER($B$5),$B$5&gt;0,ISNUMBER($B$3),$B$3&gt;0),F252/(6*$B$3*1000000*$B$5)*(IF(B252&lt;($B$4*5/10),($B$4*5/10)*(MIN(C252,($B$4*5/10))^3-B252^3)-(MIN(C252,($B$4*5/10))^4-B252^4)/4,0)+IF(C252&gt;($B$4*5/10),($B$4*5/10)^2*(1.5*(C252^2-MAX(B252,($B$4*5/10))^2)-($B$4*5/10)*(C252-MAX(B252,($B$4*5/10)))),0))*1000,0)</f>
        <v>0</v>
      </c>
      <c r="AG252" s="120">
        <f>IF(AND(J252="OK",ISNUMBER($B$5),$B$5&gt;0,ISNUMBER($B$3),$B$3&gt;0),F252/(6*$B$3*1000000*$B$5)*(IF(B252&lt;($B$4*6/10),($B$4*6/10)*(MIN(C252,($B$4*6/10))^3-B252^3)-(MIN(C252,($B$4*6/10))^4-B252^4)/4,0)+IF(C252&gt;($B$4*6/10),($B$4*6/10)^2*(1.5*(C252^2-MAX(B252,($B$4*6/10))^2)-($B$4*6/10)*(C252-MAX(B252,($B$4*6/10)))),0))*1000,0)</f>
        <v>0</v>
      </c>
      <c r="AH252" s="120">
        <f>IF(AND(J252="OK",ISNUMBER($B$5),$B$5&gt;0,ISNUMBER($B$3),$B$3&gt;0),F252/(6*$B$3*1000000*$B$5)*(IF(B252&lt;($B$4*7/10),($B$4*7/10)*(MIN(C252,($B$4*7/10))^3-B252^3)-(MIN(C252,($B$4*7/10))^4-B252^4)/4,0)+IF(C252&gt;($B$4*7/10),($B$4*7/10)^2*(1.5*(C252^2-MAX(B252,($B$4*7/10))^2)-($B$4*7/10)*(C252-MAX(B252,($B$4*7/10)))),0))*1000,0)</f>
        <v>0</v>
      </c>
      <c r="AI252" s="120">
        <f>IF(AND(J252="OK",ISNUMBER($B$5),$B$5&gt;0,ISNUMBER($B$3),$B$3&gt;0),F252/(6*$B$3*1000000*$B$5)*(IF(B252&lt;($B$4*8/10),($B$4*8/10)*(MIN(C252,($B$4*8/10))^3-B252^3)-(MIN(C252,($B$4*8/10))^4-B252^4)/4,0)+IF(C252&gt;($B$4*8/10),($B$4*8/10)^2*(1.5*(C252^2-MAX(B252,($B$4*8/10))^2)-($B$4*8/10)*(C252-MAX(B252,($B$4*8/10)))),0))*1000,0)</f>
        <v>0</v>
      </c>
      <c r="AJ252" s="120">
        <f>IF(AND(J252="OK",ISNUMBER($B$5),$B$5&gt;0,ISNUMBER($B$3),$B$3&gt;0),F252/(6*$B$3*1000000*$B$5)*(IF(B252&lt;($B$4*9/10),($B$4*9/10)*(MIN(C252,($B$4*9/10))^3-B252^3)-(MIN(C252,($B$4*9/10))^4-B252^4)/4,0)+IF(C252&gt;($B$4*9/10),($B$4*9/10)^2*(1.5*(C252^2-MAX(B252,($B$4*9/10))^2)-($B$4*9/10)*(C252-MAX(B252,($B$4*9/10)))),0))*1000,0)</f>
        <v>0</v>
      </c>
      <c r="AK252" s="120">
        <f>IF(AND(J252="OK",ISNUMBER($B$5),$B$5&gt;0,ISNUMBER($B$3),$B$3&gt;0),F252/(6*$B$3*1000000*$B$5)*(IF(B252&lt;($B$4*10/10),($B$4*10/10)*(MIN(C252,($B$4*10/10))^3-B252^3)-(MIN(C252,($B$4*10/10))^4-B252^4)/4,0)+IF(C252&gt;($B$4*10/10),($B$4*10/10)^2*(1.5*(C252^2-MAX(B252,($B$4*10/10))^2)-($B$4*10/10)*(C252-MAX(B252,($B$4*10/10)))),0))*1000,0)</f>
        <v>0</v>
      </c>
      <c r="AM252" s="120">
        <f>IF(AND(V252="OK",ISNUMBER($N$5),$N$5&gt;0,ISNUMBER($N$3),$N$3&gt;0),R252/(6*$N$3*1000000*$N$5)*(IF(N252&lt;($N$4*0/10),($N$4*0/10)*(MIN(O252,($N$4*0/10))^3-N252^3)-(MIN(O252,($N$4*0/10))^4-N252^4)/4,0)+IF(O252&gt;($N$4*0/10),($N$4*0/10)^2*(1.5*(O252^2-MAX(N252,($N$4*0/10))^2)-($N$4*0/10)*(O252-MAX(N252,($N$4*0/10)))),0))*1000,0)</f>
        <v>0</v>
      </c>
      <c r="AN252" s="120">
        <f>IF(AND(V252="OK",ISNUMBER($N$5),$N$5&gt;0,ISNUMBER($N$3),$N$3&gt;0),R252/(6*$N$3*1000000*$N$5)*(IF(N252&lt;($N$4*1/10),($N$4*1/10)*(MIN(O252,($N$4*1/10))^3-N252^3)-(MIN(O252,($N$4*1/10))^4-N252^4)/4,0)+IF(O252&gt;($N$4*1/10),($N$4*1/10)^2*(1.5*(O252^2-MAX(N252,($N$4*1/10))^2)-($N$4*1/10)*(O252-MAX(N252,($N$4*1/10)))),0))*1000,0)</f>
        <v>0</v>
      </c>
      <c r="AO252" s="120">
        <f>IF(AND(V252="OK",ISNUMBER($N$5),$N$5&gt;0,ISNUMBER($N$3),$N$3&gt;0),R252/(6*$N$3*1000000*$N$5)*(IF(N252&lt;($N$4*2/10),($N$4*2/10)*(MIN(O252,($N$4*2/10))^3-N252^3)-(MIN(O252,($N$4*2/10))^4-N252^4)/4,0)+IF(O252&gt;($N$4*2/10),($N$4*2/10)^2*(1.5*(O252^2-MAX(N252,($N$4*2/10))^2)-($N$4*2/10)*(O252-MAX(N252,($N$4*2/10)))),0))*1000,0)</f>
        <v>0</v>
      </c>
      <c r="AP252" s="120">
        <f>IF(AND(V252="OK",ISNUMBER($N$5),$N$5&gt;0,ISNUMBER($N$3),$N$3&gt;0),R252/(6*$N$3*1000000*$N$5)*(IF(N252&lt;($N$4*3/10),($N$4*3/10)*(MIN(O252,($N$4*3/10))^3-N252^3)-(MIN(O252,($N$4*3/10))^4-N252^4)/4,0)+IF(O252&gt;($N$4*3/10),($N$4*3/10)^2*(1.5*(O252^2-MAX(N252,($N$4*3/10))^2)-($N$4*3/10)*(O252-MAX(N252,($N$4*3/10)))),0))*1000,0)</f>
        <v>0</v>
      </c>
      <c r="AQ252" s="120">
        <f>IF(AND(V252="OK",ISNUMBER($N$5),$N$5&gt;0,ISNUMBER($N$3),$N$3&gt;0),R252/(6*$N$3*1000000*$N$5)*(IF(N252&lt;($N$4*4/10),($N$4*4/10)*(MIN(O252,($N$4*4/10))^3-N252^3)-(MIN(O252,($N$4*4/10))^4-N252^4)/4,0)+IF(O252&gt;($N$4*4/10),($N$4*4/10)^2*(1.5*(O252^2-MAX(N252,($N$4*4/10))^2)-($N$4*4/10)*(O252-MAX(N252,($N$4*4/10)))),0))*1000,0)</f>
        <v>0</v>
      </c>
      <c r="AR252" s="120">
        <f>IF(AND(V252="OK",ISNUMBER($N$5),$N$5&gt;0,ISNUMBER($N$3),$N$3&gt;0),R252/(6*$N$3*1000000*$N$5)*(IF(N252&lt;($N$4*5/10),($N$4*5/10)*(MIN(O252,($N$4*5/10))^3-N252^3)-(MIN(O252,($N$4*5/10))^4-N252^4)/4,0)+IF(O252&gt;($N$4*5/10),($N$4*5/10)^2*(1.5*(O252^2-MAX(N252,($N$4*5/10))^2)-($N$4*5/10)*(O252-MAX(N252,($N$4*5/10)))),0))*1000,0)</f>
        <v>0</v>
      </c>
      <c r="AS252" s="120">
        <f>IF(AND(V252="OK",ISNUMBER($N$5),$N$5&gt;0,ISNUMBER($N$3),$N$3&gt;0),R252/(6*$N$3*1000000*$N$5)*(IF(N252&lt;($N$4*6/10),($N$4*6/10)*(MIN(O252,($N$4*6/10))^3-N252^3)-(MIN(O252,($N$4*6/10))^4-N252^4)/4,0)+IF(O252&gt;($N$4*6/10),($N$4*6/10)^2*(1.5*(O252^2-MAX(N252,($N$4*6/10))^2)-($N$4*6/10)*(O252-MAX(N252,($N$4*6/10)))),0))*1000,0)</f>
        <v>0</v>
      </c>
      <c r="AT252" s="120">
        <f>IF(AND(V252="OK",ISNUMBER($N$5),$N$5&gt;0,ISNUMBER($N$3),$N$3&gt;0),R252/(6*$N$3*1000000*$N$5)*(IF(N252&lt;($N$4*7/10),($N$4*7/10)*(MIN(O252,($N$4*7/10))^3-N252^3)-(MIN(O252,($N$4*7/10))^4-N252^4)/4,0)+IF(O252&gt;($N$4*7/10),($N$4*7/10)^2*(1.5*(O252^2-MAX(N252,($N$4*7/10))^2)-($N$4*7/10)*(O252-MAX(N252,($N$4*7/10)))),0))*1000,0)</f>
        <v>0</v>
      </c>
      <c r="AU252" s="120">
        <f>IF(AND(V252="OK",ISNUMBER($N$5),$N$5&gt;0,ISNUMBER($N$3),$N$3&gt;0),R252/(6*$N$3*1000000*$N$5)*(IF(N252&lt;($N$4*8/10),($N$4*8/10)*(MIN(O252,($N$4*8/10))^3-N252^3)-(MIN(O252,($N$4*8/10))^4-N252^4)/4,0)+IF(O252&gt;($N$4*8/10),($N$4*8/10)^2*(1.5*(O252^2-MAX(N252,($N$4*8/10))^2)-($N$4*8/10)*(O252-MAX(N252,($N$4*8/10)))),0))*1000,0)</f>
        <v>0</v>
      </c>
      <c r="AV252" s="120">
        <f>IF(AND(V252="OK",ISNUMBER($N$5),$N$5&gt;0,ISNUMBER($N$3),$N$3&gt;0),R252/(6*$N$3*1000000*$N$5)*(IF(N252&lt;($N$4*9/10),($N$4*9/10)*(MIN(O252,($N$4*9/10))^3-N252^3)-(MIN(O252,($N$4*9/10))^4-N252^4)/4,0)+IF(O252&gt;($N$4*9/10),($N$4*9/10)^2*(1.5*(O252^2-MAX(N252,($N$4*9/10))^2)-($N$4*9/10)*(O252-MAX(N252,($N$4*9/10)))),0))*1000,0)</f>
        <v>0</v>
      </c>
      <c r="AW252" s="120">
        <f>IF(AND(V252="OK",ISNUMBER($N$5),$N$5&gt;0,ISNUMBER($N$3),$N$3&gt;0),R252/(6*$N$3*1000000*$N$5)*(IF(N252&lt;($N$4*10/10),($N$4*10/10)*(MIN(O252,($N$4*10/10))^3-N252^3)-(MIN(O252,($N$4*10/10))^4-N252^4)/4,0)+IF(O252&gt;($N$4*10/10),($N$4*10/10)^2*(1.5*(O252^2-MAX(N252,($N$4*10/10))^2)-($N$4*10/10)*(O252-MAX(N252,($N$4*10/10)))),0))*1000,0)</f>
        <v>0</v>
      </c>
    </row>
    <row r="253" spans="1:49">
      <c r="A253" s="124"/>
      <c r="B253" s="125"/>
      <c r="C253" s="125"/>
      <c r="D253" s="125"/>
      <c r="E253" s="125"/>
      <c r="F253" s="126" t="str">
        <f>IF(J253="OK",D253*E253,"")</f>
        <v/>
      </c>
      <c r="G253" s="126" t="str">
        <f>IF(J253="OK",F253*(C253-B253),"")</f>
        <v/>
      </c>
      <c r="H253" s="126" t="str">
        <f>IF(J253="OK",G253*(C253+B253)/2,"")</f>
        <v/>
      </c>
      <c r="I253" s="126" t="str">
        <f>IF(AND(J253="OK",ISNUMBER($B$5),$B$5&gt;0,ISNUMBER($B$3),$B$3&gt;0),F253*(4*$B$4*(C253^3-B253^3)-(C253^4-B253^4))/(24*$B$3*1000000*$B$5)*1000,"")</f>
        <v/>
      </c>
      <c r="J253" s="120" t="str">
        <f>IF(COUNTA(A253:E253)=0,"",IF(AND(COUNT(B253:E253)=4,B253&gt;=0,C253&gt;B253,C253&lt;=$B$4,D253&gt;=0,E253&gt;0),IF(COUNTIFS($B$13:$B$252,"&lt;"&amp;C253,$C$13:$C$252,"&gt;"&amp;B253)&gt;0,"OVERLAP","OK"),"CHECK INPUTS"))</f>
        <v/>
      </c>
      <c r="M253" s="124"/>
      <c r="N253" s="125"/>
      <c r="O253" s="125"/>
      <c r="P253" s="125"/>
      <c r="Q253" s="125"/>
      <c r="R253" s="126" t="str">
        <f>IF(V253="OK",P253*Q253,"")</f>
        <v/>
      </c>
      <c r="S253" s="126" t="str">
        <f>IF(V253="OK",R253*(O253-N253),"")</f>
        <v/>
      </c>
      <c r="T253" s="126" t="str">
        <f>IF(V253="OK",S253*(O253+N253)/2,"")</f>
        <v/>
      </c>
      <c r="U253" s="126" t="str">
        <f>IF(AND(V253="OK",ISNUMBER($N$5),$N$5&gt;0,ISNUMBER($N$3),$N$3&gt;0),R253*(4*$N$4*(O253^3-N253^3)-(O253^4-N253^4))/(24*$N$3*1000000*$N$5)*1000,"")</f>
        <v/>
      </c>
      <c r="V253" s="120" t="str">
        <f>IF(COUNTA(M253:Q253)=0,"",IF(AND(COUNT(N253:Q253)=4,N253&gt;=0,O253&gt;N253,O253&lt;=$N$4,P253&gt;=0,Q253&gt;0),IF(COUNTIFS($N$13:$N$252,"&lt;"&amp;O253,$O$13:$O$252,"&gt;"&amp;N253)&gt;0,"OVERLAP","OK"),"CHECK INPUTS"))</f>
        <v/>
      </c>
      <c r="AA253" s="120">
        <f>IF(AND(J253="OK",ISNUMBER($B$5),$B$5&gt;0,ISNUMBER($B$3),$B$3&gt;0),F253/(6*$B$3*1000000*$B$5)*(IF(B253&lt;($B$4*0/10),($B$4*0/10)*(MIN(C253,($B$4*0/10))^3-B253^3)-(MIN(C253,($B$4*0/10))^4-B253^4)/4,0)+IF(C253&gt;($B$4*0/10),($B$4*0/10)^2*(1.5*(C253^2-MAX(B253,($B$4*0/10))^2)-($B$4*0/10)*(C253-MAX(B253,($B$4*0/10)))),0))*1000,0)</f>
        <v>0</v>
      </c>
      <c r="AB253" s="120">
        <f>IF(AND(J253="OK",ISNUMBER($B$5),$B$5&gt;0,ISNUMBER($B$3),$B$3&gt;0),F253/(6*$B$3*1000000*$B$5)*(IF(B253&lt;($B$4*1/10),($B$4*1/10)*(MIN(C253,($B$4*1/10))^3-B253^3)-(MIN(C253,($B$4*1/10))^4-B253^4)/4,0)+IF(C253&gt;($B$4*1/10),($B$4*1/10)^2*(1.5*(C253^2-MAX(B253,($B$4*1/10))^2)-($B$4*1/10)*(C253-MAX(B253,($B$4*1/10)))),0))*1000,0)</f>
        <v>0</v>
      </c>
      <c r="AC253" s="120">
        <f>IF(AND(J253="OK",ISNUMBER($B$5),$B$5&gt;0,ISNUMBER($B$3),$B$3&gt;0),F253/(6*$B$3*1000000*$B$5)*(IF(B253&lt;($B$4*2/10),($B$4*2/10)*(MIN(C253,($B$4*2/10))^3-B253^3)-(MIN(C253,($B$4*2/10))^4-B253^4)/4,0)+IF(C253&gt;($B$4*2/10),($B$4*2/10)^2*(1.5*(C253^2-MAX(B253,($B$4*2/10))^2)-($B$4*2/10)*(C253-MAX(B253,($B$4*2/10)))),0))*1000,0)</f>
        <v>0</v>
      </c>
      <c r="AD253" s="120">
        <f>IF(AND(J253="OK",ISNUMBER($B$5),$B$5&gt;0,ISNUMBER($B$3),$B$3&gt;0),F253/(6*$B$3*1000000*$B$5)*(IF(B253&lt;($B$4*3/10),($B$4*3/10)*(MIN(C253,($B$4*3/10))^3-B253^3)-(MIN(C253,($B$4*3/10))^4-B253^4)/4,0)+IF(C253&gt;($B$4*3/10),($B$4*3/10)^2*(1.5*(C253^2-MAX(B253,($B$4*3/10))^2)-($B$4*3/10)*(C253-MAX(B253,($B$4*3/10)))),0))*1000,0)</f>
        <v>0</v>
      </c>
      <c r="AE253" s="120">
        <f>IF(AND(J253="OK",ISNUMBER($B$5),$B$5&gt;0,ISNUMBER($B$3),$B$3&gt;0),F253/(6*$B$3*1000000*$B$5)*(IF(B253&lt;($B$4*4/10),($B$4*4/10)*(MIN(C253,($B$4*4/10))^3-B253^3)-(MIN(C253,($B$4*4/10))^4-B253^4)/4,0)+IF(C253&gt;($B$4*4/10),($B$4*4/10)^2*(1.5*(C253^2-MAX(B253,($B$4*4/10))^2)-($B$4*4/10)*(C253-MAX(B253,($B$4*4/10)))),0))*1000,0)</f>
        <v>0</v>
      </c>
      <c r="AF253" s="120">
        <f>IF(AND(J253="OK",ISNUMBER($B$5),$B$5&gt;0,ISNUMBER($B$3),$B$3&gt;0),F253/(6*$B$3*1000000*$B$5)*(IF(B253&lt;($B$4*5/10),($B$4*5/10)*(MIN(C253,($B$4*5/10))^3-B253^3)-(MIN(C253,($B$4*5/10))^4-B253^4)/4,0)+IF(C253&gt;($B$4*5/10),($B$4*5/10)^2*(1.5*(C253^2-MAX(B253,($B$4*5/10))^2)-($B$4*5/10)*(C253-MAX(B253,($B$4*5/10)))),0))*1000,0)</f>
        <v>0</v>
      </c>
      <c r="AG253" s="120">
        <f>IF(AND(J253="OK",ISNUMBER($B$5),$B$5&gt;0,ISNUMBER($B$3),$B$3&gt;0),F253/(6*$B$3*1000000*$B$5)*(IF(B253&lt;($B$4*6/10),($B$4*6/10)*(MIN(C253,($B$4*6/10))^3-B253^3)-(MIN(C253,($B$4*6/10))^4-B253^4)/4,0)+IF(C253&gt;($B$4*6/10),($B$4*6/10)^2*(1.5*(C253^2-MAX(B253,($B$4*6/10))^2)-($B$4*6/10)*(C253-MAX(B253,($B$4*6/10)))),0))*1000,0)</f>
        <v>0</v>
      </c>
      <c r="AH253" s="120">
        <f>IF(AND(J253="OK",ISNUMBER($B$5),$B$5&gt;0,ISNUMBER($B$3),$B$3&gt;0),F253/(6*$B$3*1000000*$B$5)*(IF(B253&lt;($B$4*7/10),($B$4*7/10)*(MIN(C253,($B$4*7/10))^3-B253^3)-(MIN(C253,($B$4*7/10))^4-B253^4)/4,0)+IF(C253&gt;($B$4*7/10),($B$4*7/10)^2*(1.5*(C253^2-MAX(B253,($B$4*7/10))^2)-($B$4*7/10)*(C253-MAX(B253,($B$4*7/10)))),0))*1000,0)</f>
        <v>0</v>
      </c>
      <c r="AI253" s="120">
        <f>IF(AND(J253="OK",ISNUMBER($B$5),$B$5&gt;0,ISNUMBER($B$3),$B$3&gt;0),F253/(6*$B$3*1000000*$B$5)*(IF(B253&lt;($B$4*8/10),($B$4*8/10)*(MIN(C253,($B$4*8/10))^3-B253^3)-(MIN(C253,($B$4*8/10))^4-B253^4)/4,0)+IF(C253&gt;($B$4*8/10),($B$4*8/10)^2*(1.5*(C253^2-MAX(B253,($B$4*8/10))^2)-($B$4*8/10)*(C253-MAX(B253,($B$4*8/10)))),0))*1000,0)</f>
        <v>0</v>
      </c>
      <c r="AJ253" s="120">
        <f>IF(AND(J253="OK",ISNUMBER($B$5),$B$5&gt;0,ISNUMBER($B$3),$B$3&gt;0),F253/(6*$B$3*1000000*$B$5)*(IF(B253&lt;($B$4*9/10),($B$4*9/10)*(MIN(C253,($B$4*9/10))^3-B253^3)-(MIN(C253,($B$4*9/10))^4-B253^4)/4,0)+IF(C253&gt;($B$4*9/10),($B$4*9/10)^2*(1.5*(C253^2-MAX(B253,($B$4*9/10))^2)-($B$4*9/10)*(C253-MAX(B253,($B$4*9/10)))),0))*1000,0)</f>
        <v>0</v>
      </c>
      <c r="AK253" s="120">
        <f>IF(AND(J253="OK",ISNUMBER($B$5),$B$5&gt;0,ISNUMBER($B$3),$B$3&gt;0),F253/(6*$B$3*1000000*$B$5)*(IF(B253&lt;($B$4*10/10),($B$4*10/10)*(MIN(C253,($B$4*10/10))^3-B253^3)-(MIN(C253,($B$4*10/10))^4-B253^4)/4,0)+IF(C253&gt;($B$4*10/10),($B$4*10/10)^2*(1.5*(C253^2-MAX(B253,($B$4*10/10))^2)-($B$4*10/10)*(C253-MAX(B253,($B$4*10/10)))),0))*1000,0)</f>
        <v>0</v>
      </c>
      <c r="AM253" s="120">
        <f>IF(AND(V253="OK",ISNUMBER($N$5),$N$5&gt;0,ISNUMBER($N$3),$N$3&gt;0),R253/(6*$N$3*1000000*$N$5)*(IF(N253&lt;($N$4*0/10),($N$4*0/10)*(MIN(O253,($N$4*0/10))^3-N253^3)-(MIN(O253,($N$4*0/10))^4-N253^4)/4,0)+IF(O253&gt;($N$4*0/10),($N$4*0/10)^2*(1.5*(O253^2-MAX(N253,($N$4*0/10))^2)-($N$4*0/10)*(O253-MAX(N253,($N$4*0/10)))),0))*1000,0)</f>
        <v>0</v>
      </c>
      <c r="AN253" s="120">
        <f>IF(AND(V253="OK",ISNUMBER($N$5),$N$5&gt;0,ISNUMBER($N$3),$N$3&gt;0),R253/(6*$N$3*1000000*$N$5)*(IF(N253&lt;($N$4*1/10),($N$4*1/10)*(MIN(O253,($N$4*1/10))^3-N253^3)-(MIN(O253,($N$4*1/10))^4-N253^4)/4,0)+IF(O253&gt;($N$4*1/10),($N$4*1/10)^2*(1.5*(O253^2-MAX(N253,($N$4*1/10))^2)-($N$4*1/10)*(O253-MAX(N253,($N$4*1/10)))),0))*1000,0)</f>
        <v>0</v>
      </c>
      <c r="AO253" s="120">
        <f>IF(AND(V253="OK",ISNUMBER($N$5),$N$5&gt;0,ISNUMBER($N$3),$N$3&gt;0),R253/(6*$N$3*1000000*$N$5)*(IF(N253&lt;($N$4*2/10),($N$4*2/10)*(MIN(O253,($N$4*2/10))^3-N253^3)-(MIN(O253,($N$4*2/10))^4-N253^4)/4,0)+IF(O253&gt;($N$4*2/10),($N$4*2/10)^2*(1.5*(O253^2-MAX(N253,($N$4*2/10))^2)-($N$4*2/10)*(O253-MAX(N253,($N$4*2/10)))),0))*1000,0)</f>
        <v>0</v>
      </c>
      <c r="AP253" s="120">
        <f>IF(AND(V253="OK",ISNUMBER($N$5),$N$5&gt;0,ISNUMBER($N$3),$N$3&gt;0),R253/(6*$N$3*1000000*$N$5)*(IF(N253&lt;($N$4*3/10),($N$4*3/10)*(MIN(O253,($N$4*3/10))^3-N253^3)-(MIN(O253,($N$4*3/10))^4-N253^4)/4,0)+IF(O253&gt;($N$4*3/10),($N$4*3/10)^2*(1.5*(O253^2-MAX(N253,($N$4*3/10))^2)-($N$4*3/10)*(O253-MAX(N253,($N$4*3/10)))),0))*1000,0)</f>
        <v>0</v>
      </c>
      <c r="AQ253" s="120">
        <f>IF(AND(V253="OK",ISNUMBER($N$5),$N$5&gt;0,ISNUMBER($N$3),$N$3&gt;0),R253/(6*$N$3*1000000*$N$5)*(IF(N253&lt;($N$4*4/10),($N$4*4/10)*(MIN(O253,($N$4*4/10))^3-N253^3)-(MIN(O253,($N$4*4/10))^4-N253^4)/4,0)+IF(O253&gt;($N$4*4/10),($N$4*4/10)^2*(1.5*(O253^2-MAX(N253,($N$4*4/10))^2)-($N$4*4/10)*(O253-MAX(N253,($N$4*4/10)))),0))*1000,0)</f>
        <v>0</v>
      </c>
      <c r="AR253" s="120">
        <f>IF(AND(V253="OK",ISNUMBER($N$5),$N$5&gt;0,ISNUMBER($N$3),$N$3&gt;0),R253/(6*$N$3*1000000*$N$5)*(IF(N253&lt;($N$4*5/10),($N$4*5/10)*(MIN(O253,($N$4*5/10))^3-N253^3)-(MIN(O253,($N$4*5/10))^4-N253^4)/4,0)+IF(O253&gt;($N$4*5/10),($N$4*5/10)^2*(1.5*(O253^2-MAX(N253,($N$4*5/10))^2)-($N$4*5/10)*(O253-MAX(N253,($N$4*5/10)))),0))*1000,0)</f>
        <v>0</v>
      </c>
      <c r="AS253" s="120">
        <f>IF(AND(V253="OK",ISNUMBER($N$5),$N$5&gt;0,ISNUMBER($N$3),$N$3&gt;0),R253/(6*$N$3*1000000*$N$5)*(IF(N253&lt;($N$4*6/10),($N$4*6/10)*(MIN(O253,($N$4*6/10))^3-N253^3)-(MIN(O253,($N$4*6/10))^4-N253^4)/4,0)+IF(O253&gt;($N$4*6/10),($N$4*6/10)^2*(1.5*(O253^2-MAX(N253,($N$4*6/10))^2)-($N$4*6/10)*(O253-MAX(N253,($N$4*6/10)))),0))*1000,0)</f>
        <v>0</v>
      </c>
      <c r="AT253" s="120">
        <f>IF(AND(V253="OK",ISNUMBER($N$5),$N$5&gt;0,ISNUMBER($N$3),$N$3&gt;0),R253/(6*$N$3*1000000*$N$5)*(IF(N253&lt;($N$4*7/10),($N$4*7/10)*(MIN(O253,($N$4*7/10))^3-N253^3)-(MIN(O253,($N$4*7/10))^4-N253^4)/4,0)+IF(O253&gt;($N$4*7/10),($N$4*7/10)^2*(1.5*(O253^2-MAX(N253,($N$4*7/10))^2)-($N$4*7/10)*(O253-MAX(N253,($N$4*7/10)))),0))*1000,0)</f>
        <v>0</v>
      </c>
      <c r="AU253" s="120">
        <f>IF(AND(V253="OK",ISNUMBER($N$5),$N$5&gt;0,ISNUMBER($N$3),$N$3&gt;0),R253/(6*$N$3*1000000*$N$5)*(IF(N253&lt;($N$4*8/10),($N$4*8/10)*(MIN(O253,($N$4*8/10))^3-N253^3)-(MIN(O253,($N$4*8/10))^4-N253^4)/4,0)+IF(O253&gt;($N$4*8/10),($N$4*8/10)^2*(1.5*(O253^2-MAX(N253,($N$4*8/10))^2)-($N$4*8/10)*(O253-MAX(N253,($N$4*8/10)))),0))*1000,0)</f>
        <v>0</v>
      </c>
      <c r="AV253" s="120">
        <f>IF(AND(V253="OK",ISNUMBER($N$5),$N$5&gt;0,ISNUMBER($N$3),$N$3&gt;0),R253/(6*$N$3*1000000*$N$5)*(IF(N253&lt;($N$4*9/10),($N$4*9/10)*(MIN(O253,($N$4*9/10))^3-N253^3)-(MIN(O253,($N$4*9/10))^4-N253^4)/4,0)+IF(O253&gt;($N$4*9/10),($N$4*9/10)^2*(1.5*(O253^2-MAX(N253,($N$4*9/10))^2)-($N$4*9/10)*(O253-MAX(N253,($N$4*9/10)))),0))*1000,0)</f>
        <v>0</v>
      </c>
      <c r="AW253" s="120">
        <f>IF(AND(V253="OK",ISNUMBER($N$5),$N$5&gt;0,ISNUMBER($N$3),$N$3&gt;0),R253/(6*$N$3*1000000*$N$5)*(IF(N253&lt;($N$4*10/10),($N$4*10/10)*(MIN(O253,($N$4*10/10))^3-N253^3)-(MIN(O253,($N$4*10/10))^4-N253^4)/4,0)+IF(O253&gt;($N$4*10/10),($N$4*10/10)^2*(1.5*(O253^2-MAX(N253,($N$4*10/10))^2)-($N$4*10/10)*(O253-MAX(N253,($N$4*10/10)))),0))*1000,0)</f>
        <v>0</v>
      </c>
    </row>
    <row r="254" spans="1:49">
      <c r="A254" s="124"/>
      <c r="B254" s="125"/>
      <c r="C254" s="125"/>
      <c r="D254" s="125"/>
      <c r="E254" s="125"/>
      <c r="F254" s="126" t="str">
        <f>IF(J254="OK",D254*E254,"")</f>
        <v/>
      </c>
      <c r="G254" s="126" t="str">
        <f>IF(J254="OK",F254*(C254-B254),"")</f>
        <v/>
      </c>
      <c r="H254" s="126" t="str">
        <f>IF(J254="OK",G254*(C254+B254)/2,"")</f>
        <v/>
      </c>
      <c r="I254" s="126" t="str">
        <f>IF(AND(J254="OK",ISNUMBER($B$5),$B$5&gt;0,ISNUMBER($B$3),$B$3&gt;0),F254*(4*$B$4*(C254^3-B254^3)-(C254^4-B254^4))/(24*$B$3*1000000*$B$5)*1000,"")</f>
        <v/>
      </c>
      <c r="J254" s="120" t="str">
        <f>IF(COUNTA(A254:E254)=0,"",IF(AND(COUNT(B254:E254)=4,B254&gt;=0,C254&gt;B254,C254&lt;=$B$4,D254&gt;=0,E254&gt;0),IF(COUNTIFS($B$13:$B$253,"&lt;"&amp;C254,$C$13:$C$253,"&gt;"&amp;B254)&gt;0,"OVERLAP","OK"),"CHECK INPUTS"))</f>
        <v/>
      </c>
      <c r="M254" s="124"/>
      <c r="N254" s="125"/>
      <c r="O254" s="125"/>
      <c r="P254" s="125"/>
      <c r="Q254" s="125"/>
      <c r="R254" s="126" t="str">
        <f>IF(V254="OK",P254*Q254,"")</f>
        <v/>
      </c>
      <c r="S254" s="126" t="str">
        <f>IF(V254="OK",R254*(O254-N254),"")</f>
        <v/>
      </c>
      <c r="T254" s="126" t="str">
        <f>IF(V254="OK",S254*(O254+N254)/2,"")</f>
        <v/>
      </c>
      <c r="U254" s="126" t="str">
        <f>IF(AND(V254="OK",ISNUMBER($N$5),$N$5&gt;0,ISNUMBER($N$3),$N$3&gt;0),R254*(4*$N$4*(O254^3-N254^3)-(O254^4-N254^4))/(24*$N$3*1000000*$N$5)*1000,"")</f>
        <v/>
      </c>
      <c r="V254" s="120" t="str">
        <f>IF(COUNTA(M254:Q254)=0,"",IF(AND(COUNT(N254:Q254)=4,N254&gt;=0,O254&gt;N254,O254&lt;=$N$4,P254&gt;=0,Q254&gt;0),IF(COUNTIFS($N$13:$N$253,"&lt;"&amp;O254,$O$13:$O$253,"&gt;"&amp;N254)&gt;0,"OVERLAP","OK"),"CHECK INPUTS"))</f>
        <v/>
      </c>
      <c r="AA254" s="120">
        <f>IF(AND(J254="OK",ISNUMBER($B$5),$B$5&gt;0,ISNUMBER($B$3),$B$3&gt;0),F254/(6*$B$3*1000000*$B$5)*(IF(B254&lt;($B$4*0/10),($B$4*0/10)*(MIN(C254,($B$4*0/10))^3-B254^3)-(MIN(C254,($B$4*0/10))^4-B254^4)/4,0)+IF(C254&gt;($B$4*0/10),($B$4*0/10)^2*(1.5*(C254^2-MAX(B254,($B$4*0/10))^2)-($B$4*0/10)*(C254-MAX(B254,($B$4*0/10)))),0))*1000,0)</f>
        <v>0</v>
      </c>
      <c r="AB254" s="120">
        <f>IF(AND(J254="OK",ISNUMBER($B$5),$B$5&gt;0,ISNUMBER($B$3),$B$3&gt;0),F254/(6*$B$3*1000000*$B$5)*(IF(B254&lt;($B$4*1/10),($B$4*1/10)*(MIN(C254,($B$4*1/10))^3-B254^3)-(MIN(C254,($B$4*1/10))^4-B254^4)/4,0)+IF(C254&gt;($B$4*1/10),($B$4*1/10)^2*(1.5*(C254^2-MAX(B254,($B$4*1/10))^2)-($B$4*1/10)*(C254-MAX(B254,($B$4*1/10)))),0))*1000,0)</f>
        <v>0</v>
      </c>
      <c r="AC254" s="120">
        <f>IF(AND(J254="OK",ISNUMBER($B$5),$B$5&gt;0,ISNUMBER($B$3),$B$3&gt;0),F254/(6*$B$3*1000000*$B$5)*(IF(B254&lt;($B$4*2/10),($B$4*2/10)*(MIN(C254,($B$4*2/10))^3-B254^3)-(MIN(C254,($B$4*2/10))^4-B254^4)/4,0)+IF(C254&gt;($B$4*2/10),($B$4*2/10)^2*(1.5*(C254^2-MAX(B254,($B$4*2/10))^2)-($B$4*2/10)*(C254-MAX(B254,($B$4*2/10)))),0))*1000,0)</f>
        <v>0</v>
      </c>
      <c r="AD254" s="120">
        <f>IF(AND(J254="OK",ISNUMBER($B$5),$B$5&gt;0,ISNUMBER($B$3),$B$3&gt;0),F254/(6*$B$3*1000000*$B$5)*(IF(B254&lt;($B$4*3/10),($B$4*3/10)*(MIN(C254,($B$4*3/10))^3-B254^3)-(MIN(C254,($B$4*3/10))^4-B254^4)/4,0)+IF(C254&gt;($B$4*3/10),($B$4*3/10)^2*(1.5*(C254^2-MAX(B254,($B$4*3/10))^2)-($B$4*3/10)*(C254-MAX(B254,($B$4*3/10)))),0))*1000,0)</f>
        <v>0</v>
      </c>
      <c r="AE254" s="120">
        <f>IF(AND(J254="OK",ISNUMBER($B$5),$B$5&gt;0,ISNUMBER($B$3),$B$3&gt;0),F254/(6*$B$3*1000000*$B$5)*(IF(B254&lt;($B$4*4/10),($B$4*4/10)*(MIN(C254,($B$4*4/10))^3-B254^3)-(MIN(C254,($B$4*4/10))^4-B254^4)/4,0)+IF(C254&gt;($B$4*4/10),($B$4*4/10)^2*(1.5*(C254^2-MAX(B254,($B$4*4/10))^2)-($B$4*4/10)*(C254-MAX(B254,($B$4*4/10)))),0))*1000,0)</f>
        <v>0</v>
      </c>
      <c r="AF254" s="120">
        <f>IF(AND(J254="OK",ISNUMBER($B$5),$B$5&gt;0,ISNUMBER($B$3),$B$3&gt;0),F254/(6*$B$3*1000000*$B$5)*(IF(B254&lt;($B$4*5/10),($B$4*5/10)*(MIN(C254,($B$4*5/10))^3-B254^3)-(MIN(C254,($B$4*5/10))^4-B254^4)/4,0)+IF(C254&gt;($B$4*5/10),($B$4*5/10)^2*(1.5*(C254^2-MAX(B254,($B$4*5/10))^2)-($B$4*5/10)*(C254-MAX(B254,($B$4*5/10)))),0))*1000,0)</f>
        <v>0</v>
      </c>
      <c r="AG254" s="120">
        <f>IF(AND(J254="OK",ISNUMBER($B$5),$B$5&gt;0,ISNUMBER($B$3),$B$3&gt;0),F254/(6*$B$3*1000000*$B$5)*(IF(B254&lt;($B$4*6/10),($B$4*6/10)*(MIN(C254,($B$4*6/10))^3-B254^3)-(MIN(C254,($B$4*6/10))^4-B254^4)/4,0)+IF(C254&gt;($B$4*6/10),($B$4*6/10)^2*(1.5*(C254^2-MAX(B254,($B$4*6/10))^2)-($B$4*6/10)*(C254-MAX(B254,($B$4*6/10)))),0))*1000,0)</f>
        <v>0</v>
      </c>
      <c r="AH254" s="120">
        <f>IF(AND(J254="OK",ISNUMBER($B$5),$B$5&gt;0,ISNUMBER($B$3),$B$3&gt;0),F254/(6*$B$3*1000000*$B$5)*(IF(B254&lt;($B$4*7/10),($B$4*7/10)*(MIN(C254,($B$4*7/10))^3-B254^3)-(MIN(C254,($B$4*7/10))^4-B254^4)/4,0)+IF(C254&gt;($B$4*7/10),($B$4*7/10)^2*(1.5*(C254^2-MAX(B254,($B$4*7/10))^2)-($B$4*7/10)*(C254-MAX(B254,($B$4*7/10)))),0))*1000,0)</f>
        <v>0</v>
      </c>
      <c r="AI254" s="120">
        <f>IF(AND(J254="OK",ISNUMBER($B$5),$B$5&gt;0,ISNUMBER($B$3),$B$3&gt;0),F254/(6*$B$3*1000000*$B$5)*(IF(B254&lt;($B$4*8/10),($B$4*8/10)*(MIN(C254,($B$4*8/10))^3-B254^3)-(MIN(C254,($B$4*8/10))^4-B254^4)/4,0)+IF(C254&gt;($B$4*8/10),($B$4*8/10)^2*(1.5*(C254^2-MAX(B254,($B$4*8/10))^2)-($B$4*8/10)*(C254-MAX(B254,($B$4*8/10)))),0))*1000,0)</f>
        <v>0</v>
      </c>
      <c r="AJ254" s="120">
        <f>IF(AND(J254="OK",ISNUMBER($B$5),$B$5&gt;0,ISNUMBER($B$3),$B$3&gt;0),F254/(6*$B$3*1000000*$B$5)*(IF(B254&lt;($B$4*9/10),($B$4*9/10)*(MIN(C254,($B$4*9/10))^3-B254^3)-(MIN(C254,($B$4*9/10))^4-B254^4)/4,0)+IF(C254&gt;($B$4*9/10),($B$4*9/10)^2*(1.5*(C254^2-MAX(B254,($B$4*9/10))^2)-($B$4*9/10)*(C254-MAX(B254,($B$4*9/10)))),0))*1000,0)</f>
        <v>0</v>
      </c>
      <c r="AK254" s="120">
        <f>IF(AND(J254="OK",ISNUMBER($B$5),$B$5&gt;0,ISNUMBER($B$3),$B$3&gt;0),F254/(6*$B$3*1000000*$B$5)*(IF(B254&lt;($B$4*10/10),($B$4*10/10)*(MIN(C254,($B$4*10/10))^3-B254^3)-(MIN(C254,($B$4*10/10))^4-B254^4)/4,0)+IF(C254&gt;($B$4*10/10),($B$4*10/10)^2*(1.5*(C254^2-MAX(B254,($B$4*10/10))^2)-($B$4*10/10)*(C254-MAX(B254,($B$4*10/10)))),0))*1000,0)</f>
        <v>0</v>
      </c>
      <c r="AM254" s="120">
        <f>IF(AND(V254="OK",ISNUMBER($N$5),$N$5&gt;0,ISNUMBER($N$3),$N$3&gt;0),R254/(6*$N$3*1000000*$N$5)*(IF(N254&lt;($N$4*0/10),($N$4*0/10)*(MIN(O254,($N$4*0/10))^3-N254^3)-(MIN(O254,($N$4*0/10))^4-N254^4)/4,0)+IF(O254&gt;($N$4*0/10),($N$4*0/10)^2*(1.5*(O254^2-MAX(N254,($N$4*0/10))^2)-($N$4*0/10)*(O254-MAX(N254,($N$4*0/10)))),0))*1000,0)</f>
        <v>0</v>
      </c>
      <c r="AN254" s="120">
        <f>IF(AND(V254="OK",ISNUMBER($N$5),$N$5&gt;0,ISNUMBER($N$3),$N$3&gt;0),R254/(6*$N$3*1000000*$N$5)*(IF(N254&lt;($N$4*1/10),($N$4*1/10)*(MIN(O254,($N$4*1/10))^3-N254^3)-(MIN(O254,($N$4*1/10))^4-N254^4)/4,0)+IF(O254&gt;($N$4*1/10),($N$4*1/10)^2*(1.5*(O254^2-MAX(N254,($N$4*1/10))^2)-($N$4*1/10)*(O254-MAX(N254,($N$4*1/10)))),0))*1000,0)</f>
        <v>0</v>
      </c>
      <c r="AO254" s="120">
        <f>IF(AND(V254="OK",ISNUMBER($N$5),$N$5&gt;0,ISNUMBER($N$3),$N$3&gt;0),R254/(6*$N$3*1000000*$N$5)*(IF(N254&lt;($N$4*2/10),($N$4*2/10)*(MIN(O254,($N$4*2/10))^3-N254^3)-(MIN(O254,($N$4*2/10))^4-N254^4)/4,0)+IF(O254&gt;($N$4*2/10),($N$4*2/10)^2*(1.5*(O254^2-MAX(N254,($N$4*2/10))^2)-($N$4*2/10)*(O254-MAX(N254,($N$4*2/10)))),0))*1000,0)</f>
        <v>0</v>
      </c>
      <c r="AP254" s="120">
        <f>IF(AND(V254="OK",ISNUMBER($N$5),$N$5&gt;0,ISNUMBER($N$3),$N$3&gt;0),R254/(6*$N$3*1000000*$N$5)*(IF(N254&lt;($N$4*3/10),($N$4*3/10)*(MIN(O254,($N$4*3/10))^3-N254^3)-(MIN(O254,($N$4*3/10))^4-N254^4)/4,0)+IF(O254&gt;($N$4*3/10),($N$4*3/10)^2*(1.5*(O254^2-MAX(N254,($N$4*3/10))^2)-($N$4*3/10)*(O254-MAX(N254,($N$4*3/10)))),0))*1000,0)</f>
        <v>0</v>
      </c>
      <c r="AQ254" s="120">
        <f>IF(AND(V254="OK",ISNUMBER($N$5),$N$5&gt;0,ISNUMBER($N$3),$N$3&gt;0),R254/(6*$N$3*1000000*$N$5)*(IF(N254&lt;($N$4*4/10),($N$4*4/10)*(MIN(O254,($N$4*4/10))^3-N254^3)-(MIN(O254,($N$4*4/10))^4-N254^4)/4,0)+IF(O254&gt;($N$4*4/10),($N$4*4/10)^2*(1.5*(O254^2-MAX(N254,($N$4*4/10))^2)-($N$4*4/10)*(O254-MAX(N254,($N$4*4/10)))),0))*1000,0)</f>
        <v>0</v>
      </c>
      <c r="AR254" s="120">
        <f>IF(AND(V254="OK",ISNUMBER($N$5),$N$5&gt;0,ISNUMBER($N$3),$N$3&gt;0),R254/(6*$N$3*1000000*$N$5)*(IF(N254&lt;($N$4*5/10),($N$4*5/10)*(MIN(O254,($N$4*5/10))^3-N254^3)-(MIN(O254,($N$4*5/10))^4-N254^4)/4,0)+IF(O254&gt;($N$4*5/10),($N$4*5/10)^2*(1.5*(O254^2-MAX(N254,($N$4*5/10))^2)-($N$4*5/10)*(O254-MAX(N254,($N$4*5/10)))),0))*1000,0)</f>
        <v>0</v>
      </c>
      <c r="AS254" s="120">
        <f>IF(AND(V254="OK",ISNUMBER($N$5),$N$5&gt;0,ISNUMBER($N$3),$N$3&gt;0),R254/(6*$N$3*1000000*$N$5)*(IF(N254&lt;($N$4*6/10),($N$4*6/10)*(MIN(O254,($N$4*6/10))^3-N254^3)-(MIN(O254,($N$4*6/10))^4-N254^4)/4,0)+IF(O254&gt;($N$4*6/10),($N$4*6/10)^2*(1.5*(O254^2-MAX(N254,($N$4*6/10))^2)-($N$4*6/10)*(O254-MAX(N254,($N$4*6/10)))),0))*1000,0)</f>
        <v>0</v>
      </c>
      <c r="AT254" s="120">
        <f>IF(AND(V254="OK",ISNUMBER($N$5),$N$5&gt;0,ISNUMBER($N$3),$N$3&gt;0),R254/(6*$N$3*1000000*$N$5)*(IF(N254&lt;($N$4*7/10),($N$4*7/10)*(MIN(O254,($N$4*7/10))^3-N254^3)-(MIN(O254,($N$4*7/10))^4-N254^4)/4,0)+IF(O254&gt;($N$4*7/10),($N$4*7/10)^2*(1.5*(O254^2-MAX(N254,($N$4*7/10))^2)-($N$4*7/10)*(O254-MAX(N254,($N$4*7/10)))),0))*1000,0)</f>
        <v>0</v>
      </c>
      <c r="AU254" s="120">
        <f>IF(AND(V254="OK",ISNUMBER($N$5),$N$5&gt;0,ISNUMBER($N$3),$N$3&gt;0),R254/(6*$N$3*1000000*$N$5)*(IF(N254&lt;($N$4*8/10),($N$4*8/10)*(MIN(O254,($N$4*8/10))^3-N254^3)-(MIN(O254,($N$4*8/10))^4-N254^4)/4,0)+IF(O254&gt;($N$4*8/10),($N$4*8/10)^2*(1.5*(O254^2-MAX(N254,($N$4*8/10))^2)-($N$4*8/10)*(O254-MAX(N254,($N$4*8/10)))),0))*1000,0)</f>
        <v>0</v>
      </c>
      <c r="AV254" s="120">
        <f>IF(AND(V254="OK",ISNUMBER($N$5),$N$5&gt;0,ISNUMBER($N$3),$N$3&gt;0),R254/(6*$N$3*1000000*$N$5)*(IF(N254&lt;($N$4*9/10),($N$4*9/10)*(MIN(O254,($N$4*9/10))^3-N254^3)-(MIN(O254,($N$4*9/10))^4-N254^4)/4,0)+IF(O254&gt;($N$4*9/10),($N$4*9/10)^2*(1.5*(O254^2-MAX(N254,($N$4*9/10))^2)-($N$4*9/10)*(O254-MAX(N254,($N$4*9/10)))),0))*1000,0)</f>
        <v>0</v>
      </c>
      <c r="AW254" s="120">
        <f>IF(AND(V254="OK",ISNUMBER($N$5),$N$5&gt;0,ISNUMBER($N$3),$N$3&gt;0),R254/(6*$N$3*1000000*$N$5)*(IF(N254&lt;($N$4*10/10),($N$4*10/10)*(MIN(O254,($N$4*10/10))^3-N254^3)-(MIN(O254,($N$4*10/10))^4-N254^4)/4,0)+IF(O254&gt;($N$4*10/10),($N$4*10/10)^2*(1.5*(O254^2-MAX(N254,($N$4*10/10))^2)-($N$4*10/10)*(O254-MAX(N254,($N$4*10/10)))),0))*1000,0)</f>
        <v>0</v>
      </c>
    </row>
    <row r="255" spans="1:49">
      <c r="A255" s="124"/>
      <c r="B255" s="125"/>
      <c r="C255" s="125"/>
      <c r="D255" s="125"/>
      <c r="E255" s="125"/>
      <c r="F255" s="126" t="str">
        <f>IF(J255="OK",D255*E255,"")</f>
        <v/>
      </c>
      <c r="G255" s="126" t="str">
        <f>IF(J255="OK",F255*(C255-B255),"")</f>
        <v/>
      </c>
      <c r="H255" s="126" t="str">
        <f>IF(J255="OK",G255*(C255+B255)/2,"")</f>
        <v/>
      </c>
      <c r="I255" s="126" t="str">
        <f>IF(AND(J255="OK",ISNUMBER($B$5),$B$5&gt;0,ISNUMBER($B$3),$B$3&gt;0),F255*(4*$B$4*(C255^3-B255^3)-(C255^4-B255^4))/(24*$B$3*1000000*$B$5)*1000,"")</f>
        <v/>
      </c>
      <c r="J255" s="120" t="str">
        <f>IF(COUNTA(A255:E255)=0,"",IF(AND(COUNT(B255:E255)=4,B255&gt;=0,C255&gt;B255,C255&lt;=$B$4,D255&gt;=0,E255&gt;0),IF(COUNTIFS($B$13:$B$254,"&lt;"&amp;C255,$C$13:$C$254,"&gt;"&amp;B255)&gt;0,"OVERLAP","OK"),"CHECK INPUTS"))</f>
        <v/>
      </c>
      <c r="M255" s="124"/>
      <c r="N255" s="125"/>
      <c r="O255" s="125"/>
      <c r="P255" s="125"/>
      <c r="Q255" s="125"/>
      <c r="R255" s="126" t="str">
        <f>IF(V255="OK",P255*Q255,"")</f>
        <v/>
      </c>
      <c r="S255" s="126" t="str">
        <f>IF(V255="OK",R255*(O255-N255),"")</f>
        <v/>
      </c>
      <c r="T255" s="126" t="str">
        <f>IF(V255="OK",S255*(O255+N255)/2,"")</f>
        <v/>
      </c>
      <c r="U255" s="126" t="str">
        <f>IF(AND(V255="OK",ISNUMBER($N$5),$N$5&gt;0,ISNUMBER($N$3),$N$3&gt;0),R255*(4*$N$4*(O255^3-N255^3)-(O255^4-N255^4))/(24*$N$3*1000000*$N$5)*1000,"")</f>
        <v/>
      </c>
      <c r="V255" s="120" t="str">
        <f>IF(COUNTA(M255:Q255)=0,"",IF(AND(COUNT(N255:Q255)=4,N255&gt;=0,O255&gt;N255,O255&lt;=$N$4,P255&gt;=0,Q255&gt;0),IF(COUNTIFS($N$13:$N$254,"&lt;"&amp;O255,$O$13:$O$254,"&gt;"&amp;N255)&gt;0,"OVERLAP","OK"),"CHECK INPUTS"))</f>
        <v/>
      </c>
      <c r="AA255" s="120">
        <f>IF(AND(J255="OK",ISNUMBER($B$5),$B$5&gt;0,ISNUMBER($B$3),$B$3&gt;0),F255/(6*$B$3*1000000*$B$5)*(IF(B255&lt;($B$4*0/10),($B$4*0/10)*(MIN(C255,($B$4*0/10))^3-B255^3)-(MIN(C255,($B$4*0/10))^4-B255^4)/4,0)+IF(C255&gt;($B$4*0/10),($B$4*0/10)^2*(1.5*(C255^2-MAX(B255,($B$4*0/10))^2)-($B$4*0/10)*(C255-MAX(B255,($B$4*0/10)))),0))*1000,0)</f>
        <v>0</v>
      </c>
      <c r="AB255" s="120">
        <f>IF(AND(J255="OK",ISNUMBER($B$5),$B$5&gt;0,ISNUMBER($B$3),$B$3&gt;0),F255/(6*$B$3*1000000*$B$5)*(IF(B255&lt;($B$4*1/10),($B$4*1/10)*(MIN(C255,($B$4*1/10))^3-B255^3)-(MIN(C255,($B$4*1/10))^4-B255^4)/4,0)+IF(C255&gt;($B$4*1/10),($B$4*1/10)^2*(1.5*(C255^2-MAX(B255,($B$4*1/10))^2)-($B$4*1/10)*(C255-MAX(B255,($B$4*1/10)))),0))*1000,0)</f>
        <v>0</v>
      </c>
      <c r="AC255" s="120">
        <f>IF(AND(J255="OK",ISNUMBER($B$5),$B$5&gt;0,ISNUMBER($B$3),$B$3&gt;0),F255/(6*$B$3*1000000*$B$5)*(IF(B255&lt;($B$4*2/10),($B$4*2/10)*(MIN(C255,($B$4*2/10))^3-B255^3)-(MIN(C255,($B$4*2/10))^4-B255^4)/4,0)+IF(C255&gt;($B$4*2/10),($B$4*2/10)^2*(1.5*(C255^2-MAX(B255,($B$4*2/10))^2)-($B$4*2/10)*(C255-MAX(B255,($B$4*2/10)))),0))*1000,0)</f>
        <v>0</v>
      </c>
      <c r="AD255" s="120">
        <f>IF(AND(J255="OK",ISNUMBER($B$5),$B$5&gt;0,ISNUMBER($B$3),$B$3&gt;0),F255/(6*$B$3*1000000*$B$5)*(IF(B255&lt;($B$4*3/10),($B$4*3/10)*(MIN(C255,($B$4*3/10))^3-B255^3)-(MIN(C255,($B$4*3/10))^4-B255^4)/4,0)+IF(C255&gt;($B$4*3/10),($B$4*3/10)^2*(1.5*(C255^2-MAX(B255,($B$4*3/10))^2)-($B$4*3/10)*(C255-MAX(B255,($B$4*3/10)))),0))*1000,0)</f>
        <v>0</v>
      </c>
      <c r="AE255" s="120">
        <f>IF(AND(J255="OK",ISNUMBER($B$5),$B$5&gt;0,ISNUMBER($B$3),$B$3&gt;0),F255/(6*$B$3*1000000*$B$5)*(IF(B255&lt;($B$4*4/10),($B$4*4/10)*(MIN(C255,($B$4*4/10))^3-B255^3)-(MIN(C255,($B$4*4/10))^4-B255^4)/4,0)+IF(C255&gt;($B$4*4/10),($B$4*4/10)^2*(1.5*(C255^2-MAX(B255,($B$4*4/10))^2)-($B$4*4/10)*(C255-MAX(B255,($B$4*4/10)))),0))*1000,0)</f>
        <v>0</v>
      </c>
      <c r="AF255" s="120">
        <f>IF(AND(J255="OK",ISNUMBER($B$5),$B$5&gt;0,ISNUMBER($B$3),$B$3&gt;0),F255/(6*$B$3*1000000*$B$5)*(IF(B255&lt;($B$4*5/10),($B$4*5/10)*(MIN(C255,($B$4*5/10))^3-B255^3)-(MIN(C255,($B$4*5/10))^4-B255^4)/4,0)+IF(C255&gt;($B$4*5/10),($B$4*5/10)^2*(1.5*(C255^2-MAX(B255,($B$4*5/10))^2)-($B$4*5/10)*(C255-MAX(B255,($B$4*5/10)))),0))*1000,0)</f>
        <v>0</v>
      </c>
      <c r="AG255" s="120">
        <f>IF(AND(J255="OK",ISNUMBER($B$5),$B$5&gt;0,ISNUMBER($B$3),$B$3&gt;0),F255/(6*$B$3*1000000*$B$5)*(IF(B255&lt;($B$4*6/10),($B$4*6/10)*(MIN(C255,($B$4*6/10))^3-B255^3)-(MIN(C255,($B$4*6/10))^4-B255^4)/4,0)+IF(C255&gt;($B$4*6/10),($B$4*6/10)^2*(1.5*(C255^2-MAX(B255,($B$4*6/10))^2)-($B$4*6/10)*(C255-MAX(B255,($B$4*6/10)))),0))*1000,0)</f>
        <v>0</v>
      </c>
      <c r="AH255" s="120">
        <f>IF(AND(J255="OK",ISNUMBER($B$5),$B$5&gt;0,ISNUMBER($B$3),$B$3&gt;0),F255/(6*$B$3*1000000*$B$5)*(IF(B255&lt;($B$4*7/10),($B$4*7/10)*(MIN(C255,($B$4*7/10))^3-B255^3)-(MIN(C255,($B$4*7/10))^4-B255^4)/4,0)+IF(C255&gt;($B$4*7/10),($B$4*7/10)^2*(1.5*(C255^2-MAX(B255,($B$4*7/10))^2)-($B$4*7/10)*(C255-MAX(B255,($B$4*7/10)))),0))*1000,0)</f>
        <v>0</v>
      </c>
      <c r="AI255" s="120">
        <f>IF(AND(J255="OK",ISNUMBER($B$5),$B$5&gt;0,ISNUMBER($B$3),$B$3&gt;0),F255/(6*$B$3*1000000*$B$5)*(IF(B255&lt;($B$4*8/10),($B$4*8/10)*(MIN(C255,($B$4*8/10))^3-B255^3)-(MIN(C255,($B$4*8/10))^4-B255^4)/4,0)+IF(C255&gt;($B$4*8/10),($B$4*8/10)^2*(1.5*(C255^2-MAX(B255,($B$4*8/10))^2)-($B$4*8/10)*(C255-MAX(B255,($B$4*8/10)))),0))*1000,0)</f>
        <v>0</v>
      </c>
      <c r="AJ255" s="120">
        <f>IF(AND(J255="OK",ISNUMBER($B$5),$B$5&gt;0,ISNUMBER($B$3),$B$3&gt;0),F255/(6*$B$3*1000000*$B$5)*(IF(B255&lt;($B$4*9/10),($B$4*9/10)*(MIN(C255,($B$4*9/10))^3-B255^3)-(MIN(C255,($B$4*9/10))^4-B255^4)/4,0)+IF(C255&gt;($B$4*9/10),($B$4*9/10)^2*(1.5*(C255^2-MAX(B255,($B$4*9/10))^2)-($B$4*9/10)*(C255-MAX(B255,($B$4*9/10)))),0))*1000,0)</f>
        <v>0</v>
      </c>
      <c r="AK255" s="120">
        <f>IF(AND(J255="OK",ISNUMBER($B$5),$B$5&gt;0,ISNUMBER($B$3),$B$3&gt;0),F255/(6*$B$3*1000000*$B$5)*(IF(B255&lt;($B$4*10/10),($B$4*10/10)*(MIN(C255,($B$4*10/10))^3-B255^3)-(MIN(C255,($B$4*10/10))^4-B255^4)/4,0)+IF(C255&gt;($B$4*10/10),($B$4*10/10)^2*(1.5*(C255^2-MAX(B255,($B$4*10/10))^2)-($B$4*10/10)*(C255-MAX(B255,($B$4*10/10)))),0))*1000,0)</f>
        <v>0</v>
      </c>
      <c r="AM255" s="120">
        <f>IF(AND(V255="OK",ISNUMBER($N$5),$N$5&gt;0,ISNUMBER($N$3),$N$3&gt;0),R255/(6*$N$3*1000000*$N$5)*(IF(N255&lt;($N$4*0/10),($N$4*0/10)*(MIN(O255,($N$4*0/10))^3-N255^3)-(MIN(O255,($N$4*0/10))^4-N255^4)/4,0)+IF(O255&gt;($N$4*0/10),($N$4*0/10)^2*(1.5*(O255^2-MAX(N255,($N$4*0/10))^2)-($N$4*0/10)*(O255-MAX(N255,($N$4*0/10)))),0))*1000,0)</f>
        <v>0</v>
      </c>
      <c r="AN255" s="120">
        <f>IF(AND(V255="OK",ISNUMBER($N$5),$N$5&gt;0,ISNUMBER($N$3),$N$3&gt;0),R255/(6*$N$3*1000000*$N$5)*(IF(N255&lt;($N$4*1/10),($N$4*1/10)*(MIN(O255,($N$4*1/10))^3-N255^3)-(MIN(O255,($N$4*1/10))^4-N255^4)/4,0)+IF(O255&gt;($N$4*1/10),($N$4*1/10)^2*(1.5*(O255^2-MAX(N255,($N$4*1/10))^2)-($N$4*1/10)*(O255-MAX(N255,($N$4*1/10)))),0))*1000,0)</f>
        <v>0</v>
      </c>
      <c r="AO255" s="120">
        <f>IF(AND(V255="OK",ISNUMBER($N$5),$N$5&gt;0,ISNUMBER($N$3),$N$3&gt;0),R255/(6*$N$3*1000000*$N$5)*(IF(N255&lt;($N$4*2/10),($N$4*2/10)*(MIN(O255,($N$4*2/10))^3-N255^3)-(MIN(O255,($N$4*2/10))^4-N255^4)/4,0)+IF(O255&gt;($N$4*2/10),($N$4*2/10)^2*(1.5*(O255^2-MAX(N255,($N$4*2/10))^2)-($N$4*2/10)*(O255-MAX(N255,($N$4*2/10)))),0))*1000,0)</f>
        <v>0</v>
      </c>
      <c r="AP255" s="120">
        <f>IF(AND(V255="OK",ISNUMBER($N$5),$N$5&gt;0,ISNUMBER($N$3),$N$3&gt;0),R255/(6*$N$3*1000000*$N$5)*(IF(N255&lt;($N$4*3/10),($N$4*3/10)*(MIN(O255,($N$4*3/10))^3-N255^3)-(MIN(O255,($N$4*3/10))^4-N255^4)/4,0)+IF(O255&gt;($N$4*3/10),($N$4*3/10)^2*(1.5*(O255^2-MAX(N255,($N$4*3/10))^2)-($N$4*3/10)*(O255-MAX(N255,($N$4*3/10)))),0))*1000,0)</f>
        <v>0</v>
      </c>
      <c r="AQ255" s="120">
        <f>IF(AND(V255="OK",ISNUMBER($N$5),$N$5&gt;0,ISNUMBER($N$3),$N$3&gt;0),R255/(6*$N$3*1000000*$N$5)*(IF(N255&lt;($N$4*4/10),($N$4*4/10)*(MIN(O255,($N$4*4/10))^3-N255^3)-(MIN(O255,($N$4*4/10))^4-N255^4)/4,0)+IF(O255&gt;($N$4*4/10),($N$4*4/10)^2*(1.5*(O255^2-MAX(N255,($N$4*4/10))^2)-($N$4*4/10)*(O255-MAX(N255,($N$4*4/10)))),0))*1000,0)</f>
        <v>0</v>
      </c>
      <c r="AR255" s="120">
        <f>IF(AND(V255="OK",ISNUMBER($N$5),$N$5&gt;0,ISNUMBER($N$3),$N$3&gt;0),R255/(6*$N$3*1000000*$N$5)*(IF(N255&lt;($N$4*5/10),($N$4*5/10)*(MIN(O255,($N$4*5/10))^3-N255^3)-(MIN(O255,($N$4*5/10))^4-N255^4)/4,0)+IF(O255&gt;($N$4*5/10),($N$4*5/10)^2*(1.5*(O255^2-MAX(N255,($N$4*5/10))^2)-($N$4*5/10)*(O255-MAX(N255,($N$4*5/10)))),0))*1000,0)</f>
        <v>0</v>
      </c>
      <c r="AS255" s="120">
        <f>IF(AND(V255="OK",ISNUMBER($N$5),$N$5&gt;0,ISNUMBER($N$3),$N$3&gt;0),R255/(6*$N$3*1000000*$N$5)*(IF(N255&lt;($N$4*6/10),($N$4*6/10)*(MIN(O255,($N$4*6/10))^3-N255^3)-(MIN(O255,($N$4*6/10))^4-N255^4)/4,0)+IF(O255&gt;($N$4*6/10),($N$4*6/10)^2*(1.5*(O255^2-MAX(N255,($N$4*6/10))^2)-($N$4*6/10)*(O255-MAX(N255,($N$4*6/10)))),0))*1000,0)</f>
        <v>0</v>
      </c>
      <c r="AT255" s="120">
        <f>IF(AND(V255="OK",ISNUMBER($N$5),$N$5&gt;0,ISNUMBER($N$3),$N$3&gt;0),R255/(6*$N$3*1000000*$N$5)*(IF(N255&lt;($N$4*7/10),($N$4*7/10)*(MIN(O255,($N$4*7/10))^3-N255^3)-(MIN(O255,($N$4*7/10))^4-N255^4)/4,0)+IF(O255&gt;($N$4*7/10),($N$4*7/10)^2*(1.5*(O255^2-MAX(N255,($N$4*7/10))^2)-($N$4*7/10)*(O255-MAX(N255,($N$4*7/10)))),0))*1000,0)</f>
        <v>0</v>
      </c>
      <c r="AU255" s="120">
        <f>IF(AND(V255="OK",ISNUMBER($N$5),$N$5&gt;0,ISNUMBER($N$3),$N$3&gt;0),R255/(6*$N$3*1000000*$N$5)*(IF(N255&lt;($N$4*8/10),($N$4*8/10)*(MIN(O255,($N$4*8/10))^3-N255^3)-(MIN(O255,($N$4*8/10))^4-N255^4)/4,0)+IF(O255&gt;($N$4*8/10),($N$4*8/10)^2*(1.5*(O255^2-MAX(N255,($N$4*8/10))^2)-($N$4*8/10)*(O255-MAX(N255,($N$4*8/10)))),0))*1000,0)</f>
        <v>0</v>
      </c>
      <c r="AV255" s="120">
        <f>IF(AND(V255="OK",ISNUMBER($N$5),$N$5&gt;0,ISNUMBER($N$3),$N$3&gt;0),R255/(6*$N$3*1000000*$N$5)*(IF(N255&lt;($N$4*9/10),($N$4*9/10)*(MIN(O255,($N$4*9/10))^3-N255^3)-(MIN(O255,($N$4*9/10))^4-N255^4)/4,0)+IF(O255&gt;($N$4*9/10),($N$4*9/10)^2*(1.5*(O255^2-MAX(N255,($N$4*9/10))^2)-($N$4*9/10)*(O255-MAX(N255,($N$4*9/10)))),0))*1000,0)</f>
        <v>0</v>
      </c>
      <c r="AW255" s="120">
        <f>IF(AND(V255="OK",ISNUMBER($N$5),$N$5&gt;0,ISNUMBER($N$3),$N$3&gt;0),R255/(6*$N$3*1000000*$N$5)*(IF(N255&lt;($N$4*10/10),($N$4*10/10)*(MIN(O255,($N$4*10/10))^3-N255^3)-(MIN(O255,($N$4*10/10))^4-N255^4)/4,0)+IF(O255&gt;($N$4*10/10),($N$4*10/10)^2*(1.5*(O255^2-MAX(N255,($N$4*10/10))^2)-($N$4*10/10)*(O255-MAX(N255,($N$4*10/10)))),0))*1000,0)</f>
        <v>0</v>
      </c>
    </row>
    <row r="256" spans="1:49">
      <c r="A256" s="124"/>
      <c r="B256" s="125"/>
      <c r="C256" s="125"/>
      <c r="D256" s="125"/>
      <c r="E256" s="125"/>
      <c r="F256" s="126" t="str">
        <f>IF(J256="OK",D256*E256,"")</f>
        <v/>
      </c>
      <c r="G256" s="126" t="str">
        <f>IF(J256="OK",F256*(C256-B256),"")</f>
        <v/>
      </c>
      <c r="H256" s="126" t="str">
        <f>IF(J256="OK",G256*(C256+B256)/2,"")</f>
        <v/>
      </c>
      <c r="I256" s="126" t="str">
        <f>IF(AND(J256="OK",ISNUMBER($B$5),$B$5&gt;0,ISNUMBER($B$3),$B$3&gt;0),F256*(4*$B$4*(C256^3-B256^3)-(C256^4-B256^4))/(24*$B$3*1000000*$B$5)*1000,"")</f>
        <v/>
      </c>
      <c r="J256" s="120" t="str">
        <f>IF(COUNTA(A256:E256)=0,"",IF(AND(COUNT(B256:E256)=4,B256&gt;=0,C256&gt;B256,C256&lt;=$B$4,D256&gt;=0,E256&gt;0),IF(COUNTIFS($B$13:$B$255,"&lt;"&amp;C256,$C$13:$C$255,"&gt;"&amp;B256)&gt;0,"OVERLAP","OK"),"CHECK INPUTS"))</f>
        <v/>
      </c>
      <c r="M256" s="124"/>
      <c r="N256" s="125"/>
      <c r="O256" s="125"/>
      <c r="P256" s="125"/>
      <c r="Q256" s="125"/>
      <c r="R256" s="126" t="str">
        <f>IF(V256="OK",P256*Q256,"")</f>
        <v/>
      </c>
      <c r="S256" s="126" t="str">
        <f>IF(V256="OK",R256*(O256-N256),"")</f>
        <v/>
      </c>
      <c r="T256" s="126" t="str">
        <f>IF(V256="OK",S256*(O256+N256)/2,"")</f>
        <v/>
      </c>
      <c r="U256" s="126" t="str">
        <f>IF(AND(V256="OK",ISNUMBER($N$5),$N$5&gt;0,ISNUMBER($N$3),$N$3&gt;0),R256*(4*$N$4*(O256^3-N256^3)-(O256^4-N256^4))/(24*$N$3*1000000*$N$5)*1000,"")</f>
        <v/>
      </c>
      <c r="V256" s="120" t="str">
        <f>IF(COUNTA(M256:Q256)=0,"",IF(AND(COUNT(N256:Q256)=4,N256&gt;=0,O256&gt;N256,O256&lt;=$N$4,P256&gt;=0,Q256&gt;0),IF(COUNTIFS($N$13:$N$255,"&lt;"&amp;O256,$O$13:$O$255,"&gt;"&amp;N256)&gt;0,"OVERLAP","OK"),"CHECK INPUTS"))</f>
        <v/>
      </c>
      <c r="AA256" s="120">
        <f>IF(AND(J256="OK",ISNUMBER($B$5),$B$5&gt;0,ISNUMBER($B$3),$B$3&gt;0),F256/(6*$B$3*1000000*$B$5)*(IF(B256&lt;($B$4*0/10),($B$4*0/10)*(MIN(C256,($B$4*0/10))^3-B256^3)-(MIN(C256,($B$4*0/10))^4-B256^4)/4,0)+IF(C256&gt;($B$4*0/10),($B$4*0/10)^2*(1.5*(C256^2-MAX(B256,($B$4*0/10))^2)-($B$4*0/10)*(C256-MAX(B256,($B$4*0/10)))),0))*1000,0)</f>
        <v>0</v>
      </c>
      <c r="AB256" s="120">
        <f>IF(AND(J256="OK",ISNUMBER($B$5),$B$5&gt;0,ISNUMBER($B$3),$B$3&gt;0),F256/(6*$B$3*1000000*$B$5)*(IF(B256&lt;($B$4*1/10),($B$4*1/10)*(MIN(C256,($B$4*1/10))^3-B256^3)-(MIN(C256,($B$4*1/10))^4-B256^4)/4,0)+IF(C256&gt;($B$4*1/10),($B$4*1/10)^2*(1.5*(C256^2-MAX(B256,($B$4*1/10))^2)-($B$4*1/10)*(C256-MAX(B256,($B$4*1/10)))),0))*1000,0)</f>
        <v>0</v>
      </c>
      <c r="AC256" s="120">
        <f>IF(AND(J256="OK",ISNUMBER($B$5),$B$5&gt;0,ISNUMBER($B$3),$B$3&gt;0),F256/(6*$B$3*1000000*$B$5)*(IF(B256&lt;($B$4*2/10),($B$4*2/10)*(MIN(C256,($B$4*2/10))^3-B256^3)-(MIN(C256,($B$4*2/10))^4-B256^4)/4,0)+IF(C256&gt;($B$4*2/10),($B$4*2/10)^2*(1.5*(C256^2-MAX(B256,($B$4*2/10))^2)-($B$4*2/10)*(C256-MAX(B256,($B$4*2/10)))),0))*1000,0)</f>
        <v>0</v>
      </c>
      <c r="AD256" s="120">
        <f>IF(AND(J256="OK",ISNUMBER($B$5),$B$5&gt;0,ISNUMBER($B$3),$B$3&gt;0),F256/(6*$B$3*1000000*$B$5)*(IF(B256&lt;($B$4*3/10),($B$4*3/10)*(MIN(C256,($B$4*3/10))^3-B256^3)-(MIN(C256,($B$4*3/10))^4-B256^4)/4,0)+IF(C256&gt;($B$4*3/10),($B$4*3/10)^2*(1.5*(C256^2-MAX(B256,($B$4*3/10))^2)-($B$4*3/10)*(C256-MAX(B256,($B$4*3/10)))),0))*1000,0)</f>
        <v>0</v>
      </c>
      <c r="AE256" s="120">
        <f>IF(AND(J256="OK",ISNUMBER($B$5),$B$5&gt;0,ISNUMBER($B$3),$B$3&gt;0),F256/(6*$B$3*1000000*$B$5)*(IF(B256&lt;($B$4*4/10),($B$4*4/10)*(MIN(C256,($B$4*4/10))^3-B256^3)-(MIN(C256,($B$4*4/10))^4-B256^4)/4,0)+IF(C256&gt;($B$4*4/10),($B$4*4/10)^2*(1.5*(C256^2-MAX(B256,($B$4*4/10))^2)-($B$4*4/10)*(C256-MAX(B256,($B$4*4/10)))),0))*1000,0)</f>
        <v>0</v>
      </c>
      <c r="AF256" s="120">
        <f>IF(AND(J256="OK",ISNUMBER($B$5),$B$5&gt;0,ISNUMBER($B$3),$B$3&gt;0),F256/(6*$B$3*1000000*$B$5)*(IF(B256&lt;($B$4*5/10),($B$4*5/10)*(MIN(C256,($B$4*5/10))^3-B256^3)-(MIN(C256,($B$4*5/10))^4-B256^4)/4,0)+IF(C256&gt;($B$4*5/10),($B$4*5/10)^2*(1.5*(C256^2-MAX(B256,($B$4*5/10))^2)-($B$4*5/10)*(C256-MAX(B256,($B$4*5/10)))),0))*1000,0)</f>
        <v>0</v>
      </c>
      <c r="AG256" s="120">
        <f>IF(AND(J256="OK",ISNUMBER($B$5),$B$5&gt;0,ISNUMBER($B$3),$B$3&gt;0),F256/(6*$B$3*1000000*$B$5)*(IF(B256&lt;($B$4*6/10),($B$4*6/10)*(MIN(C256,($B$4*6/10))^3-B256^3)-(MIN(C256,($B$4*6/10))^4-B256^4)/4,0)+IF(C256&gt;($B$4*6/10),($B$4*6/10)^2*(1.5*(C256^2-MAX(B256,($B$4*6/10))^2)-($B$4*6/10)*(C256-MAX(B256,($B$4*6/10)))),0))*1000,0)</f>
        <v>0</v>
      </c>
      <c r="AH256" s="120">
        <f>IF(AND(J256="OK",ISNUMBER($B$5),$B$5&gt;0,ISNUMBER($B$3),$B$3&gt;0),F256/(6*$B$3*1000000*$B$5)*(IF(B256&lt;($B$4*7/10),($B$4*7/10)*(MIN(C256,($B$4*7/10))^3-B256^3)-(MIN(C256,($B$4*7/10))^4-B256^4)/4,0)+IF(C256&gt;($B$4*7/10),($B$4*7/10)^2*(1.5*(C256^2-MAX(B256,($B$4*7/10))^2)-($B$4*7/10)*(C256-MAX(B256,($B$4*7/10)))),0))*1000,0)</f>
        <v>0</v>
      </c>
      <c r="AI256" s="120">
        <f>IF(AND(J256="OK",ISNUMBER($B$5),$B$5&gt;0,ISNUMBER($B$3),$B$3&gt;0),F256/(6*$B$3*1000000*$B$5)*(IF(B256&lt;($B$4*8/10),($B$4*8/10)*(MIN(C256,($B$4*8/10))^3-B256^3)-(MIN(C256,($B$4*8/10))^4-B256^4)/4,0)+IF(C256&gt;($B$4*8/10),($B$4*8/10)^2*(1.5*(C256^2-MAX(B256,($B$4*8/10))^2)-($B$4*8/10)*(C256-MAX(B256,($B$4*8/10)))),0))*1000,0)</f>
        <v>0</v>
      </c>
      <c r="AJ256" s="120">
        <f>IF(AND(J256="OK",ISNUMBER($B$5),$B$5&gt;0,ISNUMBER($B$3),$B$3&gt;0),F256/(6*$B$3*1000000*$B$5)*(IF(B256&lt;($B$4*9/10),($B$4*9/10)*(MIN(C256,($B$4*9/10))^3-B256^3)-(MIN(C256,($B$4*9/10))^4-B256^4)/4,0)+IF(C256&gt;($B$4*9/10),($B$4*9/10)^2*(1.5*(C256^2-MAX(B256,($B$4*9/10))^2)-($B$4*9/10)*(C256-MAX(B256,($B$4*9/10)))),0))*1000,0)</f>
        <v>0</v>
      </c>
      <c r="AK256" s="120">
        <f>IF(AND(J256="OK",ISNUMBER($B$5),$B$5&gt;0,ISNUMBER($B$3),$B$3&gt;0),F256/(6*$B$3*1000000*$B$5)*(IF(B256&lt;($B$4*10/10),($B$4*10/10)*(MIN(C256,($B$4*10/10))^3-B256^3)-(MIN(C256,($B$4*10/10))^4-B256^4)/4,0)+IF(C256&gt;($B$4*10/10),($B$4*10/10)^2*(1.5*(C256^2-MAX(B256,($B$4*10/10))^2)-($B$4*10/10)*(C256-MAX(B256,($B$4*10/10)))),0))*1000,0)</f>
        <v>0</v>
      </c>
      <c r="AM256" s="120">
        <f>IF(AND(V256="OK",ISNUMBER($N$5),$N$5&gt;0,ISNUMBER($N$3),$N$3&gt;0),R256/(6*$N$3*1000000*$N$5)*(IF(N256&lt;($N$4*0/10),($N$4*0/10)*(MIN(O256,($N$4*0/10))^3-N256^3)-(MIN(O256,($N$4*0/10))^4-N256^4)/4,0)+IF(O256&gt;($N$4*0/10),($N$4*0/10)^2*(1.5*(O256^2-MAX(N256,($N$4*0/10))^2)-($N$4*0/10)*(O256-MAX(N256,($N$4*0/10)))),0))*1000,0)</f>
        <v>0</v>
      </c>
      <c r="AN256" s="120">
        <f>IF(AND(V256="OK",ISNUMBER($N$5),$N$5&gt;0,ISNUMBER($N$3),$N$3&gt;0),R256/(6*$N$3*1000000*$N$5)*(IF(N256&lt;($N$4*1/10),($N$4*1/10)*(MIN(O256,($N$4*1/10))^3-N256^3)-(MIN(O256,($N$4*1/10))^4-N256^4)/4,0)+IF(O256&gt;($N$4*1/10),($N$4*1/10)^2*(1.5*(O256^2-MAX(N256,($N$4*1/10))^2)-($N$4*1/10)*(O256-MAX(N256,($N$4*1/10)))),0))*1000,0)</f>
        <v>0</v>
      </c>
      <c r="AO256" s="120">
        <f>IF(AND(V256="OK",ISNUMBER($N$5),$N$5&gt;0,ISNUMBER($N$3),$N$3&gt;0),R256/(6*$N$3*1000000*$N$5)*(IF(N256&lt;($N$4*2/10),($N$4*2/10)*(MIN(O256,($N$4*2/10))^3-N256^3)-(MIN(O256,($N$4*2/10))^4-N256^4)/4,0)+IF(O256&gt;($N$4*2/10),($N$4*2/10)^2*(1.5*(O256^2-MAX(N256,($N$4*2/10))^2)-($N$4*2/10)*(O256-MAX(N256,($N$4*2/10)))),0))*1000,0)</f>
        <v>0</v>
      </c>
      <c r="AP256" s="120">
        <f>IF(AND(V256="OK",ISNUMBER($N$5),$N$5&gt;0,ISNUMBER($N$3),$N$3&gt;0),R256/(6*$N$3*1000000*$N$5)*(IF(N256&lt;($N$4*3/10),($N$4*3/10)*(MIN(O256,($N$4*3/10))^3-N256^3)-(MIN(O256,($N$4*3/10))^4-N256^4)/4,0)+IF(O256&gt;($N$4*3/10),($N$4*3/10)^2*(1.5*(O256^2-MAX(N256,($N$4*3/10))^2)-($N$4*3/10)*(O256-MAX(N256,($N$4*3/10)))),0))*1000,0)</f>
        <v>0</v>
      </c>
      <c r="AQ256" s="120">
        <f>IF(AND(V256="OK",ISNUMBER($N$5),$N$5&gt;0,ISNUMBER($N$3),$N$3&gt;0),R256/(6*$N$3*1000000*$N$5)*(IF(N256&lt;($N$4*4/10),($N$4*4/10)*(MIN(O256,($N$4*4/10))^3-N256^3)-(MIN(O256,($N$4*4/10))^4-N256^4)/4,0)+IF(O256&gt;($N$4*4/10),($N$4*4/10)^2*(1.5*(O256^2-MAX(N256,($N$4*4/10))^2)-($N$4*4/10)*(O256-MAX(N256,($N$4*4/10)))),0))*1000,0)</f>
        <v>0</v>
      </c>
      <c r="AR256" s="120">
        <f>IF(AND(V256="OK",ISNUMBER($N$5),$N$5&gt;0,ISNUMBER($N$3),$N$3&gt;0),R256/(6*$N$3*1000000*$N$5)*(IF(N256&lt;($N$4*5/10),($N$4*5/10)*(MIN(O256,($N$4*5/10))^3-N256^3)-(MIN(O256,($N$4*5/10))^4-N256^4)/4,0)+IF(O256&gt;($N$4*5/10),($N$4*5/10)^2*(1.5*(O256^2-MAX(N256,($N$4*5/10))^2)-($N$4*5/10)*(O256-MAX(N256,($N$4*5/10)))),0))*1000,0)</f>
        <v>0</v>
      </c>
      <c r="AS256" s="120">
        <f>IF(AND(V256="OK",ISNUMBER($N$5),$N$5&gt;0,ISNUMBER($N$3),$N$3&gt;0),R256/(6*$N$3*1000000*$N$5)*(IF(N256&lt;($N$4*6/10),($N$4*6/10)*(MIN(O256,($N$4*6/10))^3-N256^3)-(MIN(O256,($N$4*6/10))^4-N256^4)/4,0)+IF(O256&gt;($N$4*6/10),($N$4*6/10)^2*(1.5*(O256^2-MAX(N256,($N$4*6/10))^2)-($N$4*6/10)*(O256-MAX(N256,($N$4*6/10)))),0))*1000,0)</f>
        <v>0</v>
      </c>
      <c r="AT256" s="120">
        <f>IF(AND(V256="OK",ISNUMBER($N$5),$N$5&gt;0,ISNUMBER($N$3),$N$3&gt;0),R256/(6*$N$3*1000000*$N$5)*(IF(N256&lt;($N$4*7/10),($N$4*7/10)*(MIN(O256,($N$4*7/10))^3-N256^3)-(MIN(O256,($N$4*7/10))^4-N256^4)/4,0)+IF(O256&gt;($N$4*7/10),($N$4*7/10)^2*(1.5*(O256^2-MAX(N256,($N$4*7/10))^2)-($N$4*7/10)*(O256-MAX(N256,($N$4*7/10)))),0))*1000,0)</f>
        <v>0</v>
      </c>
      <c r="AU256" s="120">
        <f>IF(AND(V256="OK",ISNUMBER($N$5),$N$5&gt;0,ISNUMBER($N$3),$N$3&gt;0),R256/(6*$N$3*1000000*$N$5)*(IF(N256&lt;($N$4*8/10),($N$4*8/10)*(MIN(O256,($N$4*8/10))^3-N256^3)-(MIN(O256,($N$4*8/10))^4-N256^4)/4,0)+IF(O256&gt;($N$4*8/10),($N$4*8/10)^2*(1.5*(O256^2-MAX(N256,($N$4*8/10))^2)-($N$4*8/10)*(O256-MAX(N256,($N$4*8/10)))),0))*1000,0)</f>
        <v>0</v>
      </c>
      <c r="AV256" s="120">
        <f>IF(AND(V256="OK",ISNUMBER($N$5),$N$5&gt;0,ISNUMBER($N$3),$N$3&gt;0),R256/(6*$N$3*1000000*$N$5)*(IF(N256&lt;($N$4*9/10),($N$4*9/10)*(MIN(O256,($N$4*9/10))^3-N256^3)-(MIN(O256,($N$4*9/10))^4-N256^4)/4,0)+IF(O256&gt;($N$4*9/10),($N$4*9/10)^2*(1.5*(O256^2-MAX(N256,($N$4*9/10))^2)-($N$4*9/10)*(O256-MAX(N256,($N$4*9/10)))),0))*1000,0)</f>
        <v>0</v>
      </c>
      <c r="AW256" s="120">
        <f>IF(AND(V256="OK",ISNUMBER($N$5),$N$5&gt;0,ISNUMBER($N$3),$N$3&gt;0),R256/(6*$N$3*1000000*$N$5)*(IF(N256&lt;($N$4*10/10),($N$4*10/10)*(MIN(O256,($N$4*10/10))^3-N256^3)-(MIN(O256,($N$4*10/10))^4-N256^4)/4,0)+IF(O256&gt;($N$4*10/10),($N$4*10/10)^2*(1.5*(O256^2-MAX(N256,($N$4*10/10))^2)-($N$4*10/10)*(O256-MAX(N256,($N$4*10/10)))),0))*1000,0)</f>
        <v>0</v>
      </c>
    </row>
    <row r="257" spans="1:49">
      <c r="A257" s="124"/>
      <c r="B257" s="125"/>
      <c r="C257" s="125"/>
      <c r="D257" s="125"/>
      <c r="E257" s="125"/>
      <c r="F257" s="126" t="str">
        <f>IF(J257="OK",D257*E257,"")</f>
        <v/>
      </c>
      <c r="G257" s="126" t="str">
        <f>IF(J257="OK",F257*(C257-B257),"")</f>
        <v/>
      </c>
      <c r="H257" s="126" t="str">
        <f>IF(J257="OK",G257*(C257+B257)/2,"")</f>
        <v/>
      </c>
      <c r="I257" s="126" t="str">
        <f>IF(AND(J257="OK",ISNUMBER($B$5),$B$5&gt;0,ISNUMBER($B$3),$B$3&gt;0),F257*(4*$B$4*(C257^3-B257^3)-(C257^4-B257^4))/(24*$B$3*1000000*$B$5)*1000,"")</f>
        <v/>
      </c>
      <c r="J257" s="120" t="str">
        <f>IF(COUNTA(A257:E257)=0,"",IF(AND(COUNT(B257:E257)=4,B257&gt;=0,C257&gt;B257,C257&lt;=$B$4,D257&gt;=0,E257&gt;0),IF(COUNTIFS($B$13:$B$256,"&lt;"&amp;C257,$C$13:$C$256,"&gt;"&amp;B257)&gt;0,"OVERLAP","OK"),"CHECK INPUTS"))</f>
        <v/>
      </c>
      <c r="M257" s="124"/>
      <c r="N257" s="125"/>
      <c r="O257" s="125"/>
      <c r="P257" s="125"/>
      <c r="Q257" s="125"/>
      <c r="R257" s="126" t="str">
        <f>IF(V257="OK",P257*Q257,"")</f>
        <v/>
      </c>
      <c r="S257" s="126" t="str">
        <f>IF(V257="OK",R257*(O257-N257),"")</f>
        <v/>
      </c>
      <c r="T257" s="126" t="str">
        <f>IF(V257="OK",S257*(O257+N257)/2,"")</f>
        <v/>
      </c>
      <c r="U257" s="126" t="str">
        <f>IF(AND(V257="OK",ISNUMBER($N$5),$N$5&gt;0,ISNUMBER($N$3),$N$3&gt;0),R257*(4*$N$4*(O257^3-N257^3)-(O257^4-N257^4))/(24*$N$3*1000000*$N$5)*1000,"")</f>
        <v/>
      </c>
      <c r="V257" s="120" t="str">
        <f>IF(COUNTA(M257:Q257)=0,"",IF(AND(COUNT(N257:Q257)=4,N257&gt;=0,O257&gt;N257,O257&lt;=$N$4,P257&gt;=0,Q257&gt;0),IF(COUNTIFS($N$13:$N$256,"&lt;"&amp;O257,$O$13:$O$256,"&gt;"&amp;N257)&gt;0,"OVERLAP","OK"),"CHECK INPUTS"))</f>
        <v/>
      </c>
      <c r="AA257" s="120">
        <f>IF(AND(J257="OK",ISNUMBER($B$5),$B$5&gt;0,ISNUMBER($B$3),$B$3&gt;0),F257/(6*$B$3*1000000*$B$5)*(IF(B257&lt;($B$4*0/10),($B$4*0/10)*(MIN(C257,($B$4*0/10))^3-B257^3)-(MIN(C257,($B$4*0/10))^4-B257^4)/4,0)+IF(C257&gt;($B$4*0/10),($B$4*0/10)^2*(1.5*(C257^2-MAX(B257,($B$4*0/10))^2)-($B$4*0/10)*(C257-MAX(B257,($B$4*0/10)))),0))*1000,0)</f>
        <v>0</v>
      </c>
      <c r="AB257" s="120">
        <f>IF(AND(J257="OK",ISNUMBER($B$5),$B$5&gt;0,ISNUMBER($B$3),$B$3&gt;0),F257/(6*$B$3*1000000*$B$5)*(IF(B257&lt;($B$4*1/10),($B$4*1/10)*(MIN(C257,($B$4*1/10))^3-B257^3)-(MIN(C257,($B$4*1/10))^4-B257^4)/4,0)+IF(C257&gt;($B$4*1/10),($B$4*1/10)^2*(1.5*(C257^2-MAX(B257,($B$4*1/10))^2)-($B$4*1/10)*(C257-MAX(B257,($B$4*1/10)))),0))*1000,0)</f>
        <v>0</v>
      </c>
      <c r="AC257" s="120">
        <f>IF(AND(J257="OK",ISNUMBER($B$5),$B$5&gt;0,ISNUMBER($B$3),$B$3&gt;0),F257/(6*$B$3*1000000*$B$5)*(IF(B257&lt;($B$4*2/10),($B$4*2/10)*(MIN(C257,($B$4*2/10))^3-B257^3)-(MIN(C257,($B$4*2/10))^4-B257^4)/4,0)+IF(C257&gt;($B$4*2/10),($B$4*2/10)^2*(1.5*(C257^2-MAX(B257,($B$4*2/10))^2)-($B$4*2/10)*(C257-MAX(B257,($B$4*2/10)))),0))*1000,0)</f>
        <v>0</v>
      </c>
      <c r="AD257" s="120">
        <f>IF(AND(J257="OK",ISNUMBER($B$5),$B$5&gt;0,ISNUMBER($B$3),$B$3&gt;0),F257/(6*$B$3*1000000*$B$5)*(IF(B257&lt;($B$4*3/10),($B$4*3/10)*(MIN(C257,($B$4*3/10))^3-B257^3)-(MIN(C257,($B$4*3/10))^4-B257^4)/4,0)+IF(C257&gt;($B$4*3/10),($B$4*3/10)^2*(1.5*(C257^2-MAX(B257,($B$4*3/10))^2)-($B$4*3/10)*(C257-MAX(B257,($B$4*3/10)))),0))*1000,0)</f>
        <v>0</v>
      </c>
      <c r="AE257" s="120">
        <f>IF(AND(J257="OK",ISNUMBER($B$5),$B$5&gt;0,ISNUMBER($B$3),$B$3&gt;0),F257/(6*$B$3*1000000*$B$5)*(IF(B257&lt;($B$4*4/10),($B$4*4/10)*(MIN(C257,($B$4*4/10))^3-B257^3)-(MIN(C257,($B$4*4/10))^4-B257^4)/4,0)+IF(C257&gt;($B$4*4/10),($B$4*4/10)^2*(1.5*(C257^2-MAX(B257,($B$4*4/10))^2)-($B$4*4/10)*(C257-MAX(B257,($B$4*4/10)))),0))*1000,0)</f>
        <v>0</v>
      </c>
      <c r="AF257" s="120">
        <f>IF(AND(J257="OK",ISNUMBER($B$5),$B$5&gt;0,ISNUMBER($B$3),$B$3&gt;0),F257/(6*$B$3*1000000*$B$5)*(IF(B257&lt;($B$4*5/10),($B$4*5/10)*(MIN(C257,($B$4*5/10))^3-B257^3)-(MIN(C257,($B$4*5/10))^4-B257^4)/4,0)+IF(C257&gt;($B$4*5/10),($B$4*5/10)^2*(1.5*(C257^2-MAX(B257,($B$4*5/10))^2)-($B$4*5/10)*(C257-MAX(B257,($B$4*5/10)))),0))*1000,0)</f>
        <v>0</v>
      </c>
      <c r="AG257" s="120">
        <f>IF(AND(J257="OK",ISNUMBER($B$5),$B$5&gt;0,ISNUMBER($B$3),$B$3&gt;0),F257/(6*$B$3*1000000*$B$5)*(IF(B257&lt;($B$4*6/10),($B$4*6/10)*(MIN(C257,($B$4*6/10))^3-B257^3)-(MIN(C257,($B$4*6/10))^4-B257^4)/4,0)+IF(C257&gt;($B$4*6/10),($B$4*6/10)^2*(1.5*(C257^2-MAX(B257,($B$4*6/10))^2)-($B$4*6/10)*(C257-MAX(B257,($B$4*6/10)))),0))*1000,0)</f>
        <v>0</v>
      </c>
      <c r="AH257" s="120">
        <f>IF(AND(J257="OK",ISNUMBER($B$5),$B$5&gt;0,ISNUMBER($B$3),$B$3&gt;0),F257/(6*$B$3*1000000*$B$5)*(IF(B257&lt;($B$4*7/10),($B$4*7/10)*(MIN(C257,($B$4*7/10))^3-B257^3)-(MIN(C257,($B$4*7/10))^4-B257^4)/4,0)+IF(C257&gt;($B$4*7/10),($B$4*7/10)^2*(1.5*(C257^2-MAX(B257,($B$4*7/10))^2)-($B$4*7/10)*(C257-MAX(B257,($B$4*7/10)))),0))*1000,0)</f>
        <v>0</v>
      </c>
      <c r="AI257" s="120">
        <f>IF(AND(J257="OK",ISNUMBER($B$5),$B$5&gt;0,ISNUMBER($B$3),$B$3&gt;0),F257/(6*$B$3*1000000*$B$5)*(IF(B257&lt;($B$4*8/10),($B$4*8/10)*(MIN(C257,($B$4*8/10))^3-B257^3)-(MIN(C257,($B$4*8/10))^4-B257^4)/4,0)+IF(C257&gt;($B$4*8/10),($B$4*8/10)^2*(1.5*(C257^2-MAX(B257,($B$4*8/10))^2)-($B$4*8/10)*(C257-MAX(B257,($B$4*8/10)))),0))*1000,0)</f>
        <v>0</v>
      </c>
      <c r="AJ257" s="120">
        <f>IF(AND(J257="OK",ISNUMBER($B$5),$B$5&gt;0,ISNUMBER($B$3),$B$3&gt;0),F257/(6*$B$3*1000000*$B$5)*(IF(B257&lt;($B$4*9/10),($B$4*9/10)*(MIN(C257,($B$4*9/10))^3-B257^3)-(MIN(C257,($B$4*9/10))^4-B257^4)/4,0)+IF(C257&gt;($B$4*9/10),($B$4*9/10)^2*(1.5*(C257^2-MAX(B257,($B$4*9/10))^2)-($B$4*9/10)*(C257-MAX(B257,($B$4*9/10)))),0))*1000,0)</f>
        <v>0</v>
      </c>
      <c r="AK257" s="120">
        <f>IF(AND(J257="OK",ISNUMBER($B$5),$B$5&gt;0,ISNUMBER($B$3),$B$3&gt;0),F257/(6*$B$3*1000000*$B$5)*(IF(B257&lt;($B$4*10/10),($B$4*10/10)*(MIN(C257,($B$4*10/10))^3-B257^3)-(MIN(C257,($B$4*10/10))^4-B257^4)/4,0)+IF(C257&gt;($B$4*10/10),($B$4*10/10)^2*(1.5*(C257^2-MAX(B257,($B$4*10/10))^2)-($B$4*10/10)*(C257-MAX(B257,($B$4*10/10)))),0))*1000,0)</f>
        <v>0</v>
      </c>
      <c r="AM257" s="120">
        <f>IF(AND(V257="OK",ISNUMBER($N$5),$N$5&gt;0,ISNUMBER($N$3),$N$3&gt;0),R257/(6*$N$3*1000000*$N$5)*(IF(N257&lt;($N$4*0/10),($N$4*0/10)*(MIN(O257,($N$4*0/10))^3-N257^3)-(MIN(O257,($N$4*0/10))^4-N257^4)/4,0)+IF(O257&gt;($N$4*0/10),($N$4*0/10)^2*(1.5*(O257^2-MAX(N257,($N$4*0/10))^2)-($N$4*0/10)*(O257-MAX(N257,($N$4*0/10)))),0))*1000,0)</f>
        <v>0</v>
      </c>
      <c r="AN257" s="120">
        <f>IF(AND(V257="OK",ISNUMBER($N$5),$N$5&gt;0,ISNUMBER($N$3),$N$3&gt;0),R257/(6*$N$3*1000000*$N$5)*(IF(N257&lt;($N$4*1/10),($N$4*1/10)*(MIN(O257,($N$4*1/10))^3-N257^3)-(MIN(O257,($N$4*1/10))^4-N257^4)/4,0)+IF(O257&gt;($N$4*1/10),($N$4*1/10)^2*(1.5*(O257^2-MAX(N257,($N$4*1/10))^2)-($N$4*1/10)*(O257-MAX(N257,($N$4*1/10)))),0))*1000,0)</f>
        <v>0</v>
      </c>
      <c r="AO257" s="120">
        <f>IF(AND(V257="OK",ISNUMBER($N$5),$N$5&gt;0,ISNUMBER($N$3),$N$3&gt;0),R257/(6*$N$3*1000000*$N$5)*(IF(N257&lt;($N$4*2/10),($N$4*2/10)*(MIN(O257,($N$4*2/10))^3-N257^3)-(MIN(O257,($N$4*2/10))^4-N257^4)/4,0)+IF(O257&gt;($N$4*2/10),($N$4*2/10)^2*(1.5*(O257^2-MAX(N257,($N$4*2/10))^2)-($N$4*2/10)*(O257-MAX(N257,($N$4*2/10)))),0))*1000,0)</f>
        <v>0</v>
      </c>
      <c r="AP257" s="120">
        <f>IF(AND(V257="OK",ISNUMBER($N$5),$N$5&gt;0,ISNUMBER($N$3),$N$3&gt;0),R257/(6*$N$3*1000000*$N$5)*(IF(N257&lt;($N$4*3/10),($N$4*3/10)*(MIN(O257,($N$4*3/10))^3-N257^3)-(MIN(O257,($N$4*3/10))^4-N257^4)/4,0)+IF(O257&gt;($N$4*3/10),($N$4*3/10)^2*(1.5*(O257^2-MAX(N257,($N$4*3/10))^2)-($N$4*3/10)*(O257-MAX(N257,($N$4*3/10)))),0))*1000,0)</f>
        <v>0</v>
      </c>
      <c r="AQ257" s="120">
        <f>IF(AND(V257="OK",ISNUMBER($N$5),$N$5&gt;0,ISNUMBER($N$3),$N$3&gt;0),R257/(6*$N$3*1000000*$N$5)*(IF(N257&lt;($N$4*4/10),($N$4*4/10)*(MIN(O257,($N$4*4/10))^3-N257^3)-(MIN(O257,($N$4*4/10))^4-N257^4)/4,0)+IF(O257&gt;($N$4*4/10),($N$4*4/10)^2*(1.5*(O257^2-MAX(N257,($N$4*4/10))^2)-($N$4*4/10)*(O257-MAX(N257,($N$4*4/10)))),0))*1000,0)</f>
        <v>0</v>
      </c>
      <c r="AR257" s="120">
        <f>IF(AND(V257="OK",ISNUMBER($N$5),$N$5&gt;0,ISNUMBER($N$3),$N$3&gt;0),R257/(6*$N$3*1000000*$N$5)*(IF(N257&lt;($N$4*5/10),($N$4*5/10)*(MIN(O257,($N$4*5/10))^3-N257^3)-(MIN(O257,($N$4*5/10))^4-N257^4)/4,0)+IF(O257&gt;($N$4*5/10),($N$4*5/10)^2*(1.5*(O257^2-MAX(N257,($N$4*5/10))^2)-($N$4*5/10)*(O257-MAX(N257,($N$4*5/10)))),0))*1000,0)</f>
        <v>0</v>
      </c>
      <c r="AS257" s="120">
        <f>IF(AND(V257="OK",ISNUMBER($N$5),$N$5&gt;0,ISNUMBER($N$3),$N$3&gt;0),R257/(6*$N$3*1000000*$N$5)*(IF(N257&lt;($N$4*6/10),($N$4*6/10)*(MIN(O257,($N$4*6/10))^3-N257^3)-(MIN(O257,($N$4*6/10))^4-N257^4)/4,0)+IF(O257&gt;($N$4*6/10),($N$4*6/10)^2*(1.5*(O257^2-MAX(N257,($N$4*6/10))^2)-($N$4*6/10)*(O257-MAX(N257,($N$4*6/10)))),0))*1000,0)</f>
        <v>0</v>
      </c>
      <c r="AT257" s="120">
        <f>IF(AND(V257="OK",ISNUMBER($N$5),$N$5&gt;0,ISNUMBER($N$3),$N$3&gt;0),R257/(6*$N$3*1000000*$N$5)*(IF(N257&lt;($N$4*7/10),($N$4*7/10)*(MIN(O257,($N$4*7/10))^3-N257^3)-(MIN(O257,($N$4*7/10))^4-N257^4)/4,0)+IF(O257&gt;($N$4*7/10),($N$4*7/10)^2*(1.5*(O257^2-MAX(N257,($N$4*7/10))^2)-($N$4*7/10)*(O257-MAX(N257,($N$4*7/10)))),0))*1000,0)</f>
        <v>0</v>
      </c>
      <c r="AU257" s="120">
        <f>IF(AND(V257="OK",ISNUMBER($N$5),$N$5&gt;0,ISNUMBER($N$3),$N$3&gt;0),R257/(6*$N$3*1000000*$N$5)*(IF(N257&lt;($N$4*8/10),($N$4*8/10)*(MIN(O257,($N$4*8/10))^3-N257^3)-(MIN(O257,($N$4*8/10))^4-N257^4)/4,0)+IF(O257&gt;($N$4*8/10),($N$4*8/10)^2*(1.5*(O257^2-MAX(N257,($N$4*8/10))^2)-($N$4*8/10)*(O257-MAX(N257,($N$4*8/10)))),0))*1000,0)</f>
        <v>0</v>
      </c>
      <c r="AV257" s="120">
        <f>IF(AND(V257="OK",ISNUMBER($N$5),$N$5&gt;0,ISNUMBER($N$3),$N$3&gt;0),R257/(6*$N$3*1000000*$N$5)*(IF(N257&lt;($N$4*9/10),($N$4*9/10)*(MIN(O257,($N$4*9/10))^3-N257^3)-(MIN(O257,($N$4*9/10))^4-N257^4)/4,0)+IF(O257&gt;($N$4*9/10),($N$4*9/10)^2*(1.5*(O257^2-MAX(N257,($N$4*9/10))^2)-($N$4*9/10)*(O257-MAX(N257,($N$4*9/10)))),0))*1000,0)</f>
        <v>0</v>
      </c>
      <c r="AW257" s="120">
        <f>IF(AND(V257="OK",ISNUMBER($N$5),$N$5&gt;0,ISNUMBER($N$3),$N$3&gt;0),R257/(6*$N$3*1000000*$N$5)*(IF(N257&lt;($N$4*10/10),($N$4*10/10)*(MIN(O257,($N$4*10/10))^3-N257^3)-(MIN(O257,($N$4*10/10))^4-N257^4)/4,0)+IF(O257&gt;($N$4*10/10),($N$4*10/10)^2*(1.5*(O257^2-MAX(N257,($N$4*10/10))^2)-($N$4*10/10)*(O257-MAX(N257,($N$4*10/10)))),0))*1000,0)</f>
        <v>0</v>
      </c>
    </row>
    <row r="258" spans="1:49">
      <c r="A258" s="124"/>
      <c r="B258" s="125"/>
      <c r="C258" s="125"/>
      <c r="D258" s="125"/>
      <c r="E258" s="125"/>
      <c r="F258" s="126" t="str">
        <f>IF(J258="OK",D258*E258,"")</f>
        <v/>
      </c>
      <c r="G258" s="126" t="str">
        <f>IF(J258="OK",F258*(C258-B258),"")</f>
        <v/>
      </c>
      <c r="H258" s="126" t="str">
        <f>IF(J258="OK",G258*(C258+B258)/2,"")</f>
        <v/>
      </c>
      <c r="I258" s="126" t="str">
        <f>IF(AND(J258="OK",ISNUMBER($B$5),$B$5&gt;0,ISNUMBER($B$3),$B$3&gt;0),F258*(4*$B$4*(C258^3-B258^3)-(C258^4-B258^4))/(24*$B$3*1000000*$B$5)*1000,"")</f>
        <v/>
      </c>
      <c r="J258" s="120" t="str">
        <f>IF(COUNTA(A258:E258)=0,"",IF(AND(COUNT(B258:E258)=4,B258&gt;=0,C258&gt;B258,C258&lt;=$B$4,D258&gt;=0,E258&gt;0),IF(COUNTIFS($B$13:$B$257,"&lt;"&amp;C258,$C$13:$C$257,"&gt;"&amp;B258)&gt;0,"OVERLAP","OK"),"CHECK INPUTS"))</f>
        <v/>
      </c>
      <c r="M258" s="124"/>
      <c r="N258" s="125"/>
      <c r="O258" s="125"/>
      <c r="P258" s="125"/>
      <c r="Q258" s="125"/>
      <c r="R258" s="126" t="str">
        <f>IF(V258="OK",P258*Q258,"")</f>
        <v/>
      </c>
      <c r="S258" s="126" t="str">
        <f>IF(V258="OK",R258*(O258-N258),"")</f>
        <v/>
      </c>
      <c r="T258" s="126" t="str">
        <f>IF(V258="OK",S258*(O258+N258)/2,"")</f>
        <v/>
      </c>
      <c r="U258" s="126" t="str">
        <f>IF(AND(V258="OK",ISNUMBER($N$5),$N$5&gt;0,ISNUMBER($N$3),$N$3&gt;0),R258*(4*$N$4*(O258^3-N258^3)-(O258^4-N258^4))/(24*$N$3*1000000*$N$5)*1000,"")</f>
        <v/>
      </c>
      <c r="V258" s="120" t="str">
        <f>IF(COUNTA(M258:Q258)=0,"",IF(AND(COUNT(N258:Q258)=4,N258&gt;=0,O258&gt;N258,O258&lt;=$N$4,P258&gt;=0,Q258&gt;0),IF(COUNTIFS($N$13:$N$257,"&lt;"&amp;O258,$O$13:$O$257,"&gt;"&amp;N258)&gt;0,"OVERLAP","OK"),"CHECK INPUTS"))</f>
        <v/>
      </c>
      <c r="AA258" s="120">
        <f>IF(AND(J258="OK",ISNUMBER($B$5),$B$5&gt;0,ISNUMBER($B$3),$B$3&gt;0),F258/(6*$B$3*1000000*$B$5)*(IF(B258&lt;($B$4*0/10),($B$4*0/10)*(MIN(C258,($B$4*0/10))^3-B258^3)-(MIN(C258,($B$4*0/10))^4-B258^4)/4,0)+IF(C258&gt;($B$4*0/10),($B$4*0/10)^2*(1.5*(C258^2-MAX(B258,($B$4*0/10))^2)-($B$4*0/10)*(C258-MAX(B258,($B$4*0/10)))),0))*1000,0)</f>
        <v>0</v>
      </c>
      <c r="AB258" s="120">
        <f>IF(AND(J258="OK",ISNUMBER($B$5),$B$5&gt;0,ISNUMBER($B$3),$B$3&gt;0),F258/(6*$B$3*1000000*$B$5)*(IF(B258&lt;($B$4*1/10),($B$4*1/10)*(MIN(C258,($B$4*1/10))^3-B258^3)-(MIN(C258,($B$4*1/10))^4-B258^4)/4,0)+IF(C258&gt;($B$4*1/10),($B$4*1/10)^2*(1.5*(C258^2-MAX(B258,($B$4*1/10))^2)-($B$4*1/10)*(C258-MAX(B258,($B$4*1/10)))),0))*1000,0)</f>
        <v>0</v>
      </c>
      <c r="AC258" s="120">
        <f>IF(AND(J258="OK",ISNUMBER($B$5),$B$5&gt;0,ISNUMBER($B$3),$B$3&gt;0),F258/(6*$B$3*1000000*$B$5)*(IF(B258&lt;($B$4*2/10),($B$4*2/10)*(MIN(C258,($B$4*2/10))^3-B258^3)-(MIN(C258,($B$4*2/10))^4-B258^4)/4,0)+IF(C258&gt;($B$4*2/10),($B$4*2/10)^2*(1.5*(C258^2-MAX(B258,($B$4*2/10))^2)-($B$4*2/10)*(C258-MAX(B258,($B$4*2/10)))),0))*1000,0)</f>
        <v>0</v>
      </c>
      <c r="AD258" s="120">
        <f>IF(AND(J258="OK",ISNUMBER($B$5),$B$5&gt;0,ISNUMBER($B$3),$B$3&gt;0),F258/(6*$B$3*1000000*$B$5)*(IF(B258&lt;($B$4*3/10),($B$4*3/10)*(MIN(C258,($B$4*3/10))^3-B258^3)-(MIN(C258,($B$4*3/10))^4-B258^4)/4,0)+IF(C258&gt;($B$4*3/10),($B$4*3/10)^2*(1.5*(C258^2-MAX(B258,($B$4*3/10))^2)-($B$4*3/10)*(C258-MAX(B258,($B$4*3/10)))),0))*1000,0)</f>
        <v>0</v>
      </c>
      <c r="AE258" s="120">
        <f>IF(AND(J258="OK",ISNUMBER($B$5),$B$5&gt;0,ISNUMBER($B$3),$B$3&gt;0),F258/(6*$B$3*1000000*$B$5)*(IF(B258&lt;($B$4*4/10),($B$4*4/10)*(MIN(C258,($B$4*4/10))^3-B258^3)-(MIN(C258,($B$4*4/10))^4-B258^4)/4,0)+IF(C258&gt;($B$4*4/10),($B$4*4/10)^2*(1.5*(C258^2-MAX(B258,($B$4*4/10))^2)-($B$4*4/10)*(C258-MAX(B258,($B$4*4/10)))),0))*1000,0)</f>
        <v>0</v>
      </c>
      <c r="AF258" s="120">
        <f>IF(AND(J258="OK",ISNUMBER($B$5),$B$5&gt;0,ISNUMBER($B$3),$B$3&gt;0),F258/(6*$B$3*1000000*$B$5)*(IF(B258&lt;($B$4*5/10),($B$4*5/10)*(MIN(C258,($B$4*5/10))^3-B258^3)-(MIN(C258,($B$4*5/10))^4-B258^4)/4,0)+IF(C258&gt;($B$4*5/10),($B$4*5/10)^2*(1.5*(C258^2-MAX(B258,($B$4*5/10))^2)-($B$4*5/10)*(C258-MAX(B258,($B$4*5/10)))),0))*1000,0)</f>
        <v>0</v>
      </c>
      <c r="AG258" s="120">
        <f>IF(AND(J258="OK",ISNUMBER($B$5),$B$5&gt;0,ISNUMBER($B$3),$B$3&gt;0),F258/(6*$B$3*1000000*$B$5)*(IF(B258&lt;($B$4*6/10),($B$4*6/10)*(MIN(C258,($B$4*6/10))^3-B258^3)-(MIN(C258,($B$4*6/10))^4-B258^4)/4,0)+IF(C258&gt;($B$4*6/10),($B$4*6/10)^2*(1.5*(C258^2-MAX(B258,($B$4*6/10))^2)-($B$4*6/10)*(C258-MAX(B258,($B$4*6/10)))),0))*1000,0)</f>
        <v>0</v>
      </c>
      <c r="AH258" s="120">
        <f>IF(AND(J258="OK",ISNUMBER($B$5),$B$5&gt;0,ISNUMBER($B$3),$B$3&gt;0),F258/(6*$B$3*1000000*$B$5)*(IF(B258&lt;($B$4*7/10),($B$4*7/10)*(MIN(C258,($B$4*7/10))^3-B258^3)-(MIN(C258,($B$4*7/10))^4-B258^4)/4,0)+IF(C258&gt;($B$4*7/10),($B$4*7/10)^2*(1.5*(C258^2-MAX(B258,($B$4*7/10))^2)-($B$4*7/10)*(C258-MAX(B258,($B$4*7/10)))),0))*1000,0)</f>
        <v>0</v>
      </c>
      <c r="AI258" s="120">
        <f>IF(AND(J258="OK",ISNUMBER($B$5),$B$5&gt;0,ISNUMBER($B$3),$B$3&gt;0),F258/(6*$B$3*1000000*$B$5)*(IF(B258&lt;($B$4*8/10),($B$4*8/10)*(MIN(C258,($B$4*8/10))^3-B258^3)-(MIN(C258,($B$4*8/10))^4-B258^4)/4,0)+IF(C258&gt;($B$4*8/10),($B$4*8/10)^2*(1.5*(C258^2-MAX(B258,($B$4*8/10))^2)-($B$4*8/10)*(C258-MAX(B258,($B$4*8/10)))),0))*1000,0)</f>
        <v>0</v>
      </c>
      <c r="AJ258" s="120">
        <f>IF(AND(J258="OK",ISNUMBER($B$5),$B$5&gt;0,ISNUMBER($B$3),$B$3&gt;0),F258/(6*$B$3*1000000*$B$5)*(IF(B258&lt;($B$4*9/10),($B$4*9/10)*(MIN(C258,($B$4*9/10))^3-B258^3)-(MIN(C258,($B$4*9/10))^4-B258^4)/4,0)+IF(C258&gt;($B$4*9/10),($B$4*9/10)^2*(1.5*(C258^2-MAX(B258,($B$4*9/10))^2)-($B$4*9/10)*(C258-MAX(B258,($B$4*9/10)))),0))*1000,0)</f>
        <v>0</v>
      </c>
      <c r="AK258" s="120">
        <f>IF(AND(J258="OK",ISNUMBER($B$5),$B$5&gt;0,ISNUMBER($B$3),$B$3&gt;0),F258/(6*$B$3*1000000*$B$5)*(IF(B258&lt;($B$4*10/10),($B$4*10/10)*(MIN(C258,($B$4*10/10))^3-B258^3)-(MIN(C258,($B$4*10/10))^4-B258^4)/4,0)+IF(C258&gt;($B$4*10/10),($B$4*10/10)^2*(1.5*(C258^2-MAX(B258,($B$4*10/10))^2)-($B$4*10/10)*(C258-MAX(B258,($B$4*10/10)))),0))*1000,0)</f>
        <v>0</v>
      </c>
      <c r="AM258" s="120">
        <f>IF(AND(V258="OK",ISNUMBER($N$5),$N$5&gt;0,ISNUMBER($N$3),$N$3&gt;0),R258/(6*$N$3*1000000*$N$5)*(IF(N258&lt;($N$4*0/10),($N$4*0/10)*(MIN(O258,($N$4*0/10))^3-N258^3)-(MIN(O258,($N$4*0/10))^4-N258^4)/4,0)+IF(O258&gt;($N$4*0/10),($N$4*0/10)^2*(1.5*(O258^2-MAX(N258,($N$4*0/10))^2)-($N$4*0/10)*(O258-MAX(N258,($N$4*0/10)))),0))*1000,0)</f>
        <v>0</v>
      </c>
      <c r="AN258" s="120">
        <f>IF(AND(V258="OK",ISNUMBER($N$5),$N$5&gt;0,ISNUMBER($N$3),$N$3&gt;0),R258/(6*$N$3*1000000*$N$5)*(IF(N258&lt;($N$4*1/10),($N$4*1/10)*(MIN(O258,($N$4*1/10))^3-N258^3)-(MIN(O258,($N$4*1/10))^4-N258^4)/4,0)+IF(O258&gt;($N$4*1/10),($N$4*1/10)^2*(1.5*(O258^2-MAX(N258,($N$4*1/10))^2)-($N$4*1/10)*(O258-MAX(N258,($N$4*1/10)))),0))*1000,0)</f>
        <v>0</v>
      </c>
      <c r="AO258" s="120">
        <f>IF(AND(V258="OK",ISNUMBER($N$5),$N$5&gt;0,ISNUMBER($N$3),$N$3&gt;0),R258/(6*$N$3*1000000*$N$5)*(IF(N258&lt;($N$4*2/10),($N$4*2/10)*(MIN(O258,($N$4*2/10))^3-N258^3)-(MIN(O258,($N$4*2/10))^4-N258^4)/4,0)+IF(O258&gt;($N$4*2/10),($N$4*2/10)^2*(1.5*(O258^2-MAX(N258,($N$4*2/10))^2)-($N$4*2/10)*(O258-MAX(N258,($N$4*2/10)))),0))*1000,0)</f>
        <v>0</v>
      </c>
      <c r="AP258" s="120">
        <f>IF(AND(V258="OK",ISNUMBER($N$5),$N$5&gt;0,ISNUMBER($N$3),$N$3&gt;0),R258/(6*$N$3*1000000*$N$5)*(IF(N258&lt;($N$4*3/10),($N$4*3/10)*(MIN(O258,($N$4*3/10))^3-N258^3)-(MIN(O258,($N$4*3/10))^4-N258^4)/4,0)+IF(O258&gt;($N$4*3/10),($N$4*3/10)^2*(1.5*(O258^2-MAX(N258,($N$4*3/10))^2)-($N$4*3/10)*(O258-MAX(N258,($N$4*3/10)))),0))*1000,0)</f>
        <v>0</v>
      </c>
      <c r="AQ258" s="120">
        <f>IF(AND(V258="OK",ISNUMBER($N$5),$N$5&gt;0,ISNUMBER($N$3),$N$3&gt;0),R258/(6*$N$3*1000000*$N$5)*(IF(N258&lt;($N$4*4/10),($N$4*4/10)*(MIN(O258,($N$4*4/10))^3-N258^3)-(MIN(O258,($N$4*4/10))^4-N258^4)/4,0)+IF(O258&gt;($N$4*4/10),($N$4*4/10)^2*(1.5*(O258^2-MAX(N258,($N$4*4/10))^2)-($N$4*4/10)*(O258-MAX(N258,($N$4*4/10)))),0))*1000,0)</f>
        <v>0</v>
      </c>
      <c r="AR258" s="120">
        <f>IF(AND(V258="OK",ISNUMBER($N$5),$N$5&gt;0,ISNUMBER($N$3),$N$3&gt;0),R258/(6*$N$3*1000000*$N$5)*(IF(N258&lt;($N$4*5/10),($N$4*5/10)*(MIN(O258,($N$4*5/10))^3-N258^3)-(MIN(O258,($N$4*5/10))^4-N258^4)/4,0)+IF(O258&gt;($N$4*5/10),($N$4*5/10)^2*(1.5*(O258^2-MAX(N258,($N$4*5/10))^2)-($N$4*5/10)*(O258-MAX(N258,($N$4*5/10)))),0))*1000,0)</f>
        <v>0</v>
      </c>
      <c r="AS258" s="120">
        <f>IF(AND(V258="OK",ISNUMBER($N$5),$N$5&gt;0,ISNUMBER($N$3),$N$3&gt;0),R258/(6*$N$3*1000000*$N$5)*(IF(N258&lt;($N$4*6/10),($N$4*6/10)*(MIN(O258,($N$4*6/10))^3-N258^3)-(MIN(O258,($N$4*6/10))^4-N258^4)/4,0)+IF(O258&gt;($N$4*6/10),($N$4*6/10)^2*(1.5*(O258^2-MAX(N258,($N$4*6/10))^2)-($N$4*6/10)*(O258-MAX(N258,($N$4*6/10)))),0))*1000,0)</f>
        <v>0</v>
      </c>
      <c r="AT258" s="120">
        <f>IF(AND(V258="OK",ISNUMBER($N$5),$N$5&gt;0,ISNUMBER($N$3),$N$3&gt;0),R258/(6*$N$3*1000000*$N$5)*(IF(N258&lt;($N$4*7/10),($N$4*7/10)*(MIN(O258,($N$4*7/10))^3-N258^3)-(MIN(O258,($N$4*7/10))^4-N258^4)/4,0)+IF(O258&gt;($N$4*7/10),($N$4*7/10)^2*(1.5*(O258^2-MAX(N258,($N$4*7/10))^2)-($N$4*7/10)*(O258-MAX(N258,($N$4*7/10)))),0))*1000,0)</f>
        <v>0</v>
      </c>
      <c r="AU258" s="120">
        <f>IF(AND(V258="OK",ISNUMBER($N$5),$N$5&gt;0,ISNUMBER($N$3),$N$3&gt;0),R258/(6*$N$3*1000000*$N$5)*(IF(N258&lt;($N$4*8/10),($N$4*8/10)*(MIN(O258,($N$4*8/10))^3-N258^3)-(MIN(O258,($N$4*8/10))^4-N258^4)/4,0)+IF(O258&gt;($N$4*8/10),($N$4*8/10)^2*(1.5*(O258^2-MAX(N258,($N$4*8/10))^2)-($N$4*8/10)*(O258-MAX(N258,($N$4*8/10)))),0))*1000,0)</f>
        <v>0</v>
      </c>
      <c r="AV258" s="120">
        <f>IF(AND(V258="OK",ISNUMBER($N$5),$N$5&gt;0,ISNUMBER($N$3),$N$3&gt;0),R258/(6*$N$3*1000000*$N$5)*(IF(N258&lt;($N$4*9/10),($N$4*9/10)*(MIN(O258,($N$4*9/10))^3-N258^3)-(MIN(O258,($N$4*9/10))^4-N258^4)/4,0)+IF(O258&gt;($N$4*9/10),($N$4*9/10)^2*(1.5*(O258^2-MAX(N258,($N$4*9/10))^2)-($N$4*9/10)*(O258-MAX(N258,($N$4*9/10)))),0))*1000,0)</f>
        <v>0</v>
      </c>
      <c r="AW258" s="120">
        <f>IF(AND(V258="OK",ISNUMBER($N$5),$N$5&gt;0,ISNUMBER($N$3),$N$3&gt;0),R258/(6*$N$3*1000000*$N$5)*(IF(N258&lt;($N$4*10/10),($N$4*10/10)*(MIN(O258,($N$4*10/10))^3-N258^3)-(MIN(O258,($N$4*10/10))^4-N258^4)/4,0)+IF(O258&gt;($N$4*10/10),($N$4*10/10)^2*(1.5*(O258^2-MAX(N258,($N$4*10/10))^2)-($N$4*10/10)*(O258-MAX(N258,($N$4*10/10)))),0))*1000,0)</f>
        <v>0</v>
      </c>
    </row>
    <row r="259" spans="1:49">
      <c r="A259" s="124"/>
      <c r="B259" s="125"/>
      <c r="C259" s="125"/>
      <c r="D259" s="125"/>
      <c r="E259" s="125"/>
      <c r="F259" s="126" t="str">
        <f>IF(J259="OK",D259*E259,"")</f>
        <v/>
      </c>
      <c r="G259" s="126" t="str">
        <f>IF(J259="OK",F259*(C259-B259),"")</f>
        <v/>
      </c>
      <c r="H259" s="126" t="str">
        <f>IF(J259="OK",G259*(C259+B259)/2,"")</f>
        <v/>
      </c>
      <c r="I259" s="126" t="str">
        <f>IF(AND(J259="OK",ISNUMBER($B$5),$B$5&gt;0,ISNUMBER($B$3),$B$3&gt;0),F259*(4*$B$4*(C259^3-B259^3)-(C259^4-B259^4))/(24*$B$3*1000000*$B$5)*1000,"")</f>
        <v/>
      </c>
      <c r="J259" s="120" t="str">
        <f>IF(COUNTA(A259:E259)=0,"",IF(AND(COUNT(B259:E259)=4,B259&gt;=0,C259&gt;B259,C259&lt;=$B$4,D259&gt;=0,E259&gt;0),IF(COUNTIFS($B$13:$B$258,"&lt;"&amp;C259,$C$13:$C$258,"&gt;"&amp;B259)&gt;0,"OVERLAP","OK"),"CHECK INPUTS"))</f>
        <v/>
      </c>
      <c r="M259" s="124"/>
      <c r="N259" s="125"/>
      <c r="O259" s="125"/>
      <c r="P259" s="125"/>
      <c r="Q259" s="125"/>
      <c r="R259" s="126" t="str">
        <f>IF(V259="OK",P259*Q259,"")</f>
        <v/>
      </c>
      <c r="S259" s="126" t="str">
        <f>IF(V259="OK",R259*(O259-N259),"")</f>
        <v/>
      </c>
      <c r="T259" s="126" t="str">
        <f>IF(V259="OK",S259*(O259+N259)/2,"")</f>
        <v/>
      </c>
      <c r="U259" s="126" t="str">
        <f>IF(AND(V259="OK",ISNUMBER($N$5),$N$5&gt;0,ISNUMBER($N$3),$N$3&gt;0),R259*(4*$N$4*(O259^3-N259^3)-(O259^4-N259^4))/(24*$N$3*1000000*$N$5)*1000,"")</f>
        <v/>
      </c>
      <c r="V259" s="120" t="str">
        <f>IF(COUNTA(M259:Q259)=0,"",IF(AND(COUNT(N259:Q259)=4,N259&gt;=0,O259&gt;N259,O259&lt;=$N$4,P259&gt;=0,Q259&gt;0),IF(COUNTIFS($N$13:$N$258,"&lt;"&amp;O259,$O$13:$O$258,"&gt;"&amp;N259)&gt;0,"OVERLAP","OK"),"CHECK INPUTS"))</f>
        <v/>
      </c>
      <c r="AA259" s="120">
        <f>IF(AND(J259="OK",ISNUMBER($B$5),$B$5&gt;0,ISNUMBER($B$3),$B$3&gt;0),F259/(6*$B$3*1000000*$B$5)*(IF(B259&lt;($B$4*0/10),($B$4*0/10)*(MIN(C259,($B$4*0/10))^3-B259^3)-(MIN(C259,($B$4*0/10))^4-B259^4)/4,0)+IF(C259&gt;($B$4*0/10),($B$4*0/10)^2*(1.5*(C259^2-MAX(B259,($B$4*0/10))^2)-($B$4*0/10)*(C259-MAX(B259,($B$4*0/10)))),0))*1000,0)</f>
        <v>0</v>
      </c>
      <c r="AB259" s="120">
        <f>IF(AND(J259="OK",ISNUMBER($B$5),$B$5&gt;0,ISNUMBER($B$3),$B$3&gt;0),F259/(6*$B$3*1000000*$B$5)*(IF(B259&lt;($B$4*1/10),($B$4*1/10)*(MIN(C259,($B$4*1/10))^3-B259^3)-(MIN(C259,($B$4*1/10))^4-B259^4)/4,0)+IF(C259&gt;($B$4*1/10),($B$4*1/10)^2*(1.5*(C259^2-MAX(B259,($B$4*1/10))^2)-($B$4*1/10)*(C259-MAX(B259,($B$4*1/10)))),0))*1000,0)</f>
        <v>0</v>
      </c>
      <c r="AC259" s="120">
        <f>IF(AND(J259="OK",ISNUMBER($B$5),$B$5&gt;0,ISNUMBER($B$3),$B$3&gt;0),F259/(6*$B$3*1000000*$B$5)*(IF(B259&lt;($B$4*2/10),($B$4*2/10)*(MIN(C259,($B$4*2/10))^3-B259^3)-(MIN(C259,($B$4*2/10))^4-B259^4)/4,0)+IF(C259&gt;($B$4*2/10),($B$4*2/10)^2*(1.5*(C259^2-MAX(B259,($B$4*2/10))^2)-($B$4*2/10)*(C259-MAX(B259,($B$4*2/10)))),0))*1000,0)</f>
        <v>0</v>
      </c>
      <c r="AD259" s="120">
        <f>IF(AND(J259="OK",ISNUMBER($B$5),$B$5&gt;0,ISNUMBER($B$3),$B$3&gt;0),F259/(6*$B$3*1000000*$B$5)*(IF(B259&lt;($B$4*3/10),($B$4*3/10)*(MIN(C259,($B$4*3/10))^3-B259^3)-(MIN(C259,($B$4*3/10))^4-B259^4)/4,0)+IF(C259&gt;($B$4*3/10),($B$4*3/10)^2*(1.5*(C259^2-MAX(B259,($B$4*3/10))^2)-($B$4*3/10)*(C259-MAX(B259,($B$4*3/10)))),0))*1000,0)</f>
        <v>0</v>
      </c>
      <c r="AE259" s="120">
        <f>IF(AND(J259="OK",ISNUMBER($B$5),$B$5&gt;0,ISNUMBER($B$3),$B$3&gt;0),F259/(6*$B$3*1000000*$B$5)*(IF(B259&lt;($B$4*4/10),($B$4*4/10)*(MIN(C259,($B$4*4/10))^3-B259^3)-(MIN(C259,($B$4*4/10))^4-B259^4)/4,0)+IF(C259&gt;($B$4*4/10),($B$4*4/10)^2*(1.5*(C259^2-MAX(B259,($B$4*4/10))^2)-($B$4*4/10)*(C259-MAX(B259,($B$4*4/10)))),0))*1000,0)</f>
        <v>0</v>
      </c>
      <c r="AF259" s="120">
        <f>IF(AND(J259="OK",ISNUMBER($B$5),$B$5&gt;0,ISNUMBER($B$3),$B$3&gt;0),F259/(6*$B$3*1000000*$B$5)*(IF(B259&lt;($B$4*5/10),($B$4*5/10)*(MIN(C259,($B$4*5/10))^3-B259^3)-(MIN(C259,($B$4*5/10))^4-B259^4)/4,0)+IF(C259&gt;($B$4*5/10),($B$4*5/10)^2*(1.5*(C259^2-MAX(B259,($B$4*5/10))^2)-($B$4*5/10)*(C259-MAX(B259,($B$4*5/10)))),0))*1000,0)</f>
        <v>0</v>
      </c>
      <c r="AG259" s="120">
        <f>IF(AND(J259="OK",ISNUMBER($B$5),$B$5&gt;0,ISNUMBER($B$3),$B$3&gt;0),F259/(6*$B$3*1000000*$B$5)*(IF(B259&lt;($B$4*6/10),($B$4*6/10)*(MIN(C259,($B$4*6/10))^3-B259^3)-(MIN(C259,($B$4*6/10))^4-B259^4)/4,0)+IF(C259&gt;($B$4*6/10),($B$4*6/10)^2*(1.5*(C259^2-MAX(B259,($B$4*6/10))^2)-($B$4*6/10)*(C259-MAX(B259,($B$4*6/10)))),0))*1000,0)</f>
        <v>0</v>
      </c>
      <c r="AH259" s="120">
        <f>IF(AND(J259="OK",ISNUMBER($B$5),$B$5&gt;0,ISNUMBER($B$3),$B$3&gt;0),F259/(6*$B$3*1000000*$B$5)*(IF(B259&lt;($B$4*7/10),($B$4*7/10)*(MIN(C259,($B$4*7/10))^3-B259^3)-(MIN(C259,($B$4*7/10))^4-B259^4)/4,0)+IF(C259&gt;($B$4*7/10),($B$4*7/10)^2*(1.5*(C259^2-MAX(B259,($B$4*7/10))^2)-($B$4*7/10)*(C259-MAX(B259,($B$4*7/10)))),0))*1000,0)</f>
        <v>0</v>
      </c>
      <c r="AI259" s="120">
        <f>IF(AND(J259="OK",ISNUMBER($B$5),$B$5&gt;0,ISNUMBER($B$3),$B$3&gt;0),F259/(6*$B$3*1000000*$B$5)*(IF(B259&lt;($B$4*8/10),($B$4*8/10)*(MIN(C259,($B$4*8/10))^3-B259^3)-(MIN(C259,($B$4*8/10))^4-B259^4)/4,0)+IF(C259&gt;($B$4*8/10),($B$4*8/10)^2*(1.5*(C259^2-MAX(B259,($B$4*8/10))^2)-($B$4*8/10)*(C259-MAX(B259,($B$4*8/10)))),0))*1000,0)</f>
        <v>0</v>
      </c>
      <c r="AJ259" s="120">
        <f>IF(AND(J259="OK",ISNUMBER($B$5),$B$5&gt;0,ISNUMBER($B$3),$B$3&gt;0),F259/(6*$B$3*1000000*$B$5)*(IF(B259&lt;($B$4*9/10),($B$4*9/10)*(MIN(C259,($B$4*9/10))^3-B259^3)-(MIN(C259,($B$4*9/10))^4-B259^4)/4,0)+IF(C259&gt;($B$4*9/10),($B$4*9/10)^2*(1.5*(C259^2-MAX(B259,($B$4*9/10))^2)-($B$4*9/10)*(C259-MAX(B259,($B$4*9/10)))),0))*1000,0)</f>
        <v>0</v>
      </c>
      <c r="AK259" s="120">
        <f>IF(AND(J259="OK",ISNUMBER($B$5),$B$5&gt;0,ISNUMBER($B$3),$B$3&gt;0),F259/(6*$B$3*1000000*$B$5)*(IF(B259&lt;($B$4*10/10),($B$4*10/10)*(MIN(C259,($B$4*10/10))^3-B259^3)-(MIN(C259,($B$4*10/10))^4-B259^4)/4,0)+IF(C259&gt;($B$4*10/10),($B$4*10/10)^2*(1.5*(C259^2-MAX(B259,($B$4*10/10))^2)-($B$4*10/10)*(C259-MAX(B259,($B$4*10/10)))),0))*1000,0)</f>
        <v>0</v>
      </c>
      <c r="AM259" s="120">
        <f>IF(AND(V259="OK",ISNUMBER($N$5),$N$5&gt;0,ISNUMBER($N$3),$N$3&gt;0),R259/(6*$N$3*1000000*$N$5)*(IF(N259&lt;($N$4*0/10),($N$4*0/10)*(MIN(O259,($N$4*0/10))^3-N259^3)-(MIN(O259,($N$4*0/10))^4-N259^4)/4,0)+IF(O259&gt;($N$4*0/10),($N$4*0/10)^2*(1.5*(O259^2-MAX(N259,($N$4*0/10))^2)-($N$4*0/10)*(O259-MAX(N259,($N$4*0/10)))),0))*1000,0)</f>
        <v>0</v>
      </c>
      <c r="AN259" s="120">
        <f>IF(AND(V259="OK",ISNUMBER($N$5),$N$5&gt;0,ISNUMBER($N$3),$N$3&gt;0),R259/(6*$N$3*1000000*$N$5)*(IF(N259&lt;($N$4*1/10),($N$4*1/10)*(MIN(O259,($N$4*1/10))^3-N259^3)-(MIN(O259,($N$4*1/10))^4-N259^4)/4,0)+IF(O259&gt;($N$4*1/10),($N$4*1/10)^2*(1.5*(O259^2-MAX(N259,($N$4*1/10))^2)-($N$4*1/10)*(O259-MAX(N259,($N$4*1/10)))),0))*1000,0)</f>
        <v>0</v>
      </c>
      <c r="AO259" s="120">
        <f>IF(AND(V259="OK",ISNUMBER($N$5),$N$5&gt;0,ISNUMBER($N$3),$N$3&gt;0),R259/(6*$N$3*1000000*$N$5)*(IF(N259&lt;($N$4*2/10),($N$4*2/10)*(MIN(O259,($N$4*2/10))^3-N259^3)-(MIN(O259,($N$4*2/10))^4-N259^4)/4,0)+IF(O259&gt;($N$4*2/10),($N$4*2/10)^2*(1.5*(O259^2-MAX(N259,($N$4*2/10))^2)-($N$4*2/10)*(O259-MAX(N259,($N$4*2/10)))),0))*1000,0)</f>
        <v>0</v>
      </c>
      <c r="AP259" s="120">
        <f>IF(AND(V259="OK",ISNUMBER($N$5),$N$5&gt;0,ISNUMBER($N$3),$N$3&gt;0),R259/(6*$N$3*1000000*$N$5)*(IF(N259&lt;($N$4*3/10),($N$4*3/10)*(MIN(O259,($N$4*3/10))^3-N259^3)-(MIN(O259,($N$4*3/10))^4-N259^4)/4,0)+IF(O259&gt;($N$4*3/10),($N$4*3/10)^2*(1.5*(O259^2-MAX(N259,($N$4*3/10))^2)-($N$4*3/10)*(O259-MAX(N259,($N$4*3/10)))),0))*1000,0)</f>
        <v>0</v>
      </c>
      <c r="AQ259" s="120">
        <f>IF(AND(V259="OK",ISNUMBER($N$5),$N$5&gt;0,ISNUMBER($N$3),$N$3&gt;0),R259/(6*$N$3*1000000*$N$5)*(IF(N259&lt;($N$4*4/10),($N$4*4/10)*(MIN(O259,($N$4*4/10))^3-N259^3)-(MIN(O259,($N$4*4/10))^4-N259^4)/4,0)+IF(O259&gt;($N$4*4/10),($N$4*4/10)^2*(1.5*(O259^2-MAX(N259,($N$4*4/10))^2)-($N$4*4/10)*(O259-MAX(N259,($N$4*4/10)))),0))*1000,0)</f>
        <v>0</v>
      </c>
      <c r="AR259" s="120">
        <f>IF(AND(V259="OK",ISNUMBER($N$5),$N$5&gt;0,ISNUMBER($N$3),$N$3&gt;0),R259/(6*$N$3*1000000*$N$5)*(IF(N259&lt;($N$4*5/10),($N$4*5/10)*(MIN(O259,($N$4*5/10))^3-N259^3)-(MIN(O259,($N$4*5/10))^4-N259^4)/4,0)+IF(O259&gt;($N$4*5/10),($N$4*5/10)^2*(1.5*(O259^2-MAX(N259,($N$4*5/10))^2)-($N$4*5/10)*(O259-MAX(N259,($N$4*5/10)))),0))*1000,0)</f>
        <v>0</v>
      </c>
      <c r="AS259" s="120">
        <f>IF(AND(V259="OK",ISNUMBER($N$5),$N$5&gt;0,ISNUMBER($N$3),$N$3&gt;0),R259/(6*$N$3*1000000*$N$5)*(IF(N259&lt;($N$4*6/10),($N$4*6/10)*(MIN(O259,($N$4*6/10))^3-N259^3)-(MIN(O259,($N$4*6/10))^4-N259^4)/4,0)+IF(O259&gt;($N$4*6/10),($N$4*6/10)^2*(1.5*(O259^2-MAX(N259,($N$4*6/10))^2)-($N$4*6/10)*(O259-MAX(N259,($N$4*6/10)))),0))*1000,0)</f>
        <v>0</v>
      </c>
      <c r="AT259" s="120">
        <f>IF(AND(V259="OK",ISNUMBER($N$5),$N$5&gt;0,ISNUMBER($N$3),$N$3&gt;0),R259/(6*$N$3*1000000*$N$5)*(IF(N259&lt;($N$4*7/10),($N$4*7/10)*(MIN(O259,($N$4*7/10))^3-N259^3)-(MIN(O259,($N$4*7/10))^4-N259^4)/4,0)+IF(O259&gt;($N$4*7/10),($N$4*7/10)^2*(1.5*(O259^2-MAX(N259,($N$4*7/10))^2)-($N$4*7/10)*(O259-MAX(N259,($N$4*7/10)))),0))*1000,0)</f>
        <v>0</v>
      </c>
      <c r="AU259" s="120">
        <f>IF(AND(V259="OK",ISNUMBER($N$5),$N$5&gt;0,ISNUMBER($N$3),$N$3&gt;0),R259/(6*$N$3*1000000*$N$5)*(IF(N259&lt;($N$4*8/10),($N$4*8/10)*(MIN(O259,($N$4*8/10))^3-N259^3)-(MIN(O259,($N$4*8/10))^4-N259^4)/4,0)+IF(O259&gt;($N$4*8/10),($N$4*8/10)^2*(1.5*(O259^2-MAX(N259,($N$4*8/10))^2)-($N$4*8/10)*(O259-MAX(N259,($N$4*8/10)))),0))*1000,0)</f>
        <v>0</v>
      </c>
      <c r="AV259" s="120">
        <f>IF(AND(V259="OK",ISNUMBER($N$5),$N$5&gt;0,ISNUMBER($N$3),$N$3&gt;0),R259/(6*$N$3*1000000*$N$5)*(IF(N259&lt;($N$4*9/10),($N$4*9/10)*(MIN(O259,($N$4*9/10))^3-N259^3)-(MIN(O259,($N$4*9/10))^4-N259^4)/4,0)+IF(O259&gt;($N$4*9/10),($N$4*9/10)^2*(1.5*(O259^2-MAX(N259,($N$4*9/10))^2)-($N$4*9/10)*(O259-MAX(N259,($N$4*9/10)))),0))*1000,0)</f>
        <v>0</v>
      </c>
      <c r="AW259" s="120">
        <f>IF(AND(V259="OK",ISNUMBER($N$5),$N$5&gt;0,ISNUMBER($N$3),$N$3&gt;0),R259/(6*$N$3*1000000*$N$5)*(IF(N259&lt;($N$4*10/10),($N$4*10/10)*(MIN(O259,($N$4*10/10))^3-N259^3)-(MIN(O259,($N$4*10/10))^4-N259^4)/4,0)+IF(O259&gt;($N$4*10/10),($N$4*10/10)^2*(1.5*(O259^2-MAX(N259,($N$4*10/10))^2)-($N$4*10/10)*(O259-MAX(N259,($N$4*10/10)))),0))*1000,0)</f>
        <v>0</v>
      </c>
    </row>
    <row r="260" spans="1:49">
      <c r="A260" s="124"/>
      <c r="B260" s="125"/>
      <c r="C260" s="125"/>
      <c r="D260" s="125"/>
      <c r="E260" s="125"/>
      <c r="F260" s="126" t="str">
        <f>IF(J260="OK",D260*E260,"")</f>
        <v/>
      </c>
      <c r="G260" s="126" t="str">
        <f>IF(J260="OK",F260*(C260-B260),"")</f>
        <v/>
      </c>
      <c r="H260" s="126" t="str">
        <f>IF(J260="OK",G260*(C260+B260)/2,"")</f>
        <v/>
      </c>
      <c r="I260" s="126" t="str">
        <f>IF(AND(J260="OK",ISNUMBER($B$5),$B$5&gt;0,ISNUMBER($B$3),$B$3&gt;0),F260*(4*$B$4*(C260^3-B260^3)-(C260^4-B260^4))/(24*$B$3*1000000*$B$5)*1000,"")</f>
        <v/>
      </c>
      <c r="J260" s="120" t="str">
        <f>IF(COUNTA(A260:E260)=0,"",IF(AND(COUNT(B260:E260)=4,B260&gt;=0,C260&gt;B260,C260&lt;=$B$4,D260&gt;=0,E260&gt;0),IF(COUNTIFS($B$13:$B$259,"&lt;"&amp;C260,$C$13:$C$259,"&gt;"&amp;B260)&gt;0,"OVERLAP","OK"),"CHECK INPUTS"))</f>
        <v/>
      </c>
      <c r="M260" s="124"/>
      <c r="N260" s="125"/>
      <c r="O260" s="125"/>
      <c r="P260" s="125"/>
      <c r="Q260" s="125"/>
      <c r="R260" s="126" t="str">
        <f>IF(V260="OK",P260*Q260,"")</f>
        <v/>
      </c>
      <c r="S260" s="126" t="str">
        <f>IF(V260="OK",R260*(O260-N260),"")</f>
        <v/>
      </c>
      <c r="T260" s="126" t="str">
        <f>IF(V260="OK",S260*(O260+N260)/2,"")</f>
        <v/>
      </c>
      <c r="U260" s="126" t="str">
        <f>IF(AND(V260="OK",ISNUMBER($N$5),$N$5&gt;0,ISNUMBER($N$3),$N$3&gt;0),R260*(4*$N$4*(O260^3-N260^3)-(O260^4-N260^4))/(24*$N$3*1000000*$N$5)*1000,"")</f>
        <v/>
      </c>
      <c r="V260" s="120" t="str">
        <f>IF(COUNTA(M260:Q260)=0,"",IF(AND(COUNT(N260:Q260)=4,N260&gt;=0,O260&gt;N260,O260&lt;=$N$4,P260&gt;=0,Q260&gt;0),IF(COUNTIFS($N$13:$N$259,"&lt;"&amp;O260,$O$13:$O$259,"&gt;"&amp;N260)&gt;0,"OVERLAP","OK"),"CHECK INPUTS"))</f>
        <v/>
      </c>
      <c r="AA260" s="120">
        <f>IF(AND(J260="OK",ISNUMBER($B$5),$B$5&gt;0,ISNUMBER($B$3),$B$3&gt;0),F260/(6*$B$3*1000000*$B$5)*(IF(B260&lt;($B$4*0/10),($B$4*0/10)*(MIN(C260,($B$4*0/10))^3-B260^3)-(MIN(C260,($B$4*0/10))^4-B260^4)/4,0)+IF(C260&gt;($B$4*0/10),($B$4*0/10)^2*(1.5*(C260^2-MAX(B260,($B$4*0/10))^2)-($B$4*0/10)*(C260-MAX(B260,($B$4*0/10)))),0))*1000,0)</f>
        <v>0</v>
      </c>
      <c r="AB260" s="120">
        <f>IF(AND(J260="OK",ISNUMBER($B$5),$B$5&gt;0,ISNUMBER($B$3),$B$3&gt;0),F260/(6*$B$3*1000000*$B$5)*(IF(B260&lt;($B$4*1/10),($B$4*1/10)*(MIN(C260,($B$4*1/10))^3-B260^3)-(MIN(C260,($B$4*1/10))^4-B260^4)/4,0)+IF(C260&gt;($B$4*1/10),($B$4*1/10)^2*(1.5*(C260^2-MAX(B260,($B$4*1/10))^2)-($B$4*1/10)*(C260-MAX(B260,($B$4*1/10)))),0))*1000,0)</f>
        <v>0</v>
      </c>
      <c r="AC260" s="120">
        <f>IF(AND(J260="OK",ISNUMBER($B$5),$B$5&gt;0,ISNUMBER($B$3),$B$3&gt;0),F260/(6*$B$3*1000000*$B$5)*(IF(B260&lt;($B$4*2/10),($B$4*2/10)*(MIN(C260,($B$4*2/10))^3-B260^3)-(MIN(C260,($B$4*2/10))^4-B260^4)/4,0)+IF(C260&gt;($B$4*2/10),($B$4*2/10)^2*(1.5*(C260^2-MAX(B260,($B$4*2/10))^2)-($B$4*2/10)*(C260-MAX(B260,($B$4*2/10)))),0))*1000,0)</f>
        <v>0</v>
      </c>
      <c r="AD260" s="120">
        <f>IF(AND(J260="OK",ISNUMBER($B$5),$B$5&gt;0,ISNUMBER($B$3),$B$3&gt;0),F260/(6*$B$3*1000000*$B$5)*(IF(B260&lt;($B$4*3/10),($B$4*3/10)*(MIN(C260,($B$4*3/10))^3-B260^3)-(MIN(C260,($B$4*3/10))^4-B260^4)/4,0)+IF(C260&gt;($B$4*3/10),($B$4*3/10)^2*(1.5*(C260^2-MAX(B260,($B$4*3/10))^2)-($B$4*3/10)*(C260-MAX(B260,($B$4*3/10)))),0))*1000,0)</f>
        <v>0</v>
      </c>
      <c r="AE260" s="120">
        <f>IF(AND(J260="OK",ISNUMBER($B$5),$B$5&gt;0,ISNUMBER($B$3),$B$3&gt;0),F260/(6*$B$3*1000000*$B$5)*(IF(B260&lt;($B$4*4/10),($B$4*4/10)*(MIN(C260,($B$4*4/10))^3-B260^3)-(MIN(C260,($B$4*4/10))^4-B260^4)/4,0)+IF(C260&gt;($B$4*4/10),($B$4*4/10)^2*(1.5*(C260^2-MAX(B260,($B$4*4/10))^2)-($B$4*4/10)*(C260-MAX(B260,($B$4*4/10)))),0))*1000,0)</f>
        <v>0</v>
      </c>
      <c r="AF260" s="120">
        <f>IF(AND(J260="OK",ISNUMBER($B$5),$B$5&gt;0,ISNUMBER($B$3),$B$3&gt;0),F260/(6*$B$3*1000000*$B$5)*(IF(B260&lt;($B$4*5/10),($B$4*5/10)*(MIN(C260,($B$4*5/10))^3-B260^3)-(MIN(C260,($B$4*5/10))^4-B260^4)/4,0)+IF(C260&gt;($B$4*5/10),($B$4*5/10)^2*(1.5*(C260^2-MAX(B260,($B$4*5/10))^2)-($B$4*5/10)*(C260-MAX(B260,($B$4*5/10)))),0))*1000,0)</f>
        <v>0</v>
      </c>
      <c r="AG260" s="120">
        <f>IF(AND(J260="OK",ISNUMBER($B$5),$B$5&gt;0,ISNUMBER($B$3),$B$3&gt;0),F260/(6*$B$3*1000000*$B$5)*(IF(B260&lt;($B$4*6/10),($B$4*6/10)*(MIN(C260,($B$4*6/10))^3-B260^3)-(MIN(C260,($B$4*6/10))^4-B260^4)/4,0)+IF(C260&gt;($B$4*6/10),($B$4*6/10)^2*(1.5*(C260^2-MAX(B260,($B$4*6/10))^2)-($B$4*6/10)*(C260-MAX(B260,($B$4*6/10)))),0))*1000,0)</f>
        <v>0</v>
      </c>
      <c r="AH260" s="120">
        <f>IF(AND(J260="OK",ISNUMBER($B$5),$B$5&gt;0,ISNUMBER($B$3),$B$3&gt;0),F260/(6*$B$3*1000000*$B$5)*(IF(B260&lt;($B$4*7/10),($B$4*7/10)*(MIN(C260,($B$4*7/10))^3-B260^3)-(MIN(C260,($B$4*7/10))^4-B260^4)/4,0)+IF(C260&gt;($B$4*7/10),($B$4*7/10)^2*(1.5*(C260^2-MAX(B260,($B$4*7/10))^2)-($B$4*7/10)*(C260-MAX(B260,($B$4*7/10)))),0))*1000,0)</f>
        <v>0</v>
      </c>
      <c r="AI260" s="120">
        <f>IF(AND(J260="OK",ISNUMBER($B$5),$B$5&gt;0,ISNUMBER($B$3),$B$3&gt;0),F260/(6*$B$3*1000000*$B$5)*(IF(B260&lt;($B$4*8/10),($B$4*8/10)*(MIN(C260,($B$4*8/10))^3-B260^3)-(MIN(C260,($B$4*8/10))^4-B260^4)/4,0)+IF(C260&gt;($B$4*8/10),($B$4*8/10)^2*(1.5*(C260^2-MAX(B260,($B$4*8/10))^2)-($B$4*8/10)*(C260-MAX(B260,($B$4*8/10)))),0))*1000,0)</f>
        <v>0</v>
      </c>
      <c r="AJ260" s="120">
        <f>IF(AND(J260="OK",ISNUMBER($B$5),$B$5&gt;0,ISNUMBER($B$3),$B$3&gt;0),F260/(6*$B$3*1000000*$B$5)*(IF(B260&lt;($B$4*9/10),($B$4*9/10)*(MIN(C260,($B$4*9/10))^3-B260^3)-(MIN(C260,($B$4*9/10))^4-B260^4)/4,0)+IF(C260&gt;($B$4*9/10),($B$4*9/10)^2*(1.5*(C260^2-MAX(B260,($B$4*9/10))^2)-($B$4*9/10)*(C260-MAX(B260,($B$4*9/10)))),0))*1000,0)</f>
        <v>0</v>
      </c>
      <c r="AK260" s="120">
        <f>IF(AND(J260="OK",ISNUMBER($B$5),$B$5&gt;0,ISNUMBER($B$3),$B$3&gt;0),F260/(6*$B$3*1000000*$B$5)*(IF(B260&lt;($B$4*10/10),($B$4*10/10)*(MIN(C260,($B$4*10/10))^3-B260^3)-(MIN(C260,($B$4*10/10))^4-B260^4)/4,0)+IF(C260&gt;($B$4*10/10),($B$4*10/10)^2*(1.5*(C260^2-MAX(B260,($B$4*10/10))^2)-($B$4*10/10)*(C260-MAX(B260,($B$4*10/10)))),0))*1000,0)</f>
        <v>0</v>
      </c>
      <c r="AM260" s="120">
        <f>IF(AND(V260="OK",ISNUMBER($N$5),$N$5&gt;0,ISNUMBER($N$3),$N$3&gt;0),R260/(6*$N$3*1000000*$N$5)*(IF(N260&lt;($N$4*0/10),($N$4*0/10)*(MIN(O260,($N$4*0/10))^3-N260^3)-(MIN(O260,($N$4*0/10))^4-N260^4)/4,0)+IF(O260&gt;($N$4*0/10),($N$4*0/10)^2*(1.5*(O260^2-MAX(N260,($N$4*0/10))^2)-($N$4*0/10)*(O260-MAX(N260,($N$4*0/10)))),0))*1000,0)</f>
        <v>0</v>
      </c>
      <c r="AN260" s="120">
        <f>IF(AND(V260="OK",ISNUMBER($N$5),$N$5&gt;0,ISNUMBER($N$3),$N$3&gt;0),R260/(6*$N$3*1000000*$N$5)*(IF(N260&lt;($N$4*1/10),($N$4*1/10)*(MIN(O260,($N$4*1/10))^3-N260^3)-(MIN(O260,($N$4*1/10))^4-N260^4)/4,0)+IF(O260&gt;($N$4*1/10),($N$4*1/10)^2*(1.5*(O260^2-MAX(N260,($N$4*1/10))^2)-($N$4*1/10)*(O260-MAX(N260,($N$4*1/10)))),0))*1000,0)</f>
        <v>0</v>
      </c>
      <c r="AO260" s="120">
        <f>IF(AND(V260="OK",ISNUMBER($N$5),$N$5&gt;0,ISNUMBER($N$3),$N$3&gt;0),R260/(6*$N$3*1000000*$N$5)*(IF(N260&lt;($N$4*2/10),($N$4*2/10)*(MIN(O260,($N$4*2/10))^3-N260^3)-(MIN(O260,($N$4*2/10))^4-N260^4)/4,0)+IF(O260&gt;($N$4*2/10),($N$4*2/10)^2*(1.5*(O260^2-MAX(N260,($N$4*2/10))^2)-($N$4*2/10)*(O260-MAX(N260,($N$4*2/10)))),0))*1000,0)</f>
        <v>0</v>
      </c>
      <c r="AP260" s="120">
        <f>IF(AND(V260="OK",ISNUMBER($N$5),$N$5&gt;0,ISNUMBER($N$3),$N$3&gt;0),R260/(6*$N$3*1000000*$N$5)*(IF(N260&lt;($N$4*3/10),($N$4*3/10)*(MIN(O260,($N$4*3/10))^3-N260^3)-(MIN(O260,($N$4*3/10))^4-N260^4)/4,0)+IF(O260&gt;($N$4*3/10),($N$4*3/10)^2*(1.5*(O260^2-MAX(N260,($N$4*3/10))^2)-($N$4*3/10)*(O260-MAX(N260,($N$4*3/10)))),0))*1000,0)</f>
        <v>0</v>
      </c>
      <c r="AQ260" s="120">
        <f>IF(AND(V260="OK",ISNUMBER($N$5),$N$5&gt;0,ISNUMBER($N$3),$N$3&gt;0),R260/(6*$N$3*1000000*$N$5)*(IF(N260&lt;($N$4*4/10),($N$4*4/10)*(MIN(O260,($N$4*4/10))^3-N260^3)-(MIN(O260,($N$4*4/10))^4-N260^4)/4,0)+IF(O260&gt;($N$4*4/10),($N$4*4/10)^2*(1.5*(O260^2-MAX(N260,($N$4*4/10))^2)-($N$4*4/10)*(O260-MAX(N260,($N$4*4/10)))),0))*1000,0)</f>
        <v>0</v>
      </c>
      <c r="AR260" s="120">
        <f>IF(AND(V260="OK",ISNUMBER($N$5),$N$5&gt;0,ISNUMBER($N$3),$N$3&gt;0),R260/(6*$N$3*1000000*$N$5)*(IF(N260&lt;($N$4*5/10),($N$4*5/10)*(MIN(O260,($N$4*5/10))^3-N260^3)-(MIN(O260,($N$4*5/10))^4-N260^4)/4,0)+IF(O260&gt;($N$4*5/10),($N$4*5/10)^2*(1.5*(O260^2-MAX(N260,($N$4*5/10))^2)-($N$4*5/10)*(O260-MAX(N260,($N$4*5/10)))),0))*1000,0)</f>
        <v>0</v>
      </c>
      <c r="AS260" s="120">
        <f>IF(AND(V260="OK",ISNUMBER($N$5),$N$5&gt;0,ISNUMBER($N$3),$N$3&gt;0),R260/(6*$N$3*1000000*$N$5)*(IF(N260&lt;($N$4*6/10),($N$4*6/10)*(MIN(O260,($N$4*6/10))^3-N260^3)-(MIN(O260,($N$4*6/10))^4-N260^4)/4,0)+IF(O260&gt;($N$4*6/10),($N$4*6/10)^2*(1.5*(O260^2-MAX(N260,($N$4*6/10))^2)-($N$4*6/10)*(O260-MAX(N260,($N$4*6/10)))),0))*1000,0)</f>
        <v>0</v>
      </c>
      <c r="AT260" s="120">
        <f>IF(AND(V260="OK",ISNUMBER($N$5),$N$5&gt;0,ISNUMBER($N$3),$N$3&gt;0),R260/(6*$N$3*1000000*$N$5)*(IF(N260&lt;($N$4*7/10),($N$4*7/10)*(MIN(O260,($N$4*7/10))^3-N260^3)-(MIN(O260,($N$4*7/10))^4-N260^4)/4,0)+IF(O260&gt;($N$4*7/10),($N$4*7/10)^2*(1.5*(O260^2-MAX(N260,($N$4*7/10))^2)-($N$4*7/10)*(O260-MAX(N260,($N$4*7/10)))),0))*1000,0)</f>
        <v>0</v>
      </c>
      <c r="AU260" s="120">
        <f>IF(AND(V260="OK",ISNUMBER($N$5),$N$5&gt;0,ISNUMBER($N$3),$N$3&gt;0),R260/(6*$N$3*1000000*$N$5)*(IF(N260&lt;($N$4*8/10),($N$4*8/10)*(MIN(O260,($N$4*8/10))^3-N260^3)-(MIN(O260,($N$4*8/10))^4-N260^4)/4,0)+IF(O260&gt;($N$4*8/10),($N$4*8/10)^2*(1.5*(O260^2-MAX(N260,($N$4*8/10))^2)-($N$4*8/10)*(O260-MAX(N260,($N$4*8/10)))),0))*1000,0)</f>
        <v>0</v>
      </c>
      <c r="AV260" s="120">
        <f>IF(AND(V260="OK",ISNUMBER($N$5),$N$5&gt;0,ISNUMBER($N$3),$N$3&gt;0),R260/(6*$N$3*1000000*$N$5)*(IF(N260&lt;($N$4*9/10),($N$4*9/10)*(MIN(O260,($N$4*9/10))^3-N260^3)-(MIN(O260,($N$4*9/10))^4-N260^4)/4,0)+IF(O260&gt;($N$4*9/10),($N$4*9/10)^2*(1.5*(O260^2-MAX(N260,($N$4*9/10))^2)-($N$4*9/10)*(O260-MAX(N260,($N$4*9/10)))),0))*1000,0)</f>
        <v>0</v>
      </c>
      <c r="AW260" s="120">
        <f>IF(AND(V260="OK",ISNUMBER($N$5),$N$5&gt;0,ISNUMBER($N$3),$N$3&gt;0),R260/(6*$N$3*1000000*$N$5)*(IF(N260&lt;($N$4*10/10),($N$4*10/10)*(MIN(O260,($N$4*10/10))^3-N260^3)-(MIN(O260,($N$4*10/10))^4-N260^4)/4,0)+IF(O260&gt;($N$4*10/10),($N$4*10/10)^2*(1.5*(O260^2-MAX(N260,($N$4*10/10))^2)-($N$4*10/10)*(O260-MAX(N260,($N$4*10/10)))),0))*1000,0)</f>
        <v>0</v>
      </c>
    </row>
    <row r="261" spans="1:49">
      <c r="A261" s="124"/>
      <c r="B261" s="125"/>
      <c r="C261" s="125"/>
      <c r="D261" s="125"/>
      <c r="E261" s="125"/>
      <c r="F261" s="126" t="str">
        <f>IF(J261="OK",D261*E261,"")</f>
        <v/>
      </c>
      <c r="G261" s="126" t="str">
        <f>IF(J261="OK",F261*(C261-B261),"")</f>
        <v/>
      </c>
      <c r="H261" s="126" t="str">
        <f>IF(J261="OK",G261*(C261+B261)/2,"")</f>
        <v/>
      </c>
      <c r="I261" s="126" t="str">
        <f>IF(AND(J261="OK",ISNUMBER($B$5),$B$5&gt;0,ISNUMBER($B$3),$B$3&gt;0),F261*(4*$B$4*(C261^3-B261^3)-(C261^4-B261^4))/(24*$B$3*1000000*$B$5)*1000,"")</f>
        <v/>
      </c>
      <c r="J261" s="120" t="str">
        <f>IF(COUNTA(A261:E261)=0,"",IF(AND(COUNT(B261:E261)=4,B261&gt;=0,C261&gt;B261,C261&lt;=$B$4,D261&gt;=0,E261&gt;0),IF(COUNTIFS($B$13:$B$260,"&lt;"&amp;C261,$C$13:$C$260,"&gt;"&amp;B261)&gt;0,"OVERLAP","OK"),"CHECK INPUTS"))</f>
        <v/>
      </c>
      <c r="M261" s="124"/>
      <c r="N261" s="125"/>
      <c r="O261" s="125"/>
      <c r="P261" s="125"/>
      <c r="Q261" s="125"/>
      <c r="R261" s="126" t="str">
        <f>IF(V261="OK",P261*Q261,"")</f>
        <v/>
      </c>
      <c r="S261" s="126" t="str">
        <f>IF(V261="OK",R261*(O261-N261),"")</f>
        <v/>
      </c>
      <c r="T261" s="126" t="str">
        <f>IF(V261="OK",S261*(O261+N261)/2,"")</f>
        <v/>
      </c>
      <c r="U261" s="126" t="str">
        <f>IF(AND(V261="OK",ISNUMBER($N$5),$N$5&gt;0,ISNUMBER($N$3),$N$3&gt;0),R261*(4*$N$4*(O261^3-N261^3)-(O261^4-N261^4))/(24*$N$3*1000000*$N$5)*1000,"")</f>
        <v/>
      </c>
      <c r="V261" s="120" t="str">
        <f>IF(COUNTA(M261:Q261)=0,"",IF(AND(COUNT(N261:Q261)=4,N261&gt;=0,O261&gt;N261,O261&lt;=$N$4,P261&gt;=0,Q261&gt;0),IF(COUNTIFS($N$13:$N$260,"&lt;"&amp;O261,$O$13:$O$260,"&gt;"&amp;N261)&gt;0,"OVERLAP","OK"),"CHECK INPUTS"))</f>
        <v/>
      </c>
      <c r="AA261" s="120">
        <f>IF(AND(J261="OK",ISNUMBER($B$5),$B$5&gt;0,ISNUMBER($B$3),$B$3&gt;0),F261/(6*$B$3*1000000*$B$5)*(IF(B261&lt;($B$4*0/10),($B$4*0/10)*(MIN(C261,($B$4*0/10))^3-B261^3)-(MIN(C261,($B$4*0/10))^4-B261^4)/4,0)+IF(C261&gt;($B$4*0/10),($B$4*0/10)^2*(1.5*(C261^2-MAX(B261,($B$4*0/10))^2)-($B$4*0/10)*(C261-MAX(B261,($B$4*0/10)))),0))*1000,0)</f>
        <v>0</v>
      </c>
      <c r="AB261" s="120">
        <f>IF(AND(J261="OK",ISNUMBER($B$5),$B$5&gt;0,ISNUMBER($B$3),$B$3&gt;0),F261/(6*$B$3*1000000*$B$5)*(IF(B261&lt;($B$4*1/10),($B$4*1/10)*(MIN(C261,($B$4*1/10))^3-B261^3)-(MIN(C261,($B$4*1/10))^4-B261^4)/4,0)+IF(C261&gt;($B$4*1/10),($B$4*1/10)^2*(1.5*(C261^2-MAX(B261,($B$4*1/10))^2)-($B$4*1/10)*(C261-MAX(B261,($B$4*1/10)))),0))*1000,0)</f>
        <v>0</v>
      </c>
      <c r="AC261" s="120">
        <f>IF(AND(J261="OK",ISNUMBER($B$5),$B$5&gt;0,ISNUMBER($B$3),$B$3&gt;0),F261/(6*$B$3*1000000*$B$5)*(IF(B261&lt;($B$4*2/10),($B$4*2/10)*(MIN(C261,($B$4*2/10))^3-B261^3)-(MIN(C261,($B$4*2/10))^4-B261^4)/4,0)+IF(C261&gt;($B$4*2/10),($B$4*2/10)^2*(1.5*(C261^2-MAX(B261,($B$4*2/10))^2)-($B$4*2/10)*(C261-MAX(B261,($B$4*2/10)))),0))*1000,0)</f>
        <v>0</v>
      </c>
      <c r="AD261" s="120">
        <f>IF(AND(J261="OK",ISNUMBER($B$5),$B$5&gt;0,ISNUMBER($B$3),$B$3&gt;0),F261/(6*$B$3*1000000*$B$5)*(IF(B261&lt;($B$4*3/10),($B$4*3/10)*(MIN(C261,($B$4*3/10))^3-B261^3)-(MIN(C261,($B$4*3/10))^4-B261^4)/4,0)+IF(C261&gt;($B$4*3/10),($B$4*3/10)^2*(1.5*(C261^2-MAX(B261,($B$4*3/10))^2)-($B$4*3/10)*(C261-MAX(B261,($B$4*3/10)))),0))*1000,0)</f>
        <v>0</v>
      </c>
      <c r="AE261" s="120">
        <f>IF(AND(J261="OK",ISNUMBER($B$5),$B$5&gt;0,ISNUMBER($B$3),$B$3&gt;0),F261/(6*$B$3*1000000*$B$5)*(IF(B261&lt;($B$4*4/10),($B$4*4/10)*(MIN(C261,($B$4*4/10))^3-B261^3)-(MIN(C261,($B$4*4/10))^4-B261^4)/4,0)+IF(C261&gt;($B$4*4/10),($B$4*4/10)^2*(1.5*(C261^2-MAX(B261,($B$4*4/10))^2)-($B$4*4/10)*(C261-MAX(B261,($B$4*4/10)))),0))*1000,0)</f>
        <v>0</v>
      </c>
      <c r="AF261" s="120">
        <f>IF(AND(J261="OK",ISNUMBER($B$5),$B$5&gt;0,ISNUMBER($B$3),$B$3&gt;0),F261/(6*$B$3*1000000*$B$5)*(IF(B261&lt;($B$4*5/10),($B$4*5/10)*(MIN(C261,($B$4*5/10))^3-B261^3)-(MIN(C261,($B$4*5/10))^4-B261^4)/4,0)+IF(C261&gt;($B$4*5/10),($B$4*5/10)^2*(1.5*(C261^2-MAX(B261,($B$4*5/10))^2)-($B$4*5/10)*(C261-MAX(B261,($B$4*5/10)))),0))*1000,0)</f>
        <v>0</v>
      </c>
      <c r="AG261" s="120">
        <f>IF(AND(J261="OK",ISNUMBER($B$5),$B$5&gt;0,ISNUMBER($B$3),$B$3&gt;0),F261/(6*$B$3*1000000*$B$5)*(IF(B261&lt;($B$4*6/10),($B$4*6/10)*(MIN(C261,($B$4*6/10))^3-B261^3)-(MIN(C261,($B$4*6/10))^4-B261^4)/4,0)+IF(C261&gt;($B$4*6/10),($B$4*6/10)^2*(1.5*(C261^2-MAX(B261,($B$4*6/10))^2)-($B$4*6/10)*(C261-MAX(B261,($B$4*6/10)))),0))*1000,0)</f>
        <v>0</v>
      </c>
      <c r="AH261" s="120">
        <f>IF(AND(J261="OK",ISNUMBER($B$5),$B$5&gt;0,ISNUMBER($B$3),$B$3&gt;0),F261/(6*$B$3*1000000*$B$5)*(IF(B261&lt;($B$4*7/10),($B$4*7/10)*(MIN(C261,($B$4*7/10))^3-B261^3)-(MIN(C261,($B$4*7/10))^4-B261^4)/4,0)+IF(C261&gt;($B$4*7/10),($B$4*7/10)^2*(1.5*(C261^2-MAX(B261,($B$4*7/10))^2)-($B$4*7/10)*(C261-MAX(B261,($B$4*7/10)))),0))*1000,0)</f>
        <v>0</v>
      </c>
      <c r="AI261" s="120">
        <f>IF(AND(J261="OK",ISNUMBER($B$5),$B$5&gt;0,ISNUMBER($B$3),$B$3&gt;0),F261/(6*$B$3*1000000*$B$5)*(IF(B261&lt;($B$4*8/10),($B$4*8/10)*(MIN(C261,($B$4*8/10))^3-B261^3)-(MIN(C261,($B$4*8/10))^4-B261^4)/4,0)+IF(C261&gt;($B$4*8/10),($B$4*8/10)^2*(1.5*(C261^2-MAX(B261,($B$4*8/10))^2)-($B$4*8/10)*(C261-MAX(B261,($B$4*8/10)))),0))*1000,0)</f>
        <v>0</v>
      </c>
      <c r="AJ261" s="120">
        <f>IF(AND(J261="OK",ISNUMBER($B$5),$B$5&gt;0,ISNUMBER($B$3),$B$3&gt;0),F261/(6*$B$3*1000000*$B$5)*(IF(B261&lt;($B$4*9/10),($B$4*9/10)*(MIN(C261,($B$4*9/10))^3-B261^3)-(MIN(C261,($B$4*9/10))^4-B261^4)/4,0)+IF(C261&gt;($B$4*9/10),($B$4*9/10)^2*(1.5*(C261^2-MAX(B261,($B$4*9/10))^2)-($B$4*9/10)*(C261-MAX(B261,($B$4*9/10)))),0))*1000,0)</f>
        <v>0</v>
      </c>
      <c r="AK261" s="120">
        <f>IF(AND(J261="OK",ISNUMBER($B$5),$B$5&gt;0,ISNUMBER($B$3),$B$3&gt;0),F261/(6*$B$3*1000000*$B$5)*(IF(B261&lt;($B$4*10/10),($B$4*10/10)*(MIN(C261,($B$4*10/10))^3-B261^3)-(MIN(C261,($B$4*10/10))^4-B261^4)/4,0)+IF(C261&gt;($B$4*10/10),($B$4*10/10)^2*(1.5*(C261^2-MAX(B261,($B$4*10/10))^2)-($B$4*10/10)*(C261-MAX(B261,($B$4*10/10)))),0))*1000,0)</f>
        <v>0</v>
      </c>
      <c r="AM261" s="120">
        <f>IF(AND(V261="OK",ISNUMBER($N$5),$N$5&gt;0,ISNUMBER($N$3),$N$3&gt;0),R261/(6*$N$3*1000000*$N$5)*(IF(N261&lt;($N$4*0/10),($N$4*0/10)*(MIN(O261,($N$4*0/10))^3-N261^3)-(MIN(O261,($N$4*0/10))^4-N261^4)/4,0)+IF(O261&gt;($N$4*0/10),($N$4*0/10)^2*(1.5*(O261^2-MAX(N261,($N$4*0/10))^2)-($N$4*0/10)*(O261-MAX(N261,($N$4*0/10)))),0))*1000,0)</f>
        <v>0</v>
      </c>
      <c r="AN261" s="120">
        <f>IF(AND(V261="OK",ISNUMBER($N$5),$N$5&gt;0,ISNUMBER($N$3),$N$3&gt;0),R261/(6*$N$3*1000000*$N$5)*(IF(N261&lt;($N$4*1/10),($N$4*1/10)*(MIN(O261,($N$4*1/10))^3-N261^3)-(MIN(O261,($N$4*1/10))^4-N261^4)/4,0)+IF(O261&gt;($N$4*1/10),($N$4*1/10)^2*(1.5*(O261^2-MAX(N261,($N$4*1/10))^2)-($N$4*1/10)*(O261-MAX(N261,($N$4*1/10)))),0))*1000,0)</f>
        <v>0</v>
      </c>
      <c r="AO261" s="120">
        <f>IF(AND(V261="OK",ISNUMBER($N$5),$N$5&gt;0,ISNUMBER($N$3),$N$3&gt;0),R261/(6*$N$3*1000000*$N$5)*(IF(N261&lt;($N$4*2/10),($N$4*2/10)*(MIN(O261,($N$4*2/10))^3-N261^3)-(MIN(O261,($N$4*2/10))^4-N261^4)/4,0)+IF(O261&gt;($N$4*2/10),($N$4*2/10)^2*(1.5*(O261^2-MAX(N261,($N$4*2/10))^2)-($N$4*2/10)*(O261-MAX(N261,($N$4*2/10)))),0))*1000,0)</f>
        <v>0</v>
      </c>
      <c r="AP261" s="120">
        <f>IF(AND(V261="OK",ISNUMBER($N$5),$N$5&gt;0,ISNUMBER($N$3),$N$3&gt;0),R261/(6*$N$3*1000000*$N$5)*(IF(N261&lt;($N$4*3/10),($N$4*3/10)*(MIN(O261,($N$4*3/10))^3-N261^3)-(MIN(O261,($N$4*3/10))^4-N261^4)/4,0)+IF(O261&gt;($N$4*3/10),($N$4*3/10)^2*(1.5*(O261^2-MAX(N261,($N$4*3/10))^2)-($N$4*3/10)*(O261-MAX(N261,($N$4*3/10)))),0))*1000,0)</f>
        <v>0</v>
      </c>
      <c r="AQ261" s="120">
        <f>IF(AND(V261="OK",ISNUMBER($N$5),$N$5&gt;0,ISNUMBER($N$3),$N$3&gt;0),R261/(6*$N$3*1000000*$N$5)*(IF(N261&lt;($N$4*4/10),($N$4*4/10)*(MIN(O261,($N$4*4/10))^3-N261^3)-(MIN(O261,($N$4*4/10))^4-N261^4)/4,0)+IF(O261&gt;($N$4*4/10),($N$4*4/10)^2*(1.5*(O261^2-MAX(N261,($N$4*4/10))^2)-($N$4*4/10)*(O261-MAX(N261,($N$4*4/10)))),0))*1000,0)</f>
        <v>0</v>
      </c>
      <c r="AR261" s="120">
        <f>IF(AND(V261="OK",ISNUMBER($N$5),$N$5&gt;0,ISNUMBER($N$3),$N$3&gt;0),R261/(6*$N$3*1000000*$N$5)*(IF(N261&lt;($N$4*5/10),($N$4*5/10)*(MIN(O261,($N$4*5/10))^3-N261^3)-(MIN(O261,($N$4*5/10))^4-N261^4)/4,0)+IF(O261&gt;($N$4*5/10),($N$4*5/10)^2*(1.5*(O261^2-MAX(N261,($N$4*5/10))^2)-($N$4*5/10)*(O261-MAX(N261,($N$4*5/10)))),0))*1000,0)</f>
        <v>0</v>
      </c>
      <c r="AS261" s="120">
        <f>IF(AND(V261="OK",ISNUMBER($N$5),$N$5&gt;0,ISNUMBER($N$3),$N$3&gt;0),R261/(6*$N$3*1000000*$N$5)*(IF(N261&lt;($N$4*6/10),($N$4*6/10)*(MIN(O261,($N$4*6/10))^3-N261^3)-(MIN(O261,($N$4*6/10))^4-N261^4)/4,0)+IF(O261&gt;($N$4*6/10),($N$4*6/10)^2*(1.5*(O261^2-MAX(N261,($N$4*6/10))^2)-($N$4*6/10)*(O261-MAX(N261,($N$4*6/10)))),0))*1000,0)</f>
        <v>0</v>
      </c>
      <c r="AT261" s="120">
        <f>IF(AND(V261="OK",ISNUMBER($N$5),$N$5&gt;0,ISNUMBER($N$3),$N$3&gt;0),R261/(6*$N$3*1000000*$N$5)*(IF(N261&lt;($N$4*7/10),($N$4*7/10)*(MIN(O261,($N$4*7/10))^3-N261^3)-(MIN(O261,($N$4*7/10))^4-N261^4)/4,0)+IF(O261&gt;($N$4*7/10),($N$4*7/10)^2*(1.5*(O261^2-MAX(N261,($N$4*7/10))^2)-($N$4*7/10)*(O261-MAX(N261,($N$4*7/10)))),0))*1000,0)</f>
        <v>0</v>
      </c>
      <c r="AU261" s="120">
        <f>IF(AND(V261="OK",ISNUMBER($N$5),$N$5&gt;0,ISNUMBER($N$3),$N$3&gt;0),R261/(6*$N$3*1000000*$N$5)*(IF(N261&lt;($N$4*8/10),($N$4*8/10)*(MIN(O261,($N$4*8/10))^3-N261^3)-(MIN(O261,($N$4*8/10))^4-N261^4)/4,0)+IF(O261&gt;($N$4*8/10),($N$4*8/10)^2*(1.5*(O261^2-MAX(N261,($N$4*8/10))^2)-($N$4*8/10)*(O261-MAX(N261,($N$4*8/10)))),0))*1000,0)</f>
        <v>0</v>
      </c>
      <c r="AV261" s="120">
        <f>IF(AND(V261="OK",ISNUMBER($N$5),$N$5&gt;0,ISNUMBER($N$3),$N$3&gt;0),R261/(6*$N$3*1000000*$N$5)*(IF(N261&lt;($N$4*9/10),($N$4*9/10)*(MIN(O261,($N$4*9/10))^3-N261^3)-(MIN(O261,($N$4*9/10))^4-N261^4)/4,0)+IF(O261&gt;($N$4*9/10),($N$4*9/10)^2*(1.5*(O261^2-MAX(N261,($N$4*9/10))^2)-($N$4*9/10)*(O261-MAX(N261,($N$4*9/10)))),0))*1000,0)</f>
        <v>0</v>
      </c>
      <c r="AW261" s="120">
        <f>IF(AND(V261="OK",ISNUMBER($N$5),$N$5&gt;0,ISNUMBER($N$3),$N$3&gt;0),R261/(6*$N$3*1000000*$N$5)*(IF(N261&lt;($N$4*10/10),($N$4*10/10)*(MIN(O261,($N$4*10/10))^3-N261^3)-(MIN(O261,($N$4*10/10))^4-N261^4)/4,0)+IF(O261&gt;($N$4*10/10),($N$4*10/10)^2*(1.5*(O261^2-MAX(N261,($N$4*10/10))^2)-($N$4*10/10)*(O261-MAX(N261,($N$4*10/10)))),0))*1000,0)</f>
        <v>0</v>
      </c>
    </row>
    <row r="262" spans="1:49">
      <c r="A262" s="124"/>
      <c r="B262" s="125"/>
      <c r="C262" s="125"/>
      <c r="D262" s="125"/>
      <c r="E262" s="125"/>
      <c r="F262" s="126" t="str">
        <f>IF(J262="OK",D262*E262,"")</f>
        <v/>
      </c>
      <c r="G262" s="126" t="str">
        <f>IF(J262="OK",F262*(C262-B262),"")</f>
        <v/>
      </c>
      <c r="H262" s="126" t="str">
        <f>IF(J262="OK",G262*(C262+B262)/2,"")</f>
        <v/>
      </c>
      <c r="I262" s="126" t="str">
        <f>IF(AND(J262="OK",ISNUMBER($B$5),$B$5&gt;0,ISNUMBER($B$3),$B$3&gt;0),F262*(4*$B$4*(C262^3-B262^3)-(C262^4-B262^4))/(24*$B$3*1000000*$B$5)*1000,"")</f>
        <v/>
      </c>
      <c r="J262" s="120" t="str">
        <f>IF(COUNTA(A262:E262)=0,"",IF(AND(COUNT(B262:E262)=4,B262&gt;=0,C262&gt;B262,C262&lt;=$B$4,D262&gt;=0,E262&gt;0),IF(COUNTIFS($B$13:$B$261,"&lt;"&amp;C262,$C$13:$C$261,"&gt;"&amp;B262)&gt;0,"OVERLAP","OK"),"CHECK INPUTS"))</f>
        <v/>
      </c>
      <c r="M262" s="124"/>
      <c r="N262" s="125"/>
      <c r="O262" s="125"/>
      <c r="P262" s="125"/>
      <c r="Q262" s="125"/>
      <c r="R262" s="126" t="str">
        <f>IF(V262="OK",P262*Q262,"")</f>
        <v/>
      </c>
      <c r="S262" s="126" t="str">
        <f>IF(V262="OK",R262*(O262-N262),"")</f>
        <v/>
      </c>
      <c r="T262" s="126" t="str">
        <f>IF(V262="OK",S262*(O262+N262)/2,"")</f>
        <v/>
      </c>
      <c r="U262" s="126" t="str">
        <f>IF(AND(V262="OK",ISNUMBER($N$5),$N$5&gt;0,ISNUMBER($N$3),$N$3&gt;0),R262*(4*$N$4*(O262^3-N262^3)-(O262^4-N262^4))/(24*$N$3*1000000*$N$5)*1000,"")</f>
        <v/>
      </c>
      <c r="V262" s="120" t="str">
        <f>IF(COUNTA(M262:Q262)=0,"",IF(AND(COUNT(N262:Q262)=4,N262&gt;=0,O262&gt;N262,O262&lt;=$N$4,P262&gt;=0,Q262&gt;0),IF(COUNTIFS($N$13:$N$261,"&lt;"&amp;O262,$O$13:$O$261,"&gt;"&amp;N262)&gt;0,"OVERLAP","OK"),"CHECK INPUTS"))</f>
        <v/>
      </c>
      <c r="AA262" s="120">
        <f>IF(AND(J262="OK",ISNUMBER($B$5),$B$5&gt;0,ISNUMBER($B$3),$B$3&gt;0),F262/(6*$B$3*1000000*$B$5)*(IF(B262&lt;($B$4*0/10),($B$4*0/10)*(MIN(C262,($B$4*0/10))^3-B262^3)-(MIN(C262,($B$4*0/10))^4-B262^4)/4,0)+IF(C262&gt;($B$4*0/10),($B$4*0/10)^2*(1.5*(C262^2-MAX(B262,($B$4*0/10))^2)-($B$4*0/10)*(C262-MAX(B262,($B$4*0/10)))),0))*1000,0)</f>
        <v>0</v>
      </c>
      <c r="AB262" s="120">
        <f>IF(AND(J262="OK",ISNUMBER($B$5),$B$5&gt;0,ISNUMBER($B$3),$B$3&gt;0),F262/(6*$B$3*1000000*$B$5)*(IF(B262&lt;($B$4*1/10),($B$4*1/10)*(MIN(C262,($B$4*1/10))^3-B262^3)-(MIN(C262,($B$4*1/10))^4-B262^4)/4,0)+IF(C262&gt;($B$4*1/10),($B$4*1/10)^2*(1.5*(C262^2-MAX(B262,($B$4*1/10))^2)-($B$4*1/10)*(C262-MAX(B262,($B$4*1/10)))),0))*1000,0)</f>
        <v>0</v>
      </c>
      <c r="AC262" s="120">
        <f>IF(AND(J262="OK",ISNUMBER($B$5),$B$5&gt;0,ISNUMBER($B$3),$B$3&gt;0),F262/(6*$B$3*1000000*$B$5)*(IF(B262&lt;($B$4*2/10),($B$4*2/10)*(MIN(C262,($B$4*2/10))^3-B262^3)-(MIN(C262,($B$4*2/10))^4-B262^4)/4,0)+IF(C262&gt;($B$4*2/10),($B$4*2/10)^2*(1.5*(C262^2-MAX(B262,($B$4*2/10))^2)-($B$4*2/10)*(C262-MAX(B262,($B$4*2/10)))),0))*1000,0)</f>
        <v>0</v>
      </c>
      <c r="AD262" s="120">
        <f>IF(AND(J262="OK",ISNUMBER($B$5),$B$5&gt;0,ISNUMBER($B$3),$B$3&gt;0),F262/(6*$B$3*1000000*$B$5)*(IF(B262&lt;($B$4*3/10),($B$4*3/10)*(MIN(C262,($B$4*3/10))^3-B262^3)-(MIN(C262,($B$4*3/10))^4-B262^4)/4,0)+IF(C262&gt;($B$4*3/10),($B$4*3/10)^2*(1.5*(C262^2-MAX(B262,($B$4*3/10))^2)-($B$4*3/10)*(C262-MAX(B262,($B$4*3/10)))),0))*1000,0)</f>
        <v>0</v>
      </c>
      <c r="AE262" s="120">
        <f>IF(AND(J262="OK",ISNUMBER($B$5),$B$5&gt;0,ISNUMBER($B$3),$B$3&gt;0),F262/(6*$B$3*1000000*$B$5)*(IF(B262&lt;($B$4*4/10),($B$4*4/10)*(MIN(C262,($B$4*4/10))^3-B262^3)-(MIN(C262,($B$4*4/10))^4-B262^4)/4,0)+IF(C262&gt;($B$4*4/10),($B$4*4/10)^2*(1.5*(C262^2-MAX(B262,($B$4*4/10))^2)-($B$4*4/10)*(C262-MAX(B262,($B$4*4/10)))),0))*1000,0)</f>
        <v>0</v>
      </c>
      <c r="AF262" s="120">
        <f>IF(AND(J262="OK",ISNUMBER($B$5),$B$5&gt;0,ISNUMBER($B$3),$B$3&gt;0),F262/(6*$B$3*1000000*$B$5)*(IF(B262&lt;($B$4*5/10),($B$4*5/10)*(MIN(C262,($B$4*5/10))^3-B262^3)-(MIN(C262,($B$4*5/10))^4-B262^4)/4,0)+IF(C262&gt;($B$4*5/10),($B$4*5/10)^2*(1.5*(C262^2-MAX(B262,($B$4*5/10))^2)-($B$4*5/10)*(C262-MAX(B262,($B$4*5/10)))),0))*1000,0)</f>
        <v>0</v>
      </c>
      <c r="AG262" s="120">
        <f>IF(AND(J262="OK",ISNUMBER($B$5),$B$5&gt;0,ISNUMBER($B$3),$B$3&gt;0),F262/(6*$B$3*1000000*$B$5)*(IF(B262&lt;($B$4*6/10),($B$4*6/10)*(MIN(C262,($B$4*6/10))^3-B262^3)-(MIN(C262,($B$4*6/10))^4-B262^4)/4,0)+IF(C262&gt;($B$4*6/10),($B$4*6/10)^2*(1.5*(C262^2-MAX(B262,($B$4*6/10))^2)-($B$4*6/10)*(C262-MAX(B262,($B$4*6/10)))),0))*1000,0)</f>
        <v>0</v>
      </c>
      <c r="AH262" s="120">
        <f>IF(AND(J262="OK",ISNUMBER($B$5),$B$5&gt;0,ISNUMBER($B$3),$B$3&gt;0),F262/(6*$B$3*1000000*$B$5)*(IF(B262&lt;($B$4*7/10),($B$4*7/10)*(MIN(C262,($B$4*7/10))^3-B262^3)-(MIN(C262,($B$4*7/10))^4-B262^4)/4,0)+IF(C262&gt;($B$4*7/10),($B$4*7/10)^2*(1.5*(C262^2-MAX(B262,($B$4*7/10))^2)-($B$4*7/10)*(C262-MAX(B262,($B$4*7/10)))),0))*1000,0)</f>
        <v>0</v>
      </c>
      <c r="AI262" s="120">
        <f>IF(AND(J262="OK",ISNUMBER($B$5),$B$5&gt;0,ISNUMBER($B$3),$B$3&gt;0),F262/(6*$B$3*1000000*$B$5)*(IF(B262&lt;($B$4*8/10),($B$4*8/10)*(MIN(C262,($B$4*8/10))^3-B262^3)-(MIN(C262,($B$4*8/10))^4-B262^4)/4,0)+IF(C262&gt;($B$4*8/10),($B$4*8/10)^2*(1.5*(C262^2-MAX(B262,($B$4*8/10))^2)-($B$4*8/10)*(C262-MAX(B262,($B$4*8/10)))),0))*1000,0)</f>
        <v>0</v>
      </c>
      <c r="AJ262" s="120">
        <f>IF(AND(J262="OK",ISNUMBER($B$5),$B$5&gt;0,ISNUMBER($B$3),$B$3&gt;0),F262/(6*$B$3*1000000*$B$5)*(IF(B262&lt;($B$4*9/10),($B$4*9/10)*(MIN(C262,($B$4*9/10))^3-B262^3)-(MIN(C262,($B$4*9/10))^4-B262^4)/4,0)+IF(C262&gt;($B$4*9/10),($B$4*9/10)^2*(1.5*(C262^2-MAX(B262,($B$4*9/10))^2)-($B$4*9/10)*(C262-MAX(B262,($B$4*9/10)))),0))*1000,0)</f>
        <v>0</v>
      </c>
      <c r="AK262" s="120">
        <f>IF(AND(J262="OK",ISNUMBER($B$5),$B$5&gt;0,ISNUMBER($B$3),$B$3&gt;0),F262/(6*$B$3*1000000*$B$5)*(IF(B262&lt;($B$4*10/10),($B$4*10/10)*(MIN(C262,($B$4*10/10))^3-B262^3)-(MIN(C262,($B$4*10/10))^4-B262^4)/4,0)+IF(C262&gt;($B$4*10/10),($B$4*10/10)^2*(1.5*(C262^2-MAX(B262,($B$4*10/10))^2)-($B$4*10/10)*(C262-MAX(B262,($B$4*10/10)))),0))*1000,0)</f>
        <v>0</v>
      </c>
      <c r="AM262" s="120">
        <f>IF(AND(V262="OK",ISNUMBER($N$5),$N$5&gt;0,ISNUMBER($N$3),$N$3&gt;0),R262/(6*$N$3*1000000*$N$5)*(IF(N262&lt;($N$4*0/10),($N$4*0/10)*(MIN(O262,($N$4*0/10))^3-N262^3)-(MIN(O262,($N$4*0/10))^4-N262^4)/4,0)+IF(O262&gt;($N$4*0/10),($N$4*0/10)^2*(1.5*(O262^2-MAX(N262,($N$4*0/10))^2)-($N$4*0/10)*(O262-MAX(N262,($N$4*0/10)))),0))*1000,0)</f>
        <v>0</v>
      </c>
      <c r="AN262" s="120">
        <f>IF(AND(V262="OK",ISNUMBER($N$5),$N$5&gt;0,ISNUMBER($N$3),$N$3&gt;0),R262/(6*$N$3*1000000*$N$5)*(IF(N262&lt;($N$4*1/10),($N$4*1/10)*(MIN(O262,($N$4*1/10))^3-N262^3)-(MIN(O262,($N$4*1/10))^4-N262^4)/4,0)+IF(O262&gt;($N$4*1/10),($N$4*1/10)^2*(1.5*(O262^2-MAX(N262,($N$4*1/10))^2)-($N$4*1/10)*(O262-MAX(N262,($N$4*1/10)))),0))*1000,0)</f>
        <v>0</v>
      </c>
      <c r="AO262" s="120">
        <f>IF(AND(V262="OK",ISNUMBER($N$5),$N$5&gt;0,ISNUMBER($N$3),$N$3&gt;0),R262/(6*$N$3*1000000*$N$5)*(IF(N262&lt;($N$4*2/10),($N$4*2/10)*(MIN(O262,($N$4*2/10))^3-N262^3)-(MIN(O262,($N$4*2/10))^4-N262^4)/4,0)+IF(O262&gt;($N$4*2/10),($N$4*2/10)^2*(1.5*(O262^2-MAX(N262,($N$4*2/10))^2)-($N$4*2/10)*(O262-MAX(N262,($N$4*2/10)))),0))*1000,0)</f>
        <v>0</v>
      </c>
      <c r="AP262" s="120">
        <f>IF(AND(V262="OK",ISNUMBER($N$5),$N$5&gt;0,ISNUMBER($N$3),$N$3&gt;0),R262/(6*$N$3*1000000*$N$5)*(IF(N262&lt;($N$4*3/10),($N$4*3/10)*(MIN(O262,($N$4*3/10))^3-N262^3)-(MIN(O262,($N$4*3/10))^4-N262^4)/4,0)+IF(O262&gt;($N$4*3/10),($N$4*3/10)^2*(1.5*(O262^2-MAX(N262,($N$4*3/10))^2)-($N$4*3/10)*(O262-MAX(N262,($N$4*3/10)))),0))*1000,0)</f>
        <v>0</v>
      </c>
      <c r="AQ262" s="120">
        <f>IF(AND(V262="OK",ISNUMBER($N$5),$N$5&gt;0,ISNUMBER($N$3),$N$3&gt;0),R262/(6*$N$3*1000000*$N$5)*(IF(N262&lt;($N$4*4/10),($N$4*4/10)*(MIN(O262,($N$4*4/10))^3-N262^3)-(MIN(O262,($N$4*4/10))^4-N262^4)/4,0)+IF(O262&gt;($N$4*4/10),($N$4*4/10)^2*(1.5*(O262^2-MAX(N262,($N$4*4/10))^2)-($N$4*4/10)*(O262-MAX(N262,($N$4*4/10)))),0))*1000,0)</f>
        <v>0</v>
      </c>
      <c r="AR262" s="120">
        <f>IF(AND(V262="OK",ISNUMBER($N$5),$N$5&gt;0,ISNUMBER($N$3),$N$3&gt;0),R262/(6*$N$3*1000000*$N$5)*(IF(N262&lt;($N$4*5/10),($N$4*5/10)*(MIN(O262,($N$4*5/10))^3-N262^3)-(MIN(O262,($N$4*5/10))^4-N262^4)/4,0)+IF(O262&gt;($N$4*5/10),($N$4*5/10)^2*(1.5*(O262^2-MAX(N262,($N$4*5/10))^2)-($N$4*5/10)*(O262-MAX(N262,($N$4*5/10)))),0))*1000,0)</f>
        <v>0</v>
      </c>
      <c r="AS262" s="120">
        <f>IF(AND(V262="OK",ISNUMBER($N$5),$N$5&gt;0,ISNUMBER($N$3),$N$3&gt;0),R262/(6*$N$3*1000000*$N$5)*(IF(N262&lt;($N$4*6/10),($N$4*6/10)*(MIN(O262,($N$4*6/10))^3-N262^3)-(MIN(O262,($N$4*6/10))^4-N262^4)/4,0)+IF(O262&gt;($N$4*6/10),($N$4*6/10)^2*(1.5*(O262^2-MAX(N262,($N$4*6/10))^2)-($N$4*6/10)*(O262-MAX(N262,($N$4*6/10)))),0))*1000,0)</f>
        <v>0</v>
      </c>
      <c r="AT262" s="120">
        <f>IF(AND(V262="OK",ISNUMBER($N$5),$N$5&gt;0,ISNUMBER($N$3),$N$3&gt;0),R262/(6*$N$3*1000000*$N$5)*(IF(N262&lt;($N$4*7/10),($N$4*7/10)*(MIN(O262,($N$4*7/10))^3-N262^3)-(MIN(O262,($N$4*7/10))^4-N262^4)/4,0)+IF(O262&gt;($N$4*7/10),($N$4*7/10)^2*(1.5*(O262^2-MAX(N262,($N$4*7/10))^2)-($N$4*7/10)*(O262-MAX(N262,($N$4*7/10)))),0))*1000,0)</f>
        <v>0</v>
      </c>
      <c r="AU262" s="120">
        <f>IF(AND(V262="OK",ISNUMBER($N$5),$N$5&gt;0,ISNUMBER($N$3),$N$3&gt;0),R262/(6*$N$3*1000000*$N$5)*(IF(N262&lt;($N$4*8/10),($N$4*8/10)*(MIN(O262,($N$4*8/10))^3-N262^3)-(MIN(O262,($N$4*8/10))^4-N262^4)/4,0)+IF(O262&gt;($N$4*8/10),($N$4*8/10)^2*(1.5*(O262^2-MAX(N262,($N$4*8/10))^2)-($N$4*8/10)*(O262-MAX(N262,($N$4*8/10)))),0))*1000,0)</f>
        <v>0</v>
      </c>
      <c r="AV262" s="120">
        <f>IF(AND(V262="OK",ISNUMBER($N$5),$N$5&gt;0,ISNUMBER($N$3),$N$3&gt;0),R262/(6*$N$3*1000000*$N$5)*(IF(N262&lt;($N$4*9/10),($N$4*9/10)*(MIN(O262,($N$4*9/10))^3-N262^3)-(MIN(O262,($N$4*9/10))^4-N262^4)/4,0)+IF(O262&gt;($N$4*9/10),($N$4*9/10)^2*(1.5*(O262^2-MAX(N262,($N$4*9/10))^2)-($N$4*9/10)*(O262-MAX(N262,($N$4*9/10)))),0))*1000,0)</f>
        <v>0</v>
      </c>
      <c r="AW262" s="120">
        <f>IF(AND(V262="OK",ISNUMBER($N$5),$N$5&gt;0,ISNUMBER($N$3),$N$3&gt;0),R262/(6*$N$3*1000000*$N$5)*(IF(N262&lt;($N$4*10/10),($N$4*10/10)*(MIN(O262,($N$4*10/10))^3-N262^3)-(MIN(O262,($N$4*10/10))^4-N262^4)/4,0)+IF(O262&gt;($N$4*10/10),($N$4*10/10)^2*(1.5*(O262^2-MAX(N262,($N$4*10/10))^2)-($N$4*10/10)*(O262-MAX(N262,($N$4*10/10)))),0))*1000,0)</f>
        <v>0</v>
      </c>
    </row>
    <row r="263" spans="1:49">
      <c r="A263" s="124"/>
      <c r="B263" s="125"/>
      <c r="C263" s="125"/>
      <c r="D263" s="125"/>
      <c r="E263" s="125"/>
      <c r="F263" s="126" t="str">
        <f>IF(J263="OK",D263*E263,"")</f>
        <v/>
      </c>
      <c r="G263" s="126" t="str">
        <f>IF(J263="OK",F263*(C263-B263),"")</f>
        <v/>
      </c>
      <c r="H263" s="126" t="str">
        <f>IF(J263="OK",G263*(C263+B263)/2,"")</f>
        <v/>
      </c>
      <c r="I263" s="126" t="str">
        <f>IF(AND(J263="OK",ISNUMBER($B$5),$B$5&gt;0,ISNUMBER($B$3),$B$3&gt;0),F263*(4*$B$4*(C263^3-B263^3)-(C263^4-B263^4))/(24*$B$3*1000000*$B$5)*1000,"")</f>
        <v/>
      </c>
      <c r="J263" s="120" t="str">
        <f>IF(COUNTA(A263:E263)=0,"",IF(AND(COUNT(B263:E263)=4,B263&gt;=0,C263&gt;B263,C263&lt;=$B$4,D263&gt;=0,E263&gt;0),IF(COUNTIFS($B$13:$B$262,"&lt;"&amp;C263,$C$13:$C$262,"&gt;"&amp;B263)&gt;0,"OVERLAP","OK"),"CHECK INPUTS"))</f>
        <v/>
      </c>
      <c r="M263" s="124"/>
      <c r="N263" s="125"/>
      <c r="O263" s="125"/>
      <c r="P263" s="125"/>
      <c r="Q263" s="125"/>
      <c r="R263" s="126" t="str">
        <f>IF(V263="OK",P263*Q263,"")</f>
        <v/>
      </c>
      <c r="S263" s="126" t="str">
        <f>IF(V263="OK",R263*(O263-N263),"")</f>
        <v/>
      </c>
      <c r="T263" s="126" t="str">
        <f>IF(V263="OK",S263*(O263+N263)/2,"")</f>
        <v/>
      </c>
      <c r="U263" s="126" t="str">
        <f>IF(AND(V263="OK",ISNUMBER($N$5),$N$5&gt;0,ISNUMBER($N$3),$N$3&gt;0),R263*(4*$N$4*(O263^3-N263^3)-(O263^4-N263^4))/(24*$N$3*1000000*$N$5)*1000,"")</f>
        <v/>
      </c>
      <c r="V263" s="120" t="str">
        <f>IF(COUNTA(M263:Q263)=0,"",IF(AND(COUNT(N263:Q263)=4,N263&gt;=0,O263&gt;N263,O263&lt;=$N$4,P263&gt;=0,Q263&gt;0),IF(COUNTIFS($N$13:$N$262,"&lt;"&amp;O263,$O$13:$O$262,"&gt;"&amp;N263)&gt;0,"OVERLAP","OK"),"CHECK INPUTS"))</f>
        <v/>
      </c>
      <c r="AA263" s="120">
        <f>IF(AND(J263="OK",ISNUMBER($B$5),$B$5&gt;0,ISNUMBER($B$3),$B$3&gt;0),F263/(6*$B$3*1000000*$B$5)*(IF(B263&lt;($B$4*0/10),($B$4*0/10)*(MIN(C263,($B$4*0/10))^3-B263^3)-(MIN(C263,($B$4*0/10))^4-B263^4)/4,0)+IF(C263&gt;($B$4*0/10),($B$4*0/10)^2*(1.5*(C263^2-MAX(B263,($B$4*0/10))^2)-($B$4*0/10)*(C263-MAX(B263,($B$4*0/10)))),0))*1000,0)</f>
        <v>0</v>
      </c>
      <c r="AB263" s="120">
        <f>IF(AND(J263="OK",ISNUMBER($B$5),$B$5&gt;0,ISNUMBER($B$3),$B$3&gt;0),F263/(6*$B$3*1000000*$B$5)*(IF(B263&lt;($B$4*1/10),($B$4*1/10)*(MIN(C263,($B$4*1/10))^3-B263^3)-(MIN(C263,($B$4*1/10))^4-B263^4)/4,0)+IF(C263&gt;($B$4*1/10),($B$4*1/10)^2*(1.5*(C263^2-MAX(B263,($B$4*1/10))^2)-($B$4*1/10)*(C263-MAX(B263,($B$4*1/10)))),0))*1000,0)</f>
        <v>0</v>
      </c>
      <c r="AC263" s="120">
        <f>IF(AND(J263="OK",ISNUMBER($B$5),$B$5&gt;0,ISNUMBER($B$3),$B$3&gt;0),F263/(6*$B$3*1000000*$B$5)*(IF(B263&lt;($B$4*2/10),($B$4*2/10)*(MIN(C263,($B$4*2/10))^3-B263^3)-(MIN(C263,($B$4*2/10))^4-B263^4)/4,0)+IF(C263&gt;($B$4*2/10),($B$4*2/10)^2*(1.5*(C263^2-MAX(B263,($B$4*2/10))^2)-($B$4*2/10)*(C263-MAX(B263,($B$4*2/10)))),0))*1000,0)</f>
        <v>0</v>
      </c>
      <c r="AD263" s="120">
        <f>IF(AND(J263="OK",ISNUMBER($B$5),$B$5&gt;0,ISNUMBER($B$3),$B$3&gt;0),F263/(6*$B$3*1000000*$B$5)*(IF(B263&lt;($B$4*3/10),($B$4*3/10)*(MIN(C263,($B$4*3/10))^3-B263^3)-(MIN(C263,($B$4*3/10))^4-B263^4)/4,0)+IF(C263&gt;($B$4*3/10),($B$4*3/10)^2*(1.5*(C263^2-MAX(B263,($B$4*3/10))^2)-($B$4*3/10)*(C263-MAX(B263,($B$4*3/10)))),0))*1000,0)</f>
        <v>0</v>
      </c>
      <c r="AE263" s="120">
        <f>IF(AND(J263="OK",ISNUMBER($B$5),$B$5&gt;0,ISNUMBER($B$3),$B$3&gt;0),F263/(6*$B$3*1000000*$B$5)*(IF(B263&lt;($B$4*4/10),($B$4*4/10)*(MIN(C263,($B$4*4/10))^3-B263^3)-(MIN(C263,($B$4*4/10))^4-B263^4)/4,0)+IF(C263&gt;($B$4*4/10),($B$4*4/10)^2*(1.5*(C263^2-MAX(B263,($B$4*4/10))^2)-($B$4*4/10)*(C263-MAX(B263,($B$4*4/10)))),0))*1000,0)</f>
        <v>0</v>
      </c>
      <c r="AF263" s="120">
        <f>IF(AND(J263="OK",ISNUMBER($B$5),$B$5&gt;0,ISNUMBER($B$3),$B$3&gt;0),F263/(6*$B$3*1000000*$B$5)*(IF(B263&lt;($B$4*5/10),($B$4*5/10)*(MIN(C263,($B$4*5/10))^3-B263^3)-(MIN(C263,($B$4*5/10))^4-B263^4)/4,0)+IF(C263&gt;($B$4*5/10),($B$4*5/10)^2*(1.5*(C263^2-MAX(B263,($B$4*5/10))^2)-($B$4*5/10)*(C263-MAX(B263,($B$4*5/10)))),0))*1000,0)</f>
        <v>0</v>
      </c>
      <c r="AG263" s="120">
        <f>IF(AND(J263="OK",ISNUMBER($B$5),$B$5&gt;0,ISNUMBER($B$3),$B$3&gt;0),F263/(6*$B$3*1000000*$B$5)*(IF(B263&lt;($B$4*6/10),($B$4*6/10)*(MIN(C263,($B$4*6/10))^3-B263^3)-(MIN(C263,($B$4*6/10))^4-B263^4)/4,0)+IF(C263&gt;($B$4*6/10),($B$4*6/10)^2*(1.5*(C263^2-MAX(B263,($B$4*6/10))^2)-($B$4*6/10)*(C263-MAX(B263,($B$4*6/10)))),0))*1000,0)</f>
        <v>0</v>
      </c>
      <c r="AH263" s="120">
        <f>IF(AND(J263="OK",ISNUMBER($B$5),$B$5&gt;0,ISNUMBER($B$3),$B$3&gt;0),F263/(6*$B$3*1000000*$B$5)*(IF(B263&lt;($B$4*7/10),($B$4*7/10)*(MIN(C263,($B$4*7/10))^3-B263^3)-(MIN(C263,($B$4*7/10))^4-B263^4)/4,0)+IF(C263&gt;($B$4*7/10),($B$4*7/10)^2*(1.5*(C263^2-MAX(B263,($B$4*7/10))^2)-($B$4*7/10)*(C263-MAX(B263,($B$4*7/10)))),0))*1000,0)</f>
        <v>0</v>
      </c>
      <c r="AI263" s="120">
        <f>IF(AND(J263="OK",ISNUMBER($B$5),$B$5&gt;0,ISNUMBER($B$3),$B$3&gt;0),F263/(6*$B$3*1000000*$B$5)*(IF(B263&lt;($B$4*8/10),($B$4*8/10)*(MIN(C263,($B$4*8/10))^3-B263^3)-(MIN(C263,($B$4*8/10))^4-B263^4)/4,0)+IF(C263&gt;($B$4*8/10),($B$4*8/10)^2*(1.5*(C263^2-MAX(B263,($B$4*8/10))^2)-($B$4*8/10)*(C263-MAX(B263,($B$4*8/10)))),0))*1000,0)</f>
        <v>0</v>
      </c>
      <c r="AJ263" s="120">
        <f>IF(AND(J263="OK",ISNUMBER($B$5),$B$5&gt;0,ISNUMBER($B$3),$B$3&gt;0),F263/(6*$B$3*1000000*$B$5)*(IF(B263&lt;($B$4*9/10),($B$4*9/10)*(MIN(C263,($B$4*9/10))^3-B263^3)-(MIN(C263,($B$4*9/10))^4-B263^4)/4,0)+IF(C263&gt;($B$4*9/10),($B$4*9/10)^2*(1.5*(C263^2-MAX(B263,($B$4*9/10))^2)-($B$4*9/10)*(C263-MAX(B263,($B$4*9/10)))),0))*1000,0)</f>
        <v>0</v>
      </c>
      <c r="AK263" s="120">
        <f>IF(AND(J263="OK",ISNUMBER($B$5),$B$5&gt;0,ISNUMBER($B$3),$B$3&gt;0),F263/(6*$B$3*1000000*$B$5)*(IF(B263&lt;($B$4*10/10),($B$4*10/10)*(MIN(C263,($B$4*10/10))^3-B263^3)-(MIN(C263,($B$4*10/10))^4-B263^4)/4,0)+IF(C263&gt;($B$4*10/10),($B$4*10/10)^2*(1.5*(C263^2-MAX(B263,($B$4*10/10))^2)-($B$4*10/10)*(C263-MAX(B263,($B$4*10/10)))),0))*1000,0)</f>
        <v>0</v>
      </c>
      <c r="AM263" s="120">
        <f>IF(AND(V263="OK",ISNUMBER($N$5),$N$5&gt;0,ISNUMBER($N$3),$N$3&gt;0),R263/(6*$N$3*1000000*$N$5)*(IF(N263&lt;($N$4*0/10),($N$4*0/10)*(MIN(O263,($N$4*0/10))^3-N263^3)-(MIN(O263,($N$4*0/10))^4-N263^4)/4,0)+IF(O263&gt;($N$4*0/10),($N$4*0/10)^2*(1.5*(O263^2-MAX(N263,($N$4*0/10))^2)-($N$4*0/10)*(O263-MAX(N263,($N$4*0/10)))),0))*1000,0)</f>
        <v>0</v>
      </c>
      <c r="AN263" s="120">
        <f>IF(AND(V263="OK",ISNUMBER($N$5),$N$5&gt;0,ISNUMBER($N$3),$N$3&gt;0),R263/(6*$N$3*1000000*$N$5)*(IF(N263&lt;($N$4*1/10),($N$4*1/10)*(MIN(O263,($N$4*1/10))^3-N263^3)-(MIN(O263,($N$4*1/10))^4-N263^4)/4,0)+IF(O263&gt;($N$4*1/10),($N$4*1/10)^2*(1.5*(O263^2-MAX(N263,($N$4*1/10))^2)-($N$4*1/10)*(O263-MAX(N263,($N$4*1/10)))),0))*1000,0)</f>
        <v>0</v>
      </c>
      <c r="AO263" s="120">
        <f>IF(AND(V263="OK",ISNUMBER($N$5),$N$5&gt;0,ISNUMBER($N$3),$N$3&gt;0),R263/(6*$N$3*1000000*$N$5)*(IF(N263&lt;($N$4*2/10),($N$4*2/10)*(MIN(O263,($N$4*2/10))^3-N263^3)-(MIN(O263,($N$4*2/10))^4-N263^4)/4,0)+IF(O263&gt;($N$4*2/10),($N$4*2/10)^2*(1.5*(O263^2-MAX(N263,($N$4*2/10))^2)-($N$4*2/10)*(O263-MAX(N263,($N$4*2/10)))),0))*1000,0)</f>
        <v>0</v>
      </c>
      <c r="AP263" s="120">
        <f>IF(AND(V263="OK",ISNUMBER($N$5),$N$5&gt;0,ISNUMBER($N$3),$N$3&gt;0),R263/(6*$N$3*1000000*$N$5)*(IF(N263&lt;($N$4*3/10),($N$4*3/10)*(MIN(O263,($N$4*3/10))^3-N263^3)-(MIN(O263,($N$4*3/10))^4-N263^4)/4,0)+IF(O263&gt;($N$4*3/10),($N$4*3/10)^2*(1.5*(O263^2-MAX(N263,($N$4*3/10))^2)-($N$4*3/10)*(O263-MAX(N263,($N$4*3/10)))),0))*1000,0)</f>
        <v>0</v>
      </c>
      <c r="AQ263" s="120">
        <f>IF(AND(V263="OK",ISNUMBER($N$5),$N$5&gt;0,ISNUMBER($N$3),$N$3&gt;0),R263/(6*$N$3*1000000*$N$5)*(IF(N263&lt;($N$4*4/10),($N$4*4/10)*(MIN(O263,($N$4*4/10))^3-N263^3)-(MIN(O263,($N$4*4/10))^4-N263^4)/4,0)+IF(O263&gt;($N$4*4/10),($N$4*4/10)^2*(1.5*(O263^2-MAX(N263,($N$4*4/10))^2)-($N$4*4/10)*(O263-MAX(N263,($N$4*4/10)))),0))*1000,0)</f>
        <v>0</v>
      </c>
      <c r="AR263" s="120">
        <f>IF(AND(V263="OK",ISNUMBER($N$5),$N$5&gt;0,ISNUMBER($N$3),$N$3&gt;0),R263/(6*$N$3*1000000*$N$5)*(IF(N263&lt;($N$4*5/10),($N$4*5/10)*(MIN(O263,($N$4*5/10))^3-N263^3)-(MIN(O263,($N$4*5/10))^4-N263^4)/4,0)+IF(O263&gt;($N$4*5/10),($N$4*5/10)^2*(1.5*(O263^2-MAX(N263,($N$4*5/10))^2)-($N$4*5/10)*(O263-MAX(N263,($N$4*5/10)))),0))*1000,0)</f>
        <v>0</v>
      </c>
      <c r="AS263" s="120">
        <f>IF(AND(V263="OK",ISNUMBER($N$5),$N$5&gt;0,ISNUMBER($N$3),$N$3&gt;0),R263/(6*$N$3*1000000*$N$5)*(IF(N263&lt;($N$4*6/10),($N$4*6/10)*(MIN(O263,($N$4*6/10))^3-N263^3)-(MIN(O263,($N$4*6/10))^4-N263^4)/4,0)+IF(O263&gt;($N$4*6/10),($N$4*6/10)^2*(1.5*(O263^2-MAX(N263,($N$4*6/10))^2)-($N$4*6/10)*(O263-MAX(N263,($N$4*6/10)))),0))*1000,0)</f>
        <v>0</v>
      </c>
      <c r="AT263" s="120">
        <f>IF(AND(V263="OK",ISNUMBER($N$5),$N$5&gt;0,ISNUMBER($N$3),$N$3&gt;0),R263/(6*$N$3*1000000*$N$5)*(IF(N263&lt;($N$4*7/10),($N$4*7/10)*(MIN(O263,($N$4*7/10))^3-N263^3)-(MIN(O263,($N$4*7/10))^4-N263^4)/4,0)+IF(O263&gt;($N$4*7/10),($N$4*7/10)^2*(1.5*(O263^2-MAX(N263,($N$4*7/10))^2)-($N$4*7/10)*(O263-MAX(N263,($N$4*7/10)))),0))*1000,0)</f>
        <v>0</v>
      </c>
      <c r="AU263" s="120">
        <f>IF(AND(V263="OK",ISNUMBER($N$5),$N$5&gt;0,ISNUMBER($N$3),$N$3&gt;0),R263/(6*$N$3*1000000*$N$5)*(IF(N263&lt;($N$4*8/10),($N$4*8/10)*(MIN(O263,($N$4*8/10))^3-N263^3)-(MIN(O263,($N$4*8/10))^4-N263^4)/4,0)+IF(O263&gt;($N$4*8/10),($N$4*8/10)^2*(1.5*(O263^2-MAX(N263,($N$4*8/10))^2)-($N$4*8/10)*(O263-MAX(N263,($N$4*8/10)))),0))*1000,0)</f>
        <v>0</v>
      </c>
      <c r="AV263" s="120">
        <f>IF(AND(V263="OK",ISNUMBER($N$5),$N$5&gt;0,ISNUMBER($N$3),$N$3&gt;0),R263/(6*$N$3*1000000*$N$5)*(IF(N263&lt;($N$4*9/10),($N$4*9/10)*(MIN(O263,($N$4*9/10))^3-N263^3)-(MIN(O263,($N$4*9/10))^4-N263^4)/4,0)+IF(O263&gt;($N$4*9/10),($N$4*9/10)^2*(1.5*(O263^2-MAX(N263,($N$4*9/10))^2)-($N$4*9/10)*(O263-MAX(N263,($N$4*9/10)))),0))*1000,0)</f>
        <v>0</v>
      </c>
      <c r="AW263" s="120">
        <f>IF(AND(V263="OK",ISNUMBER($N$5),$N$5&gt;0,ISNUMBER($N$3),$N$3&gt;0),R263/(6*$N$3*1000000*$N$5)*(IF(N263&lt;($N$4*10/10),($N$4*10/10)*(MIN(O263,($N$4*10/10))^3-N263^3)-(MIN(O263,($N$4*10/10))^4-N263^4)/4,0)+IF(O263&gt;($N$4*10/10),($N$4*10/10)^2*(1.5*(O263^2-MAX(N263,($N$4*10/10))^2)-($N$4*10/10)*(O263-MAX(N263,($N$4*10/10)))),0))*1000,0)</f>
        <v>0</v>
      </c>
    </row>
    <row r="264" spans="1:49">
      <c r="A264" s="124"/>
      <c r="B264" s="125"/>
      <c r="C264" s="125"/>
      <c r="D264" s="125"/>
      <c r="E264" s="125"/>
      <c r="F264" s="126" t="str">
        <f>IF(J264="OK",D264*E264,"")</f>
        <v/>
      </c>
      <c r="G264" s="126" t="str">
        <f>IF(J264="OK",F264*(C264-B264),"")</f>
        <v/>
      </c>
      <c r="H264" s="126" t="str">
        <f>IF(J264="OK",G264*(C264+B264)/2,"")</f>
        <v/>
      </c>
      <c r="I264" s="126" t="str">
        <f>IF(AND(J264="OK",ISNUMBER($B$5),$B$5&gt;0,ISNUMBER($B$3),$B$3&gt;0),F264*(4*$B$4*(C264^3-B264^3)-(C264^4-B264^4))/(24*$B$3*1000000*$B$5)*1000,"")</f>
        <v/>
      </c>
      <c r="J264" s="120" t="str">
        <f>IF(COUNTA(A264:E264)=0,"",IF(AND(COUNT(B264:E264)=4,B264&gt;=0,C264&gt;B264,C264&lt;=$B$4,D264&gt;=0,E264&gt;0),IF(COUNTIFS($B$13:$B$263,"&lt;"&amp;C264,$C$13:$C$263,"&gt;"&amp;B264)&gt;0,"OVERLAP","OK"),"CHECK INPUTS"))</f>
        <v/>
      </c>
      <c r="M264" s="124"/>
      <c r="N264" s="125"/>
      <c r="O264" s="125"/>
      <c r="P264" s="125"/>
      <c r="Q264" s="125"/>
      <c r="R264" s="126" t="str">
        <f>IF(V264="OK",P264*Q264,"")</f>
        <v/>
      </c>
      <c r="S264" s="126" t="str">
        <f>IF(V264="OK",R264*(O264-N264),"")</f>
        <v/>
      </c>
      <c r="T264" s="126" t="str">
        <f>IF(V264="OK",S264*(O264+N264)/2,"")</f>
        <v/>
      </c>
      <c r="U264" s="126" t="str">
        <f>IF(AND(V264="OK",ISNUMBER($N$5),$N$5&gt;0,ISNUMBER($N$3),$N$3&gt;0),R264*(4*$N$4*(O264^3-N264^3)-(O264^4-N264^4))/(24*$N$3*1000000*$N$5)*1000,"")</f>
        <v/>
      </c>
      <c r="V264" s="120" t="str">
        <f>IF(COUNTA(M264:Q264)=0,"",IF(AND(COUNT(N264:Q264)=4,N264&gt;=0,O264&gt;N264,O264&lt;=$N$4,P264&gt;=0,Q264&gt;0),IF(COUNTIFS($N$13:$N$263,"&lt;"&amp;O264,$O$13:$O$263,"&gt;"&amp;N264)&gt;0,"OVERLAP","OK"),"CHECK INPUTS"))</f>
        <v/>
      </c>
      <c r="AA264" s="120">
        <f>IF(AND(J264="OK",ISNUMBER($B$5),$B$5&gt;0,ISNUMBER($B$3),$B$3&gt;0),F264/(6*$B$3*1000000*$B$5)*(IF(B264&lt;($B$4*0/10),($B$4*0/10)*(MIN(C264,($B$4*0/10))^3-B264^3)-(MIN(C264,($B$4*0/10))^4-B264^4)/4,0)+IF(C264&gt;($B$4*0/10),($B$4*0/10)^2*(1.5*(C264^2-MAX(B264,($B$4*0/10))^2)-($B$4*0/10)*(C264-MAX(B264,($B$4*0/10)))),0))*1000,0)</f>
        <v>0</v>
      </c>
      <c r="AB264" s="120">
        <f>IF(AND(J264="OK",ISNUMBER($B$5),$B$5&gt;0,ISNUMBER($B$3),$B$3&gt;0),F264/(6*$B$3*1000000*$B$5)*(IF(B264&lt;($B$4*1/10),($B$4*1/10)*(MIN(C264,($B$4*1/10))^3-B264^3)-(MIN(C264,($B$4*1/10))^4-B264^4)/4,0)+IF(C264&gt;($B$4*1/10),($B$4*1/10)^2*(1.5*(C264^2-MAX(B264,($B$4*1/10))^2)-($B$4*1/10)*(C264-MAX(B264,($B$4*1/10)))),0))*1000,0)</f>
        <v>0</v>
      </c>
      <c r="AC264" s="120">
        <f>IF(AND(J264="OK",ISNUMBER($B$5),$B$5&gt;0,ISNUMBER($B$3),$B$3&gt;0),F264/(6*$B$3*1000000*$B$5)*(IF(B264&lt;($B$4*2/10),($B$4*2/10)*(MIN(C264,($B$4*2/10))^3-B264^3)-(MIN(C264,($B$4*2/10))^4-B264^4)/4,0)+IF(C264&gt;($B$4*2/10),($B$4*2/10)^2*(1.5*(C264^2-MAX(B264,($B$4*2/10))^2)-($B$4*2/10)*(C264-MAX(B264,($B$4*2/10)))),0))*1000,0)</f>
        <v>0</v>
      </c>
      <c r="AD264" s="120">
        <f>IF(AND(J264="OK",ISNUMBER($B$5),$B$5&gt;0,ISNUMBER($B$3),$B$3&gt;0),F264/(6*$B$3*1000000*$B$5)*(IF(B264&lt;($B$4*3/10),($B$4*3/10)*(MIN(C264,($B$4*3/10))^3-B264^3)-(MIN(C264,($B$4*3/10))^4-B264^4)/4,0)+IF(C264&gt;($B$4*3/10),($B$4*3/10)^2*(1.5*(C264^2-MAX(B264,($B$4*3/10))^2)-($B$4*3/10)*(C264-MAX(B264,($B$4*3/10)))),0))*1000,0)</f>
        <v>0</v>
      </c>
      <c r="AE264" s="120">
        <f>IF(AND(J264="OK",ISNUMBER($B$5),$B$5&gt;0,ISNUMBER($B$3),$B$3&gt;0),F264/(6*$B$3*1000000*$B$5)*(IF(B264&lt;($B$4*4/10),($B$4*4/10)*(MIN(C264,($B$4*4/10))^3-B264^3)-(MIN(C264,($B$4*4/10))^4-B264^4)/4,0)+IF(C264&gt;($B$4*4/10),($B$4*4/10)^2*(1.5*(C264^2-MAX(B264,($B$4*4/10))^2)-($B$4*4/10)*(C264-MAX(B264,($B$4*4/10)))),0))*1000,0)</f>
        <v>0</v>
      </c>
      <c r="AF264" s="120">
        <f>IF(AND(J264="OK",ISNUMBER($B$5),$B$5&gt;0,ISNUMBER($B$3),$B$3&gt;0),F264/(6*$B$3*1000000*$B$5)*(IF(B264&lt;($B$4*5/10),($B$4*5/10)*(MIN(C264,($B$4*5/10))^3-B264^3)-(MIN(C264,($B$4*5/10))^4-B264^4)/4,0)+IF(C264&gt;($B$4*5/10),($B$4*5/10)^2*(1.5*(C264^2-MAX(B264,($B$4*5/10))^2)-($B$4*5/10)*(C264-MAX(B264,($B$4*5/10)))),0))*1000,0)</f>
        <v>0</v>
      </c>
      <c r="AG264" s="120">
        <f>IF(AND(J264="OK",ISNUMBER($B$5),$B$5&gt;0,ISNUMBER($B$3),$B$3&gt;0),F264/(6*$B$3*1000000*$B$5)*(IF(B264&lt;($B$4*6/10),($B$4*6/10)*(MIN(C264,($B$4*6/10))^3-B264^3)-(MIN(C264,($B$4*6/10))^4-B264^4)/4,0)+IF(C264&gt;($B$4*6/10),($B$4*6/10)^2*(1.5*(C264^2-MAX(B264,($B$4*6/10))^2)-($B$4*6/10)*(C264-MAX(B264,($B$4*6/10)))),0))*1000,0)</f>
        <v>0</v>
      </c>
      <c r="AH264" s="120">
        <f>IF(AND(J264="OK",ISNUMBER($B$5),$B$5&gt;0,ISNUMBER($B$3),$B$3&gt;0),F264/(6*$B$3*1000000*$B$5)*(IF(B264&lt;($B$4*7/10),($B$4*7/10)*(MIN(C264,($B$4*7/10))^3-B264^3)-(MIN(C264,($B$4*7/10))^4-B264^4)/4,0)+IF(C264&gt;($B$4*7/10),($B$4*7/10)^2*(1.5*(C264^2-MAX(B264,($B$4*7/10))^2)-($B$4*7/10)*(C264-MAX(B264,($B$4*7/10)))),0))*1000,0)</f>
        <v>0</v>
      </c>
      <c r="AI264" s="120">
        <f>IF(AND(J264="OK",ISNUMBER($B$5),$B$5&gt;0,ISNUMBER($B$3),$B$3&gt;0),F264/(6*$B$3*1000000*$B$5)*(IF(B264&lt;($B$4*8/10),($B$4*8/10)*(MIN(C264,($B$4*8/10))^3-B264^3)-(MIN(C264,($B$4*8/10))^4-B264^4)/4,0)+IF(C264&gt;($B$4*8/10),($B$4*8/10)^2*(1.5*(C264^2-MAX(B264,($B$4*8/10))^2)-($B$4*8/10)*(C264-MAX(B264,($B$4*8/10)))),0))*1000,0)</f>
        <v>0</v>
      </c>
      <c r="AJ264" s="120">
        <f>IF(AND(J264="OK",ISNUMBER($B$5),$B$5&gt;0,ISNUMBER($B$3),$B$3&gt;0),F264/(6*$B$3*1000000*$B$5)*(IF(B264&lt;($B$4*9/10),($B$4*9/10)*(MIN(C264,($B$4*9/10))^3-B264^3)-(MIN(C264,($B$4*9/10))^4-B264^4)/4,0)+IF(C264&gt;($B$4*9/10),($B$4*9/10)^2*(1.5*(C264^2-MAX(B264,($B$4*9/10))^2)-($B$4*9/10)*(C264-MAX(B264,($B$4*9/10)))),0))*1000,0)</f>
        <v>0</v>
      </c>
      <c r="AK264" s="120">
        <f>IF(AND(J264="OK",ISNUMBER($B$5),$B$5&gt;0,ISNUMBER($B$3),$B$3&gt;0),F264/(6*$B$3*1000000*$B$5)*(IF(B264&lt;($B$4*10/10),($B$4*10/10)*(MIN(C264,($B$4*10/10))^3-B264^3)-(MIN(C264,($B$4*10/10))^4-B264^4)/4,0)+IF(C264&gt;($B$4*10/10),($B$4*10/10)^2*(1.5*(C264^2-MAX(B264,($B$4*10/10))^2)-($B$4*10/10)*(C264-MAX(B264,($B$4*10/10)))),0))*1000,0)</f>
        <v>0</v>
      </c>
      <c r="AM264" s="120">
        <f>IF(AND(V264="OK",ISNUMBER($N$5),$N$5&gt;0,ISNUMBER($N$3),$N$3&gt;0),R264/(6*$N$3*1000000*$N$5)*(IF(N264&lt;($N$4*0/10),($N$4*0/10)*(MIN(O264,($N$4*0/10))^3-N264^3)-(MIN(O264,($N$4*0/10))^4-N264^4)/4,0)+IF(O264&gt;($N$4*0/10),($N$4*0/10)^2*(1.5*(O264^2-MAX(N264,($N$4*0/10))^2)-($N$4*0/10)*(O264-MAX(N264,($N$4*0/10)))),0))*1000,0)</f>
        <v>0</v>
      </c>
      <c r="AN264" s="120">
        <f>IF(AND(V264="OK",ISNUMBER($N$5),$N$5&gt;0,ISNUMBER($N$3),$N$3&gt;0),R264/(6*$N$3*1000000*$N$5)*(IF(N264&lt;($N$4*1/10),($N$4*1/10)*(MIN(O264,($N$4*1/10))^3-N264^3)-(MIN(O264,($N$4*1/10))^4-N264^4)/4,0)+IF(O264&gt;($N$4*1/10),($N$4*1/10)^2*(1.5*(O264^2-MAX(N264,($N$4*1/10))^2)-($N$4*1/10)*(O264-MAX(N264,($N$4*1/10)))),0))*1000,0)</f>
        <v>0</v>
      </c>
      <c r="AO264" s="120">
        <f>IF(AND(V264="OK",ISNUMBER($N$5),$N$5&gt;0,ISNUMBER($N$3),$N$3&gt;0),R264/(6*$N$3*1000000*$N$5)*(IF(N264&lt;($N$4*2/10),($N$4*2/10)*(MIN(O264,($N$4*2/10))^3-N264^3)-(MIN(O264,($N$4*2/10))^4-N264^4)/4,0)+IF(O264&gt;($N$4*2/10),($N$4*2/10)^2*(1.5*(O264^2-MAX(N264,($N$4*2/10))^2)-($N$4*2/10)*(O264-MAX(N264,($N$4*2/10)))),0))*1000,0)</f>
        <v>0</v>
      </c>
      <c r="AP264" s="120">
        <f>IF(AND(V264="OK",ISNUMBER($N$5),$N$5&gt;0,ISNUMBER($N$3),$N$3&gt;0),R264/(6*$N$3*1000000*$N$5)*(IF(N264&lt;($N$4*3/10),($N$4*3/10)*(MIN(O264,($N$4*3/10))^3-N264^3)-(MIN(O264,($N$4*3/10))^4-N264^4)/4,0)+IF(O264&gt;($N$4*3/10),($N$4*3/10)^2*(1.5*(O264^2-MAX(N264,($N$4*3/10))^2)-($N$4*3/10)*(O264-MAX(N264,($N$4*3/10)))),0))*1000,0)</f>
        <v>0</v>
      </c>
      <c r="AQ264" s="120">
        <f>IF(AND(V264="OK",ISNUMBER($N$5),$N$5&gt;0,ISNUMBER($N$3),$N$3&gt;0),R264/(6*$N$3*1000000*$N$5)*(IF(N264&lt;($N$4*4/10),($N$4*4/10)*(MIN(O264,($N$4*4/10))^3-N264^3)-(MIN(O264,($N$4*4/10))^4-N264^4)/4,0)+IF(O264&gt;($N$4*4/10),($N$4*4/10)^2*(1.5*(O264^2-MAX(N264,($N$4*4/10))^2)-($N$4*4/10)*(O264-MAX(N264,($N$4*4/10)))),0))*1000,0)</f>
        <v>0</v>
      </c>
      <c r="AR264" s="120">
        <f>IF(AND(V264="OK",ISNUMBER($N$5),$N$5&gt;0,ISNUMBER($N$3),$N$3&gt;0),R264/(6*$N$3*1000000*$N$5)*(IF(N264&lt;($N$4*5/10),($N$4*5/10)*(MIN(O264,($N$4*5/10))^3-N264^3)-(MIN(O264,($N$4*5/10))^4-N264^4)/4,0)+IF(O264&gt;($N$4*5/10),($N$4*5/10)^2*(1.5*(O264^2-MAX(N264,($N$4*5/10))^2)-($N$4*5/10)*(O264-MAX(N264,($N$4*5/10)))),0))*1000,0)</f>
        <v>0</v>
      </c>
      <c r="AS264" s="120">
        <f>IF(AND(V264="OK",ISNUMBER($N$5),$N$5&gt;0,ISNUMBER($N$3),$N$3&gt;0),R264/(6*$N$3*1000000*$N$5)*(IF(N264&lt;($N$4*6/10),($N$4*6/10)*(MIN(O264,($N$4*6/10))^3-N264^3)-(MIN(O264,($N$4*6/10))^4-N264^4)/4,0)+IF(O264&gt;($N$4*6/10),($N$4*6/10)^2*(1.5*(O264^2-MAX(N264,($N$4*6/10))^2)-($N$4*6/10)*(O264-MAX(N264,($N$4*6/10)))),0))*1000,0)</f>
        <v>0</v>
      </c>
      <c r="AT264" s="120">
        <f>IF(AND(V264="OK",ISNUMBER($N$5),$N$5&gt;0,ISNUMBER($N$3),$N$3&gt;0),R264/(6*$N$3*1000000*$N$5)*(IF(N264&lt;($N$4*7/10),($N$4*7/10)*(MIN(O264,($N$4*7/10))^3-N264^3)-(MIN(O264,($N$4*7/10))^4-N264^4)/4,0)+IF(O264&gt;($N$4*7/10),($N$4*7/10)^2*(1.5*(O264^2-MAX(N264,($N$4*7/10))^2)-($N$4*7/10)*(O264-MAX(N264,($N$4*7/10)))),0))*1000,0)</f>
        <v>0</v>
      </c>
      <c r="AU264" s="120">
        <f>IF(AND(V264="OK",ISNUMBER($N$5),$N$5&gt;0,ISNUMBER($N$3),$N$3&gt;0),R264/(6*$N$3*1000000*$N$5)*(IF(N264&lt;($N$4*8/10),($N$4*8/10)*(MIN(O264,($N$4*8/10))^3-N264^3)-(MIN(O264,($N$4*8/10))^4-N264^4)/4,0)+IF(O264&gt;($N$4*8/10),($N$4*8/10)^2*(1.5*(O264^2-MAX(N264,($N$4*8/10))^2)-($N$4*8/10)*(O264-MAX(N264,($N$4*8/10)))),0))*1000,0)</f>
        <v>0</v>
      </c>
      <c r="AV264" s="120">
        <f>IF(AND(V264="OK",ISNUMBER($N$5),$N$5&gt;0,ISNUMBER($N$3),$N$3&gt;0),R264/(6*$N$3*1000000*$N$5)*(IF(N264&lt;($N$4*9/10),($N$4*9/10)*(MIN(O264,($N$4*9/10))^3-N264^3)-(MIN(O264,($N$4*9/10))^4-N264^4)/4,0)+IF(O264&gt;($N$4*9/10),($N$4*9/10)^2*(1.5*(O264^2-MAX(N264,($N$4*9/10))^2)-($N$4*9/10)*(O264-MAX(N264,($N$4*9/10)))),0))*1000,0)</f>
        <v>0</v>
      </c>
      <c r="AW264" s="120">
        <f>IF(AND(V264="OK",ISNUMBER($N$5),$N$5&gt;0,ISNUMBER($N$3),$N$3&gt;0),R264/(6*$N$3*1000000*$N$5)*(IF(N264&lt;($N$4*10/10),($N$4*10/10)*(MIN(O264,($N$4*10/10))^3-N264^3)-(MIN(O264,($N$4*10/10))^4-N264^4)/4,0)+IF(O264&gt;($N$4*10/10),($N$4*10/10)^2*(1.5*(O264^2-MAX(N264,($N$4*10/10))^2)-($N$4*10/10)*(O264-MAX(N264,($N$4*10/10)))),0))*1000,0)</f>
        <v>0</v>
      </c>
    </row>
    <row r="265" spans="1:49">
      <c r="A265" s="124"/>
      <c r="B265" s="125"/>
      <c r="C265" s="125"/>
      <c r="D265" s="125"/>
      <c r="E265" s="125"/>
      <c r="F265" s="126" t="str">
        <f>IF(J265="OK",D265*E265,"")</f>
        <v/>
      </c>
      <c r="G265" s="126" t="str">
        <f>IF(J265="OK",F265*(C265-B265),"")</f>
        <v/>
      </c>
      <c r="H265" s="126" t="str">
        <f>IF(J265="OK",G265*(C265+B265)/2,"")</f>
        <v/>
      </c>
      <c r="I265" s="126" t="str">
        <f>IF(AND(J265="OK",ISNUMBER($B$5),$B$5&gt;0,ISNUMBER($B$3),$B$3&gt;0),F265*(4*$B$4*(C265^3-B265^3)-(C265^4-B265^4))/(24*$B$3*1000000*$B$5)*1000,"")</f>
        <v/>
      </c>
      <c r="J265" s="120" t="str">
        <f>IF(COUNTA(A265:E265)=0,"",IF(AND(COUNT(B265:E265)=4,B265&gt;=0,C265&gt;B265,C265&lt;=$B$4,D265&gt;=0,E265&gt;0),IF(COUNTIFS($B$13:$B$264,"&lt;"&amp;C265,$C$13:$C$264,"&gt;"&amp;B265)&gt;0,"OVERLAP","OK"),"CHECK INPUTS"))</f>
        <v/>
      </c>
      <c r="M265" s="124"/>
      <c r="N265" s="125"/>
      <c r="O265" s="125"/>
      <c r="P265" s="125"/>
      <c r="Q265" s="125"/>
      <c r="R265" s="126" t="str">
        <f>IF(V265="OK",P265*Q265,"")</f>
        <v/>
      </c>
      <c r="S265" s="126" t="str">
        <f>IF(V265="OK",R265*(O265-N265),"")</f>
        <v/>
      </c>
      <c r="T265" s="126" t="str">
        <f>IF(V265="OK",S265*(O265+N265)/2,"")</f>
        <v/>
      </c>
      <c r="U265" s="126" t="str">
        <f>IF(AND(V265="OK",ISNUMBER($N$5),$N$5&gt;0,ISNUMBER($N$3),$N$3&gt;0),R265*(4*$N$4*(O265^3-N265^3)-(O265^4-N265^4))/(24*$N$3*1000000*$N$5)*1000,"")</f>
        <v/>
      </c>
      <c r="V265" s="120" t="str">
        <f>IF(COUNTA(M265:Q265)=0,"",IF(AND(COUNT(N265:Q265)=4,N265&gt;=0,O265&gt;N265,O265&lt;=$N$4,P265&gt;=0,Q265&gt;0),IF(COUNTIFS($N$13:$N$264,"&lt;"&amp;O265,$O$13:$O$264,"&gt;"&amp;N265)&gt;0,"OVERLAP","OK"),"CHECK INPUTS"))</f>
        <v/>
      </c>
      <c r="AA265" s="120">
        <f>IF(AND(J265="OK",ISNUMBER($B$5),$B$5&gt;0,ISNUMBER($B$3),$B$3&gt;0),F265/(6*$B$3*1000000*$B$5)*(IF(B265&lt;($B$4*0/10),($B$4*0/10)*(MIN(C265,($B$4*0/10))^3-B265^3)-(MIN(C265,($B$4*0/10))^4-B265^4)/4,0)+IF(C265&gt;($B$4*0/10),($B$4*0/10)^2*(1.5*(C265^2-MAX(B265,($B$4*0/10))^2)-($B$4*0/10)*(C265-MAX(B265,($B$4*0/10)))),0))*1000,0)</f>
        <v>0</v>
      </c>
      <c r="AB265" s="120">
        <f>IF(AND(J265="OK",ISNUMBER($B$5),$B$5&gt;0,ISNUMBER($B$3),$B$3&gt;0),F265/(6*$B$3*1000000*$B$5)*(IF(B265&lt;($B$4*1/10),($B$4*1/10)*(MIN(C265,($B$4*1/10))^3-B265^3)-(MIN(C265,($B$4*1/10))^4-B265^4)/4,0)+IF(C265&gt;($B$4*1/10),($B$4*1/10)^2*(1.5*(C265^2-MAX(B265,($B$4*1/10))^2)-($B$4*1/10)*(C265-MAX(B265,($B$4*1/10)))),0))*1000,0)</f>
        <v>0</v>
      </c>
      <c r="AC265" s="120">
        <f>IF(AND(J265="OK",ISNUMBER($B$5),$B$5&gt;0,ISNUMBER($B$3),$B$3&gt;0),F265/(6*$B$3*1000000*$B$5)*(IF(B265&lt;($B$4*2/10),($B$4*2/10)*(MIN(C265,($B$4*2/10))^3-B265^3)-(MIN(C265,($B$4*2/10))^4-B265^4)/4,0)+IF(C265&gt;($B$4*2/10),($B$4*2/10)^2*(1.5*(C265^2-MAX(B265,($B$4*2/10))^2)-($B$4*2/10)*(C265-MAX(B265,($B$4*2/10)))),0))*1000,0)</f>
        <v>0</v>
      </c>
      <c r="AD265" s="120">
        <f>IF(AND(J265="OK",ISNUMBER($B$5),$B$5&gt;0,ISNUMBER($B$3),$B$3&gt;0),F265/(6*$B$3*1000000*$B$5)*(IF(B265&lt;($B$4*3/10),($B$4*3/10)*(MIN(C265,($B$4*3/10))^3-B265^3)-(MIN(C265,($B$4*3/10))^4-B265^4)/4,0)+IF(C265&gt;($B$4*3/10),($B$4*3/10)^2*(1.5*(C265^2-MAX(B265,($B$4*3/10))^2)-($B$4*3/10)*(C265-MAX(B265,($B$4*3/10)))),0))*1000,0)</f>
        <v>0</v>
      </c>
      <c r="AE265" s="120">
        <f>IF(AND(J265="OK",ISNUMBER($B$5),$B$5&gt;0,ISNUMBER($B$3),$B$3&gt;0),F265/(6*$B$3*1000000*$B$5)*(IF(B265&lt;($B$4*4/10),($B$4*4/10)*(MIN(C265,($B$4*4/10))^3-B265^3)-(MIN(C265,($B$4*4/10))^4-B265^4)/4,0)+IF(C265&gt;($B$4*4/10),($B$4*4/10)^2*(1.5*(C265^2-MAX(B265,($B$4*4/10))^2)-($B$4*4/10)*(C265-MAX(B265,($B$4*4/10)))),0))*1000,0)</f>
        <v>0</v>
      </c>
      <c r="AF265" s="120">
        <f>IF(AND(J265="OK",ISNUMBER($B$5),$B$5&gt;0,ISNUMBER($B$3),$B$3&gt;0),F265/(6*$B$3*1000000*$B$5)*(IF(B265&lt;($B$4*5/10),($B$4*5/10)*(MIN(C265,($B$4*5/10))^3-B265^3)-(MIN(C265,($B$4*5/10))^4-B265^4)/4,0)+IF(C265&gt;($B$4*5/10),($B$4*5/10)^2*(1.5*(C265^2-MAX(B265,($B$4*5/10))^2)-($B$4*5/10)*(C265-MAX(B265,($B$4*5/10)))),0))*1000,0)</f>
        <v>0</v>
      </c>
      <c r="AG265" s="120">
        <f>IF(AND(J265="OK",ISNUMBER($B$5),$B$5&gt;0,ISNUMBER($B$3),$B$3&gt;0),F265/(6*$B$3*1000000*$B$5)*(IF(B265&lt;($B$4*6/10),($B$4*6/10)*(MIN(C265,($B$4*6/10))^3-B265^3)-(MIN(C265,($B$4*6/10))^4-B265^4)/4,0)+IF(C265&gt;($B$4*6/10),($B$4*6/10)^2*(1.5*(C265^2-MAX(B265,($B$4*6/10))^2)-($B$4*6/10)*(C265-MAX(B265,($B$4*6/10)))),0))*1000,0)</f>
        <v>0</v>
      </c>
      <c r="AH265" s="120">
        <f>IF(AND(J265="OK",ISNUMBER($B$5),$B$5&gt;0,ISNUMBER($B$3),$B$3&gt;0),F265/(6*$B$3*1000000*$B$5)*(IF(B265&lt;($B$4*7/10),($B$4*7/10)*(MIN(C265,($B$4*7/10))^3-B265^3)-(MIN(C265,($B$4*7/10))^4-B265^4)/4,0)+IF(C265&gt;($B$4*7/10),($B$4*7/10)^2*(1.5*(C265^2-MAX(B265,($B$4*7/10))^2)-($B$4*7/10)*(C265-MAX(B265,($B$4*7/10)))),0))*1000,0)</f>
        <v>0</v>
      </c>
      <c r="AI265" s="120">
        <f>IF(AND(J265="OK",ISNUMBER($B$5),$B$5&gt;0,ISNUMBER($B$3),$B$3&gt;0),F265/(6*$B$3*1000000*$B$5)*(IF(B265&lt;($B$4*8/10),($B$4*8/10)*(MIN(C265,($B$4*8/10))^3-B265^3)-(MIN(C265,($B$4*8/10))^4-B265^4)/4,0)+IF(C265&gt;($B$4*8/10),($B$4*8/10)^2*(1.5*(C265^2-MAX(B265,($B$4*8/10))^2)-($B$4*8/10)*(C265-MAX(B265,($B$4*8/10)))),0))*1000,0)</f>
        <v>0</v>
      </c>
      <c r="AJ265" s="120">
        <f>IF(AND(J265="OK",ISNUMBER($B$5),$B$5&gt;0,ISNUMBER($B$3),$B$3&gt;0),F265/(6*$B$3*1000000*$B$5)*(IF(B265&lt;($B$4*9/10),($B$4*9/10)*(MIN(C265,($B$4*9/10))^3-B265^3)-(MIN(C265,($B$4*9/10))^4-B265^4)/4,0)+IF(C265&gt;($B$4*9/10),($B$4*9/10)^2*(1.5*(C265^2-MAX(B265,($B$4*9/10))^2)-($B$4*9/10)*(C265-MAX(B265,($B$4*9/10)))),0))*1000,0)</f>
        <v>0</v>
      </c>
      <c r="AK265" s="120">
        <f>IF(AND(J265="OK",ISNUMBER($B$5),$B$5&gt;0,ISNUMBER($B$3),$B$3&gt;0),F265/(6*$B$3*1000000*$B$5)*(IF(B265&lt;($B$4*10/10),($B$4*10/10)*(MIN(C265,($B$4*10/10))^3-B265^3)-(MIN(C265,($B$4*10/10))^4-B265^4)/4,0)+IF(C265&gt;($B$4*10/10),($B$4*10/10)^2*(1.5*(C265^2-MAX(B265,($B$4*10/10))^2)-($B$4*10/10)*(C265-MAX(B265,($B$4*10/10)))),0))*1000,0)</f>
        <v>0</v>
      </c>
      <c r="AM265" s="120">
        <f>IF(AND(V265="OK",ISNUMBER($N$5),$N$5&gt;0,ISNUMBER($N$3),$N$3&gt;0),R265/(6*$N$3*1000000*$N$5)*(IF(N265&lt;($N$4*0/10),($N$4*0/10)*(MIN(O265,($N$4*0/10))^3-N265^3)-(MIN(O265,($N$4*0/10))^4-N265^4)/4,0)+IF(O265&gt;($N$4*0/10),($N$4*0/10)^2*(1.5*(O265^2-MAX(N265,($N$4*0/10))^2)-($N$4*0/10)*(O265-MAX(N265,($N$4*0/10)))),0))*1000,0)</f>
        <v>0</v>
      </c>
      <c r="AN265" s="120">
        <f>IF(AND(V265="OK",ISNUMBER($N$5),$N$5&gt;0,ISNUMBER($N$3),$N$3&gt;0),R265/(6*$N$3*1000000*$N$5)*(IF(N265&lt;($N$4*1/10),($N$4*1/10)*(MIN(O265,($N$4*1/10))^3-N265^3)-(MIN(O265,($N$4*1/10))^4-N265^4)/4,0)+IF(O265&gt;($N$4*1/10),($N$4*1/10)^2*(1.5*(O265^2-MAX(N265,($N$4*1/10))^2)-($N$4*1/10)*(O265-MAX(N265,($N$4*1/10)))),0))*1000,0)</f>
        <v>0</v>
      </c>
      <c r="AO265" s="120">
        <f>IF(AND(V265="OK",ISNUMBER($N$5),$N$5&gt;0,ISNUMBER($N$3),$N$3&gt;0),R265/(6*$N$3*1000000*$N$5)*(IF(N265&lt;($N$4*2/10),($N$4*2/10)*(MIN(O265,($N$4*2/10))^3-N265^3)-(MIN(O265,($N$4*2/10))^4-N265^4)/4,0)+IF(O265&gt;($N$4*2/10),($N$4*2/10)^2*(1.5*(O265^2-MAX(N265,($N$4*2/10))^2)-($N$4*2/10)*(O265-MAX(N265,($N$4*2/10)))),0))*1000,0)</f>
        <v>0</v>
      </c>
      <c r="AP265" s="120">
        <f>IF(AND(V265="OK",ISNUMBER($N$5),$N$5&gt;0,ISNUMBER($N$3),$N$3&gt;0),R265/(6*$N$3*1000000*$N$5)*(IF(N265&lt;($N$4*3/10),($N$4*3/10)*(MIN(O265,($N$4*3/10))^3-N265^3)-(MIN(O265,($N$4*3/10))^4-N265^4)/4,0)+IF(O265&gt;($N$4*3/10),($N$4*3/10)^2*(1.5*(O265^2-MAX(N265,($N$4*3/10))^2)-($N$4*3/10)*(O265-MAX(N265,($N$4*3/10)))),0))*1000,0)</f>
        <v>0</v>
      </c>
      <c r="AQ265" s="120">
        <f>IF(AND(V265="OK",ISNUMBER($N$5),$N$5&gt;0,ISNUMBER($N$3),$N$3&gt;0),R265/(6*$N$3*1000000*$N$5)*(IF(N265&lt;($N$4*4/10),($N$4*4/10)*(MIN(O265,($N$4*4/10))^3-N265^3)-(MIN(O265,($N$4*4/10))^4-N265^4)/4,0)+IF(O265&gt;($N$4*4/10),($N$4*4/10)^2*(1.5*(O265^2-MAX(N265,($N$4*4/10))^2)-($N$4*4/10)*(O265-MAX(N265,($N$4*4/10)))),0))*1000,0)</f>
        <v>0</v>
      </c>
      <c r="AR265" s="120">
        <f>IF(AND(V265="OK",ISNUMBER($N$5),$N$5&gt;0,ISNUMBER($N$3),$N$3&gt;0),R265/(6*$N$3*1000000*$N$5)*(IF(N265&lt;($N$4*5/10),($N$4*5/10)*(MIN(O265,($N$4*5/10))^3-N265^3)-(MIN(O265,($N$4*5/10))^4-N265^4)/4,0)+IF(O265&gt;($N$4*5/10),($N$4*5/10)^2*(1.5*(O265^2-MAX(N265,($N$4*5/10))^2)-($N$4*5/10)*(O265-MAX(N265,($N$4*5/10)))),0))*1000,0)</f>
        <v>0</v>
      </c>
      <c r="AS265" s="120">
        <f>IF(AND(V265="OK",ISNUMBER($N$5),$N$5&gt;0,ISNUMBER($N$3),$N$3&gt;0),R265/(6*$N$3*1000000*$N$5)*(IF(N265&lt;($N$4*6/10),($N$4*6/10)*(MIN(O265,($N$4*6/10))^3-N265^3)-(MIN(O265,($N$4*6/10))^4-N265^4)/4,0)+IF(O265&gt;($N$4*6/10),($N$4*6/10)^2*(1.5*(O265^2-MAX(N265,($N$4*6/10))^2)-($N$4*6/10)*(O265-MAX(N265,($N$4*6/10)))),0))*1000,0)</f>
        <v>0</v>
      </c>
      <c r="AT265" s="120">
        <f>IF(AND(V265="OK",ISNUMBER($N$5),$N$5&gt;0,ISNUMBER($N$3),$N$3&gt;0),R265/(6*$N$3*1000000*$N$5)*(IF(N265&lt;($N$4*7/10),($N$4*7/10)*(MIN(O265,($N$4*7/10))^3-N265^3)-(MIN(O265,($N$4*7/10))^4-N265^4)/4,0)+IF(O265&gt;($N$4*7/10),($N$4*7/10)^2*(1.5*(O265^2-MAX(N265,($N$4*7/10))^2)-($N$4*7/10)*(O265-MAX(N265,($N$4*7/10)))),0))*1000,0)</f>
        <v>0</v>
      </c>
      <c r="AU265" s="120">
        <f>IF(AND(V265="OK",ISNUMBER($N$5),$N$5&gt;0,ISNUMBER($N$3),$N$3&gt;0),R265/(6*$N$3*1000000*$N$5)*(IF(N265&lt;($N$4*8/10),($N$4*8/10)*(MIN(O265,($N$4*8/10))^3-N265^3)-(MIN(O265,($N$4*8/10))^4-N265^4)/4,0)+IF(O265&gt;($N$4*8/10),($N$4*8/10)^2*(1.5*(O265^2-MAX(N265,($N$4*8/10))^2)-($N$4*8/10)*(O265-MAX(N265,($N$4*8/10)))),0))*1000,0)</f>
        <v>0</v>
      </c>
      <c r="AV265" s="120">
        <f>IF(AND(V265="OK",ISNUMBER($N$5),$N$5&gt;0,ISNUMBER($N$3),$N$3&gt;0),R265/(6*$N$3*1000000*$N$5)*(IF(N265&lt;($N$4*9/10),($N$4*9/10)*(MIN(O265,($N$4*9/10))^3-N265^3)-(MIN(O265,($N$4*9/10))^4-N265^4)/4,0)+IF(O265&gt;($N$4*9/10),($N$4*9/10)^2*(1.5*(O265^2-MAX(N265,($N$4*9/10))^2)-($N$4*9/10)*(O265-MAX(N265,($N$4*9/10)))),0))*1000,0)</f>
        <v>0</v>
      </c>
      <c r="AW265" s="120">
        <f>IF(AND(V265="OK",ISNUMBER($N$5),$N$5&gt;0,ISNUMBER($N$3),$N$3&gt;0),R265/(6*$N$3*1000000*$N$5)*(IF(N265&lt;($N$4*10/10),($N$4*10/10)*(MIN(O265,($N$4*10/10))^3-N265^3)-(MIN(O265,($N$4*10/10))^4-N265^4)/4,0)+IF(O265&gt;($N$4*10/10),($N$4*10/10)^2*(1.5*(O265^2-MAX(N265,($N$4*10/10))^2)-($N$4*10/10)*(O265-MAX(N265,($N$4*10/10)))),0))*1000,0)</f>
        <v>0</v>
      </c>
    </row>
    <row r="266" spans="1:49">
      <c r="A266" s="124"/>
      <c r="B266" s="125"/>
      <c r="C266" s="125"/>
      <c r="D266" s="125"/>
      <c r="E266" s="125"/>
      <c r="F266" s="126" t="str">
        <f>IF(J266="OK",D266*E266,"")</f>
        <v/>
      </c>
      <c r="G266" s="126" t="str">
        <f>IF(J266="OK",F266*(C266-B266),"")</f>
        <v/>
      </c>
      <c r="H266" s="126" t="str">
        <f>IF(J266="OK",G266*(C266+B266)/2,"")</f>
        <v/>
      </c>
      <c r="I266" s="126" t="str">
        <f>IF(AND(J266="OK",ISNUMBER($B$5),$B$5&gt;0,ISNUMBER($B$3),$B$3&gt;0),F266*(4*$B$4*(C266^3-B266^3)-(C266^4-B266^4))/(24*$B$3*1000000*$B$5)*1000,"")</f>
        <v/>
      </c>
      <c r="J266" s="120" t="str">
        <f>IF(COUNTA(A266:E266)=0,"",IF(AND(COUNT(B266:E266)=4,B266&gt;=0,C266&gt;B266,C266&lt;=$B$4,D266&gt;=0,E266&gt;0),IF(COUNTIFS($B$13:$B$265,"&lt;"&amp;C266,$C$13:$C$265,"&gt;"&amp;B266)&gt;0,"OVERLAP","OK"),"CHECK INPUTS"))</f>
        <v/>
      </c>
      <c r="M266" s="124"/>
      <c r="N266" s="125"/>
      <c r="O266" s="125"/>
      <c r="P266" s="125"/>
      <c r="Q266" s="125"/>
      <c r="R266" s="126" t="str">
        <f>IF(V266="OK",P266*Q266,"")</f>
        <v/>
      </c>
      <c r="S266" s="126" t="str">
        <f>IF(V266="OK",R266*(O266-N266),"")</f>
        <v/>
      </c>
      <c r="T266" s="126" t="str">
        <f>IF(V266="OK",S266*(O266+N266)/2,"")</f>
        <v/>
      </c>
      <c r="U266" s="126" t="str">
        <f>IF(AND(V266="OK",ISNUMBER($N$5),$N$5&gt;0,ISNUMBER($N$3),$N$3&gt;0),R266*(4*$N$4*(O266^3-N266^3)-(O266^4-N266^4))/(24*$N$3*1000000*$N$5)*1000,"")</f>
        <v/>
      </c>
      <c r="V266" s="120" t="str">
        <f>IF(COUNTA(M266:Q266)=0,"",IF(AND(COUNT(N266:Q266)=4,N266&gt;=0,O266&gt;N266,O266&lt;=$N$4,P266&gt;=0,Q266&gt;0),IF(COUNTIFS($N$13:$N$265,"&lt;"&amp;O266,$O$13:$O$265,"&gt;"&amp;N266)&gt;0,"OVERLAP","OK"),"CHECK INPUTS"))</f>
        <v/>
      </c>
      <c r="AA266" s="120">
        <f>IF(AND(J266="OK",ISNUMBER($B$5),$B$5&gt;0,ISNUMBER($B$3),$B$3&gt;0),F266/(6*$B$3*1000000*$B$5)*(IF(B266&lt;($B$4*0/10),($B$4*0/10)*(MIN(C266,($B$4*0/10))^3-B266^3)-(MIN(C266,($B$4*0/10))^4-B266^4)/4,0)+IF(C266&gt;($B$4*0/10),($B$4*0/10)^2*(1.5*(C266^2-MAX(B266,($B$4*0/10))^2)-($B$4*0/10)*(C266-MAX(B266,($B$4*0/10)))),0))*1000,0)</f>
        <v>0</v>
      </c>
      <c r="AB266" s="120">
        <f>IF(AND(J266="OK",ISNUMBER($B$5),$B$5&gt;0,ISNUMBER($B$3),$B$3&gt;0),F266/(6*$B$3*1000000*$B$5)*(IF(B266&lt;($B$4*1/10),($B$4*1/10)*(MIN(C266,($B$4*1/10))^3-B266^3)-(MIN(C266,($B$4*1/10))^4-B266^4)/4,0)+IF(C266&gt;($B$4*1/10),($B$4*1/10)^2*(1.5*(C266^2-MAX(B266,($B$4*1/10))^2)-($B$4*1/10)*(C266-MAX(B266,($B$4*1/10)))),0))*1000,0)</f>
        <v>0</v>
      </c>
      <c r="AC266" s="120">
        <f>IF(AND(J266="OK",ISNUMBER($B$5),$B$5&gt;0,ISNUMBER($B$3),$B$3&gt;0),F266/(6*$B$3*1000000*$B$5)*(IF(B266&lt;($B$4*2/10),($B$4*2/10)*(MIN(C266,($B$4*2/10))^3-B266^3)-(MIN(C266,($B$4*2/10))^4-B266^4)/4,0)+IF(C266&gt;($B$4*2/10),($B$4*2/10)^2*(1.5*(C266^2-MAX(B266,($B$4*2/10))^2)-($B$4*2/10)*(C266-MAX(B266,($B$4*2/10)))),0))*1000,0)</f>
        <v>0</v>
      </c>
      <c r="AD266" s="120">
        <f>IF(AND(J266="OK",ISNUMBER($B$5),$B$5&gt;0,ISNUMBER($B$3),$B$3&gt;0),F266/(6*$B$3*1000000*$B$5)*(IF(B266&lt;($B$4*3/10),($B$4*3/10)*(MIN(C266,($B$4*3/10))^3-B266^3)-(MIN(C266,($B$4*3/10))^4-B266^4)/4,0)+IF(C266&gt;($B$4*3/10),($B$4*3/10)^2*(1.5*(C266^2-MAX(B266,($B$4*3/10))^2)-($B$4*3/10)*(C266-MAX(B266,($B$4*3/10)))),0))*1000,0)</f>
        <v>0</v>
      </c>
      <c r="AE266" s="120">
        <f>IF(AND(J266="OK",ISNUMBER($B$5),$B$5&gt;0,ISNUMBER($B$3),$B$3&gt;0),F266/(6*$B$3*1000000*$B$5)*(IF(B266&lt;($B$4*4/10),($B$4*4/10)*(MIN(C266,($B$4*4/10))^3-B266^3)-(MIN(C266,($B$4*4/10))^4-B266^4)/4,0)+IF(C266&gt;($B$4*4/10),($B$4*4/10)^2*(1.5*(C266^2-MAX(B266,($B$4*4/10))^2)-($B$4*4/10)*(C266-MAX(B266,($B$4*4/10)))),0))*1000,0)</f>
        <v>0</v>
      </c>
      <c r="AF266" s="120">
        <f>IF(AND(J266="OK",ISNUMBER($B$5),$B$5&gt;0,ISNUMBER($B$3),$B$3&gt;0),F266/(6*$B$3*1000000*$B$5)*(IF(B266&lt;($B$4*5/10),($B$4*5/10)*(MIN(C266,($B$4*5/10))^3-B266^3)-(MIN(C266,($B$4*5/10))^4-B266^4)/4,0)+IF(C266&gt;($B$4*5/10),($B$4*5/10)^2*(1.5*(C266^2-MAX(B266,($B$4*5/10))^2)-($B$4*5/10)*(C266-MAX(B266,($B$4*5/10)))),0))*1000,0)</f>
        <v>0</v>
      </c>
      <c r="AG266" s="120">
        <f>IF(AND(J266="OK",ISNUMBER($B$5),$B$5&gt;0,ISNUMBER($B$3),$B$3&gt;0),F266/(6*$B$3*1000000*$B$5)*(IF(B266&lt;($B$4*6/10),($B$4*6/10)*(MIN(C266,($B$4*6/10))^3-B266^3)-(MIN(C266,($B$4*6/10))^4-B266^4)/4,0)+IF(C266&gt;($B$4*6/10),($B$4*6/10)^2*(1.5*(C266^2-MAX(B266,($B$4*6/10))^2)-($B$4*6/10)*(C266-MAX(B266,($B$4*6/10)))),0))*1000,0)</f>
        <v>0</v>
      </c>
      <c r="AH266" s="120">
        <f>IF(AND(J266="OK",ISNUMBER($B$5),$B$5&gt;0,ISNUMBER($B$3),$B$3&gt;0),F266/(6*$B$3*1000000*$B$5)*(IF(B266&lt;($B$4*7/10),($B$4*7/10)*(MIN(C266,($B$4*7/10))^3-B266^3)-(MIN(C266,($B$4*7/10))^4-B266^4)/4,0)+IF(C266&gt;($B$4*7/10),($B$4*7/10)^2*(1.5*(C266^2-MAX(B266,($B$4*7/10))^2)-($B$4*7/10)*(C266-MAX(B266,($B$4*7/10)))),0))*1000,0)</f>
        <v>0</v>
      </c>
      <c r="AI266" s="120">
        <f>IF(AND(J266="OK",ISNUMBER($B$5),$B$5&gt;0,ISNUMBER($B$3),$B$3&gt;0),F266/(6*$B$3*1000000*$B$5)*(IF(B266&lt;($B$4*8/10),($B$4*8/10)*(MIN(C266,($B$4*8/10))^3-B266^3)-(MIN(C266,($B$4*8/10))^4-B266^4)/4,0)+IF(C266&gt;($B$4*8/10),($B$4*8/10)^2*(1.5*(C266^2-MAX(B266,($B$4*8/10))^2)-($B$4*8/10)*(C266-MAX(B266,($B$4*8/10)))),0))*1000,0)</f>
        <v>0</v>
      </c>
      <c r="AJ266" s="120">
        <f>IF(AND(J266="OK",ISNUMBER($B$5),$B$5&gt;0,ISNUMBER($B$3),$B$3&gt;0),F266/(6*$B$3*1000000*$B$5)*(IF(B266&lt;($B$4*9/10),($B$4*9/10)*(MIN(C266,($B$4*9/10))^3-B266^3)-(MIN(C266,($B$4*9/10))^4-B266^4)/4,0)+IF(C266&gt;($B$4*9/10),($B$4*9/10)^2*(1.5*(C266^2-MAX(B266,($B$4*9/10))^2)-($B$4*9/10)*(C266-MAX(B266,($B$4*9/10)))),0))*1000,0)</f>
        <v>0</v>
      </c>
      <c r="AK266" s="120">
        <f>IF(AND(J266="OK",ISNUMBER($B$5),$B$5&gt;0,ISNUMBER($B$3),$B$3&gt;0),F266/(6*$B$3*1000000*$B$5)*(IF(B266&lt;($B$4*10/10),($B$4*10/10)*(MIN(C266,($B$4*10/10))^3-B266^3)-(MIN(C266,($B$4*10/10))^4-B266^4)/4,0)+IF(C266&gt;($B$4*10/10),($B$4*10/10)^2*(1.5*(C266^2-MAX(B266,($B$4*10/10))^2)-($B$4*10/10)*(C266-MAX(B266,($B$4*10/10)))),0))*1000,0)</f>
        <v>0</v>
      </c>
      <c r="AM266" s="120">
        <f>IF(AND(V266="OK",ISNUMBER($N$5),$N$5&gt;0,ISNUMBER($N$3),$N$3&gt;0),R266/(6*$N$3*1000000*$N$5)*(IF(N266&lt;($N$4*0/10),($N$4*0/10)*(MIN(O266,($N$4*0/10))^3-N266^3)-(MIN(O266,($N$4*0/10))^4-N266^4)/4,0)+IF(O266&gt;($N$4*0/10),($N$4*0/10)^2*(1.5*(O266^2-MAX(N266,($N$4*0/10))^2)-($N$4*0/10)*(O266-MAX(N266,($N$4*0/10)))),0))*1000,0)</f>
        <v>0</v>
      </c>
      <c r="AN266" s="120">
        <f>IF(AND(V266="OK",ISNUMBER($N$5),$N$5&gt;0,ISNUMBER($N$3),$N$3&gt;0),R266/(6*$N$3*1000000*$N$5)*(IF(N266&lt;($N$4*1/10),($N$4*1/10)*(MIN(O266,($N$4*1/10))^3-N266^3)-(MIN(O266,($N$4*1/10))^4-N266^4)/4,0)+IF(O266&gt;($N$4*1/10),($N$4*1/10)^2*(1.5*(O266^2-MAX(N266,($N$4*1/10))^2)-($N$4*1/10)*(O266-MAX(N266,($N$4*1/10)))),0))*1000,0)</f>
        <v>0</v>
      </c>
      <c r="AO266" s="120">
        <f>IF(AND(V266="OK",ISNUMBER($N$5),$N$5&gt;0,ISNUMBER($N$3),$N$3&gt;0),R266/(6*$N$3*1000000*$N$5)*(IF(N266&lt;($N$4*2/10),($N$4*2/10)*(MIN(O266,($N$4*2/10))^3-N266^3)-(MIN(O266,($N$4*2/10))^4-N266^4)/4,0)+IF(O266&gt;($N$4*2/10),($N$4*2/10)^2*(1.5*(O266^2-MAX(N266,($N$4*2/10))^2)-($N$4*2/10)*(O266-MAX(N266,($N$4*2/10)))),0))*1000,0)</f>
        <v>0</v>
      </c>
      <c r="AP266" s="120">
        <f>IF(AND(V266="OK",ISNUMBER($N$5),$N$5&gt;0,ISNUMBER($N$3),$N$3&gt;0),R266/(6*$N$3*1000000*$N$5)*(IF(N266&lt;($N$4*3/10),($N$4*3/10)*(MIN(O266,($N$4*3/10))^3-N266^3)-(MIN(O266,($N$4*3/10))^4-N266^4)/4,0)+IF(O266&gt;($N$4*3/10),($N$4*3/10)^2*(1.5*(O266^2-MAX(N266,($N$4*3/10))^2)-($N$4*3/10)*(O266-MAX(N266,($N$4*3/10)))),0))*1000,0)</f>
        <v>0</v>
      </c>
      <c r="AQ266" s="120">
        <f>IF(AND(V266="OK",ISNUMBER($N$5),$N$5&gt;0,ISNUMBER($N$3),$N$3&gt;0),R266/(6*$N$3*1000000*$N$5)*(IF(N266&lt;($N$4*4/10),($N$4*4/10)*(MIN(O266,($N$4*4/10))^3-N266^3)-(MIN(O266,($N$4*4/10))^4-N266^4)/4,0)+IF(O266&gt;($N$4*4/10),($N$4*4/10)^2*(1.5*(O266^2-MAX(N266,($N$4*4/10))^2)-($N$4*4/10)*(O266-MAX(N266,($N$4*4/10)))),0))*1000,0)</f>
        <v>0</v>
      </c>
      <c r="AR266" s="120">
        <f>IF(AND(V266="OK",ISNUMBER($N$5),$N$5&gt;0,ISNUMBER($N$3),$N$3&gt;0),R266/(6*$N$3*1000000*$N$5)*(IF(N266&lt;($N$4*5/10),($N$4*5/10)*(MIN(O266,($N$4*5/10))^3-N266^3)-(MIN(O266,($N$4*5/10))^4-N266^4)/4,0)+IF(O266&gt;($N$4*5/10),($N$4*5/10)^2*(1.5*(O266^2-MAX(N266,($N$4*5/10))^2)-($N$4*5/10)*(O266-MAX(N266,($N$4*5/10)))),0))*1000,0)</f>
        <v>0</v>
      </c>
      <c r="AS266" s="120">
        <f>IF(AND(V266="OK",ISNUMBER($N$5),$N$5&gt;0,ISNUMBER($N$3),$N$3&gt;0),R266/(6*$N$3*1000000*$N$5)*(IF(N266&lt;($N$4*6/10),($N$4*6/10)*(MIN(O266,($N$4*6/10))^3-N266^3)-(MIN(O266,($N$4*6/10))^4-N266^4)/4,0)+IF(O266&gt;($N$4*6/10),($N$4*6/10)^2*(1.5*(O266^2-MAX(N266,($N$4*6/10))^2)-($N$4*6/10)*(O266-MAX(N266,($N$4*6/10)))),0))*1000,0)</f>
        <v>0</v>
      </c>
      <c r="AT266" s="120">
        <f>IF(AND(V266="OK",ISNUMBER($N$5),$N$5&gt;0,ISNUMBER($N$3),$N$3&gt;0),R266/(6*$N$3*1000000*$N$5)*(IF(N266&lt;($N$4*7/10),($N$4*7/10)*(MIN(O266,($N$4*7/10))^3-N266^3)-(MIN(O266,($N$4*7/10))^4-N266^4)/4,0)+IF(O266&gt;($N$4*7/10),($N$4*7/10)^2*(1.5*(O266^2-MAX(N266,($N$4*7/10))^2)-($N$4*7/10)*(O266-MAX(N266,($N$4*7/10)))),0))*1000,0)</f>
        <v>0</v>
      </c>
      <c r="AU266" s="120">
        <f>IF(AND(V266="OK",ISNUMBER($N$5),$N$5&gt;0,ISNUMBER($N$3),$N$3&gt;0),R266/(6*$N$3*1000000*$N$5)*(IF(N266&lt;($N$4*8/10),($N$4*8/10)*(MIN(O266,($N$4*8/10))^3-N266^3)-(MIN(O266,($N$4*8/10))^4-N266^4)/4,0)+IF(O266&gt;($N$4*8/10),($N$4*8/10)^2*(1.5*(O266^2-MAX(N266,($N$4*8/10))^2)-($N$4*8/10)*(O266-MAX(N266,($N$4*8/10)))),0))*1000,0)</f>
        <v>0</v>
      </c>
      <c r="AV266" s="120">
        <f>IF(AND(V266="OK",ISNUMBER($N$5),$N$5&gt;0,ISNUMBER($N$3),$N$3&gt;0),R266/(6*$N$3*1000000*$N$5)*(IF(N266&lt;($N$4*9/10),($N$4*9/10)*(MIN(O266,($N$4*9/10))^3-N266^3)-(MIN(O266,($N$4*9/10))^4-N266^4)/4,0)+IF(O266&gt;($N$4*9/10),($N$4*9/10)^2*(1.5*(O266^2-MAX(N266,($N$4*9/10))^2)-($N$4*9/10)*(O266-MAX(N266,($N$4*9/10)))),0))*1000,0)</f>
        <v>0</v>
      </c>
      <c r="AW266" s="120">
        <f>IF(AND(V266="OK",ISNUMBER($N$5),$N$5&gt;0,ISNUMBER($N$3),$N$3&gt;0),R266/(6*$N$3*1000000*$N$5)*(IF(N266&lt;($N$4*10/10),($N$4*10/10)*(MIN(O266,($N$4*10/10))^3-N266^3)-(MIN(O266,($N$4*10/10))^4-N266^4)/4,0)+IF(O266&gt;($N$4*10/10),($N$4*10/10)^2*(1.5*(O266^2-MAX(N266,($N$4*10/10))^2)-($N$4*10/10)*(O266-MAX(N266,($N$4*10/10)))),0))*1000,0)</f>
        <v>0</v>
      </c>
    </row>
    <row r="267" spans="1:49">
      <c r="A267" s="124"/>
      <c r="B267" s="125"/>
      <c r="C267" s="125"/>
      <c r="D267" s="125"/>
      <c r="E267" s="125"/>
      <c r="F267" s="126" t="str">
        <f>IF(J267="OK",D267*E267,"")</f>
        <v/>
      </c>
      <c r="G267" s="126" t="str">
        <f>IF(J267="OK",F267*(C267-B267),"")</f>
        <v/>
      </c>
      <c r="H267" s="126" t="str">
        <f>IF(J267="OK",G267*(C267+B267)/2,"")</f>
        <v/>
      </c>
      <c r="I267" s="126" t="str">
        <f>IF(AND(J267="OK",ISNUMBER($B$5),$B$5&gt;0,ISNUMBER($B$3),$B$3&gt;0),F267*(4*$B$4*(C267^3-B267^3)-(C267^4-B267^4))/(24*$B$3*1000000*$B$5)*1000,"")</f>
        <v/>
      </c>
      <c r="J267" s="120" t="str">
        <f>IF(COUNTA(A267:E267)=0,"",IF(AND(COUNT(B267:E267)=4,B267&gt;=0,C267&gt;B267,C267&lt;=$B$4,D267&gt;=0,E267&gt;0),IF(COUNTIFS($B$13:$B$266,"&lt;"&amp;C267,$C$13:$C$266,"&gt;"&amp;B267)&gt;0,"OVERLAP","OK"),"CHECK INPUTS"))</f>
        <v/>
      </c>
      <c r="M267" s="124"/>
      <c r="N267" s="125"/>
      <c r="O267" s="125"/>
      <c r="P267" s="125"/>
      <c r="Q267" s="125"/>
      <c r="R267" s="126" t="str">
        <f>IF(V267="OK",P267*Q267,"")</f>
        <v/>
      </c>
      <c r="S267" s="126" t="str">
        <f>IF(V267="OK",R267*(O267-N267),"")</f>
        <v/>
      </c>
      <c r="T267" s="126" t="str">
        <f>IF(V267="OK",S267*(O267+N267)/2,"")</f>
        <v/>
      </c>
      <c r="U267" s="126" t="str">
        <f>IF(AND(V267="OK",ISNUMBER($N$5),$N$5&gt;0,ISNUMBER($N$3),$N$3&gt;0),R267*(4*$N$4*(O267^3-N267^3)-(O267^4-N267^4))/(24*$N$3*1000000*$N$5)*1000,"")</f>
        <v/>
      </c>
      <c r="V267" s="120" t="str">
        <f>IF(COUNTA(M267:Q267)=0,"",IF(AND(COUNT(N267:Q267)=4,N267&gt;=0,O267&gt;N267,O267&lt;=$N$4,P267&gt;=0,Q267&gt;0),IF(COUNTIFS($N$13:$N$266,"&lt;"&amp;O267,$O$13:$O$266,"&gt;"&amp;N267)&gt;0,"OVERLAP","OK"),"CHECK INPUTS"))</f>
        <v/>
      </c>
      <c r="AA267" s="120">
        <f>IF(AND(J267="OK",ISNUMBER($B$5),$B$5&gt;0,ISNUMBER($B$3),$B$3&gt;0),F267/(6*$B$3*1000000*$B$5)*(IF(B267&lt;($B$4*0/10),($B$4*0/10)*(MIN(C267,($B$4*0/10))^3-B267^3)-(MIN(C267,($B$4*0/10))^4-B267^4)/4,0)+IF(C267&gt;($B$4*0/10),($B$4*0/10)^2*(1.5*(C267^2-MAX(B267,($B$4*0/10))^2)-($B$4*0/10)*(C267-MAX(B267,($B$4*0/10)))),0))*1000,0)</f>
        <v>0</v>
      </c>
      <c r="AB267" s="120">
        <f>IF(AND(J267="OK",ISNUMBER($B$5),$B$5&gt;0,ISNUMBER($B$3),$B$3&gt;0),F267/(6*$B$3*1000000*$B$5)*(IF(B267&lt;($B$4*1/10),($B$4*1/10)*(MIN(C267,($B$4*1/10))^3-B267^3)-(MIN(C267,($B$4*1/10))^4-B267^4)/4,0)+IF(C267&gt;($B$4*1/10),($B$4*1/10)^2*(1.5*(C267^2-MAX(B267,($B$4*1/10))^2)-($B$4*1/10)*(C267-MAX(B267,($B$4*1/10)))),0))*1000,0)</f>
        <v>0</v>
      </c>
      <c r="AC267" s="120">
        <f>IF(AND(J267="OK",ISNUMBER($B$5),$B$5&gt;0,ISNUMBER($B$3),$B$3&gt;0),F267/(6*$B$3*1000000*$B$5)*(IF(B267&lt;($B$4*2/10),($B$4*2/10)*(MIN(C267,($B$4*2/10))^3-B267^3)-(MIN(C267,($B$4*2/10))^4-B267^4)/4,0)+IF(C267&gt;($B$4*2/10),($B$4*2/10)^2*(1.5*(C267^2-MAX(B267,($B$4*2/10))^2)-($B$4*2/10)*(C267-MAX(B267,($B$4*2/10)))),0))*1000,0)</f>
        <v>0</v>
      </c>
      <c r="AD267" s="120">
        <f>IF(AND(J267="OK",ISNUMBER($B$5),$B$5&gt;0,ISNUMBER($B$3),$B$3&gt;0),F267/(6*$B$3*1000000*$B$5)*(IF(B267&lt;($B$4*3/10),($B$4*3/10)*(MIN(C267,($B$4*3/10))^3-B267^3)-(MIN(C267,($B$4*3/10))^4-B267^4)/4,0)+IF(C267&gt;($B$4*3/10),($B$4*3/10)^2*(1.5*(C267^2-MAX(B267,($B$4*3/10))^2)-($B$4*3/10)*(C267-MAX(B267,($B$4*3/10)))),0))*1000,0)</f>
        <v>0</v>
      </c>
      <c r="AE267" s="120">
        <f>IF(AND(J267="OK",ISNUMBER($B$5),$B$5&gt;0,ISNUMBER($B$3),$B$3&gt;0),F267/(6*$B$3*1000000*$B$5)*(IF(B267&lt;($B$4*4/10),($B$4*4/10)*(MIN(C267,($B$4*4/10))^3-B267^3)-(MIN(C267,($B$4*4/10))^4-B267^4)/4,0)+IF(C267&gt;($B$4*4/10),($B$4*4/10)^2*(1.5*(C267^2-MAX(B267,($B$4*4/10))^2)-($B$4*4/10)*(C267-MAX(B267,($B$4*4/10)))),0))*1000,0)</f>
        <v>0</v>
      </c>
      <c r="AF267" s="120">
        <f>IF(AND(J267="OK",ISNUMBER($B$5),$B$5&gt;0,ISNUMBER($B$3),$B$3&gt;0),F267/(6*$B$3*1000000*$B$5)*(IF(B267&lt;($B$4*5/10),($B$4*5/10)*(MIN(C267,($B$4*5/10))^3-B267^3)-(MIN(C267,($B$4*5/10))^4-B267^4)/4,0)+IF(C267&gt;($B$4*5/10),($B$4*5/10)^2*(1.5*(C267^2-MAX(B267,($B$4*5/10))^2)-($B$4*5/10)*(C267-MAX(B267,($B$4*5/10)))),0))*1000,0)</f>
        <v>0</v>
      </c>
      <c r="AG267" s="120">
        <f>IF(AND(J267="OK",ISNUMBER($B$5),$B$5&gt;0,ISNUMBER($B$3),$B$3&gt;0),F267/(6*$B$3*1000000*$B$5)*(IF(B267&lt;($B$4*6/10),($B$4*6/10)*(MIN(C267,($B$4*6/10))^3-B267^3)-(MIN(C267,($B$4*6/10))^4-B267^4)/4,0)+IF(C267&gt;($B$4*6/10),($B$4*6/10)^2*(1.5*(C267^2-MAX(B267,($B$4*6/10))^2)-($B$4*6/10)*(C267-MAX(B267,($B$4*6/10)))),0))*1000,0)</f>
        <v>0</v>
      </c>
      <c r="AH267" s="120">
        <f>IF(AND(J267="OK",ISNUMBER($B$5),$B$5&gt;0,ISNUMBER($B$3),$B$3&gt;0),F267/(6*$B$3*1000000*$B$5)*(IF(B267&lt;($B$4*7/10),($B$4*7/10)*(MIN(C267,($B$4*7/10))^3-B267^3)-(MIN(C267,($B$4*7/10))^4-B267^4)/4,0)+IF(C267&gt;($B$4*7/10),($B$4*7/10)^2*(1.5*(C267^2-MAX(B267,($B$4*7/10))^2)-($B$4*7/10)*(C267-MAX(B267,($B$4*7/10)))),0))*1000,0)</f>
        <v>0</v>
      </c>
      <c r="AI267" s="120">
        <f>IF(AND(J267="OK",ISNUMBER($B$5),$B$5&gt;0,ISNUMBER($B$3),$B$3&gt;0),F267/(6*$B$3*1000000*$B$5)*(IF(B267&lt;($B$4*8/10),($B$4*8/10)*(MIN(C267,($B$4*8/10))^3-B267^3)-(MIN(C267,($B$4*8/10))^4-B267^4)/4,0)+IF(C267&gt;($B$4*8/10),($B$4*8/10)^2*(1.5*(C267^2-MAX(B267,($B$4*8/10))^2)-($B$4*8/10)*(C267-MAX(B267,($B$4*8/10)))),0))*1000,0)</f>
        <v>0</v>
      </c>
      <c r="AJ267" s="120">
        <f>IF(AND(J267="OK",ISNUMBER($B$5),$B$5&gt;0,ISNUMBER($B$3),$B$3&gt;0),F267/(6*$B$3*1000000*$B$5)*(IF(B267&lt;($B$4*9/10),($B$4*9/10)*(MIN(C267,($B$4*9/10))^3-B267^3)-(MIN(C267,($B$4*9/10))^4-B267^4)/4,0)+IF(C267&gt;($B$4*9/10),($B$4*9/10)^2*(1.5*(C267^2-MAX(B267,($B$4*9/10))^2)-($B$4*9/10)*(C267-MAX(B267,($B$4*9/10)))),0))*1000,0)</f>
        <v>0</v>
      </c>
      <c r="AK267" s="120">
        <f>IF(AND(J267="OK",ISNUMBER($B$5),$B$5&gt;0,ISNUMBER($B$3),$B$3&gt;0),F267/(6*$B$3*1000000*$B$5)*(IF(B267&lt;($B$4*10/10),($B$4*10/10)*(MIN(C267,($B$4*10/10))^3-B267^3)-(MIN(C267,($B$4*10/10))^4-B267^4)/4,0)+IF(C267&gt;($B$4*10/10),($B$4*10/10)^2*(1.5*(C267^2-MAX(B267,($B$4*10/10))^2)-($B$4*10/10)*(C267-MAX(B267,($B$4*10/10)))),0))*1000,0)</f>
        <v>0</v>
      </c>
      <c r="AM267" s="120">
        <f>IF(AND(V267="OK",ISNUMBER($N$5),$N$5&gt;0,ISNUMBER($N$3),$N$3&gt;0),R267/(6*$N$3*1000000*$N$5)*(IF(N267&lt;($N$4*0/10),($N$4*0/10)*(MIN(O267,($N$4*0/10))^3-N267^3)-(MIN(O267,($N$4*0/10))^4-N267^4)/4,0)+IF(O267&gt;($N$4*0/10),($N$4*0/10)^2*(1.5*(O267^2-MAX(N267,($N$4*0/10))^2)-($N$4*0/10)*(O267-MAX(N267,($N$4*0/10)))),0))*1000,0)</f>
        <v>0</v>
      </c>
      <c r="AN267" s="120">
        <f>IF(AND(V267="OK",ISNUMBER($N$5),$N$5&gt;0,ISNUMBER($N$3),$N$3&gt;0),R267/(6*$N$3*1000000*$N$5)*(IF(N267&lt;($N$4*1/10),($N$4*1/10)*(MIN(O267,($N$4*1/10))^3-N267^3)-(MIN(O267,($N$4*1/10))^4-N267^4)/4,0)+IF(O267&gt;($N$4*1/10),($N$4*1/10)^2*(1.5*(O267^2-MAX(N267,($N$4*1/10))^2)-($N$4*1/10)*(O267-MAX(N267,($N$4*1/10)))),0))*1000,0)</f>
        <v>0</v>
      </c>
      <c r="AO267" s="120">
        <f>IF(AND(V267="OK",ISNUMBER($N$5),$N$5&gt;0,ISNUMBER($N$3),$N$3&gt;0),R267/(6*$N$3*1000000*$N$5)*(IF(N267&lt;($N$4*2/10),($N$4*2/10)*(MIN(O267,($N$4*2/10))^3-N267^3)-(MIN(O267,($N$4*2/10))^4-N267^4)/4,0)+IF(O267&gt;($N$4*2/10),($N$4*2/10)^2*(1.5*(O267^2-MAX(N267,($N$4*2/10))^2)-($N$4*2/10)*(O267-MAX(N267,($N$4*2/10)))),0))*1000,0)</f>
        <v>0</v>
      </c>
      <c r="AP267" s="120">
        <f>IF(AND(V267="OK",ISNUMBER($N$5),$N$5&gt;0,ISNUMBER($N$3),$N$3&gt;0),R267/(6*$N$3*1000000*$N$5)*(IF(N267&lt;($N$4*3/10),($N$4*3/10)*(MIN(O267,($N$4*3/10))^3-N267^3)-(MIN(O267,($N$4*3/10))^4-N267^4)/4,0)+IF(O267&gt;($N$4*3/10),($N$4*3/10)^2*(1.5*(O267^2-MAX(N267,($N$4*3/10))^2)-($N$4*3/10)*(O267-MAX(N267,($N$4*3/10)))),0))*1000,0)</f>
        <v>0</v>
      </c>
      <c r="AQ267" s="120">
        <f>IF(AND(V267="OK",ISNUMBER($N$5),$N$5&gt;0,ISNUMBER($N$3),$N$3&gt;0),R267/(6*$N$3*1000000*$N$5)*(IF(N267&lt;($N$4*4/10),($N$4*4/10)*(MIN(O267,($N$4*4/10))^3-N267^3)-(MIN(O267,($N$4*4/10))^4-N267^4)/4,0)+IF(O267&gt;($N$4*4/10),($N$4*4/10)^2*(1.5*(O267^2-MAX(N267,($N$4*4/10))^2)-($N$4*4/10)*(O267-MAX(N267,($N$4*4/10)))),0))*1000,0)</f>
        <v>0</v>
      </c>
      <c r="AR267" s="120">
        <f>IF(AND(V267="OK",ISNUMBER($N$5),$N$5&gt;0,ISNUMBER($N$3),$N$3&gt;0),R267/(6*$N$3*1000000*$N$5)*(IF(N267&lt;($N$4*5/10),($N$4*5/10)*(MIN(O267,($N$4*5/10))^3-N267^3)-(MIN(O267,($N$4*5/10))^4-N267^4)/4,0)+IF(O267&gt;($N$4*5/10),($N$4*5/10)^2*(1.5*(O267^2-MAX(N267,($N$4*5/10))^2)-($N$4*5/10)*(O267-MAX(N267,($N$4*5/10)))),0))*1000,0)</f>
        <v>0</v>
      </c>
      <c r="AS267" s="120">
        <f>IF(AND(V267="OK",ISNUMBER($N$5),$N$5&gt;0,ISNUMBER($N$3),$N$3&gt;0),R267/(6*$N$3*1000000*$N$5)*(IF(N267&lt;($N$4*6/10),($N$4*6/10)*(MIN(O267,($N$4*6/10))^3-N267^3)-(MIN(O267,($N$4*6/10))^4-N267^4)/4,0)+IF(O267&gt;($N$4*6/10),($N$4*6/10)^2*(1.5*(O267^2-MAX(N267,($N$4*6/10))^2)-($N$4*6/10)*(O267-MAX(N267,($N$4*6/10)))),0))*1000,0)</f>
        <v>0</v>
      </c>
      <c r="AT267" s="120">
        <f>IF(AND(V267="OK",ISNUMBER($N$5),$N$5&gt;0,ISNUMBER($N$3),$N$3&gt;0),R267/(6*$N$3*1000000*$N$5)*(IF(N267&lt;($N$4*7/10),($N$4*7/10)*(MIN(O267,($N$4*7/10))^3-N267^3)-(MIN(O267,($N$4*7/10))^4-N267^4)/4,0)+IF(O267&gt;($N$4*7/10),($N$4*7/10)^2*(1.5*(O267^2-MAX(N267,($N$4*7/10))^2)-($N$4*7/10)*(O267-MAX(N267,($N$4*7/10)))),0))*1000,0)</f>
        <v>0</v>
      </c>
      <c r="AU267" s="120">
        <f>IF(AND(V267="OK",ISNUMBER($N$5),$N$5&gt;0,ISNUMBER($N$3),$N$3&gt;0),R267/(6*$N$3*1000000*$N$5)*(IF(N267&lt;($N$4*8/10),($N$4*8/10)*(MIN(O267,($N$4*8/10))^3-N267^3)-(MIN(O267,($N$4*8/10))^4-N267^4)/4,0)+IF(O267&gt;($N$4*8/10),($N$4*8/10)^2*(1.5*(O267^2-MAX(N267,($N$4*8/10))^2)-($N$4*8/10)*(O267-MAX(N267,($N$4*8/10)))),0))*1000,0)</f>
        <v>0</v>
      </c>
      <c r="AV267" s="120">
        <f>IF(AND(V267="OK",ISNUMBER($N$5),$N$5&gt;0,ISNUMBER($N$3),$N$3&gt;0),R267/(6*$N$3*1000000*$N$5)*(IF(N267&lt;($N$4*9/10),($N$4*9/10)*(MIN(O267,($N$4*9/10))^3-N267^3)-(MIN(O267,($N$4*9/10))^4-N267^4)/4,0)+IF(O267&gt;($N$4*9/10),($N$4*9/10)^2*(1.5*(O267^2-MAX(N267,($N$4*9/10))^2)-($N$4*9/10)*(O267-MAX(N267,($N$4*9/10)))),0))*1000,0)</f>
        <v>0</v>
      </c>
      <c r="AW267" s="120">
        <f>IF(AND(V267="OK",ISNUMBER($N$5),$N$5&gt;0,ISNUMBER($N$3),$N$3&gt;0),R267/(6*$N$3*1000000*$N$5)*(IF(N267&lt;($N$4*10/10),($N$4*10/10)*(MIN(O267,($N$4*10/10))^3-N267^3)-(MIN(O267,($N$4*10/10))^4-N267^4)/4,0)+IF(O267&gt;($N$4*10/10),($N$4*10/10)^2*(1.5*(O267^2-MAX(N267,($N$4*10/10))^2)-($N$4*10/10)*(O267-MAX(N267,($N$4*10/10)))),0))*1000,0)</f>
        <v>0</v>
      </c>
    </row>
    <row r="268" spans="1:49">
      <c r="A268" s="124"/>
      <c r="B268" s="125"/>
      <c r="C268" s="125"/>
      <c r="D268" s="125"/>
      <c r="E268" s="125"/>
      <c r="F268" s="126" t="str">
        <f>IF(J268="OK",D268*E268,"")</f>
        <v/>
      </c>
      <c r="G268" s="126" t="str">
        <f>IF(J268="OK",F268*(C268-B268),"")</f>
        <v/>
      </c>
      <c r="H268" s="126" t="str">
        <f>IF(J268="OK",G268*(C268+B268)/2,"")</f>
        <v/>
      </c>
      <c r="I268" s="126" t="str">
        <f>IF(AND(J268="OK",ISNUMBER($B$5),$B$5&gt;0,ISNUMBER($B$3),$B$3&gt;0),F268*(4*$B$4*(C268^3-B268^3)-(C268^4-B268^4))/(24*$B$3*1000000*$B$5)*1000,"")</f>
        <v/>
      </c>
      <c r="J268" s="120" t="str">
        <f>IF(COUNTA(A268:E268)=0,"",IF(AND(COUNT(B268:E268)=4,B268&gt;=0,C268&gt;B268,C268&lt;=$B$4,D268&gt;=0,E268&gt;0),IF(COUNTIFS($B$13:$B$267,"&lt;"&amp;C268,$C$13:$C$267,"&gt;"&amp;B268)&gt;0,"OVERLAP","OK"),"CHECK INPUTS"))</f>
        <v/>
      </c>
      <c r="M268" s="124"/>
      <c r="N268" s="125"/>
      <c r="O268" s="125"/>
      <c r="P268" s="125"/>
      <c r="Q268" s="125"/>
      <c r="R268" s="126" t="str">
        <f>IF(V268="OK",P268*Q268,"")</f>
        <v/>
      </c>
      <c r="S268" s="126" t="str">
        <f>IF(V268="OK",R268*(O268-N268),"")</f>
        <v/>
      </c>
      <c r="T268" s="126" t="str">
        <f>IF(V268="OK",S268*(O268+N268)/2,"")</f>
        <v/>
      </c>
      <c r="U268" s="126" t="str">
        <f>IF(AND(V268="OK",ISNUMBER($N$5),$N$5&gt;0,ISNUMBER($N$3),$N$3&gt;0),R268*(4*$N$4*(O268^3-N268^3)-(O268^4-N268^4))/(24*$N$3*1000000*$N$5)*1000,"")</f>
        <v/>
      </c>
      <c r="V268" s="120" t="str">
        <f>IF(COUNTA(M268:Q268)=0,"",IF(AND(COUNT(N268:Q268)=4,N268&gt;=0,O268&gt;N268,O268&lt;=$N$4,P268&gt;=0,Q268&gt;0),IF(COUNTIFS($N$13:$N$267,"&lt;"&amp;O268,$O$13:$O$267,"&gt;"&amp;N268)&gt;0,"OVERLAP","OK"),"CHECK INPUTS"))</f>
        <v/>
      </c>
      <c r="AA268" s="120">
        <f>IF(AND(J268="OK",ISNUMBER($B$5),$B$5&gt;0,ISNUMBER($B$3),$B$3&gt;0),F268/(6*$B$3*1000000*$B$5)*(IF(B268&lt;($B$4*0/10),($B$4*0/10)*(MIN(C268,($B$4*0/10))^3-B268^3)-(MIN(C268,($B$4*0/10))^4-B268^4)/4,0)+IF(C268&gt;($B$4*0/10),($B$4*0/10)^2*(1.5*(C268^2-MAX(B268,($B$4*0/10))^2)-($B$4*0/10)*(C268-MAX(B268,($B$4*0/10)))),0))*1000,0)</f>
        <v>0</v>
      </c>
      <c r="AB268" s="120">
        <f>IF(AND(J268="OK",ISNUMBER($B$5),$B$5&gt;0,ISNUMBER($B$3),$B$3&gt;0),F268/(6*$B$3*1000000*$B$5)*(IF(B268&lt;($B$4*1/10),($B$4*1/10)*(MIN(C268,($B$4*1/10))^3-B268^3)-(MIN(C268,($B$4*1/10))^4-B268^4)/4,0)+IF(C268&gt;($B$4*1/10),($B$4*1/10)^2*(1.5*(C268^2-MAX(B268,($B$4*1/10))^2)-($B$4*1/10)*(C268-MAX(B268,($B$4*1/10)))),0))*1000,0)</f>
        <v>0</v>
      </c>
      <c r="AC268" s="120">
        <f>IF(AND(J268="OK",ISNUMBER($B$5),$B$5&gt;0,ISNUMBER($B$3),$B$3&gt;0),F268/(6*$B$3*1000000*$B$5)*(IF(B268&lt;($B$4*2/10),($B$4*2/10)*(MIN(C268,($B$4*2/10))^3-B268^3)-(MIN(C268,($B$4*2/10))^4-B268^4)/4,0)+IF(C268&gt;($B$4*2/10),($B$4*2/10)^2*(1.5*(C268^2-MAX(B268,($B$4*2/10))^2)-($B$4*2/10)*(C268-MAX(B268,($B$4*2/10)))),0))*1000,0)</f>
        <v>0</v>
      </c>
      <c r="AD268" s="120">
        <f>IF(AND(J268="OK",ISNUMBER($B$5),$B$5&gt;0,ISNUMBER($B$3),$B$3&gt;0),F268/(6*$B$3*1000000*$B$5)*(IF(B268&lt;($B$4*3/10),($B$4*3/10)*(MIN(C268,($B$4*3/10))^3-B268^3)-(MIN(C268,($B$4*3/10))^4-B268^4)/4,0)+IF(C268&gt;($B$4*3/10),($B$4*3/10)^2*(1.5*(C268^2-MAX(B268,($B$4*3/10))^2)-($B$4*3/10)*(C268-MAX(B268,($B$4*3/10)))),0))*1000,0)</f>
        <v>0</v>
      </c>
      <c r="AE268" s="120">
        <f>IF(AND(J268="OK",ISNUMBER($B$5),$B$5&gt;0,ISNUMBER($B$3),$B$3&gt;0),F268/(6*$B$3*1000000*$B$5)*(IF(B268&lt;($B$4*4/10),($B$4*4/10)*(MIN(C268,($B$4*4/10))^3-B268^3)-(MIN(C268,($B$4*4/10))^4-B268^4)/4,0)+IF(C268&gt;($B$4*4/10),($B$4*4/10)^2*(1.5*(C268^2-MAX(B268,($B$4*4/10))^2)-($B$4*4/10)*(C268-MAX(B268,($B$4*4/10)))),0))*1000,0)</f>
        <v>0</v>
      </c>
      <c r="AF268" s="120">
        <f>IF(AND(J268="OK",ISNUMBER($B$5),$B$5&gt;0,ISNUMBER($B$3),$B$3&gt;0),F268/(6*$B$3*1000000*$B$5)*(IF(B268&lt;($B$4*5/10),($B$4*5/10)*(MIN(C268,($B$4*5/10))^3-B268^3)-(MIN(C268,($B$4*5/10))^4-B268^4)/4,0)+IF(C268&gt;($B$4*5/10),($B$4*5/10)^2*(1.5*(C268^2-MAX(B268,($B$4*5/10))^2)-($B$4*5/10)*(C268-MAX(B268,($B$4*5/10)))),0))*1000,0)</f>
        <v>0</v>
      </c>
      <c r="AG268" s="120">
        <f>IF(AND(J268="OK",ISNUMBER($B$5),$B$5&gt;0,ISNUMBER($B$3),$B$3&gt;0),F268/(6*$B$3*1000000*$B$5)*(IF(B268&lt;($B$4*6/10),($B$4*6/10)*(MIN(C268,($B$4*6/10))^3-B268^3)-(MIN(C268,($B$4*6/10))^4-B268^4)/4,0)+IF(C268&gt;($B$4*6/10),($B$4*6/10)^2*(1.5*(C268^2-MAX(B268,($B$4*6/10))^2)-($B$4*6/10)*(C268-MAX(B268,($B$4*6/10)))),0))*1000,0)</f>
        <v>0</v>
      </c>
      <c r="AH268" s="120">
        <f>IF(AND(J268="OK",ISNUMBER($B$5),$B$5&gt;0,ISNUMBER($B$3),$B$3&gt;0),F268/(6*$B$3*1000000*$B$5)*(IF(B268&lt;($B$4*7/10),($B$4*7/10)*(MIN(C268,($B$4*7/10))^3-B268^3)-(MIN(C268,($B$4*7/10))^4-B268^4)/4,0)+IF(C268&gt;($B$4*7/10),($B$4*7/10)^2*(1.5*(C268^2-MAX(B268,($B$4*7/10))^2)-($B$4*7/10)*(C268-MAX(B268,($B$4*7/10)))),0))*1000,0)</f>
        <v>0</v>
      </c>
      <c r="AI268" s="120">
        <f>IF(AND(J268="OK",ISNUMBER($B$5),$B$5&gt;0,ISNUMBER($B$3),$B$3&gt;0),F268/(6*$B$3*1000000*$B$5)*(IF(B268&lt;($B$4*8/10),($B$4*8/10)*(MIN(C268,($B$4*8/10))^3-B268^3)-(MIN(C268,($B$4*8/10))^4-B268^4)/4,0)+IF(C268&gt;($B$4*8/10),($B$4*8/10)^2*(1.5*(C268^2-MAX(B268,($B$4*8/10))^2)-($B$4*8/10)*(C268-MAX(B268,($B$4*8/10)))),0))*1000,0)</f>
        <v>0</v>
      </c>
      <c r="AJ268" s="120">
        <f>IF(AND(J268="OK",ISNUMBER($B$5),$B$5&gt;0,ISNUMBER($B$3),$B$3&gt;0),F268/(6*$B$3*1000000*$B$5)*(IF(B268&lt;($B$4*9/10),($B$4*9/10)*(MIN(C268,($B$4*9/10))^3-B268^3)-(MIN(C268,($B$4*9/10))^4-B268^4)/4,0)+IF(C268&gt;($B$4*9/10),($B$4*9/10)^2*(1.5*(C268^2-MAX(B268,($B$4*9/10))^2)-($B$4*9/10)*(C268-MAX(B268,($B$4*9/10)))),0))*1000,0)</f>
        <v>0</v>
      </c>
      <c r="AK268" s="120">
        <f>IF(AND(J268="OK",ISNUMBER($B$5),$B$5&gt;0,ISNUMBER($B$3),$B$3&gt;0),F268/(6*$B$3*1000000*$B$5)*(IF(B268&lt;($B$4*10/10),($B$4*10/10)*(MIN(C268,($B$4*10/10))^3-B268^3)-(MIN(C268,($B$4*10/10))^4-B268^4)/4,0)+IF(C268&gt;($B$4*10/10),($B$4*10/10)^2*(1.5*(C268^2-MAX(B268,($B$4*10/10))^2)-($B$4*10/10)*(C268-MAX(B268,($B$4*10/10)))),0))*1000,0)</f>
        <v>0</v>
      </c>
      <c r="AM268" s="120">
        <f>IF(AND(V268="OK",ISNUMBER($N$5),$N$5&gt;0,ISNUMBER($N$3),$N$3&gt;0),R268/(6*$N$3*1000000*$N$5)*(IF(N268&lt;($N$4*0/10),($N$4*0/10)*(MIN(O268,($N$4*0/10))^3-N268^3)-(MIN(O268,($N$4*0/10))^4-N268^4)/4,0)+IF(O268&gt;($N$4*0/10),($N$4*0/10)^2*(1.5*(O268^2-MAX(N268,($N$4*0/10))^2)-($N$4*0/10)*(O268-MAX(N268,($N$4*0/10)))),0))*1000,0)</f>
        <v>0</v>
      </c>
      <c r="AN268" s="120">
        <f>IF(AND(V268="OK",ISNUMBER($N$5),$N$5&gt;0,ISNUMBER($N$3),$N$3&gt;0),R268/(6*$N$3*1000000*$N$5)*(IF(N268&lt;($N$4*1/10),($N$4*1/10)*(MIN(O268,($N$4*1/10))^3-N268^3)-(MIN(O268,($N$4*1/10))^4-N268^4)/4,0)+IF(O268&gt;($N$4*1/10),($N$4*1/10)^2*(1.5*(O268^2-MAX(N268,($N$4*1/10))^2)-($N$4*1/10)*(O268-MAX(N268,($N$4*1/10)))),0))*1000,0)</f>
        <v>0</v>
      </c>
      <c r="AO268" s="120">
        <f>IF(AND(V268="OK",ISNUMBER($N$5),$N$5&gt;0,ISNUMBER($N$3),$N$3&gt;0),R268/(6*$N$3*1000000*$N$5)*(IF(N268&lt;($N$4*2/10),($N$4*2/10)*(MIN(O268,($N$4*2/10))^3-N268^3)-(MIN(O268,($N$4*2/10))^4-N268^4)/4,0)+IF(O268&gt;($N$4*2/10),($N$4*2/10)^2*(1.5*(O268^2-MAX(N268,($N$4*2/10))^2)-($N$4*2/10)*(O268-MAX(N268,($N$4*2/10)))),0))*1000,0)</f>
        <v>0</v>
      </c>
      <c r="AP268" s="120">
        <f>IF(AND(V268="OK",ISNUMBER($N$5),$N$5&gt;0,ISNUMBER($N$3),$N$3&gt;0),R268/(6*$N$3*1000000*$N$5)*(IF(N268&lt;($N$4*3/10),($N$4*3/10)*(MIN(O268,($N$4*3/10))^3-N268^3)-(MIN(O268,($N$4*3/10))^4-N268^4)/4,0)+IF(O268&gt;($N$4*3/10),($N$4*3/10)^2*(1.5*(O268^2-MAX(N268,($N$4*3/10))^2)-($N$4*3/10)*(O268-MAX(N268,($N$4*3/10)))),0))*1000,0)</f>
        <v>0</v>
      </c>
      <c r="AQ268" s="120">
        <f>IF(AND(V268="OK",ISNUMBER($N$5),$N$5&gt;0,ISNUMBER($N$3),$N$3&gt;0),R268/(6*$N$3*1000000*$N$5)*(IF(N268&lt;($N$4*4/10),($N$4*4/10)*(MIN(O268,($N$4*4/10))^3-N268^3)-(MIN(O268,($N$4*4/10))^4-N268^4)/4,0)+IF(O268&gt;($N$4*4/10),($N$4*4/10)^2*(1.5*(O268^2-MAX(N268,($N$4*4/10))^2)-($N$4*4/10)*(O268-MAX(N268,($N$4*4/10)))),0))*1000,0)</f>
        <v>0</v>
      </c>
      <c r="AR268" s="120">
        <f>IF(AND(V268="OK",ISNUMBER($N$5),$N$5&gt;0,ISNUMBER($N$3),$N$3&gt;0),R268/(6*$N$3*1000000*$N$5)*(IF(N268&lt;($N$4*5/10),($N$4*5/10)*(MIN(O268,($N$4*5/10))^3-N268^3)-(MIN(O268,($N$4*5/10))^4-N268^4)/4,0)+IF(O268&gt;($N$4*5/10),($N$4*5/10)^2*(1.5*(O268^2-MAX(N268,($N$4*5/10))^2)-($N$4*5/10)*(O268-MAX(N268,($N$4*5/10)))),0))*1000,0)</f>
        <v>0</v>
      </c>
      <c r="AS268" s="120">
        <f>IF(AND(V268="OK",ISNUMBER($N$5),$N$5&gt;0,ISNUMBER($N$3),$N$3&gt;0),R268/(6*$N$3*1000000*$N$5)*(IF(N268&lt;($N$4*6/10),($N$4*6/10)*(MIN(O268,($N$4*6/10))^3-N268^3)-(MIN(O268,($N$4*6/10))^4-N268^4)/4,0)+IF(O268&gt;($N$4*6/10),($N$4*6/10)^2*(1.5*(O268^2-MAX(N268,($N$4*6/10))^2)-($N$4*6/10)*(O268-MAX(N268,($N$4*6/10)))),0))*1000,0)</f>
        <v>0</v>
      </c>
      <c r="AT268" s="120">
        <f>IF(AND(V268="OK",ISNUMBER($N$5),$N$5&gt;0,ISNUMBER($N$3),$N$3&gt;0),R268/(6*$N$3*1000000*$N$5)*(IF(N268&lt;($N$4*7/10),($N$4*7/10)*(MIN(O268,($N$4*7/10))^3-N268^3)-(MIN(O268,($N$4*7/10))^4-N268^4)/4,0)+IF(O268&gt;($N$4*7/10),($N$4*7/10)^2*(1.5*(O268^2-MAX(N268,($N$4*7/10))^2)-($N$4*7/10)*(O268-MAX(N268,($N$4*7/10)))),0))*1000,0)</f>
        <v>0</v>
      </c>
      <c r="AU268" s="120">
        <f>IF(AND(V268="OK",ISNUMBER($N$5),$N$5&gt;0,ISNUMBER($N$3),$N$3&gt;0),R268/(6*$N$3*1000000*$N$5)*(IF(N268&lt;($N$4*8/10),($N$4*8/10)*(MIN(O268,($N$4*8/10))^3-N268^3)-(MIN(O268,($N$4*8/10))^4-N268^4)/4,0)+IF(O268&gt;($N$4*8/10),($N$4*8/10)^2*(1.5*(O268^2-MAX(N268,($N$4*8/10))^2)-($N$4*8/10)*(O268-MAX(N268,($N$4*8/10)))),0))*1000,0)</f>
        <v>0</v>
      </c>
      <c r="AV268" s="120">
        <f>IF(AND(V268="OK",ISNUMBER($N$5),$N$5&gt;0,ISNUMBER($N$3),$N$3&gt;0),R268/(6*$N$3*1000000*$N$5)*(IF(N268&lt;($N$4*9/10),($N$4*9/10)*(MIN(O268,($N$4*9/10))^3-N268^3)-(MIN(O268,($N$4*9/10))^4-N268^4)/4,0)+IF(O268&gt;($N$4*9/10),($N$4*9/10)^2*(1.5*(O268^2-MAX(N268,($N$4*9/10))^2)-($N$4*9/10)*(O268-MAX(N268,($N$4*9/10)))),0))*1000,0)</f>
        <v>0</v>
      </c>
      <c r="AW268" s="120">
        <f>IF(AND(V268="OK",ISNUMBER($N$5),$N$5&gt;0,ISNUMBER($N$3),$N$3&gt;0),R268/(6*$N$3*1000000*$N$5)*(IF(N268&lt;($N$4*10/10),($N$4*10/10)*(MIN(O268,($N$4*10/10))^3-N268^3)-(MIN(O268,($N$4*10/10))^4-N268^4)/4,0)+IF(O268&gt;($N$4*10/10),($N$4*10/10)^2*(1.5*(O268^2-MAX(N268,($N$4*10/10))^2)-($N$4*10/10)*(O268-MAX(N268,($N$4*10/10)))),0))*1000,0)</f>
        <v>0</v>
      </c>
    </row>
    <row r="269" spans="1:49">
      <c r="A269" s="124"/>
      <c r="B269" s="125"/>
      <c r="C269" s="125"/>
      <c r="D269" s="125"/>
      <c r="E269" s="125"/>
      <c r="F269" s="126" t="str">
        <f>IF(J269="OK",D269*E269,"")</f>
        <v/>
      </c>
      <c r="G269" s="126" t="str">
        <f>IF(J269="OK",F269*(C269-B269),"")</f>
        <v/>
      </c>
      <c r="H269" s="126" t="str">
        <f>IF(J269="OK",G269*(C269+B269)/2,"")</f>
        <v/>
      </c>
      <c r="I269" s="126" t="str">
        <f>IF(AND(J269="OK",ISNUMBER($B$5),$B$5&gt;0,ISNUMBER($B$3),$B$3&gt;0),F269*(4*$B$4*(C269^3-B269^3)-(C269^4-B269^4))/(24*$B$3*1000000*$B$5)*1000,"")</f>
        <v/>
      </c>
      <c r="J269" s="120" t="str">
        <f>IF(COUNTA(A269:E269)=0,"",IF(AND(COUNT(B269:E269)=4,B269&gt;=0,C269&gt;B269,C269&lt;=$B$4,D269&gt;=0,E269&gt;0),IF(COUNTIFS($B$13:$B$268,"&lt;"&amp;C269,$C$13:$C$268,"&gt;"&amp;B269)&gt;0,"OVERLAP","OK"),"CHECK INPUTS"))</f>
        <v/>
      </c>
      <c r="M269" s="124"/>
      <c r="N269" s="125"/>
      <c r="O269" s="125"/>
      <c r="P269" s="125"/>
      <c r="Q269" s="125"/>
      <c r="R269" s="126" t="str">
        <f>IF(V269="OK",P269*Q269,"")</f>
        <v/>
      </c>
      <c r="S269" s="126" t="str">
        <f>IF(V269="OK",R269*(O269-N269),"")</f>
        <v/>
      </c>
      <c r="T269" s="126" t="str">
        <f>IF(V269="OK",S269*(O269+N269)/2,"")</f>
        <v/>
      </c>
      <c r="U269" s="126" t="str">
        <f>IF(AND(V269="OK",ISNUMBER($N$5),$N$5&gt;0,ISNUMBER($N$3),$N$3&gt;0),R269*(4*$N$4*(O269^3-N269^3)-(O269^4-N269^4))/(24*$N$3*1000000*$N$5)*1000,"")</f>
        <v/>
      </c>
      <c r="V269" s="120" t="str">
        <f>IF(COUNTA(M269:Q269)=0,"",IF(AND(COUNT(N269:Q269)=4,N269&gt;=0,O269&gt;N269,O269&lt;=$N$4,P269&gt;=0,Q269&gt;0),IF(COUNTIFS($N$13:$N$268,"&lt;"&amp;O269,$O$13:$O$268,"&gt;"&amp;N269)&gt;0,"OVERLAP","OK"),"CHECK INPUTS"))</f>
        <v/>
      </c>
      <c r="AA269" s="120">
        <f>IF(AND(J269="OK",ISNUMBER($B$5),$B$5&gt;0,ISNUMBER($B$3),$B$3&gt;0),F269/(6*$B$3*1000000*$B$5)*(IF(B269&lt;($B$4*0/10),($B$4*0/10)*(MIN(C269,($B$4*0/10))^3-B269^3)-(MIN(C269,($B$4*0/10))^4-B269^4)/4,0)+IF(C269&gt;($B$4*0/10),($B$4*0/10)^2*(1.5*(C269^2-MAX(B269,($B$4*0/10))^2)-($B$4*0/10)*(C269-MAX(B269,($B$4*0/10)))),0))*1000,0)</f>
        <v>0</v>
      </c>
      <c r="AB269" s="120">
        <f>IF(AND(J269="OK",ISNUMBER($B$5),$B$5&gt;0,ISNUMBER($B$3),$B$3&gt;0),F269/(6*$B$3*1000000*$B$5)*(IF(B269&lt;($B$4*1/10),($B$4*1/10)*(MIN(C269,($B$4*1/10))^3-B269^3)-(MIN(C269,($B$4*1/10))^4-B269^4)/4,0)+IF(C269&gt;($B$4*1/10),($B$4*1/10)^2*(1.5*(C269^2-MAX(B269,($B$4*1/10))^2)-($B$4*1/10)*(C269-MAX(B269,($B$4*1/10)))),0))*1000,0)</f>
        <v>0</v>
      </c>
      <c r="AC269" s="120">
        <f>IF(AND(J269="OK",ISNUMBER($B$5),$B$5&gt;0,ISNUMBER($B$3),$B$3&gt;0),F269/(6*$B$3*1000000*$B$5)*(IF(B269&lt;($B$4*2/10),($B$4*2/10)*(MIN(C269,($B$4*2/10))^3-B269^3)-(MIN(C269,($B$4*2/10))^4-B269^4)/4,0)+IF(C269&gt;($B$4*2/10),($B$4*2/10)^2*(1.5*(C269^2-MAX(B269,($B$4*2/10))^2)-($B$4*2/10)*(C269-MAX(B269,($B$4*2/10)))),0))*1000,0)</f>
        <v>0</v>
      </c>
      <c r="AD269" s="120">
        <f>IF(AND(J269="OK",ISNUMBER($B$5),$B$5&gt;0,ISNUMBER($B$3),$B$3&gt;0),F269/(6*$B$3*1000000*$B$5)*(IF(B269&lt;($B$4*3/10),($B$4*3/10)*(MIN(C269,($B$4*3/10))^3-B269^3)-(MIN(C269,($B$4*3/10))^4-B269^4)/4,0)+IF(C269&gt;($B$4*3/10),($B$4*3/10)^2*(1.5*(C269^2-MAX(B269,($B$4*3/10))^2)-($B$4*3/10)*(C269-MAX(B269,($B$4*3/10)))),0))*1000,0)</f>
        <v>0</v>
      </c>
      <c r="AE269" s="120">
        <f>IF(AND(J269="OK",ISNUMBER($B$5),$B$5&gt;0,ISNUMBER($B$3),$B$3&gt;0),F269/(6*$B$3*1000000*$B$5)*(IF(B269&lt;($B$4*4/10),($B$4*4/10)*(MIN(C269,($B$4*4/10))^3-B269^3)-(MIN(C269,($B$4*4/10))^4-B269^4)/4,0)+IF(C269&gt;($B$4*4/10),($B$4*4/10)^2*(1.5*(C269^2-MAX(B269,($B$4*4/10))^2)-($B$4*4/10)*(C269-MAX(B269,($B$4*4/10)))),0))*1000,0)</f>
        <v>0</v>
      </c>
      <c r="AF269" s="120">
        <f>IF(AND(J269="OK",ISNUMBER($B$5),$B$5&gt;0,ISNUMBER($B$3),$B$3&gt;0),F269/(6*$B$3*1000000*$B$5)*(IF(B269&lt;($B$4*5/10),($B$4*5/10)*(MIN(C269,($B$4*5/10))^3-B269^3)-(MIN(C269,($B$4*5/10))^4-B269^4)/4,0)+IF(C269&gt;($B$4*5/10),($B$4*5/10)^2*(1.5*(C269^2-MAX(B269,($B$4*5/10))^2)-($B$4*5/10)*(C269-MAX(B269,($B$4*5/10)))),0))*1000,0)</f>
        <v>0</v>
      </c>
      <c r="AG269" s="120">
        <f>IF(AND(J269="OK",ISNUMBER($B$5),$B$5&gt;0,ISNUMBER($B$3),$B$3&gt;0),F269/(6*$B$3*1000000*$B$5)*(IF(B269&lt;($B$4*6/10),($B$4*6/10)*(MIN(C269,($B$4*6/10))^3-B269^3)-(MIN(C269,($B$4*6/10))^4-B269^4)/4,0)+IF(C269&gt;($B$4*6/10),($B$4*6/10)^2*(1.5*(C269^2-MAX(B269,($B$4*6/10))^2)-($B$4*6/10)*(C269-MAX(B269,($B$4*6/10)))),0))*1000,0)</f>
        <v>0</v>
      </c>
      <c r="AH269" s="120">
        <f>IF(AND(J269="OK",ISNUMBER($B$5),$B$5&gt;0,ISNUMBER($B$3),$B$3&gt;0),F269/(6*$B$3*1000000*$B$5)*(IF(B269&lt;($B$4*7/10),($B$4*7/10)*(MIN(C269,($B$4*7/10))^3-B269^3)-(MIN(C269,($B$4*7/10))^4-B269^4)/4,0)+IF(C269&gt;($B$4*7/10),($B$4*7/10)^2*(1.5*(C269^2-MAX(B269,($B$4*7/10))^2)-($B$4*7/10)*(C269-MAX(B269,($B$4*7/10)))),0))*1000,0)</f>
        <v>0</v>
      </c>
      <c r="AI269" s="120">
        <f>IF(AND(J269="OK",ISNUMBER($B$5),$B$5&gt;0,ISNUMBER($B$3),$B$3&gt;0),F269/(6*$B$3*1000000*$B$5)*(IF(B269&lt;($B$4*8/10),($B$4*8/10)*(MIN(C269,($B$4*8/10))^3-B269^3)-(MIN(C269,($B$4*8/10))^4-B269^4)/4,0)+IF(C269&gt;($B$4*8/10),($B$4*8/10)^2*(1.5*(C269^2-MAX(B269,($B$4*8/10))^2)-($B$4*8/10)*(C269-MAX(B269,($B$4*8/10)))),0))*1000,0)</f>
        <v>0</v>
      </c>
      <c r="AJ269" s="120">
        <f>IF(AND(J269="OK",ISNUMBER($B$5),$B$5&gt;0,ISNUMBER($B$3),$B$3&gt;0),F269/(6*$B$3*1000000*$B$5)*(IF(B269&lt;($B$4*9/10),($B$4*9/10)*(MIN(C269,($B$4*9/10))^3-B269^3)-(MIN(C269,($B$4*9/10))^4-B269^4)/4,0)+IF(C269&gt;($B$4*9/10),($B$4*9/10)^2*(1.5*(C269^2-MAX(B269,($B$4*9/10))^2)-($B$4*9/10)*(C269-MAX(B269,($B$4*9/10)))),0))*1000,0)</f>
        <v>0</v>
      </c>
      <c r="AK269" s="120">
        <f>IF(AND(J269="OK",ISNUMBER($B$5),$B$5&gt;0,ISNUMBER($B$3),$B$3&gt;0),F269/(6*$B$3*1000000*$B$5)*(IF(B269&lt;($B$4*10/10),($B$4*10/10)*(MIN(C269,($B$4*10/10))^3-B269^3)-(MIN(C269,($B$4*10/10))^4-B269^4)/4,0)+IF(C269&gt;($B$4*10/10),($B$4*10/10)^2*(1.5*(C269^2-MAX(B269,($B$4*10/10))^2)-($B$4*10/10)*(C269-MAX(B269,($B$4*10/10)))),0))*1000,0)</f>
        <v>0</v>
      </c>
      <c r="AM269" s="120">
        <f>IF(AND(V269="OK",ISNUMBER($N$5),$N$5&gt;0,ISNUMBER($N$3),$N$3&gt;0),R269/(6*$N$3*1000000*$N$5)*(IF(N269&lt;($N$4*0/10),($N$4*0/10)*(MIN(O269,($N$4*0/10))^3-N269^3)-(MIN(O269,($N$4*0/10))^4-N269^4)/4,0)+IF(O269&gt;($N$4*0/10),($N$4*0/10)^2*(1.5*(O269^2-MAX(N269,($N$4*0/10))^2)-($N$4*0/10)*(O269-MAX(N269,($N$4*0/10)))),0))*1000,0)</f>
        <v>0</v>
      </c>
      <c r="AN269" s="120">
        <f>IF(AND(V269="OK",ISNUMBER($N$5),$N$5&gt;0,ISNUMBER($N$3),$N$3&gt;0),R269/(6*$N$3*1000000*$N$5)*(IF(N269&lt;($N$4*1/10),($N$4*1/10)*(MIN(O269,($N$4*1/10))^3-N269^3)-(MIN(O269,($N$4*1/10))^4-N269^4)/4,0)+IF(O269&gt;($N$4*1/10),($N$4*1/10)^2*(1.5*(O269^2-MAX(N269,($N$4*1/10))^2)-($N$4*1/10)*(O269-MAX(N269,($N$4*1/10)))),0))*1000,0)</f>
        <v>0</v>
      </c>
      <c r="AO269" s="120">
        <f>IF(AND(V269="OK",ISNUMBER($N$5),$N$5&gt;0,ISNUMBER($N$3),$N$3&gt;0),R269/(6*$N$3*1000000*$N$5)*(IF(N269&lt;($N$4*2/10),($N$4*2/10)*(MIN(O269,($N$4*2/10))^3-N269^3)-(MIN(O269,($N$4*2/10))^4-N269^4)/4,0)+IF(O269&gt;($N$4*2/10),($N$4*2/10)^2*(1.5*(O269^2-MAX(N269,($N$4*2/10))^2)-($N$4*2/10)*(O269-MAX(N269,($N$4*2/10)))),0))*1000,0)</f>
        <v>0</v>
      </c>
      <c r="AP269" s="120">
        <f>IF(AND(V269="OK",ISNUMBER($N$5),$N$5&gt;0,ISNUMBER($N$3),$N$3&gt;0),R269/(6*$N$3*1000000*$N$5)*(IF(N269&lt;($N$4*3/10),($N$4*3/10)*(MIN(O269,($N$4*3/10))^3-N269^3)-(MIN(O269,($N$4*3/10))^4-N269^4)/4,0)+IF(O269&gt;($N$4*3/10),($N$4*3/10)^2*(1.5*(O269^2-MAX(N269,($N$4*3/10))^2)-($N$4*3/10)*(O269-MAX(N269,($N$4*3/10)))),0))*1000,0)</f>
        <v>0</v>
      </c>
      <c r="AQ269" s="120">
        <f>IF(AND(V269="OK",ISNUMBER($N$5),$N$5&gt;0,ISNUMBER($N$3),$N$3&gt;0),R269/(6*$N$3*1000000*$N$5)*(IF(N269&lt;($N$4*4/10),($N$4*4/10)*(MIN(O269,($N$4*4/10))^3-N269^3)-(MIN(O269,($N$4*4/10))^4-N269^4)/4,0)+IF(O269&gt;($N$4*4/10),($N$4*4/10)^2*(1.5*(O269^2-MAX(N269,($N$4*4/10))^2)-($N$4*4/10)*(O269-MAX(N269,($N$4*4/10)))),0))*1000,0)</f>
        <v>0</v>
      </c>
      <c r="AR269" s="120">
        <f>IF(AND(V269="OK",ISNUMBER($N$5),$N$5&gt;0,ISNUMBER($N$3),$N$3&gt;0),R269/(6*$N$3*1000000*$N$5)*(IF(N269&lt;($N$4*5/10),($N$4*5/10)*(MIN(O269,($N$4*5/10))^3-N269^3)-(MIN(O269,($N$4*5/10))^4-N269^4)/4,0)+IF(O269&gt;($N$4*5/10),($N$4*5/10)^2*(1.5*(O269^2-MAX(N269,($N$4*5/10))^2)-($N$4*5/10)*(O269-MAX(N269,($N$4*5/10)))),0))*1000,0)</f>
        <v>0</v>
      </c>
      <c r="AS269" s="120">
        <f>IF(AND(V269="OK",ISNUMBER($N$5),$N$5&gt;0,ISNUMBER($N$3),$N$3&gt;0),R269/(6*$N$3*1000000*$N$5)*(IF(N269&lt;($N$4*6/10),($N$4*6/10)*(MIN(O269,($N$4*6/10))^3-N269^3)-(MIN(O269,($N$4*6/10))^4-N269^4)/4,0)+IF(O269&gt;($N$4*6/10),($N$4*6/10)^2*(1.5*(O269^2-MAX(N269,($N$4*6/10))^2)-($N$4*6/10)*(O269-MAX(N269,($N$4*6/10)))),0))*1000,0)</f>
        <v>0</v>
      </c>
      <c r="AT269" s="120">
        <f>IF(AND(V269="OK",ISNUMBER($N$5),$N$5&gt;0,ISNUMBER($N$3),$N$3&gt;0),R269/(6*$N$3*1000000*$N$5)*(IF(N269&lt;($N$4*7/10),($N$4*7/10)*(MIN(O269,($N$4*7/10))^3-N269^3)-(MIN(O269,($N$4*7/10))^4-N269^4)/4,0)+IF(O269&gt;($N$4*7/10),($N$4*7/10)^2*(1.5*(O269^2-MAX(N269,($N$4*7/10))^2)-($N$4*7/10)*(O269-MAX(N269,($N$4*7/10)))),0))*1000,0)</f>
        <v>0</v>
      </c>
      <c r="AU269" s="120">
        <f>IF(AND(V269="OK",ISNUMBER($N$5),$N$5&gt;0,ISNUMBER($N$3),$N$3&gt;0),R269/(6*$N$3*1000000*$N$5)*(IF(N269&lt;($N$4*8/10),($N$4*8/10)*(MIN(O269,($N$4*8/10))^3-N269^3)-(MIN(O269,($N$4*8/10))^4-N269^4)/4,0)+IF(O269&gt;($N$4*8/10),($N$4*8/10)^2*(1.5*(O269^2-MAX(N269,($N$4*8/10))^2)-($N$4*8/10)*(O269-MAX(N269,($N$4*8/10)))),0))*1000,0)</f>
        <v>0</v>
      </c>
      <c r="AV269" s="120">
        <f>IF(AND(V269="OK",ISNUMBER($N$5),$N$5&gt;0,ISNUMBER($N$3),$N$3&gt;0),R269/(6*$N$3*1000000*$N$5)*(IF(N269&lt;($N$4*9/10),($N$4*9/10)*(MIN(O269,($N$4*9/10))^3-N269^3)-(MIN(O269,($N$4*9/10))^4-N269^4)/4,0)+IF(O269&gt;($N$4*9/10),($N$4*9/10)^2*(1.5*(O269^2-MAX(N269,($N$4*9/10))^2)-($N$4*9/10)*(O269-MAX(N269,($N$4*9/10)))),0))*1000,0)</f>
        <v>0</v>
      </c>
      <c r="AW269" s="120">
        <f>IF(AND(V269="OK",ISNUMBER($N$5),$N$5&gt;0,ISNUMBER($N$3),$N$3&gt;0),R269/(6*$N$3*1000000*$N$5)*(IF(N269&lt;($N$4*10/10),($N$4*10/10)*(MIN(O269,($N$4*10/10))^3-N269^3)-(MIN(O269,($N$4*10/10))^4-N269^4)/4,0)+IF(O269&gt;($N$4*10/10),($N$4*10/10)^2*(1.5*(O269^2-MAX(N269,($N$4*10/10))^2)-($N$4*10/10)*(O269-MAX(N269,($N$4*10/10)))),0))*1000,0)</f>
        <v>0</v>
      </c>
    </row>
    <row r="270" spans="1:49">
      <c r="A270" s="124"/>
      <c r="B270" s="125"/>
      <c r="C270" s="125"/>
      <c r="D270" s="125"/>
      <c r="E270" s="125"/>
      <c r="F270" s="126" t="str">
        <f>IF(J270="OK",D270*E270,"")</f>
        <v/>
      </c>
      <c r="G270" s="126" t="str">
        <f>IF(J270="OK",F270*(C270-B270),"")</f>
        <v/>
      </c>
      <c r="H270" s="126" t="str">
        <f>IF(J270="OK",G270*(C270+B270)/2,"")</f>
        <v/>
      </c>
      <c r="I270" s="126" t="str">
        <f>IF(AND(J270="OK",ISNUMBER($B$5),$B$5&gt;0,ISNUMBER($B$3),$B$3&gt;0),F270*(4*$B$4*(C270^3-B270^3)-(C270^4-B270^4))/(24*$B$3*1000000*$B$5)*1000,"")</f>
        <v/>
      </c>
      <c r="J270" s="120" t="str">
        <f>IF(COUNTA(A270:E270)=0,"",IF(AND(COUNT(B270:E270)=4,B270&gt;=0,C270&gt;B270,C270&lt;=$B$4,D270&gt;=0,E270&gt;0),IF(COUNTIFS($B$13:$B$269,"&lt;"&amp;C270,$C$13:$C$269,"&gt;"&amp;B270)&gt;0,"OVERLAP","OK"),"CHECK INPUTS"))</f>
        <v/>
      </c>
      <c r="M270" s="124"/>
      <c r="N270" s="125"/>
      <c r="O270" s="125"/>
      <c r="P270" s="125"/>
      <c r="Q270" s="125"/>
      <c r="R270" s="126" t="str">
        <f>IF(V270="OK",P270*Q270,"")</f>
        <v/>
      </c>
      <c r="S270" s="126" t="str">
        <f>IF(V270="OK",R270*(O270-N270),"")</f>
        <v/>
      </c>
      <c r="T270" s="126" t="str">
        <f>IF(V270="OK",S270*(O270+N270)/2,"")</f>
        <v/>
      </c>
      <c r="U270" s="126" t="str">
        <f>IF(AND(V270="OK",ISNUMBER($N$5),$N$5&gt;0,ISNUMBER($N$3),$N$3&gt;0),R270*(4*$N$4*(O270^3-N270^3)-(O270^4-N270^4))/(24*$N$3*1000000*$N$5)*1000,"")</f>
        <v/>
      </c>
      <c r="V270" s="120" t="str">
        <f>IF(COUNTA(M270:Q270)=0,"",IF(AND(COUNT(N270:Q270)=4,N270&gt;=0,O270&gt;N270,O270&lt;=$N$4,P270&gt;=0,Q270&gt;0),IF(COUNTIFS($N$13:$N$269,"&lt;"&amp;O270,$O$13:$O$269,"&gt;"&amp;N270)&gt;0,"OVERLAP","OK"),"CHECK INPUTS"))</f>
        <v/>
      </c>
      <c r="AA270" s="120">
        <f>IF(AND(J270="OK",ISNUMBER($B$5),$B$5&gt;0,ISNUMBER($B$3),$B$3&gt;0),F270/(6*$B$3*1000000*$B$5)*(IF(B270&lt;($B$4*0/10),($B$4*0/10)*(MIN(C270,($B$4*0/10))^3-B270^3)-(MIN(C270,($B$4*0/10))^4-B270^4)/4,0)+IF(C270&gt;($B$4*0/10),($B$4*0/10)^2*(1.5*(C270^2-MAX(B270,($B$4*0/10))^2)-($B$4*0/10)*(C270-MAX(B270,($B$4*0/10)))),0))*1000,0)</f>
        <v>0</v>
      </c>
      <c r="AB270" s="120">
        <f>IF(AND(J270="OK",ISNUMBER($B$5),$B$5&gt;0,ISNUMBER($B$3),$B$3&gt;0),F270/(6*$B$3*1000000*$B$5)*(IF(B270&lt;($B$4*1/10),($B$4*1/10)*(MIN(C270,($B$4*1/10))^3-B270^3)-(MIN(C270,($B$4*1/10))^4-B270^4)/4,0)+IF(C270&gt;($B$4*1/10),($B$4*1/10)^2*(1.5*(C270^2-MAX(B270,($B$4*1/10))^2)-($B$4*1/10)*(C270-MAX(B270,($B$4*1/10)))),0))*1000,0)</f>
        <v>0</v>
      </c>
      <c r="AC270" s="120">
        <f>IF(AND(J270="OK",ISNUMBER($B$5),$B$5&gt;0,ISNUMBER($B$3),$B$3&gt;0),F270/(6*$B$3*1000000*$B$5)*(IF(B270&lt;($B$4*2/10),($B$4*2/10)*(MIN(C270,($B$4*2/10))^3-B270^3)-(MIN(C270,($B$4*2/10))^4-B270^4)/4,0)+IF(C270&gt;($B$4*2/10),($B$4*2/10)^2*(1.5*(C270^2-MAX(B270,($B$4*2/10))^2)-($B$4*2/10)*(C270-MAX(B270,($B$4*2/10)))),0))*1000,0)</f>
        <v>0</v>
      </c>
      <c r="AD270" s="120">
        <f>IF(AND(J270="OK",ISNUMBER($B$5),$B$5&gt;0,ISNUMBER($B$3),$B$3&gt;0),F270/(6*$B$3*1000000*$B$5)*(IF(B270&lt;($B$4*3/10),($B$4*3/10)*(MIN(C270,($B$4*3/10))^3-B270^3)-(MIN(C270,($B$4*3/10))^4-B270^4)/4,0)+IF(C270&gt;($B$4*3/10),($B$4*3/10)^2*(1.5*(C270^2-MAX(B270,($B$4*3/10))^2)-($B$4*3/10)*(C270-MAX(B270,($B$4*3/10)))),0))*1000,0)</f>
        <v>0</v>
      </c>
      <c r="AE270" s="120">
        <f>IF(AND(J270="OK",ISNUMBER($B$5),$B$5&gt;0,ISNUMBER($B$3),$B$3&gt;0),F270/(6*$B$3*1000000*$B$5)*(IF(B270&lt;($B$4*4/10),($B$4*4/10)*(MIN(C270,($B$4*4/10))^3-B270^3)-(MIN(C270,($B$4*4/10))^4-B270^4)/4,0)+IF(C270&gt;($B$4*4/10),($B$4*4/10)^2*(1.5*(C270^2-MAX(B270,($B$4*4/10))^2)-($B$4*4/10)*(C270-MAX(B270,($B$4*4/10)))),0))*1000,0)</f>
        <v>0</v>
      </c>
      <c r="AF270" s="120">
        <f>IF(AND(J270="OK",ISNUMBER($B$5),$B$5&gt;0,ISNUMBER($B$3),$B$3&gt;0),F270/(6*$B$3*1000000*$B$5)*(IF(B270&lt;($B$4*5/10),($B$4*5/10)*(MIN(C270,($B$4*5/10))^3-B270^3)-(MIN(C270,($B$4*5/10))^4-B270^4)/4,0)+IF(C270&gt;($B$4*5/10),($B$4*5/10)^2*(1.5*(C270^2-MAX(B270,($B$4*5/10))^2)-($B$4*5/10)*(C270-MAX(B270,($B$4*5/10)))),0))*1000,0)</f>
        <v>0</v>
      </c>
      <c r="AG270" s="120">
        <f>IF(AND(J270="OK",ISNUMBER($B$5),$B$5&gt;0,ISNUMBER($B$3),$B$3&gt;0),F270/(6*$B$3*1000000*$B$5)*(IF(B270&lt;($B$4*6/10),($B$4*6/10)*(MIN(C270,($B$4*6/10))^3-B270^3)-(MIN(C270,($B$4*6/10))^4-B270^4)/4,0)+IF(C270&gt;($B$4*6/10),($B$4*6/10)^2*(1.5*(C270^2-MAX(B270,($B$4*6/10))^2)-($B$4*6/10)*(C270-MAX(B270,($B$4*6/10)))),0))*1000,0)</f>
        <v>0</v>
      </c>
      <c r="AH270" s="120">
        <f>IF(AND(J270="OK",ISNUMBER($B$5),$B$5&gt;0,ISNUMBER($B$3),$B$3&gt;0),F270/(6*$B$3*1000000*$B$5)*(IF(B270&lt;($B$4*7/10),($B$4*7/10)*(MIN(C270,($B$4*7/10))^3-B270^3)-(MIN(C270,($B$4*7/10))^4-B270^4)/4,0)+IF(C270&gt;($B$4*7/10),($B$4*7/10)^2*(1.5*(C270^2-MAX(B270,($B$4*7/10))^2)-($B$4*7/10)*(C270-MAX(B270,($B$4*7/10)))),0))*1000,0)</f>
        <v>0</v>
      </c>
      <c r="AI270" s="120">
        <f>IF(AND(J270="OK",ISNUMBER($B$5),$B$5&gt;0,ISNUMBER($B$3),$B$3&gt;0),F270/(6*$B$3*1000000*$B$5)*(IF(B270&lt;($B$4*8/10),($B$4*8/10)*(MIN(C270,($B$4*8/10))^3-B270^3)-(MIN(C270,($B$4*8/10))^4-B270^4)/4,0)+IF(C270&gt;($B$4*8/10),($B$4*8/10)^2*(1.5*(C270^2-MAX(B270,($B$4*8/10))^2)-($B$4*8/10)*(C270-MAX(B270,($B$4*8/10)))),0))*1000,0)</f>
        <v>0</v>
      </c>
      <c r="AJ270" s="120">
        <f>IF(AND(J270="OK",ISNUMBER($B$5),$B$5&gt;0,ISNUMBER($B$3),$B$3&gt;0),F270/(6*$B$3*1000000*$B$5)*(IF(B270&lt;($B$4*9/10),($B$4*9/10)*(MIN(C270,($B$4*9/10))^3-B270^3)-(MIN(C270,($B$4*9/10))^4-B270^4)/4,0)+IF(C270&gt;($B$4*9/10),($B$4*9/10)^2*(1.5*(C270^2-MAX(B270,($B$4*9/10))^2)-($B$4*9/10)*(C270-MAX(B270,($B$4*9/10)))),0))*1000,0)</f>
        <v>0</v>
      </c>
      <c r="AK270" s="120">
        <f>IF(AND(J270="OK",ISNUMBER($B$5),$B$5&gt;0,ISNUMBER($B$3),$B$3&gt;0),F270/(6*$B$3*1000000*$B$5)*(IF(B270&lt;($B$4*10/10),($B$4*10/10)*(MIN(C270,($B$4*10/10))^3-B270^3)-(MIN(C270,($B$4*10/10))^4-B270^4)/4,0)+IF(C270&gt;($B$4*10/10),($B$4*10/10)^2*(1.5*(C270^2-MAX(B270,($B$4*10/10))^2)-($B$4*10/10)*(C270-MAX(B270,($B$4*10/10)))),0))*1000,0)</f>
        <v>0</v>
      </c>
      <c r="AM270" s="120">
        <f>IF(AND(V270="OK",ISNUMBER($N$5),$N$5&gt;0,ISNUMBER($N$3),$N$3&gt;0),R270/(6*$N$3*1000000*$N$5)*(IF(N270&lt;($N$4*0/10),($N$4*0/10)*(MIN(O270,($N$4*0/10))^3-N270^3)-(MIN(O270,($N$4*0/10))^4-N270^4)/4,0)+IF(O270&gt;($N$4*0/10),($N$4*0/10)^2*(1.5*(O270^2-MAX(N270,($N$4*0/10))^2)-($N$4*0/10)*(O270-MAX(N270,($N$4*0/10)))),0))*1000,0)</f>
        <v>0</v>
      </c>
      <c r="AN270" s="120">
        <f>IF(AND(V270="OK",ISNUMBER($N$5),$N$5&gt;0,ISNUMBER($N$3),$N$3&gt;0),R270/(6*$N$3*1000000*$N$5)*(IF(N270&lt;($N$4*1/10),($N$4*1/10)*(MIN(O270,($N$4*1/10))^3-N270^3)-(MIN(O270,($N$4*1/10))^4-N270^4)/4,0)+IF(O270&gt;($N$4*1/10),($N$4*1/10)^2*(1.5*(O270^2-MAX(N270,($N$4*1/10))^2)-($N$4*1/10)*(O270-MAX(N270,($N$4*1/10)))),0))*1000,0)</f>
        <v>0</v>
      </c>
      <c r="AO270" s="120">
        <f>IF(AND(V270="OK",ISNUMBER($N$5),$N$5&gt;0,ISNUMBER($N$3),$N$3&gt;0),R270/(6*$N$3*1000000*$N$5)*(IF(N270&lt;($N$4*2/10),($N$4*2/10)*(MIN(O270,($N$4*2/10))^3-N270^3)-(MIN(O270,($N$4*2/10))^4-N270^4)/4,0)+IF(O270&gt;($N$4*2/10),($N$4*2/10)^2*(1.5*(O270^2-MAX(N270,($N$4*2/10))^2)-($N$4*2/10)*(O270-MAX(N270,($N$4*2/10)))),0))*1000,0)</f>
        <v>0</v>
      </c>
      <c r="AP270" s="120">
        <f>IF(AND(V270="OK",ISNUMBER($N$5),$N$5&gt;0,ISNUMBER($N$3),$N$3&gt;0),R270/(6*$N$3*1000000*$N$5)*(IF(N270&lt;($N$4*3/10),($N$4*3/10)*(MIN(O270,($N$4*3/10))^3-N270^3)-(MIN(O270,($N$4*3/10))^4-N270^4)/4,0)+IF(O270&gt;($N$4*3/10),($N$4*3/10)^2*(1.5*(O270^2-MAX(N270,($N$4*3/10))^2)-($N$4*3/10)*(O270-MAX(N270,($N$4*3/10)))),0))*1000,0)</f>
        <v>0</v>
      </c>
      <c r="AQ270" s="120">
        <f>IF(AND(V270="OK",ISNUMBER($N$5),$N$5&gt;0,ISNUMBER($N$3),$N$3&gt;0),R270/(6*$N$3*1000000*$N$5)*(IF(N270&lt;($N$4*4/10),($N$4*4/10)*(MIN(O270,($N$4*4/10))^3-N270^3)-(MIN(O270,($N$4*4/10))^4-N270^4)/4,0)+IF(O270&gt;($N$4*4/10),($N$4*4/10)^2*(1.5*(O270^2-MAX(N270,($N$4*4/10))^2)-($N$4*4/10)*(O270-MAX(N270,($N$4*4/10)))),0))*1000,0)</f>
        <v>0</v>
      </c>
      <c r="AR270" s="120">
        <f>IF(AND(V270="OK",ISNUMBER($N$5),$N$5&gt;0,ISNUMBER($N$3),$N$3&gt;0),R270/(6*$N$3*1000000*$N$5)*(IF(N270&lt;($N$4*5/10),($N$4*5/10)*(MIN(O270,($N$4*5/10))^3-N270^3)-(MIN(O270,($N$4*5/10))^4-N270^4)/4,0)+IF(O270&gt;($N$4*5/10),($N$4*5/10)^2*(1.5*(O270^2-MAX(N270,($N$4*5/10))^2)-($N$4*5/10)*(O270-MAX(N270,($N$4*5/10)))),0))*1000,0)</f>
        <v>0</v>
      </c>
      <c r="AS270" s="120">
        <f>IF(AND(V270="OK",ISNUMBER($N$5),$N$5&gt;0,ISNUMBER($N$3),$N$3&gt;0),R270/(6*$N$3*1000000*$N$5)*(IF(N270&lt;($N$4*6/10),($N$4*6/10)*(MIN(O270,($N$4*6/10))^3-N270^3)-(MIN(O270,($N$4*6/10))^4-N270^4)/4,0)+IF(O270&gt;($N$4*6/10),($N$4*6/10)^2*(1.5*(O270^2-MAX(N270,($N$4*6/10))^2)-($N$4*6/10)*(O270-MAX(N270,($N$4*6/10)))),0))*1000,0)</f>
        <v>0</v>
      </c>
      <c r="AT270" s="120">
        <f>IF(AND(V270="OK",ISNUMBER($N$5),$N$5&gt;0,ISNUMBER($N$3),$N$3&gt;0),R270/(6*$N$3*1000000*$N$5)*(IF(N270&lt;($N$4*7/10),($N$4*7/10)*(MIN(O270,($N$4*7/10))^3-N270^3)-(MIN(O270,($N$4*7/10))^4-N270^4)/4,0)+IF(O270&gt;($N$4*7/10),($N$4*7/10)^2*(1.5*(O270^2-MAX(N270,($N$4*7/10))^2)-($N$4*7/10)*(O270-MAX(N270,($N$4*7/10)))),0))*1000,0)</f>
        <v>0</v>
      </c>
      <c r="AU270" s="120">
        <f>IF(AND(V270="OK",ISNUMBER($N$5),$N$5&gt;0,ISNUMBER($N$3),$N$3&gt;0),R270/(6*$N$3*1000000*$N$5)*(IF(N270&lt;($N$4*8/10),($N$4*8/10)*(MIN(O270,($N$4*8/10))^3-N270^3)-(MIN(O270,($N$4*8/10))^4-N270^4)/4,0)+IF(O270&gt;($N$4*8/10),($N$4*8/10)^2*(1.5*(O270^2-MAX(N270,($N$4*8/10))^2)-($N$4*8/10)*(O270-MAX(N270,($N$4*8/10)))),0))*1000,0)</f>
        <v>0</v>
      </c>
      <c r="AV270" s="120">
        <f>IF(AND(V270="OK",ISNUMBER($N$5),$N$5&gt;0,ISNUMBER($N$3),$N$3&gt;0),R270/(6*$N$3*1000000*$N$5)*(IF(N270&lt;($N$4*9/10),($N$4*9/10)*(MIN(O270,($N$4*9/10))^3-N270^3)-(MIN(O270,($N$4*9/10))^4-N270^4)/4,0)+IF(O270&gt;($N$4*9/10),($N$4*9/10)^2*(1.5*(O270^2-MAX(N270,($N$4*9/10))^2)-($N$4*9/10)*(O270-MAX(N270,($N$4*9/10)))),0))*1000,0)</f>
        <v>0</v>
      </c>
      <c r="AW270" s="120">
        <f>IF(AND(V270="OK",ISNUMBER($N$5),$N$5&gt;0,ISNUMBER($N$3),$N$3&gt;0),R270/(6*$N$3*1000000*$N$5)*(IF(N270&lt;($N$4*10/10),($N$4*10/10)*(MIN(O270,($N$4*10/10))^3-N270^3)-(MIN(O270,($N$4*10/10))^4-N270^4)/4,0)+IF(O270&gt;($N$4*10/10),($N$4*10/10)^2*(1.5*(O270^2-MAX(N270,($N$4*10/10))^2)-($N$4*10/10)*(O270-MAX(N270,($N$4*10/10)))),0))*1000,0)</f>
        <v>0</v>
      </c>
    </row>
    <row r="271" spans="1:49">
      <c r="A271" s="124"/>
      <c r="B271" s="125"/>
      <c r="C271" s="125"/>
      <c r="D271" s="125"/>
      <c r="E271" s="125"/>
      <c r="F271" s="126" t="str">
        <f>IF(J271="OK",D271*E271,"")</f>
        <v/>
      </c>
      <c r="G271" s="126" t="str">
        <f>IF(J271="OK",F271*(C271-B271),"")</f>
        <v/>
      </c>
      <c r="H271" s="126" t="str">
        <f>IF(J271="OK",G271*(C271+B271)/2,"")</f>
        <v/>
      </c>
      <c r="I271" s="126" t="str">
        <f>IF(AND(J271="OK",ISNUMBER($B$5),$B$5&gt;0,ISNUMBER($B$3),$B$3&gt;0),F271*(4*$B$4*(C271^3-B271^3)-(C271^4-B271^4))/(24*$B$3*1000000*$B$5)*1000,"")</f>
        <v/>
      </c>
      <c r="J271" s="120" t="str">
        <f>IF(COUNTA(A271:E271)=0,"",IF(AND(COUNT(B271:E271)=4,B271&gt;=0,C271&gt;B271,C271&lt;=$B$4,D271&gt;=0,E271&gt;0),IF(COUNTIFS($B$13:$B$270,"&lt;"&amp;C271,$C$13:$C$270,"&gt;"&amp;B271)&gt;0,"OVERLAP","OK"),"CHECK INPUTS"))</f>
        <v/>
      </c>
      <c r="M271" s="124"/>
      <c r="N271" s="125"/>
      <c r="O271" s="125"/>
      <c r="P271" s="125"/>
      <c r="Q271" s="125"/>
      <c r="R271" s="126" t="str">
        <f>IF(V271="OK",P271*Q271,"")</f>
        <v/>
      </c>
      <c r="S271" s="126" t="str">
        <f>IF(V271="OK",R271*(O271-N271),"")</f>
        <v/>
      </c>
      <c r="T271" s="126" t="str">
        <f>IF(V271="OK",S271*(O271+N271)/2,"")</f>
        <v/>
      </c>
      <c r="U271" s="126" t="str">
        <f>IF(AND(V271="OK",ISNUMBER($N$5),$N$5&gt;0,ISNUMBER($N$3),$N$3&gt;0),R271*(4*$N$4*(O271^3-N271^3)-(O271^4-N271^4))/(24*$N$3*1000000*$N$5)*1000,"")</f>
        <v/>
      </c>
      <c r="V271" s="120" t="str">
        <f>IF(COUNTA(M271:Q271)=0,"",IF(AND(COUNT(N271:Q271)=4,N271&gt;=0,O271&gt;N271,O271&lt;=$N$4,P271&gt;=0,Q271&gt;0),IF(COUNTIFS($N$13:$N$270,"&lt;"&amp;O271,$O$13:$O$270,"&gt;"&amp;N271)&gt;0,"OVERLAP","OK"),"CHECK INPUTS"))</f>
        <v/>
      </c>
      <c r="AA271" s="120">
        <f>IF(AND(J271="OK",ISNUMBER($B$5),$B$5&gt;0,ISNUMBER($B$3),$B$3&gt;0),F271/(6*$B$3*1000000*$B$5)*(IF(B271&lt;($B$4*0/10),($B$4*0/10)*(MIN(C271,($B$4*0/10))^3-B271^3)-(MIN(C271,($B$4*0/10))^4-B271^4)/4,0)+IF(C271&gt;($B$4*0/10),($B$4*0/10)^2*(1.5*(C271^2-MAX(B271,($B$4*0/10))^2)-($B$4*0/10)*(C271-MAX(B271,($B$4*0/10)))),0))*1000,0)</f>
        <v>0</v>
      </c>
      <c r="AB271" s="120">
        <f>IF(AND(J271="OK",ISNUMBER($B$5),$B$5&gt;0,ISNUMBER($B$3),$B$3&gt;0),F271/(6*$B$3*1000000*$B$5)*(IF(B271&lt;($B$4*1/10),($B$4*1/10)*(MIN(C271,($B$4*1/10))^3-B271^3)-(MIN(C271,($B$4*1/10))^4-B271^4)/4,0)+IF(C271&gt;($B$4*1/10),($B$4*1/10)^2*(1.5*(C271^2-MAX(B271,($B$4*1/10))^2)-($B$4*1/10)*(C271-MAX(B271,($B$4*1/10)))),0))*1000,0)</f>
        <v>0</v>
      </c>
      <c r="AC271" s="120">
        <f>IF(AND(J271="OK",ISNUMBER($B$5),$B$5&gt;0,ISNUMBER($B$3),$B$3&gt;0),F271/(6*$B$3*1000000*$B$5)*(IF(B271&lt;($B$4*2/10),($B$4*2/10)*(MIN(C271,($B$4*2/10))^3-B271^3)-(MIN(C271,($B$4*2/10))^4-B271^4)/4,0)+IF(C271&gt;($B$4*2/10),($B$4*2/10)^2*(1.5*(C271^2-MAX(B271,($B$4*2/10))^2)-($B$4*2/10)*(C271-MAX(B271,($B$4*2/10)))),0))*1000,0)</f>
        <v>0</v>
      </c>
      <c r="AD271" s="120">
        <f>IF(AND(J271="OK",ISNUMBER($B$5),$B$5&gt;0,ISNUMBER($B$3),$B$3&gt;0),F271/(6*$B$3*1000000*$B$5)*(IF(B271&lt;($B$4*3/10),($B$4*3/10)*(MIN(C271,($B$4*3/10))^3-B271^3)-(MIN(C271,($B$4*3/10))^4-B271^4)/4,0)+IF(C271&gt;($B$4*3/10),($B$4*3/10)^2*(1.5*(C271^2-MAX(B271,($B$4*3/10))^2)-($B$4*3/10)*(C271-MAX(B271,($B$4*3/10)))),0))*1000,0)</f>
        <v>0</v>
      </c>
      <c r="AE271" s="120">
        <f>IF(AND(J271="OK",ISNUMBER($B$5),$B$5&gt;0,ISNUMBER($B$3),$B$3&gt;0),F271/(6*$B$3*1000000*$B$5)*(IF(B271&lt;($B$4*4/10),($B$4*4/10)*(MIN(C271,($B$4*4/10))^3-B271^3)-(MIN(C271,($B$4*4/10))^4-B271^4)/4,0)+IF(C271&gt;($B$4*4/10),($B$4*4/10)^2*(1.5*(C271^2-MAX(B271,($B$4*4/10))^2)-($B$4*4/10)*(C271-MAX(B271,($B$4*4/10)))),0))*1000,0)</f>
        <v>0</v>
      </c>
      <c r="AF271" s="120">
        <f>IF(AND(J271="OK",ISNUMBER($B$5),$B$5&gt;0,ISNUMBER($B$3),$B$3&gt;0),F271/(6*$B$3*1000000*$B$5)*(IF(B271&lt;($B$4*5/10),($B$4*5/10)*(MIN(C271,($B$4*5/10))^3-B271^3)-(MIN(C271,($B$4*5/10))^4-B271^4)/4,0)+IF(C271&gt;($B$4*5/10),($B$4*5/10)^2*(1.5*(C271^2-MAX(B271,($B$4*5/10))^2)-($B$4*5/10)*(C271-MAX(B271,($B$4*5/10)))),0))*1000,0)</f>
        <v>0</v>
      </c>
      <c r="AG271" s="120">
        <f>IF(AND(J271="OK",ISNUMBER($B$5),$B$5&gt;0,ISNUMBER($B$3),$B$3&gt;0),F271/(6*$B$3*1000000*$B$5)*(IF(B271&lt;($B$4*6/10),($B$4*6/10)*(MIN(C271,($B$4*6/10))^3-B271^3)-(MIN(C271,($B$4*6/10))^4-B271^4)/4,0)+IF(C271&gt;($B$4*6/10),($B$4*6/10)^2*(1.5*(C271^2-MAX(B271,($B$4*6/10))^2)-($B$4*6/10)*(C271-MAX(B271,($B$4*6/10)))),0))*1000,0)</f>
        <v>0</v>
      </c>
      <c r="AH271" s="120">
        <f>IF(AND(J271="OK",ISNUMBER($B$5),$B$5&gt;0,ISNUMBER($B$3),$B$3&gt;0),F271/(6*$B$3*1000000*$B$5)*(IF(B271&lt;($B$4*7/10),($B$4*7/10)*(MIN(C271,($B$4*7/10))^3-B271^3)-(MIN(C271,($B$4*7/10))^4-B271^4)/4,0)+IF(C271&gt;($B$4*7/10),($B$4*7/10)^2*(1.5*(C271^2-MAX(B271,($B$4*7/10))^2)-($B$4*7/10)*(C271-MAX(B271,($B$4*7/10)))),0))*1000,0)</f>
        <v>0</v>
      </c>
      <c r="AI271" s="120">
        <f>IF(AND(J271="OK",ISNUMBER($B$5),$B$5&gt;0,ISNUMBER($B$3),$B$3&gt;0),F271/(6*$B$3*1000000*$B$5)*(IF(B271&lt;($B$4*8/10),($B$4*8/10)*(MIN(C271,($B$4*8/10))^3-B271^3)-(MIN(C271,($B$4*8/10))^4-B271^4)/4,0)+IF(C271&gt;($B$4*8/10),($B$4*8/10)^2*(1.5*(C271^2-MAX(B271,($B$4*8/10))^2)-($B$4*8/10)*(C271-MAX(B271,($B$4*8/10)))),0))*1000,0)</f>
        <v>0</v>
      </c>
      <c r="AJ271" s="120">
        <f>IF(AND(J271="OK",ISNUMBER($B$5),$B$5&gt;0,ISNUMBER($B$3),$B$3&gt;0),F271/(6*$B$3*1000000*$B$5)*(IF(B271&lt;($B$4*9/10),($B$4*9/10)*(MIN(C271,($B$4*9/10))^3-B271^3)-(MIN(C271,($B$4*9/10))^4-B271^4)/4,0)+IF(C271&gt;($B$4*9/10),($B$4*9/10)^2*(1.5*(C271^2-MAX(B271,($B$4*9/10))^2)-($B$4*9/10)*(C271-MAX(B271,($B$4*9/10)))),0))*1000,0)</f>
        <v>0</v>
      </c>
      <c r="AK271" s="120">
        <f>IF(AND(J271="OK",ISNUMBER($B$5),$B$5&gt;0,ISNUMBER($B$3),$B$3&gt;0),F271/(6*$B$3*1000000*$B$5)*(IF(B271&lt;($B$4*10/10),($B$4*10/10)*(MIN(C271,($B$4*10/10))^3-B271^3)-(MIN(C271,($B$4*10/10))^4-B271^4)/4,0)+IF(C271&gt;($B$4*10/10),($B$4*10/10)^2*(1.5*(C271^2-MAX(B271,($B$4*10/10))^2)-($B$4*10/10)*(C271-MAX(B271,($B$4*10/10)))),0))*1000,0)</f>
        <v>0</v>
      </c>
      <c r="AM271" s="120">
        <f>IF(AND(V271="OK",ISNUMBER($N$5),$N$5&gt;0,ISNUMBER($N$3),$N$3&gt;0),R271/(6*$N$3*1000000*$N$5)*(IF(N271&lt;($N$4*0/10),($N$4*0/10)*(MIN(O271,($N$4*0/10))^3-N271^3)-(MIN(O271,($N$4*0/10))^4-N271^4)/4,0)+IF(O271&gt;($N$4*0/10),($N$4*0/10)^2*(1.5*(O271^2-MAX(N271,($N$4*0/10))^2)-($N$4*0/10)*(O271-MAX(N271,($N$4*0/10)))),0))*1000,0)</f>
        <v>0</v>
      </c>
      <c r="AN271" s="120">
        <f>IF(AND(V271="OK",ISNUMBER($N$5),$N$5&gt;0,ISNUMBER($N$3),$N$3&gt;0),R271/(6*$N$3*1000000*$N$5)*(IF(N271&lt;($N$4*1/10),($N$4*1/10)*(MIN(O271,($N$4*1/10))^3-N271^3)-(MIN(O271,($N$4*1/10))^4-N271^4)/4,0)+IF(O271&gt;($N$4*1/10),($N$4*1/10)^2*(1.5*(O271^2-MAX(N271,($N$4*1/10))^2)-($N$4*1/10)*(O271-MAX(N271,($N$4*1/10)))),0))*1000,0)</f>
        <v>0</v>
      </c>
      <c r="AO271" s="120">
        <f>IF(AND(V271="OK",ISNUMBER($N$5),$N$5&gt;0,ISNUMBER($N$3),$N$3&gt;0),R271/(6*$N$3*1000000*$N$5)*(IF(N271&lt;($N$4*2/10),($N$4*2/10)*(MIN(O271,($N$4*2/10))^3-N271^3)-(MIN(O271,($N$4*2/10))^4-N271^4)/4,0)+IF(O271&gt;($N$4*2/10),($N$4*2/10)^2*(1.5*(O271^2-MAX(N271,($N$4*2/10))^2)-($N$4*2/10)*(O271-MAX(N271,($N$4*2/10)))),0))*1000,0)</f>
        <v>0</v>
      </c>
      <c r="AP271" s="120">
        <f>IF(AND(V271="OK",ISNUMBER($N$5),$N$5&gt;0,ISNUMBER($N$3),$N$3&gt;0),R271/(6*$N$3*1000000*$N$5)*(IF(N271&lt;($N$4*3/10),($N$4*3/10)*(MIN(O271,($N$4*3/10))^3-N271^3)-(MIN(O271,($N$4*3/10))^4-N271^4)/4,0)+IF(O271&gt;($N$4*3/10),($N$4*3/10)^2*(1.5*(O271^2-MAX(N271,($N$4*3/10))^2)-($N$4*3/10)*(O271-MAX(N271,($N$4*3/10)))),0))*1000,0)</f>
        <v>0</v>
      </c>
      <c r="AQ271" s="120">
        <f>IF(AND(V271="OK",ISNUMBER($N$5),$N$5&gt;0,ISNUMBER($N$3),$N$3&gt;0),R271/(6*$N$3*1000000*$N$5)*(IF(N271&lt;($N$4*4/10),($N$4*4/10)*(MIN(O271,($N$4*4/10))^3-N271^3)-(MIN(O271,($N$4*4/10))^4-N271^4)/4,0)+IF(O271&gt;($N$4*4/10),($N$4*4/10)^2*(1.5*(O271^2-MAX(N271,($N$4*4/10))^2)-($N$4*4/10)*(O271-MAX(N271,($N$4*4/10)))),0))*1000,0)</f>
        <v>0</v>
      </c>
      <c r="AR271" s="120">
        <f>IF(AND(V271="OK",ISNUMBER($N$5),$N$5&gt;0,ISNUMBER($N$3),$N$3&gt;0),R271/(6*$N$3*1000000*$N$5)*(IF(N271&lt;($N$4*5/10),($N$4*5/10)*(MIN(O271,($N$4*5/10))^3-N271^3)-(MIN(O271,($N$4*5/10))^4-N271^4)/4,0)+IF(O271&gt;($N$4*5/10),($N$4*5/10)^2*(1.5*(O271^2-MAX(N271,($N$4*5/10))^2)-($N$4*5/10)*(O271-MAX(N271,($N$4*5/10)))),0))*1000,0)</f>
        <v>0</v>
      </c>
      <c r="AS271" s="120">
        <f>IF(AND(V271="OK",ISNUMBER($N$5),$N$5&gt;0,ISNUMBER($N$3),$N$3&gt;0),R271/(6*$N$3*1000000*$N$5)*(IF(N271&lt;($N$4*6/10),($N$4*6/10)*(MIN(O271,($N$4*6/10))^3-N271^3)-(MIN(O271,($N$4*6/10))^4-N271^4)/4,0)+IF(O271&gt;($N$4*6/10),($N$4*6/10)^2*(1.5*(O271^2-MAX(N271,($N$4*6/10))^2)-($N$4*6/10)*(O271-MAX(N271,($N$4*6/10)))),0))*1000,0)</f>
        <v>0</v>
      </c>
      <c r="AT271" s="120">
        <f>IF(AND(V271="OK",ISNUMBER($N$5),$N$5&gt;0,ISNUMBER($N$3),$N$3&gt;0),R271/(6*$N$3*1000000*$N$5)*(IF(N271&lt;($N$4*7/10),($N$4*7/10)*(MIN(O271,($N$4*7/10))^3-N271^3)-(MIN(O271,($N$4*7/10))^4-N271^4)/4,0)+IF(O271&gt;($N$4*7/10),($N$4*7/10)^2*(1.5*(O271^2-MAX(N271,($N$4*7/10))^2)-($N$4*7/10)*(O271-MAX(N271,($N$4*7/10)))),0))*1000,0)</f>
        <v>0</v>
      </c>
      <c r="AU271" s="120">
        <f>IF(AND(V271="OK",ISNUMBER($N$5),$N$5&gt;0,ISNUMBER($N$3),$N$3&gt;0),R271/(6*$N$3*1000000*$N$5)*(IF(N271&lt;($N$4*8/10),($N$4*8/10)*(MIN(O271,($N$4*8/10))^3-N271^3)-(MIN(O271,($N$4*8/10))^4-N271^4)/4,0)+IF(O271&gt;($N$4*8/10),($N$4*8/10)^2*(1.5*(O271^2-MAX(N271,($N$4*8/10))^2)-($N$4*8/10)*(O271-MAX(N271,($N$4*8/10)))),0))*1000,0)</f>
        <v>0</v>
      </c>
      <c r="AV271" s="120">
        <f>IF(AND(V271="OK",ISNUMBER($N$5),$N$5&gt;0,ISNUMBER($N$3),$N$3&gt;0),R271/(6*$N$3*1000000*$N$5)*(IF(N271&lt;($N$4*9/10),($N$4*9/10)*(MIN(O271,($N$4*9/10))^3-N271^3)-(MIN(O271,($N$4*9/10))^4-N271^4)/4,0)+IF(O271&gt;($N$4*9/10),($N$4*9/10)^2*(1.5*(O271^2-MAX(N271,($N$4*9/10))^2)-($N$4*9/10)*(O271-MAX(N271,($N$4*9/10)))),0))*1000,0)</f>
        <v>0</v>
      </c>
      <c r="AW271" s="120">
        <f>IF(AND(V271="OK",ISNUMBER($N$5),$N$5&gt;0,ISNUMBER($N$3),$N$3&gt;0),R271/(6*$N$3*1000000*$N$5)*(IF(N271&lt;($N$4*10/10),($N$4*10/10)*(MIN(O271,($N$4*10/10))^3-N271^3)-(MIN(O271,($N$4*10/10))^4-N271^4)/4,0)+IF(O271&gt;($N$4*10/10),($N$4*10/10)^2*(1.5*(O271^2-MAX(N271,($N$4*10/10))^2)-($N$4*10/10)*(O271-MAX(N271,($N$4*10/10)))),0))*1000,0)</f>
        <v>0</v>
      </c>
    </row>
    <row r="272" spans="1:49">
      <c r="A272" s="124"/>
      <c r="B272" s="125"/>
      <c r="C272" s="125"/>
      <c r="D272" s="125"/>
      <c r="E272" s="125"/>
      <c r="F272" s="126" t="str">
        <f>IF(J272="OK",D272*E272,"")</f>
        <v/>
      </c>
      <c r="G272" s="126" t="str">
        <f>IF(J272="OK",F272*(C272-B272),"")</f>
        <v/>
      </c>
      <c r="H272" s="126" t="str">
        <f>IF(J272="OK",G272*(C272+B272)/2,"")</f>
        <v/>
      </c>
      <c r="I272" s="126" t="str">
        <f>IF(AND(J272="OK",ISNUMBER($B$5),$B$5&gt;0,ISNUMBER($B$3),$B$3&gt;0),F272*(4*$B$4*(C272^3-B272^3)-(C272^4-B272^4))/(24*$B$3*1000000*$B$5)*1000,"")</f>
        <v/>
      </c>
      <c r="J272" s="120" t="str">
        <f>IF(COUNTA(A272:E272)=0,"",IF(AND(COUNT(B272:E272)=4,B272&gt;=0,C272&gt;B272,C272&lt;=$B$4,D272&gt;=0,E272&gt;0),IF(COUNTIFS($B$13:$B$271,"&lt;"&amp;C272,$C$13:$C$271,"&gt;"&amp;B272)&gt;0,"OVERLAP","OK"),"CHECK INPUTS"))</f>
        <v/>
      </c>
      <c r="M272" s="124"/>
      <c r="N272" s="125"/>
      <c r="O272" s="125"/>
      <c r="P272" s="125"/>
      <c r="Q272" s="125"/>
      <c r="R272" s="126" t="str">
        <f>IF(V272="OK",P272*Q272,"")</f>
        <v/>
      </c>
      <c r="S272" s="126" t="str">
        <f>IF(V272="OK",R272*(O272-N272),"")</f>
        <v/>
      </c>
      <c r="T272" s="126" t="str">
        <f>IF(V272="OK",S272*(O272+N272)/2,"")</f>
        <v/>
      </c>
      <c r="U272" s="126" t="str">
        <f>IF(AND(V272="OK",ISNUMBER($N$5),$N$5&gt;0,ISNUMBER($N$3),$N$3&gt;0),R272*(4*$N$4*(O272^3-N272^3)-(O272^4-N272^4))/(24*$N$3*1000000*$N$5)*1000,"")</f>
        <v/>
      </c>
      <c r="V272" s="120" t="str">
        <f>IF(COUNTA(M272:Q272)=0,"",IF(AND(COUNT(N272:Q272)=4,N272&gt;=0,O272&gt;N272,O272&lt;=$N$4,P272&gt;=0,Q272&gt;0),IF(COUNTIFS($N$13:$N$271,"&lt;"&amp;O272,$O$13:$O$271,"&gt;"&amp;N272)&gt;0,"OVERLAP","OK"),"CHECK INPUTS"))</f>
        <v/>
      </c>
      <c r="AA272" s="120">
        <f>IF(AND(J272="OK",ISNUMBER($B$5),$B$5&gt;0,ISNUMBER($B$3),$B$3&gt;0),F272/(6*$B$3*1000000*$B$5)*(IF(B272&lt;($B$4*0/10),($B$4*0/10)*(MIN(C272,($B$4*0/10))^3-B272^3)-(MIN(C272,($B$4*0/10))^4-B272^4)/4,0)+IF(C272&gt;($B$4*0/10),($B$4*0/10)^2*(1.5*(C272^2-MAX(B272,($B$4*0/10))^2)-($B$4*0/10)*(C272-MAX(B272,($B$4*0/10)))),0))*1000,0)</f>
        <v>0</v>
      </c>
      <c r="AB272" s="120">
        <f>IF(AND(J272="OK",ISNUMBER($B$5),$B$5&gt;0,ISNUMBER($B$3),$B$3&gt;0),F272/(6*$B$3*1000000*$B$5)*(IF(B272&lt;($B$4*1/10),($B$4*1/10)*(MIN(C272,($B$4*1/10))^3-B272^3)-(MIN(C272,($B$4*1/10))^4-B272^4)/4,0)+IF(C272&gt;($B$4*1/10),($B$4*1/10)^2*(1.5*(C272^2-MAX(B272,($B$4*1/10))^2)-($B$4*1/10)*(C272-MAX(B272,($B$4*1/10)))),0))*1000,0)</f>
        <v>0</v>
      </c>
      <c r="AC272" s="120">
        <f>IF(AND(J272="OK",ISNUMBER($B$5),$B$5&gt;0,ISNUMBER($B$3),$B$3&gt;0),F272/(6*$B$3*1000000*$B$5)*(IF(B272&lt;($B$4*2/10),($B$4*2/10)*(MIN(C272,($B$4*2/10))^3-B272^3)-(MIN(C272,($B$4*2/10))^4-B272^4)/4,0)+IF(C272&gt;($B$4*2/10),($B$4*2/10)^2*(1.5*(C272^2-MAX(B272,($B$4*2/10))^2)-($B$4*2/10)*(C272-MAX(B272,($B$4*2/10)))),0))*1000,0)</f>
        <v>0</v>
      </c>
      <c r="AD272" s="120">
        <f>IF(AND(J272="OK",ISNUMBER($B$5),$B$5&gt;0,ISNUMBER($B$3),$B$3&gt;0),F272/(6*$B$3*1000000*$B$5)*(IF(B272&lt;($B$4*3/10),($B$4*3/10)*(MIN(C272,($B$4*3/10))^3-B272^3)-(MIN(C272,($B$4*3/10))^4-B272^4)/4,0)+IF(C272&gt;($B$4*3/10),($B$4*3/10)^2*(1.5*(C272^2-MAX(B272,($B$4*3/10))^2)-($B$4*3/10)*(C272-MAX(B272,($B$4*3/10)))),0))*1000,0)</f>
        <v>0</v>
      </c>
      <c r="AE272" s="120">
        <f>IF(AND(J272="OK",ISNUMBER($B$5),$B$5&gt;0,ISNUMBER($B$3),$B$3&gt;0),F272/(6*$B$3*1000000*$B$5)*(IF(B272&lt;($B$4*4/10),($B$4*4/10)*(MIN(C272,($B$4*4/10))^3-B272^3)-(MIN(C272,($B$4*4/10))^4-B272^4)/4,0)+IF(C272&gt;($B$4*4/10),($B$4*4/10)^2*(1.5*(C272^2-MAX(B272,($B$4*4/10))^2)-($B$4*4/10)*(C272-MAX(B272,($B$4*4/10)))),0))*1000,0)</f>
        <v>0</v>
      </c>
      <c r="AF272" s="120">
        <f>IF(AND(J272="OK",ISNUMBER($B$5),$B$5&gt;0,ISNUMBER($B$3),$B$3&gt;0),F272/(6*$B$3*1000000*$B$5)*(IF(B272&lt;($B$4*5/10),($B$4*5/10)*(MIN(C272,($B$4*5/10))^3-B272^3)-(MIN(C272,($B$4*5/10))^4-B272^4)/4,0)+IF(C272&gt;($B$4*5/10),($B$4*5/10)^2*(1.5*(C272^2-MAX(B272,($B$4*5/10))^2)-($B$4*5/10)*(C272-MAX(B272,($B$4*5/10)))),0))*1000,0)</f>
        <v>0</v>
      </c>
      <c r="AG272" s="120">
        <f>IF(AND(J272="OK",ISNUMBER($B$5),$B$5&gt;0,ISNUMBER($B$3),$B$3&gt;0),F272/(6*$B$3*1000000*$B$5)*(IF(B272&lt;($B$4*6/10),($B$4*6/10)*(MIN(C272,($B$4*6/10))^3-B272^3)-(MIN(C272,($B$4*6/10))^4-B272^4)/4,0)+IF(C272&gt;($B$4*6/10),($B$4*6/10)^2*(1.5*(C272^2-MAX(B272,($B$4*6/10))^2)-($B$4*6/10)*(C272-MAX(B272,($B$4*6/10)))),0))*1000,0)</f>
        <v>0</v>
      </c>
      <c r="AH272" s="120">
        <f>IF(AND(J272="OK",ISNUMBER($B$5),$B$5&gt;0,ISNUMBER($B$3),$B$3&gt;0),F272/(6*$B$3*1000000*$B$5)*(IF(B272&lt;($B$4*7/10),($B$4*7/10)*(MIN(C272,($B$4*7/10))^3-B272^3)-(MIN(C272,($B$4*7/10))^4-B272^4)/4,0)+IF(C272&gt;($B$4*7/10),($B$4*7/10)^2*(1.5*(C272^2-MAX(B272,($B$4*7/10))^2)-($B$4*7/10)*(C272-MAX(B272,($B$4*7/10)))),0))*1000,0)</f>
        <v>0</v>
      </c>
      <c r="AI272" s="120">
        <f>IF(AND(J272="OK",ISNUMBER($B$5),$B$5&gt;0,ISNUMBER($B$3),$B$3&gt;0),F272/(6*$B$3*1000000*$B$5)*(IF(B272&lt;($B$4*8/10),($B$4*8/10)*(MIN(C272,($B$4*8/10))^3-B272^3)-(MIN(C272,($B$4*8/10))^4-B272^4)/4,0)+IF(C272&gt;($B$4*8/10),($B$4*8/10)^2*(1.5*(C272^2-MAX(B272,($B$4*8/10))^2)-($B$4*8/10)*(C272-MAX(B272,($B$4*8/10)))),0))*1000,0)</f>
        <v>0</v>
      </c>
      <c r="AJ272" s="120">
        <f>IF(AND(J272="OK",ISNUMBER($B$5),$B$5&gt;0,ISNUMBER($B$3),$B$3&gt;0),F272/(6*$B$3*1000000*$B$5)*(IF(B272&lt;($B$4*9/10),($B$4*9/10)*(MIN(C272,($B$4*9/10))^3-B272^3)-(MIN(C272,($B$4*9/10))^4-B272^4)/4,0)+IF(C272&gt;($B$4*9/10),($B$4*9/10)^2*(1.5*(C272^2-MAX(B272,($B$4*9/10))^2)-($B$4*9/10)*(C272-MAX(B272,($B$4*9/10)))),0))*1000,0)</f>
        <v>0</v>
      </c>
      <c r="AK272" s="120">
        <f>IF(AND(J272="OK",ISNUMBER($B$5),$B$5&gt;0,ISNUMBER($B$3),$B$3&gt;0),F272/(6*$B$3*1000000*$B$5)*(IF(B272&lt;($B$4*10/10),($B$4*10/10)*(MIN(C272,($B$4*10/10))^3-B272^3)-(MIN(C272,($B$4*10/10))^4-B272^4)/4,0)+IF(C272&gt;($B$4*10/10),($B$4*10/10)^2*(1.5*(C272^2-MAX(B272,($B$4*10/10))^2)-($B$4*10/10)*(C272-MAX(B272,($B$4*10/10)))),0))*1000,0)</f>
        <v>0</v>
      </c>
      <c r="AM272" s="120">
        <f>IF(AND(V272="OK",ISNUMBER($N$5),$N$5&gt;0,ISNUMBER($N$3),$N$3&gt;0),R272/(6*$N$3*1000000*$N$5)*(IF(N272&lt;($N$4*0/10),($N$4*0/10)*(MIN(O272,($N$4*0/10))^3-N272^3)-(MIN(O272,($N$4*0/10))^4-N272^4)/4,0)+IF(O272&gt;($N$4*0/10),($N$4*0/10)^2*(1.5*(O272^2-MAX(N272,($N$4*0/10))^2)-($N$4*0/10)*(O272-MAX(N272,($N$4*0/10)))),0))*1000,0)</f>
        <v>0</v>
      </c>
      <c r="AN272" s="120">
        <f>IF(AND(V272="OK",ISNUMBER($N$5),$N$5&gt;0,ISNUMBER($N$3),$N$3&gt;0),R272/(6*$N$3*1000000*$N$5)*(IF(N272&lt;($N$4*1/10),($N$4*1/10)*(MIN(O272,($N$4*1/10))^3-N272^3)-(MIN(O272,($N$4*1/10))^4-N272^4)/4,0)+IF(O272&gt;($N$4*1/10),($N$4*1/10)^2*(1.5*(O272^2-MAX(N272,($N$4*1/10))^2)-($N$4*1/10)*(O272-MAX(N272,($N$4*1/10)))),0))*1000,0)</f>
        <v>0</v>
      </c>
      <c r="AO272" s="120">
        <f>IF(AND(V272="OK",ISNUMBER($N$5),$N$5&gt;0,ISNUMBER($N$3),$N$3&gt;0),R272/(6*$N$3*1000000*$N$5)*(IF(N272&lt;($N$4*2/10),($N$4*2/10)*(MIN(O272,($N$4*2/10))^3-N272^3)-(MIN(O272,($N$4*2/10))^4-N272^4)/4,0)+IF(O272&gt;($N$4*2/10),($N$4*2/10)^2*(1.5*(O272^2-MAX(N272,($N$4*2/10))^2)-($N$4*2/10)*(O272-MAX(N272,($N$4*2/10)))),0))*1000,0)</f>
        <v>0</v>
      </c>
      <c r="AP272" s="120">
        <f>IF(AND(V272="OK",ISNUMBER($N$5),$N$5&gt;0,ISNUMBER($N$3),$N$3&gt;0),R272/(6*$N$3*1000000*$N$5)*(IF(N272&lt;($N$4*3/10),($N$4*3/10)*(MIN(O272,($N$4*3/10))^3-N272^3)-(MIN(O272,($N$4*3/10))^4-N272^4)/4,0)+IF(O272&gt;($N$4*3/10),($N$4*3/10)^2*(1.5*(O272^2-MAX(N272,($N$4*3/10))^2)-($N$4*3/10)*(O272-MAX(N272,($N$4*3/10)))),0))*1000,0)</f>
        <v>0</v>
      </c>
      <c r="AQ272" s="120">
        <f>IF(AND(V272="OK",ISNUMBER($N$5),$N$5&gt;0,ISNUMBER($N$3),$N$3&gt;0),R272/(6*$N$3*1000000*$N$5)*(IF(N272&lt;($N$4*4/10),($N$4*4/10)*(MIN(O272,($N$4*4/10))^3-N272^3)-(MIN(O272,($N$4*4/10))^4-N272^4)/4,0)+IF(O272&gt;($N$4*4/10),($N$4*4/10)^2*(1.5*(O272^2-MAX(N272,($N$4*4/10))^2)-($N$4*4/10)*(O272-MAX(N272,($N$4*4/10)))),0))*1000,0)</f>
        <v>0</v>
      </c>
      <c r="AR272" s="120">
        <f>IF(AND(V272="OK",ISNUMBER($N$5),$N$5&gt;0,ISNUMBER($N$3),$N$3&gt;0),R272/(6*$N$3*1000000*$N$5)*(IF(N272&lt;($N$4*5/10),($N$4*5/10)*(MIN(O272,($N$4*5/10))^3-N272^3)-(MIN(O272,($N$4*5/10))^4-N272^4)/4,0)+IF(O272&gt;($N$4*5/10),($N$4*5/10)^2*(1.5*(O272^2-MAX(N272,($N$4*5/10))^2)-($N$4*5/10)*(O272-MAX(N272,($N$4*5/10)))),0))*1000,0)</f>
        <v>0</v>
      </c>
      <c r="AS272" s="120">
        <f>IF(AND(V272="OK",ISNUMBER($N$5),$N$5&gt;0,ISNUMBER($N$3),$N$3&gt;0),R272/(6*$N$3*1000000*$N$5)*(IF(N272&lt;($N$4*6/10),($N$4*6/10)*(MIN(O272,($N$4*6/10))^3-N272^3)-(MIN(O272,($N$4*6/10))^4-N272^4)/4,0)+IF(O272&gt;($N$4*6/10),($N$4*6/10)^2*(1.5*(O272^2-MAX(N272,($N$4*6/10))^2)-($N$4*6/10)*(O272-MAX(N272,($N$4*6/10)))),0))*1000,0)</f>
        <v>0</v>
      </c>
      <c r="AT272" s="120">
        <f>IF(AND(V272="OK",ISNUMBER($N$5),$N$5&gt;0,ISNUMBER($N$3),$N$3&gt;0),R272/(6*$N$3*1000000*$N$5)*(IF(N272&lt;($N$4*7/10),($N$4*7/10)*(MIN(O272,($N$4*7/10))^3-N272^3)-(MIN(O272,($N$4*7/10))^4-N272^4)/4,0)+IF(O272&gt;($N$4*7/10),($N$4*7/10)^2*(1.5*(O272^2-MAX(N272,($N$4*7/10))^2)-($N$4*7/10)*(O272-MAX(N272,($N$4*7/10)))),0))*1000,0)</f>
        <v>0</v>
      </c>
      <c r="AU272" s="120">
        <f>IF(AND(V272="OK",ISNUMBER($N$5),$N$5&gt;0,ISNUMBER($N$3),$N$3&gt;0),R272/(6*$N$3*1000000*$N$5)*(IF(N272&lt;($N$4*8/10),($N$4*8/10)*(MIN(O272,($N$4*8/10))^3-N272^3)-(MIN(O272,($N$4*8/10))^4-N272^4)/4,0)+IF(O272&gt;($N$4*8/10),($N$4*8/10)^2*(1.5*(O272^2-MAX(N272,($N$4*8/10))^2)-($N$4*8/10)*(O272-MAX(N272,($N$4*8/10)))),0))*1000,0)</f>
        <v>0</v>
      </c>
      <c r="AV272" s="120">
        <f>IF(AND(V272="OK",ISNUMBER($N$5),$N$5&gt;0,ISNUMBER($N$3),$N$3&gt;0),R272/(6*$N$3*1000000*$N$5)*(IF(N272&lt;($N$4*9/10),($N$4*9/10)*(MIN(O272,($N$4*9/10))^3-N272^3)-(MIN(O272,($N$4*9/10))^4-N272^4)/4,0)+IF(O272&gt;($N$4*9/10),($N$4*9/10)^2*(1.5*(O272^2-MAX(N272,($N$4*9/10))^2)-($N$4*9/10)*(O272-MAX(N272,($N$4*9/10)))),0))*1000,0)</f>
        <v>0</v>
      </c>
      <c r="AW272" s="120">
        <f>IF(AND(V272="OK",ISNUMBER($N$5),$N$5&gt;0,ISNUMBER($N$3),$N$3&gt;0),R272/(6*$N$3*1000000*$N$5)*(IF(N272&lt;($N$4*10/10),($N$4*10/10)*(MIN(O272,($N$4*10/10))^3-N272^3)-(MIN(O272,($N$4*10/10))^4-N272^4)/4,0)+IF(O272&gt;($N$4*10/10),($N$4*10/10)^2*(1.5*(O272^2-MAX(N272,($N$4*10/10))^2)-($N$4*10/10)*(O272-MAX(N272,($N$4*10/10)))),0))*1000,0)</f>
        <v>0</v>
      </c>
    </row>
    <row r="273" spans="1:49">
      <c r="A273" s="124"/>
      <c r="B273" s="125"/>
      <c r="C273" s="125"/>
      <c r="D273" s="125"/>
      <c r="E273" s="125"/>
      <c r="F273" s="126" t="str">
        <f>IF(J273="OK",D273*E273,"")</f>
        <v/>
      </c>
      <c r="G273" s="126" t="str">
        <f>IF(J273="OK",F273*(C273-B273),"")</f>
        <v/>
      </c>
      <c r="H273" s="126" t="str">
        <f>IF(J273="OK",G273*(C273+B273)/2,"")</f>
        <v/>
      </c>
      <c r="I273" s="126" t="str">
        <f>IF(AND(J273="OK",ISNUMBER($B$5),$B$5&gt;0,ISNUMBER($B$3),$B$3&gt;0),F273*(4*$B$4*(C273^3-B273^3)-(C273^4-B273^4))/(24*$B$3*1000000*$B$5)*1000,"")</f>
        <v/>
      </c>
      <c r="J273" s="120" t="str">
        <f>IF(COUNTA(A273:E273)=0,"",IF(AND(COUNT(B273:E273)=4,B273&gt;=0,C273&gt;B273,C273&lt;=$B$4,D273&gt;=0,E273&gt;0),IF(COUNTIFS($B$13:$B$272,"&lt;"&amp;C273,$C$13:$C$272,"&gt;"&amp;B273)&gt;0,"OVERLAP","OK"),"CHECK INPUTS"))</f>
        <v/>
      </c>
      <c r="M273" s="124"/>
      <c r="N273" s="125"/>
      <c r="O273" s="125"/>
      <c r="P273" s="125"/>
      <c r="Q273" s="125"/>
      <c r="R273" s="126" t="str">
        <f>IF(V273="OK",P273*Q273,"")</f>
        <v/>
      </c>
      <c r="S273" s="126" t="str">
        <f>IF(V273="OK",R273*(O273-N273),"")</f>
        <v/>
      </c>
      <c r="T273" s="126" t="str">
        <f>IF(V273="OK",S273*(O273+N273)/2,"")</f>
        <v/>
      </c>
      <c r="U273" s="126" t="str">
        <f>IF(AND(V273="OK",ISNUMBER($N$5),$N$5&gt;0,ISNUMBER($N$3),$N$3&gt;0),R273*(4*$N$4*(O273^3-N273^3)-(O273^4-N273^4))/(24*$N$3*1000000*$N$5)*1000,"")</f>
        <v/>
      </c>
      <c r="V273" s="120" t="str">
        <f>IF(COUNTA(M273:Q273)=0,"",IF(AND(COUNT(N273:Q273)=4,N273&gt;=0,O273&gt;N273,O273&lt;=$N$4,P273&gt;=0,Q273&gt;0),IF(COUNTIFS($N$13:$N$272,"&lt;"&amp;O273,$O$13:$O$272,"&gt;"&amp;N273)&gt;0,"OVERLAP","OK"),"CHECK INPUTS"))</f>
        <v/>
      </c>
      <c r="AA273" s="120">
        <f>IF(AND(J273="OK",ISNUMBER($B$5),$B$5&gt;0,ISNUMBER($B$3),$B$3&gt;0),F273/(6*$B$3*1000000*$B$5)*(IF(B273&lt;($B$4*0/10),($B$4*0/10)*(MIN(C273,($B$4*0/10))^3-B273^3)-(MIN(C273,($B$4*0/10))^4-B273^4)/4,0)+IF(C273&gt;($B$4*0/10),($B$4*0/10)^2*(1.5*(C273^2-MAX(B273,($B$4*0/10))^2)-($B$4*0/10)*(C273-MAX(B273,($B$4*0/10)))),0))*1000,0)</f>
        <v>0</v>
      </c>
      <c r="AB273" s="120">
        <f>IF(AND(J273="OK",ISNUMBER($B$5),$B$5&gt;0,ISNUMBER($B$3),$B$3&gt;0),F273/(6*$B$3*1000000*$B$5)*(IF(B273&lt;($B$4*1/10),($B$4*1/10)*(MIN(C273,($B$4*1/10))^3-B273^3)-(MIN(C273,($B$4*1/10))^4-B273^4)/4,0)+IF(C273&gt;($B$4*1/10),($B$4*1/10)^2*(1.5*(C273^2-MAX(B273,($B$4*1/10))^2)-($B$4*1/10)*(C273-MAX(B273,($B$4*1/10)))),0))*1000,0)</f>
        <v>0</v>
      </c>
      <c r="AC273" s="120">
        <f>IF(AND(J273="OK",ISNUMBER($B$5),$B$5&gt;0,ISNUMBER($B$3),$B$3&gt;0),F273/(6*$B$3*1000000*$B$5)*(IF(B273&lt;($B$4*2/10),($B$4*2/10)*(MIN(C273,($B$4*2/10))^3-B273^3)-(MIN(C273,($B$4*2/10))^4-B273^4)/4,0)+IF(C273&gt;($B$4*2/10),($B$4*2/10)^2*(1.5*(C273^2-MAX(B273,($B$4*2/10))^2)-($B$4*2/10)*(C273-MAX(B273,($B$4*2/10)))),0))*1000,0)</f>
        <v>0</v>
      </c>
      <c r="AD273" s="120">
        <f>IF(AND(J273="OK",ISNUMBER($B$5),$B$5&gt;0,ISNUMBER($B$3),$B$3&gt;0),F273/(6*$B$3*1000000*$B$5)*(IF(B273&lt;($B$4*3/10),($B$4*3/10)*(MIN(C273,($B$4*3/10))^3-B273^3)-(MIN(C273,($B$4*3/10))^4-B273^4)/4,0)+IF(C273&gt;($B$4*3/10),($B$4*3/10)^2*(1.5*(C273^2-MAX(B273,($B$4*3/10))^2)-($B$4*3/10)*(C273-MAX(B273,($B$4*3/10)))),0))*1000,0)</f>
        <v>0</v>
      </c>
      <c r="AE273" s="120">
        <f>IF(AND(J273="OK",ISNUMBER($B$5),$B$5&gt;0,ISNUMBER($B$3),$B$3&gt;0),F273/(6*$B$3*1000000*$B$5)*(IF(B273&lt;($B$4*4/10),($B$4*4/10)*(MIN(C273,($B$4*4/10))^3-B273^3)-(MIN(C273,($B$4*4/10))^4-B273^4)/4,0)+IF(C273&gt;($B$4*4/10),($B$4*4/10)^2*(1.5*(C273^2-MAX(B273,($B$4*4/10))^2)-($B$4*4/10)*(C273-MAX(B273,($B$4*4/10)))),0))*1000,0)</f>
        <v>0</v>
      </c>
      <c r="AF273" s="120">
        <f>IF(AND(J273="OK",ISNUMBER($B$5),$B$5&gt;0,ISNUMBER($B$3),$B$3&gt;0),F273/(6*$B$3*1000000*$B$5)*(IF(B273&lt;($B$4*5/10),($B$4*5/10)*(MIN(C273,($B$4*5/10))^3-B273^3)-(MIN(C273,($B$4*5/10))^4-B273^4)/4,0)+IF(C273&gt;($B$4*5/10),($B$4*5/10)^2*(1.5*(C273^2-MAX(B273,($B$4*5/10))^2)-($B$4*5/10)*(C273-MAX(B273,($B$4*5/10)))),0))*1000,0)</f>
        <v>0</v>
      </c>
      <c r="AG273" s="120">
        <f>IF(AND(J273="OK",ISNUMBER($B$5),$B$5&gt;0,ISNUMBER($B$3),$B$3&gt;0),F273/(6*$B$3*1000000*$B$5)*(IF(B273&lt;($B$4*6/10),($B$4*6/10)*(MIN(C273,($B$4*6/10))^3-B273^3)-(MIN(C273,($B$4*6/10))^4-B273^4)/4,0)+IF(C273&gt;($B$4*6/10),($B$4*6/10)^2*(1.5*(C273^2-MAX(B273,($B$4*6/10))^2)-($B$4*6/10)*(C273-MAX(B273,($B$4*6/10)))),0))*1000,0)</f>
        <v>0</v>
      </c>
      <c r="AH273" s="120">
        <f>IF(AND(J273="OK",ISNUMBER($B$5),$B$5&gt;0,ISNUMBER($B$3),$B$3&gt;0),F273/(6*$B$3*1000000*$B$5)*(IF(B273&lt;($B$4*7/10),($B$4*7/10)*(MIN(C273,($B$4*7/10))^3-B273^3)-(MIN(C273,($B$4*7/10))^4-B273^4)/4,0)+IF(C273&gt;($B$4*7/10),($B$4*7/10)^2*(1.5*(C273^2-MAX(B273,($B$4*7/10))^2)-($B$4*7/10)*(C273-MAX(B273,($B$4*7/10)))),0))*1000,0)</f>
        <v>0</v>
      </c>
      <c r="AI273" s="120">
        <f>IF(AND(J273="OK",ISNUMBER($B$5),$B$5&gt;0,ISNUMBER($B$3),$B$3&gt;0),F273/(6*$B$3*1000000*$B$5)*(IF(B273&lt;($B$4*8/10),($B$4*8/10)*(MIN(C273,($B$4*8/10))^3-B273^3)-(MIN(C273,($B$4*8/10))^4-B273^4)/4,0)+IF(C273&gt;($B$4*8/10),($B$4*8/10)^2*(1.5*(C273^2-MAX(B273,($B$4*8/10))^2)-($B$4*8/10)*(C273-MAX(B273,($B$4*8/10)))),0))*1000,0)</f>
        <v>0</v>
      </c>
      <c r="AJ273" s="120">
        <f>IF(AND(J273="OK",ISNUMBER($B$5),$B$5&gt;0,ISNUMBER($B$3),$B$3&gt;0),F273/(6*$B$3*1000000*$B$5)*(IF(B273&lt;($B$4*9/10),($B$4*9/10)*(MIN(C273,($B$4*9/10))^3-B273^3)-(MIN(C273,($B$4*9/10))^4-B273^4)/4,0)+IF(C273&gt;($B$4*9/10),($B$4*9/10)^2*(1.5*(C273^2-MAX(B273,($B$4*9/10))^2)-($B$4*9/10)*(C273-MAX(B273,($B$4*9/10)))),0))*1000,0)</f>
        <v>0</v>
      </c>
      <c r="AK273" s="120">
        <f>IF(AND(J273="OK",ISNUMBER($B$5),$B$5&gt;0,ISNUMBER($B$3),$B$3&gt;0),F273/(6*$B$3*1000000*$B$5)*(IF(B273&lt;($B$4*10/10),($B$4*10/10)*(MIN(C273,($B$4*10/10))^3-B273^3)-(MIN(C273,($B$4*10/10))^4-B273^4)/4,0)+IF(C273&gt;($B$4*10/10),($B$4*10/10)^2*(1.5*(C273^2-MAX(B273,($B$4*10/10))^2)-($B$4*10/10)*(C273-MAX(B273,($B$4*10/10)))),0))*1000,0)</f>
        <v>0</v>
      </c>
      <c r="AM273" s="120">
        <f>IF(AND(V273="OK",ISNUMBER($N$5),$N$5&gt;0,ISNUMBER($N$3),$N$3&gt;0),R273/(6*$N$3*1000000*$N$5)*(IF(N273&lt;($N$4*0/10),($N$4*0/10)*(MIN(O273,($N$4*0/10))^3-N273^3)-(MIN(O273,($N$4*0/10))^4-N273^4)/4,0)+IF(O273&gt;($N$4*0/10),($N$4*0/10)^2*(1.5*(O273^2-MAX(N273,($N$4*0/10))^2)-($N$4*0/10)*(O273-MAX(N273,($N$4*0/10)))),0))*1000,0)</f>
        <v>0</v>
      </c>
      <c r="AN273" s="120">
        <f>IF(AND(V273="OK",ISNUMBER($N$5),$N$5&gt;0,ISNUMBER($N$3),$N$3&gt;0),R273/(6*$N$3*1000000*$N$5)*(IF(N273&lt;($N$4*1/10),($N$4*1/10)*(MIN(O273,($N$4*1/10))^3-N273^3)-(MIN(O273,($N$4*1/10))^4-N273^4)/4,0)+IF(O273&gt;($N$4*1/10),($N$4*1/10)^2*(1.5*(O273^2-MAX(N273,($N$4*1/10))^2)-($N$4*1/10)*(O273-MAX(N273,($N$4*1/10)))),0))*1000,0)</f>
        <v>0</v>
      </c>
      <c r="AO273" s="120">
        <f>IF(AND(V273="OK",ISNUMBER($N$5),$N$5&gt;0,ISNUMBER($N$3),$N$3&gt;0),R273/(6*$N$3*1000000*$N$5)*(IF(N273&lt;($N$4*2/10),($N$4*2/10)*(MIN(O273,($N$4*2/10))^3-N273^3)-(MIN(O273,($N$4*2/10))^4-N273^4)/4,0)+IF(O273&gt;($N$4*2/10),($N$4*2/10)^2*(1.5*(O273^2-MAX(N273,($N$4*2/10))^2)-($N$4*2/10)*(O273-MAX(N273,($N$4*2/10)))),0))*1000,0)</f>
        <v>0</v>
      </c>
      <c r="AP273" s="120">
        <f>IF(AND(V273="OK",ISNUMBER($N$5),$N$5&gt;0,ISNUMBER($N$3),$N$3&gt;0),R273/(6*$N$3*1000000*$N$5)*(IF(N273&lt;($N$4*3/10),($N$4*3/10)*(MIN(O273,($N$4*3/10))^3-N273^3)-(MIN(O273,($N$4*3/10))^4-N273^4)/4,0)+IF(O273&gt;($N$4*3/10),($N$4*3/10)^2*(1.5*(O273^2-MAX(N273,($N$4*3/10))^2)-($N$4*3/10)*(O273-MAX(N273,($N$4*3/10)))),0))*1000,0)</f>
        <v>0</v>
      </c>
      <c r="AQ273" s="120">
        <f>IF(AND(V273="OK",ISNUMBER($N$5),$N$5&gt;0,ISNUMBER($N$3),$N$3&gt;0),R273/(6*$N$3*1000000*$N$5)*(IF(N273&lt;($N$4*4/10),($N$4*4/10)*(MIN(O273,($N$4*4/10))^3-N273^3)-(MIN(O273,($N$4*4/10))^4-N273^4)/4,0)+IF(O273&gt;($N$4*4/10),($N$4*4/10)^2*(1.5*(O273^2-MAX(N273,($N$4*4/10))^2)-($N$4*4/10)*(O273-MAX(N273,($N$4*4/10)))),0))*1000,0)</f>
        <v>0</v>
      </c>
      <c r="AR273" s="120">
        <f>IF(AND(V273="OK",ISNUMBER($N$5),$N$5&gt;0,ISNUMBER($N$3),$N$3&gt;0),R273/(6*$N$3*1000000*$N$5)*(IF(N273&lt;($N$4*5/10),($N$4*5/10)*(MIN(O273,($N$4*5/10))^3-N273^3)-(MIN(O273,($N$4*5/10))^4-N273^4)/4,0)+IF(O273&gt;($N$4*5/10),($N$4*5/10)^2*(1.5*(O273^2-MAX(N273,($N$4*5/10))^2)-($N$4*5/10)*(O273-MAX(N273,($N$4*5/10)))),0))*1000,0)</f>
        <v>0</v>
      </c>
      <c r="AS273" s="120">
        <f>IF(AND(V273="OK",ISNUMBER($N$5),$N$5&gt;0,ISNUMBER($N$3),$N$3&gt;0),R273/(6*$N$3*1000000*$N$5)*(IF(N273&lt;($N$4*6/10),($N$4*6/10)*(MIN(O273,($N$4*6/10))^3-N273^3)-(MIN(O273,($N$4*6/10))^4-N273^4)/4,0)+IF(O273&gt;($N$4*6/10),($N$4*6/10)^2*(1.5*(O273^2-MAX(N273,($N$4*6/10))^2)-($N$4*6/10)*(O273-MAX(N273,($N$4*6/10)))),0))*1000,0)</f>
        <v>0</v>
      </c>
      <c r="AT273" s="120">
        <f>IF(AND(V273="OK",ISNUMBER($N$5),$N$5&gt;0,ISNUMBER($N$3),$N$3&gt;0),R273/(6*$N$3*1000000*$N$5)*(IF(N273&lt;($N$4*7/10),($N$4*7/10)*(MIN(O273,($N$4*7/10))^3-N273^3)-(MIN(O273,($N$4*7/10))^4-N273^4)/4,0)+IF(O273&gt;($N$4*7/10),($N$4*7/10)^2*(1.5*(O273^2-MAX(N273,($N$4*7/10))^2)-($N$4*7/10)*(O273-MAX(N273,($N$4*7/10)))),0))*1000,0)</f>
        <v>0</v>
      </c>
      <c r="AU273" s="120">
        <f>IF(AND(V273="OK",ISNUMBER($N$5),$N$5&gt;0,ISNUMBER($N$3),$N$3&gt;0),R273/(6*$N$3*1000000*$N$5)*(IF(N273&lt;($N$4*8/10),($N$4*8/10)*(MIN(O273,($N$4*8/10))^3-N273^3)-(MIN(O273,($N$4*8/10))^4-N273^4)/4,0)+IF(O273&gt;($N$4*8/10),($N$4*8/10)^2*(1.5*(O273^2-MAX(N273,($N$4*8/10))^2)-($N$4*8/10)*(O273-MAX(N273,($N$4*8/10)))),0))*1000,0)</f>
        <v>0</v>
      </c>
      <c r="AV273" s="120">
        <f>IF(AND(V273="OK",ISNUMBER($N$5),$N$5&gt;0,ISNUMBER($N$3),$N$3&gt;0),R273/(6*$N$3*1000000*$N$5)*(IF(N273&lt;($N$4*9/10),($N$4*9/10)*(MIN(O273,($N$4*9/10))^3-N273^3)-(MIN(O273,($N$4*9/10))^4-N273^4)/4,0)+IF(O273&gt;($N$4*9/10),($N$4*9/10)^2*(1.5*(O273^2-MAX(N273,($N$4*9/10))^2)-($N$4*9/10)*(O273-MAX(N273,($N$4*9/10)))),0))*1000,0)</f>
        <v>0</v>
      </c>
      <c r="AW273" s="120">
        <f>IF(AND(V273="OK",ISNUMBER($N$5),$N$5&gt;0,ISNUMBER($N$3),$N$3&gt;0),R273/(6*$N$3*1000000*$N$5)*(IF(N273&lt;($N$4*10/10),($N$4*10/10)*(MIN(O273,($N$4*10/10))^3-N273^3)-(MIN(O273,($N$4*10/10))^4-N273^4)/4,0)+IF(O273&gt;($N$4*10/10),($N$4*10/10)^2*(1.5*(O273^2-MAX(N273,($N$4*10/10))^2)-($N$4*10/10)*(O273-MAX(N273,($N$4*10/10)))),0))*1000,0)</f>
        <v>0</v>
      </c>
    </row>
    <row r="274" spans="1:49">
      <c r="A274" s="124"/>
      <c r="B274" s="125"/>
      <c r="C274" s="125"/>
      <c r="D274" s="125"/>
      <c r="E274" s="125"/>
      <c r="F274" s="126" t="str">
        <f>IF(J274="OK",D274*E274,"")</f>
        <v/>
      </c>
      <c r="G274" s="126" t="str">
        <f>IF(J274="OK",F274*(C274-B274),"")</f>
        <v/>
      </c>
      <c r="H274" s="126" t="str">
        <f>IF(J274="OK",G274*(C274+B274)/2,"")</f>
        <v/>
      </c>
      <c r="I274" s="126" t="str">
        <f>IF(AND(J274="OK",ISNUMBER($B$5),$B$5&gt;0,ISNUMBER($B$3),$B$3&gt;0),F274*(4*$B$4*(C274^3-B274^3)-(C274^4-B274^4))/(24*$B$3*1000000*$B$5)*1000,"")</f>
        <v/>
      </c>
      <c r="J274" s="120" t="str">
        <f>IF(COUNTA(A274:E274)=0,"",IF(AND(COUNT(B274:E274)=4,B274&gt;=0,C274&gt;B274,C274&lt;=$B$4,D274&gt;=0,E274&gt;0),IF(COUNTIFS($B$13:$B$273,"&lt;"&amp;C274,$C$13:$C$273,"&gt;"&amp;B274)&gt;0,"OVERLAP","OK"),"CHECK INPUTS"))</f>
        <v/>
      </c>
      <c r="M274" s="124"/>
      <c r="N274" s="125"/>
      <c r="O274" s="125"/>
      <c r="P274" s="125"/>
      <c r="Q274" s="125"/>
      <c r="R274" s="126" t="str">
        <f>IF(V274="OK",P274*Q274,"")</f>
        <v/>
      </c>
      <c r="S274" s="126" t="str">
        <f>IF(V274="OK",R274*(O274-N274),"")</f>
        <v/>
      </c>
      <c r="T274" s="126" t="str">
        <f>IF(V274="OK",S274*(O274+N274)/2,"")</f>
        <v/>
      </c>
      <c r="U274" s="126" t="str">
        <f>IF(AND(V274="OK",ISNUMBER($N$5),$N$5&gt;0,ISNUMBER($N$3),$N$3&gt;0),R274*(4*$N$4*(O274^3-N274^3)-(O274^4-N274^4))/(24*$N$3*1000000*$N$5)*1000,"")</f>
        <v/>
      </c>
      <c r="V274" s="120" t="str">
        <f>IF(COUNTA(M274:Q274)=0,"",IF(AND(COUNT(N274:Q274)=4,N274&gt;=0,O274&gt;N274,O274&lt;=$N$4,P274&gt;=0,Q274&gt;0),IF(COUNTIFS($N$13:$N$273,"&lt;"&amp;O274,$O$13:$O$273,"&gt;"&amp;N274)&gt;0,"OVERLAP","OK"),"CHECK INPUTS"))</f>
        <v/>
      </c>
      <c r="AA274" s="120">
        <f>IF(AND(J274="OK",ISNUMBER($B$5),$B$5&gt;0,ISNUMBER($B$3),$B$3&gt;0),F274/(6*$B$3*1000000*$B$5)*(IF(B274&lt;($B$4*0/10),($B$4*0/10)*(MIN(C274,($B$4*0/10))^3-B274^3)-(MIN(C274,($B$4*0/10))^4-B274^4)/4,0)+IF(C274&gt;($B$4*0/10),($B$4*0/10)^2*(1.5*(C274^2-MAX(B274,($B$4*0/10))^2)-($B$4*0/10)*(C274-MAX(B274,($B$4*0/10)))),0))*1000,0)</f>
        <v>0</v>
      </c>
      <c r="AB274" s="120">
        <f>IF(AND(J274="OK",ISNUMBER($B$5),$B$5&gt;0,ISNUMBER($B$3),$B$3&gt;0),F274/(6*$B$3*1000000*$B$5)*(IF(B274&lt;($B$4*1/10),($B$4*1/10)*(MIN(C274,($B$4*1/10))^3-B274^3)-(MIN(C274,($B$4*1/10))^4-B274^4)/4,0)+IF(C274&gt;($B$4*1/10),($B$4*1/10)^2*(1.5*(C274^2-MAX(B274,($B$4*1/10))^2)-($B$4*1/10)*(C274-MAX(B274,($B$4*1/10)))),0))*1000,0)</f>
        <v>0</v>
      </c>
      <c r="AC274" s="120">
        <f>IF(AND(J274="OK",ISNUMBER($B$5),$B$5&gt;0,ISNUMBER($B$3),$B$3&gt;0),F274/(6*$B$3*1000000*$B$5)*(IF(B274&lt;($B$4*2/10),($B$4*2/10)*(MIN(C274,($B$4*2/10))^3-B274^3)-(MIN(C274,($B$4*2/10))^4-B274^4)/4,0)+IF(C274&gt;($B$4*2/10),($B$4*2/10)^2*(1.5*(C274^2-MAX(B274,($B$4*2/10))^2)-($B$4*2/10)*(C274-MAX(B274,($B$4*2/10)))),0))*1000,0)</f>
        <v>0</v>
      </c>
      <c r="AD274" s="120">
        <f>IF(AND(J274="OK",ISNUMBER($B$5),$B$5&gt;0,ISNUMBER($B$3),$B$3&gt;0),F274/(6*$B$3*1000000*$B$5)*(IF(B274&lt;($B$4*3/10),($B$4*3/10)*(MIN(C274,($B$4*3/10))^3-B274^3)-(MIN(C274,($B$4*3/10))^4-B274^4)/4,0)+IF(C274&gt;($B$4*3/10),($B$4*3/10)^2*(1.5*(C274^2-MAX(B274,($B$4*3/10))^2)-($B$4*3/10)*(C274-MAX(B274,($B$4*3/10)))),0))*1000,0)</f>
        <v>0</v>
      </c>
      <c r="AE274" s="120">
        <f>IF(AND(J274="OK",ISNUMBER($B$5),$B$5&gt;0,ISNUMBER($B$3),$B$3&gt;0),F274/(6*$B$3*1000000*$B$5)*(IF(B274&lt;($B$4*4/10),($B$4*4/10)*(MIN(C274,($B$4*4/10))^3-B274^3)-(MIN(C274,($B$4*4/10))^4-B274^4)/4,0)+IF(C274&gt;($B$4*4/10),($B$4*4/10)^2*(1.5*(C274^2-MAX(B274,($B$4*4/10))^2)-($B$4*4/10)*(C274-MAX(B274,($B$4*4/10)))),0))*1000,0)</f>
        <v>0</v>
      </c>
      <c r="AF274" s="120">
        <f>IF(AND(J274="OK",ISNUMBER($B$5),$B$5&gt;0,ISNUMBER($B$3),$B$3&gt;0),F274/(6*$B$3*1000000*$B$5)*(IF(B274&lt;($B$4*5/10),($B$4*5/10)*(MIN(C274,($B$4*5/10))^3-B274^3)-(MIN(C274,($B$4*5/10))^4-B274^4)/4,0)+IF(C274&gt;($B$4*5/10),($B$4*5/10)^2*(1.5*(C274^2-MAX(B274,($B$4*5/10))^2)-($B$4*5/10)*(C274-MAX(B274,($B$4*5/10)))),0))*1000,0)</f>
        <v>0</v>
      </c>
      <c r="AG274" s="120">
        <f>IF(AND(J274="OK",ISNUMBER($B$5),$B$5&gt;0,ISNUMBER($B$3),$B$3&gt;0),F274/(6*$B$3*1000000*$B$5)*(IF(B274&lt;($B$4*6/10),($B$4*6/10)*(MIN(C274,($B$4*6/10))^3-B274^3)-(MIN(C274,($B$4*6/10))^4-B274^4)/4,0)+IF(C274&gt;($B$4*6/10),($B$4*6/10)^2*(1.5*(C274^2-MAX(B274,($B$4*6/10))^2)-($B$4*6/10)*(C274-MAX(B274,($B$4*6/10)))),0))*1000,0)</f>
        <v>0</v>
      </c>
      <c r="AH274" s="120">
        <f>IF(AND(J274="OK",ISNUMBER($B$5),$B$5&gt;0,ISNUMBER($B$3),$B$3&gt;0),F274/(6*$B$3*1000000*$B$5)*(IF(B274&lt;($B$4*7/10),($B$4*7/10)*(MIN(C274,($B$4*7/10))^3-B274^3)-(MIN(C274,($B$4*7/10))^4-B274^4)/4,0)+IF(C274&gt;($B$4*7/10),($B$4*7/10)^2*(1.5*(C274^2-MAX(B274,($B$4*7/10))^2)-($B$4*7/10)*(C274-MAX(B274,($B$4*7/10)))),0))*1000,0)</f>
        <v>0</v>
      </c>
      <c r="AI274" s="120">
        <f>IF(AND(J274="OK",ISNUMBER($B$5),$B$5&gt;0,ISNUMBER($B$3),$B$3&gt;0),F274/(6*$B$3*1000000*$B$5)*(IF(B274&lt;($B$4*8/10),($B$4*8/10)*(MIN(C274,($B$4*8/10))^3-B274^3)-(MIN(C274,($B$4*8/10))^4-B274^4)/4,0)+IF(C274&gt;($B$4*8/10),($B$4*8/10)^2*(1.5*(C274^2-MAX(B274,($B$4*8/10))^2)-($B$4*8/10)*(C274-MAX(B274,($B$4*8/10)))),0))*1000,0)</f>
        <v>0</v>
      </c>
      <c r="AJ274" s="120">
        <f>IF(AND(J274="OK",ISNUMBER($B$5),$B$5&gt;0,ISNUMBER($B$3),$B$3&gt;0),F274/(6*$B$3*1000000*$B$5)*(IF(B274&lt;($B$4*9/10),($B$4*9/10)*(MIN(C274,($B$4*9/10))^3-B274^3)-(MIN(C274,($B$4*9/10))^4-B274^4)/4,0)+IF(C274&gt;($B$4*9/10),($B$4*9/10)^2*(1.5*(C274^2-MAX(B274,($B$4*9/10))^2)-($B$4*9/10)*(C274-MAX(B274,($B$4*9/10)))),0))*1000,0)</f>
        <v>0</v>
      </c>
      <c r="AK274" s="120">
        <f>IF(AND(J274="OK",ISNUMBER($B$5),$B$5&gt;0,ISNUMBER($B$3),$B$3&gt;0),F274/(6*$B$3*1000000*$B$5)*(IF(B274&lt;($B$4*10/10),($B$4*10/10)*(MIN(C274,($B$4*10/10))^3-B274^3)-(MIN(C274,($B$4*10/10))^4-B274^4)/4,0)+IF(C274&gt;($B$4*10/10),($B$4*10/10)^2*(1.5*(C274^2-MAX(B274,($B$4*10/10))^2)-($B$4*10/10)*(C274-MAX(B274,($B$4*10/10)))),0))*1000,0)</f>
        <v>0</v>
      </c>
      <c r="AM274" s="120">
        <f>IF(AND(V274="OK",ISNUMBER($N$5),$N$5&gt;0,ISNUMBER($N$3),$N$3&gt;0),R274/(6*$N$3*1000000*$N$5)*(IF(N274&lt;($N$4*0/10),($N$4*0/10)*(MIN(O274,($N$4*0/10))^3-N274^3)-(MIN(O274,($N$4*0/10))^4-N274^4)/4,0)+IF(O274&gt;($N$4*0/10),($N$4*0/10)^2*(1.5*(O274^2-MAX(N274,($N$4*0/10))^2)-($N$4*0/10)*(O274-MAX(N274,($N$4*0/10)))),0))*1000,0)</f>
        <v>0</v>
      </c>
      <c r="AN274" s="120">
        <f>IF(AND(V274="OK",ISNUMBER($N$5),$N$5&gt;0,ISNUMBER($N$3),$N$3&gt;0),R274/(6*$N$3*1000000*$N$5)*(IF(N274&lt;($N$4*1/10),($N$4*1/10)*(MIN(O274,($N$4*1/10))^3-N274^3)-(MIN(O274,($N$4*1/10))^4-N274^4)/4,0)+IF(O274&gt;($N$4*1/10),($N$4*1/10)^2*(1.5*(O274^2-MAX(N274,($N$4*1/10))^2)-($N$4*1/10)*(O274-MAX(N274,($N$4*1/10)))),0))*1000,0)</f>
        <v>0</v>
      </c>
      <c r="AO274" s="120">
        <f>IF(AND(V274="OK",ISNUMBER($N$5),$N$5&gt;0,ISNUMBER($N$3),$N$3&gt;0),R274/(6*$N$3*1000000*$N$5)*(IF(N274&lt;($N$4*2/10),($N$4*2/10)*(MIN(O274,($N$4*2/10))^3-N274^3)-(MIN(O274,($N$4*2/10))^4-N274^4)/4,0)+IF(O274&gt;($N$4*2/10),($N$4*2/10)^2*(1.5*(O274^2-MAX(N274,($N$4*2/10))^2)-($N$4*2/10)*(O274-MAX(N274,($N$4*2/10)))),0))*1000,0)</f>
        <v>0</v>
      </c>
      <c r="AP274" s="120">
        <f>IF(AND(V274="OK",ISNUMBER($N$5),$N$5&gt;0,ISNUMBER($N$3),$N$3&gt;0),R274/(6*$N$3*1000000*$N$5)*(IF(N274&lt;($N$4*3/10),($N$4*3/10)*(MIN(O274,($N$4*3/10))^3-N274^3)-(MIN(O274,($N$4*3/10))^4-N274^4)/4,0)+IF(O274&gt;($N$4*3/10),($N$4*3/10)^2*(1.5*(O274^2-MAX(N274,($N$4*3/10))^2)-($N$4*3/10)*(O274-MAX(N274,($N$4*3/10)))),0))*1000,0)</f>
        <v>0</v>
      </c>
      <c r="AQ274" s="120">
        <f>IF(AND(V274="OK",ISNUMBER($N$5),$N$5&gt;0,ISNUMBER($N$3),$N$3&gt;0),R274/(6*$N$3*1000000*$N$5)*(IF(N274&lt;($N$4*4/10),($N$4*4/10)*(MIN(O274,($N$4*4/10))^3-N274^3)-(MIN(O274,($N$4*4/10))^4-N274^4)/4,0)+IF(O274&gt;($N$4*4/10),($N$4*4/10)^2*(1.5*(O274^2-MAX(N274,($N$4*4/10))^2)-($N$4*4/10)*(O274-MAX(N274,($N$4*4/10)))),0))*1000,0)</f>
        <v>0</v>
      </c>
      <c r="AR274" s="120">
        <f>IF(AND(V274="OK",ISNUMBER($N$5),$N$5&gt;0,ISNUMBER($N$3),$N$3&gt;0),R274/(6*$N$3*1000000*$N$5)*(IF(N274&lt;($N$4*5/10),($N$4*5/10)*(MIN(O274,($N$4*5/10))^3-N274^3)-(MIN(O274,($N$4*5/10))^4-N274^4)/4,0)+IF(O274&gt;($N$4*5/10),($N$4*5/10)^2*(1.5*(O274^2-MAX(N274,($N$4*5/10))^2)-($N$4*5/10)*(O274-MAX(N274,($N$4*5/10)))),0))*1000,0)</f>
        <v>0</v>
      </c>
      <c r="AS274" s="120">
        <f>IF(AND(V274="OK",ISNUMBER($N$5),$N$5&gt;0,ISNUMBER($N$3),$N$3&gt;0),R274/(6*$N$3*1000000*$N$5)*(IF(N274&lt;($N$4*6/10),($N$4*6/10)*(MIN(O274,($N$4*6/10))^3-N274^3)-(MIN(O274,($N$4*6/10))^4-N274^4)/4,0)+IF(O274&gt;($N$4*6/10),($N$4*6/10)^2*(1.5*(O274^2-MAX(N274,($N$4*6/10))^2)-($N$4*6/10)*(O274-MAX(N274,($N$4*6/10)))),0))*1000,0)</f>
        <v>0</v>
      </c>
      <c r="AT274" s="120">
        <f>IF(AND(V274="OK",ISNUMBER($N$5),$N$5&gt;0,ISNUMBER($N$3),$N$3&gt;0),R274/(6*$N$3*1000000*$N$5)*(IF(N274&lt;($N$4*7/10),($N$4*7/10)*(MIN(O274,($N$4*7/10))^3-N274^3)-(MIN(O274,($N$4*7/10))^4-N274^4)/4,0)+IF(O274&gt;($N$4*7/10),($N$4*7/10)^2*(1.5*(O274^2-MAX(N274,($N$4*7/10))^2)-($N$4*7/10)*(O274-MAX(N274,($N$4*7/10)))),0))*1000,0)</f>
        <v>0</v>
      </c>
      <c r="AU274" s="120">
        <f>IF(AND(V274="OK",ISNUMBER($N$5),$N$5&gt;0,ISNUMBER($N$3),$N$3&gt;0),R274/(6*$N$3*1000000*$N$5)*(IF(N274&lt;($N$4*8/10),($N$4*8/10)*(MIN(O274,($N$4*8/10))^3-N274^3)-(MIN(O274,($N$4*8/10))^4-N274^4)/4,0)+IF(O274&gt;($N$4*8/10),($N$4*8/10)^2*(1.5*(O274^2-MAX(N274,($N$4*8/10))^2)-($N$4*8/10)*(O274-MAX(N274,($N$4*8/10)))),0))*1000,0)</f>
        <v>0</v>
      </c>
      <c r="AV274" s="120">
        <f>IF(AND(V274="OK",ISNUMBER($N$5),$N$5&gt;0,ISNUMBER($N$3),$N$3&gt;0),R274/(6*$N$3*1000000*$N$5)*(IF(N274&lt;($N$4*9/10),($N$4*9/10)*(MIN(O274,($N$4*9/10))^3-N274^3)-(MIN(O274,($N$4*9/10))^4-N274^4)/4,0)+IF(O274&gt;($N$4*9/10),($N$4*9/10)^2*(1.5*(O274^2-MAX(N274,($N$4*9/10))^2)-($N$4*9/10)*(O274-MAX(N274,($N$4*9/10)))),0))*1000,0)</f>
        <v>0</v>
      </c>
      <c r="AW274" s="120">
        <f>IF(AND(V274="OK",ISNUMBER($N$5),$N$5&gt;0,ISNUMBER($N$3),$N$3&gt;0),R274/(6*$N$3*1000000*$N$5)*(IF(N274&lt;($N$4*10/10),($N$4*10/10)*(MIN(O274,($N$4*10/10))^3-N274^3)-(MIN(O274,($N$4*10/10))^4-N274^4)/4,0)+IF(O274&gt;($N$4*10/10),($N$4*10/10)^2*(1.5*(O274^2-MAX(N274,($N$4*10/10))^2)-($N$4*10/10)*(O274-MAX(N274,($N$4*10/10)))),0))*1000,0)</f>
        <v>0</v>
      </c>
    </row>
    <row r="275" spans="1:49">
      <c r="A275" s="124"/>
      <c r="B275" s="125"/>
      <c r="C275" s="125"/>
      <c r="D275" s="125"/>
      <c r="E275" s="125"/>
      <c r="F275" s="126" t="str">
        <f>IF(J275="OK",D275*E275,"")</f>
        <v/>
      </c>
      <c r="G275" s="126" t="str">
        <f>IF(J275="OK",F275*(C275-B275),"")</f>
        <v/>
      </c>
      <c r="H275" s="126" t="str">
        <f>IF(J275="OK",G275*(C275+B275)/2,"")</f>
        <v/>
      </c>
      <c r="I275" s="126" t="str">
        <f>IF(AND(J275="OK",ISNUMBER($B$5),$B$5&gt;0,ISNUMBER($B$3),$B$3&gt;0),F275*(4*$B$4*(C275^3-B275^3)-(C275^4-B275^4))/(24*$B$3*1000000*$B$5)*1000,"")</f>
        <v/>
      </c>
      <c r="J275" s="120" t="str">
        <f>IF(COUNTA(A275:E275)=0,"",IF(AND(COUNT(B275:E275)=4,B275&gt;=0,C275&gt;B275,C275&lt;=$B$4,D275&gt;=0,E275&gt;0),IF(COUNTIFS($B$13:$B$274,"&lt;"&amp;C275,$C$13:$C$274,"&gt;"&amp;B275)&gt;0,"OVERLAP","OK"),"CHECK INPUTS"))</f>
        <v/>
      </c>
      <c r="M275" s="124"/>
      <c r="N275" s="125"/>
      <c r="O275" s="125"/>
      <c r="P275" s="125"/>
      <c r="Q275" s="125"/>
      <c r="R275" s="126" t="str">
        <f>IF(V275="OK",P275*Q275,"")</f>
        <v/>
      </c>
      <c r="S275" s="126" t="str">
        <f>IF(V275="OK",R275*(O275-N275),"")</f>
        <v/>
      </c>
      <c r="T275" s="126" t="str">
        <f>IF(V275="OK",S275*(O275+N275)/2,"")</f>
        <v/>
      </c>
      <c r="U275" s="126" t="str">
        <f>IF(AND(V275="OK",ISNUMBER($N$5),$N$5&gt;0,ISNUMBER($N$3),$N$3&gt;0),R275*(4*$N$4*(O275^3-N275^3)-(O275^4-N275^4))/(24*$N$3*1000000*$N$5)*1000,"")</f>
        <v/>
      </c>
      <c r="V275" s="120" t="str">
        <f>IF(COUNTA(M275:Q275)=0,"",IF(AND(COUNT(N275:Q275)=4,N275&gt;=0,O275&gt;N275,O275&lt;=$N$4,P275&gt;=0,Q275&gt;0),IF(COUNTIFS($N$13:$N$274,"&lt;"&amp;O275,$O$13:$O$274,"&gt;"&amp;N275)&gt;0,"OVERLAP","OK"),"CHECK INPUTS"))</f>
        <v/>
      </c>
      <c r="AA275" s="120">
        <f>IF(AND(J275="OK",ISNUMBER($B$5),$B$5&gt;0,ISNUMBER($B$3),$B$3&gt;0),F275/(6*$B$3*1000000*$B$5)*(IF(B275&lt;($B$4*0/10),($B$4*0/10)*(MIN(C275,($B$4*0/10))^3-B275^3)-(MIN(C275,($B$4*0/10))^4-B275^4)/4,0)+IF(C275&gt;($B$4*0/10),($B$4*0/10)^2*(1.5*(C275^2-MAX(B275,($B$4*0/10))^2)-($B$4*0/10)*(C275-MAX(B275,($B$4*0/10)))),0))*1000,0)</f>
        <v>0</v>
      </c>
      <c r="AB275" s="120">
        <f>IF(AND(J275="OK",ISNUMBER($B$5),$B$5&gt;0,ISNUMBER($B$3),$B$3&gt;0),F275/(6*$B$3*1000000*$B$5)*(IF(B275&lt;($B$4*1/10),($B$4*1/10)*(MIN(C275,($B$4*1/10))^3-B275^3)-(MIN(C275,($B$4*1/10))^4-B275^4)/4,0)+IF(C275&gt;($B$4*1/10),($B$4*1/10)^2*(1.5*(C275^2-MAX(B275,($B$4*1/10))^2)-($B$4*1/10)*(C275-MAX(B275,($B$4*1/10)))),0))*1000,0)</f>
        <v>0</v>
      </c>
      <c r="AC275" s="120">
        <f>IF(AND(J275="OK",ISNUMBER($B$5),$B$5&gt;0,ISNUMBER($B$3),$B$3&gt;0),F275/(6*$B$3*1000000*$B$5)*(IF(B275&lt;($B$4*2/10),($B$4*2/10)*(MIN(C275,($B$4*2/10))^3-B275^3)-(MIN(C275,($B$4*2/10))^4-B275^4)/4,0)+IF(C275&gt;($B$4*2/10),($B$4*2/10)^2*(1.5*(C275^2-MAX(B275,($B$4*2/10))^2)-($B$4*2/10)*(C275-MAX(B275,($B$4*2/10)))),0))*1000,0)</f>
        <v>0</v>
      </c>
      <c r="AD275" s="120">
        <f>IF(AND(J275="OK",ISNUMBER($B$5),$B$5&gt;0,ISNUMBER($B$3),$B$3&gt;0),F275/(6*$B$3*1000000*$B$5)*(IF(B275&lt;($B$4*3/10),($B$4*3/10)*(MIN(C275,($B$4*3/10))^3-B275^3)-(MIN(C275,($B$4*3/10))^4-B275^4)/4,0)+IF(C275&gt;($B$4*3/10),($B$4*3/10)^2*(1.5*(C275^2-MAX(B275,($B$4*3/10))^2)-($B$4*3/10)*(C275-MAX(B275,($B$4*3/10)))),0))*1000,0)</f>
        <v>0</v>
      </c>
      <c r="AE275" s="120">
        <f>IF(AND(J275="OK",ISNUMBER($B$5),$B$5&gt;0,ISNUMBER($B$3),$B$3&gt;0),F275/(6*$B$3*1000000*$B$5)*(IF(B275&lt;($B$4*4/10),($B$4*4/10)*(MIN(C275,($B$4*4/10))^3-B275^3)-(MIN(C275,($B$4*4/10))^4-B275^4)/4,0)+IF(C275&gt;($B$4*4/10),($B$4*4/10)^2*(1.5*(C275^2-MAX(B275,($B$4*4/10))^2)-($B$4*4/10)*(C275-MAX(B275,($B$4*4/10)))),0))*1000,0)</f>
        <v>0</v>
      </c>
      <c r="AF275" s="120">
        <f>IF(AND(J275="OK",ISNUMBER($B$5),$B$5&gt;0,ISNUMBER($B$3),$B$3&gt;0),F275/(6*$B$3*1000000*$B$5)*(IF(B275&lt;($B$4*5/10),($B$4*5/10)*(MIN(C275,($B$4*5/10))^3-B275^3)-(MIN(C275,($B$4*5/10))^4-B275^4)/4,0)+IF(C275&gt;($B$4*5/10),($B$4*5/10)^2*(1.5*(C275^2-MAX(B275,($B$4*5/10))^2)-($B$4*5/10)*(C275-MAX(B275,($B$4*5/10)))),0))*1000,0)</f>
        <v>0</v>
      </c>
      <c r="AG275" s="120">
        <f>IF(AND(J275="OK",ISNUMBER($B$5),$B$5&gt;0,ISNUMBER($B$3),$B$3&gt;0),F275/(6*$B$3*1000000*$B$5)*(IF(B275&lt;($B$4*6/10),($B$4*6/10)*(MIN(C275,($B$4*6/10))^3-B275^3)-(MIN(C275,($B$4*6/10))^4-B275^4)/4,0)+IF(C275&gt;($B$4*6/10),($B$4*6/10)^2*(1.5*(C275^2-MAX(B275,($B$4*6/10))^2)-($B$4*6/10)*(C275-MAX(B275,($B$4*6/10)))),0))*1000,0)</f>
        <v>0</v>
      </c>
      <c r="AH275" s="120">
        <f>IF(AND(J275="OK",ISNUMBER($B$5),$B$5&gt;0,ISNUMBER($B$3),$B$3&gt;0),F275/(6*$B$3*1000000*$B$5)*(IF(B275&lt;($B$4*7/10),($B$4*7/10)*(MIN(C275,($B$4*7/10))^3-B275^3)-(MIN(C275,($B$4*7/10))^4-B275^4)/4,0)+IF(C275&gt;($B$4*7/10),($B$4*7/10)^2*(1.5*(C275^2-MAX(B275,($B$4*7/10))^2)-($B$4*7/10)*(C275-MAX(B275,($B$4*7/10)))),0))*1000,0)</f>
        <v>0</v>
      </c>
      <c r="AI275" s="120">
        <f>IF(AND(J275="OK",ISNUMBER($B$5),$B$5&gt;0,ISNUMBER($B$3),$B$3&gt;0),F275/(6*$B$3*1000000*$B$5)*(IF(B275&lt;($B$4*8/10),($B$4*8/10)*(MIN(C275,($B$4*8/10))^3-B275^3)-(MIN(C275,($B$4*8/10))^4-B275^4)/4,0)+IF(C275&gt;($B$4*8/10),($B$4*8/10)^2*(1.5*(C275^2-MAX(B275,($B$4*8/10))^2)-($B$4*8/10)*(C275-MAX(B275,($B$4*8/10)))),0))*1000,0)</f>
        <v>0</v>
      </c>
      <c r="AJ275" s="120">
        <f>IF(AND(J275="OK",ISNUMBER($B$5),$B$5&gt;0,ISNUMBER($B$3),$B$3&gt;0),F275/(6*$B$3*1000000*$B$5)*(IF(B275&lt;($B$4*9/10),($B$4*9/10)*(MIN(C275,($B$4*9/10))^3-B275^3)-(MIN(C275,($B$4*9/10))^4-B275^4)/4,0)+IF(C275&gt;($B$4*9/10),($B$4*9/10)^2*(1.5*(C275^2-MAX(B275,($B$4*9/10))^2)-($B$4*9/10)*(C275-MAX(B275,($B$4*9/10)))),0))*1000,0)</f>
        <v>0</v>
      </c>
      <c r="AK275" s="120">
        <f>IF(AND(J275="OK",ISNUMBER($B$5),$B$5&gt;0,ISNUMBER($B$3),$B$3&gt;0),F275/(6*$B$3*1000000*$B$5)*(IF(B275&lt;($B$4*10/10),($B$4*10/10)*(MIN(C275,($B$4*10/10))^3-B275^3)-(MIN(C275,($B$4*10/10))^4-B275^4)/4,0)+IF(C275&gt;($B$4*10/10),($B$4*10/10)^2*(1.5*(C275^2-MAX(B275,($B$4*10/10))^2)-($B$4*10/10)*(C275-MAX(B275,($B$4*10/10)))),0))*1000,0)</f>
        <v>0</v>
      </c>
      <c r="AM275" s="120">
        <f>IF(AND(V275="OK",ISNUMBER($N$5),$N$5&gt;0,ISNUMBER($N$3),$N$3&gt;0),R275/(6*$N$3*1000000*$N$5)*(IF(N275&lt;($N$4*0/10),($N$4*0/10)*(MIN(O275,($N$4*0/10))^3-N275^3)-(MIN(O275,($N$4*0/10))^4-N275^4)/4,0)+IF(O275&gt;($N$4*0/10),($N$4*0/10)^2*(1.5*(O275^2-MAX(N275,($N$4*0/10))^2)-($N$4*0/10)*(O275-MAX(N275,($N$4*0/10)))),0))*1000,0)</f>
        <v>0</v>
      </c>
      <c r="AN275" s="120">
        <f>IF(AND(V275="OK",ISNUMBER($N$5),$N$5&gt;0,ISNUMBER($N$3),$N$3&gt;0),R275/(6*$N$3*1000000*$N$5)*(IF(N275&lt;($N$4*1/10),($N$4*1/10)*(MIN(O275,($N$4*1/10))^3-N275^3)-(MIN(O275,($N$4*1/10))^4-N275^4)/4,0)+IF(O275&gt;($N$4*1/10),($N$4*1/10)^2*(1.5*(O275^2-MAX(N275,($N$4*1/10))^2)-($N$4*1/10)*(O275-MAX(N275,($N$4*1/10)))),0))*1000,0)</f>
        <v>0</v>
      </c>
      <c r="AO275" s="120">
        <f>IF(AND(V275="OK",ISNUMBER($N$5),$N$5&gt;0,ISNUMBER($N$3),$N$3&gt;0),R275/(6*$N$3*1000000*$N$5)*(IF(N275&lt;($N$4*2/10),($N$4*2/10)*(MIN(O275,($N$4*2/10))^3-N275^3)-(MIN(O275,($N$4*2/10))^4-N275^4)/4,0)+IF(O275&gt;($N$4*2/10),($N$4*2/10)^2*(1.5*(O275^2-MAX(N275,($N$4*2/10))^2)-($N$4*2/10)*(O275-MAX(N275,($N$4*2/10)))),0))*1000,0)</f>
        <v>0</v>
      </c>
      <c r="AP275" s="120">
        <f>IF(AND(V275="OK",ISNUMBER($N$5),$N$5&gt;0,ISNUMBER($N$3),$N$3&gt;0),R275/(6*$N$3*1000000*$N$5)*(IF(N275&lt;($N$4*3/10),($N$4*3/10)*(MIN(O275,($N$4*3/10))^3-N275^3)-(MIN(O275,($N$4*3/10))^4-N275^4)/4,0)+IF(O275&gt;($N$4*3/10),($N$4*3/10)^2*(1.5*(O275^2-MAX(N275,($N$4*3/10))^2)-($N$4*3/10)*(O275-MAX(N275,($N$4*3/10)))),0))*1000,0)</f>
        <v>0</v>
      </c>
      <c r="AQ275" s="120">
        <f>IF(AND(V275="OK",ISNUMBER($N$5),$N$5&gt;0,ISNUMBER($N$3),$N$3&gt;0),R275/(6*$N$3*1000000*$N$5)*(IF(N275&lt;($N$4*4/10),($N$4*4/10)*(MIN(O275,($N$4*4/10))^3-N275^3)-(MIN(O275,($N$4*4/10))^4-N275^4)/4,0)+IF(O275&gt;($N$4*4/10),($N$4*4/10)^2*(1.5*(O275^2-MAX(N275,($N$4*4/10))^2)-($N$4*4/10)*(O275-MAX(N275,($N$4*4/10)))),0))*1000,0)</f>
        <v>0</v>
      </c>
      <c r="AR275" s="120">
        <f>IF(AND(V275="OK",ISNUMBER($N$5),$N$5&gt;0,ISNUMBER($N$3),$N$3&gt;0),R275/(6*$N$3*1000000*$N$5)*(IF(N275&lt;($N$4*5/10),($N$4*5/10)*(MIN(O275,($N$4*5/10))^3-N275^3)-(MIN(O275,($N$4*5/10))^4-N275^4)/4,0)+IF(O275&gt;($N$4*5/10),($N$4*5/10)^2*(1.5*(O275^2-MAX(N275,($N$4*5/10))^2)-($N$4*5/10)*(O275-MAX(N275,($N$4*5/10)))),0))*1000,0)</f>
        <v>0</v>
      </c>
      <c r="AS275" s="120">
        <f>IF(AND(V275="OK",ISNUMBER($N$5),$N$5&gt;0,ISNUMBER($N$3),$N$3&gt;0),R275/(6*$N$3*1000000*$N$5)*(IF(N275&lt;($N$4*6/10),($N$4*6/10)*(MIN(O275,($N$4*6/10))^3-N275^3)-(MIN(O275,($N$4*6/10))^4-N275^4)/4,0)+IF(O275&gt;($N$4*6/10),($N$4*6/10)^2*(1.5*(O275^2-MAX(N275,($N$4*6/10))^2)-($N$4*6/10)*(O275-MAX(N275,($N$4*6/10)))),0))*1000,0)</f>
        <v>0</v>
      </c>
      <c r="AT275" s="120">
        <f>IF(AND(V275="OK",ISNUMBER($N$5),$N$5&gt;0,ISNUMBER($N$3),$N$3&gt;0),R275/(6*$N$3*1000000*$N$5)*(IF(N275&lt;($N$4*7/10),($N$4*7/10)*(MIN(O275,($N$4*7/10))^3-N275^3)-(MIN(O275,($N$4*7/10))^4-N275^4)/4,0)+IF(O275&gt;($N$4*7/10),($N$4*7/10)^2*(1.5*(O275^2-MAX(N275,($N$4*7/10))^2)-($N$4*7/10)*(O275-MAX(N275,($N$4*7/10)))),0))*1000,0)</f>
        <v>0</v>
      </c>
      <c r="AU275" s="120">
        <f>IF(AND(V275="OK",ISNUMBER($N$5),$N$5&gt;0,ISNUMBER($N$3),$N$3&gt;0),R275/(6*$N$3*1000000*$N$5)*(IF(N275&lt;($N$4*8/10),($N$4*8/10)*(MIN(O275,($N$4*8/10))^3-N275^3)-(MIN(O275,($N$4*8/10))^4-N275^4)/4,0)+IF(O275&gt;($N$4*8/10),($N$4*8/10)^2*(1.5*(O275^2-MAX(N275,($N$4*8/10))^2)-($N$4*8/10)*(O275-MAX(N275,($N$4*8/10)))),0))*1000,0)</f>
        <v>0</v>
      </c>
      <c r="AV275" s="120">
        <f>IF(AND(V275="OK",ISNUMBER($N$5),$N$5&gt;0,ISNUMBER($N$3),$N$3&gt;0),R275/(6*$N$3*1000000*$N$5)*(IF(N275&lt;($N$4*9/10),($N$4*9/10)*(MIN(O275,($N$4*9/10))^3-N275^3)-(MIN(O275,($N$4*9/10))^4-N275^4)/4,0)+IF(O275&gt;($N$4*9/10),($N$4*9/10)^2*(1.5*(O275^2-MAX(N275,($N$4*9/10))^2)-($N$4*9/10)*(O275-MAX(N275,($N$4*9/10)))),0))*1000,0)</f>
        <v>0</v>
      </c>
      <c r="AW275" s="120">
        <f>IF(AND(V275="OK",ISNUMBER($N$5),$N$5&gt;0,ISNUMBER($N$3),$N$3&gt;0),R275/(6*$N$3*1000000*$N$5)*(IF(N275&lt;($N$4*10/10),($N$4*10/10)*(MIN(O275,($N$4*10/10))^3-N275^3)-(MIN(O275,($N$4*10/10))^4-N275^4)/4,0)+IF(O275&gt;($N$4*10/10),($N$4*10/10)^2*(1.5*(O275^2-MAX(N275,($N$4*10/10))^2)-($N$4*10/10)*(O275-MAX(N275,($N$4*10/10)))),0))*1000,0)</f>
        <v>0</v>
      </c>
    </row>
    <row r="276" spans="1:49">
      <c r="A276" s="124"/>
      <c r="B276" s="125"/>
      <c r="C276" s="125"/>
      <c r="D276" s="125"/>
      <c r="E276" s="125"/>
      <c r="F276" s="126" t="str">
        <f>IF(J276="OK",D276*E276,"")</f>
        <v/>
      </c>
      <c r="G276" s="126" t="str">
        <f>IF(J276="OK",F276*(C276-B276),"")</f>
        <v/>
      </c>
      <c r="H276" s="126" t="str">
        <f>IF(J276="OK",G276*(C276+B276)/2,"")</f>
        <v/>
      </c>
      <c r="I276" s="126" t="str">
        <f>IF(AND(J276="OK",ISNUMBER($B$5),$B$5&gt;0,ISNUMBER($B$3),$B$3&gt;0),F276*(4*$B$4*(C276^3-B276^3)-(C276^4-B276^4))/(24*$B$3*1000000*$B$5)*1000,"")</f>
        <v/>
      </c>
      <c r="J276" s="120" t="str">
        <f>IF(COUNTA(A276:E276)=0,"",IF(AND(COUNT(B276:E276)=4,B276&gt;=0,C276&gt;B276,C276&lt;=$B$4,D276&gt;=0,E276&gt;0),IF(COUNTIFS($B$13:$B$275,"&lt;"&amp;C276,$C$13:$C$275,"&gt;"&amp;B276)&gt;0,"OVERLAP","OK"),"CHECK INPUTS"))</f>
        <v/>
      </c>
      <c r="M276" s="124"/>
      <c r="N276" s="125"/>
      <c r="O276" s="125"/>
      <c r="P276" s="125"/>
      <c r="Q276" s="125"/>
      <c r="R276" s="126" t="str">
        <f>IF(V276="OK",P276*Q276,"")</f>
        <v/>
      </c>
      <c r="S276" s="126" t="str">
        <f>IF(V276="OK",R276*(O276-N276),"")</f>
        <v/>
      </c>
      <c r="T276" s="126" t="str">
        <f>IF(V276="OK",S276*(O276+N276)/2,"")</f>
        <v/>
      </c>
      <c r="U276" s="126" t="str">
        <f>IF(AND(V276="OK",ISNUMBER($N$5),$N$5&gt;0,ISNUMBER($N$3),$N$3&gt;0),R276*(4*$N$4*(O276^3-N276^3)-(O276^4-N276^4))/(24*$N$3*1000000*$N$5)*1000,"")</f>
        <v/>
      </c>
      <c r="V276" s="120" t="str">
        <f>IF(COUNTA(M276:Q276)=0,"",IF(AND(COUNT(N276:Q276)=4,N276&gt;=0,O276&gt;N276,O276&lt;=$N$4,P276&gt;=0,Q276&gt;0),IF(COUNTIFS($N$13:$N$275,"&lt;"&amp;O276,$O$13:$O$275,"&gt;"&amp;N276)&gt;0,"OVERLAP","OK"),"CHECK INPUTS"))</f>
        <v/>
      </c>
      <c r="AA276" s="120">
        <f>IF(AND(J276="OK",ISNUMBER($B$5),$B$5&gt;0,ISNUMBER($B$3),$B$3&gt;0),F276/(6*$B$3*1000000*$B$5)*(IF(B276&lt;($B$4*0/10),($B$4*0/10)*(MIN(C276,($B$4*0/10))^3-B276^3)-(MIN(C276,($B$4*0/10))^4-B276^4)/4,0)+IF(C276&gt;($B$4*0/10),($B$4*0/10)^2*(1.5*(C276^2-MAX(B276,($B$4*0/10))^2)-($B$4*0/10)*(C276-MAX(B276,($B$4*0/10)))),0))*1000,0)</f>
        <v>0</v>
      </c>
      <c r="AB276" s="120">
        <f>IF(AND(J276="OK",ISNUMBER($B$5),$B$5&gt;0,ISNUMBER($B$3),$B$3&gt;0),F276/(6*$B$3*1000000*$B$5)*(IF(B276&lt;($B$4*1/10),($B$4*1/10)*(MIN(C276,($B$4*1/10))^3-B276^3)-(MIN(C276,($B$4*1/10))^4-B276^4)/4,0)+IF(C276&gt;($B$4*1/10),($B$4*1/10)^2*(1.5*(C276^2-MAX(B276,($B$4*1/10))^2)-($B$4*1/10)*(C276-MAX(B276,($B$4*1/10)))),0))*1000,0)</f>
        <v>0</v>
      </c>
      <c r="AC276" s="120">
        <f>IF(AND(J276="OK",ISNUMBER($B$5),$B$5&gt;0,ISNUMBER($B$3),$B$3&gt;0),F276/(6*$B$3*1000000*$B$5)*(IF(B276&lt;($B$4*2/10),($B$4*2/10)*(MIN(C276,($B$4*2/10))^3-B276^3)-(MIN(C276,($B$4*2/10))^4-B276^4)/4,0)+IF(C276&gt;($B$4*2/10),($B$4*2/10)^2*(1.5*(C276^2-MAX(B276,($B$4*2/10))^2)-($B$4*2/10)*(C276-MAX(B276,($B$4*2/10)))),0))*1000,0)</f>
        <v>0</v>
      </c>
      <c r="AD276" s="120">
        <f>IF(AND(J276="OK",ISNUMBER($B$5),$B$5&gt;0,ISNUMBER($B$3),$B$3&gt;0),F276/(6*$B$3*1000000*$B$5)*(IF(B276&lt;($B$4*3/10),($B$4*3/10)*(MIN(C276,($B$4*3/10))^3-B276^3)-(MIN(C276,($B$4*3/10))^4-B276^4)/4,0)+IF(C276&gt;($B$4*3/10),($B$4*3/10)^2*(1.5*(C276^2-MAX(B276,($B$4*3/10))^2)-($B$4*3/10)*(C276-MAX(B276,($B$4*3/10)))),0))*1000,0)</f>
        <v>0</v>
      </c>
      <c r="AE276" s="120">
        <f>IF(AND(J276="OK",ISNUMBER($B$5),$B$5&gt;0,ISNUMBER($B$3),$B$3&gt;0),F276/(6*$B$3*1000000*$B$5)*(IF(B276&lt;($B$4*4/10),($B$4*4/10)*(MIN(C276,($B$4*4/10))^3-B276^3)-(MIN(C276,($B$4*4/10))^4-B276^4)/4,0)+IF(C276&gt;($B$4*4/10),($B$4*4/10)^2*(1.5*(C276^2-MAX(B276,($B$4*4/10))^2)-($B$4*4/10)*(C276-MAX(B276,($B$4*4/10)))),0))*1000,0)</f>
        <v>0</v>
      </c>
      <c r="AF276" s="120">
        <f>IF(AND(J276="OK",ISNUMBER($B$5),$B$5&gt;0,ISNUMBER($B$3),$B$3&gt;0),F276/(6*$B$3*1000000*$B$5)*(IF(B276&lt;($B$4*5/10),($B$4*5/10)*(MIN(C276,($B$4*5/10))^3-B276^3)-(MIN(C276,($B$4*5/10))^4-B276^4)/4,0)+IF(C276&gt;($B$4*5/10),($B$4*5/10)^2*(1.5*(C276^2-MAX(B276,($B$4*5/10))^2)-($B$4*5/10)*(C276-MAX(B276,($B$4*5/10)))),0))*1000,0)</f>
        <v>0</v>
      </c>
      <c r="AG276" s="120">
        <f>IF(AND(J276="OK",ISNUMBER($B$5),$B$5&gt;0,ISNUMBER($B$3),$B$3&gt;0),F276/(6*$B$3*1000000*$B$5)*(IF(B276&lt;($B$4*6/10),($B$4*6/10)*(MIN(C276,($B$4*6/10))^3-B276^3)-(MIN(C276,($B$4*6/10))^4-B276^4)/4,0)+IF(C276&gt;($B$4*6/10),($B$4*6/10)^2*(1.5*(C276^2-MAX(B276,($B$4*6/10))^2)-($B$4*6/10)*(C276-MAX(B276,($B$4*6/10)))),0))*1000,0)</f>
        <v>0</v>
      </c>
      <c r="AH276" s="120">
        <f>IF(AND(J276="OK",ISNUMBER($B$5),$B$5&gt;0,ISNUMBER($B$3),$B$3&gt;0),F276/(6*$B$3*1000000*$B$5)*(IF(B276&lt;($B$4*7/10),($B$4*7/10)*(MIN(C276,($B$4*7/10))^3-B276^3)-(MIN(C276,($B$4*7/10))^4-B276^4)/4,0)+IF(C276&gt;($B$4*7/10),($B$4*7/10)^2*(1.5*(C276^2-MAX(B276,($B$4*7/10))^2)-($B$4*7/10)*(C276-MAX(B276,($B$4*7/10)))),0))*1000,0)</f>
        <v>0</v>
      </c>
      <c r="AI276" s="120">
        <f>IF(AND(J276="OK",ISNUMBER($B$5),$B$5&gt;0,ISNUMBER($B$3),$B$3&gt;0),F276/(6*$B$3*1000000*$B$5)*(IF(B276&lt;($B$4*8/10),($B$4*8/10)*(MIN(C276,($B$4*8/10))^3-B276^3)-(MIN(C276,($B$4*8/10))^4-B276^4)/4,0)+IF(C276&gt;($B$4*8/10),($B$4*8/10)^2*(1.5*(C276^2-MAX(B276,($B$4*8/10))^2)-($B$4*8/10)*(C276-MAX(B276,($B$4*8/10)))),0))*1000,0)</f>
        <v>0</v>
      </c>
      <c r="AJ276" s="120">
        <f>IF(AND(J276="OK",ISNUMBER($B$5),$B$5&gt;0,ISNUMBER($B$3),$B$3&gt;0),F276/(6*$B$3*1000000*$B$5)*(IF(B276&lt;($B$4*9/10),($B$4*9/10)*(MIN(C276,($B$4*9/10))^3-B276^3)-(MIN(C276,($B$4*9/10))^4-B276^4)/4,0)+IF(C276&gt;($B$4*9/10),($B$4*9/10)^2*(1.5*(C276^2-MAX(B276,($B$4*9/10))^2)-($B$4*9/10)*(C276-MAX(B276,($B$4*9/10)))),0))*1000,0)</f>
        <v>0</v>
      </c>
      <c r="AK276" s="120">
        <f>IF(AND(J276="OK",ISNUMBER($B$5),$B$5&gt;0,ISNUMBER($B$3),$B$3&gt;0),F276/(6*$B$3*1000000*$B$5)*(IF(B276&lt;($B$4*10/10),($B$4*10/10)*(MIN(C276,($B$4*10/10))^3-B276^3)-(MIN(C276,($B$4*10/10))^4-B276^4)/4,0)+IF(C276&gt;($B$4*10/10),($B$4*10/10)^2*(1.5*(C276^2-MAX(B276,($B$4*10/10))^2)-($B$4*10/10)*(C276-MAX(B276,($B$4*10/10)))),0))*1000,0)</f>
        <v>0</v>
      </c>
      <c r="AM276" s="120">
        <f>IF(AND(V276="OK",ISNUMBER($N$5),$N$5&gt;0,ISNUMBER($N$3),$N$3&gt;0),R276/(6*$N$3*1000000*$N$5)*(IF(N276&lt;($N$4*0/10),($N$4*0/10)*(MIN(O276,($N$4*0/10))^3-N276^3)-(MIN(O276,($N$4*0/10))^4-N276^4)/4,0)+IF(O276&gt;($N$4*0/10),($N$4*0/10)^2*(1.5*(O276^2-MAX(N276,($N$4*0/10))^2)-($N$4*0/10)*(O276-MAX(N276,($N$4*0/10)))),0))*1000,0)</f>
        <v>0</v>
      </c>
      <c r="AN276" s="120">
        <f>IF(AND(V276="OK",ISNUMBER($N$5),$N$5&gt;0,ISNUMBER($N$3),$N$3&gt;0),R276/(6*$N$3*1000000*$N$5)*(IF(N276&lt;($N$4*1/10),($N$4*1/10)*(MIN(O276,($N$4*1/10))^3-N276^3)-(MIN(O276,($N$4*1/10))^4-N276^4)/4,0)+IF(O276&gt;($N$4*1/10),($N$4*1/10)^2*(1.5*(O276^2-MAX(N276,($N$4*1/10))^2)-($N$4*1/10)*(O276-MAX(N276,($N$4*1/10)))),0))*1000,0)</f>
        <v>0</v>
      </c>
      <c r="AO276" s="120">
        <f>IF(AND(V276="OK",ISNUMBER($N$5),$N$5&gt;0,ISNUMBER($N$3),$N$3&gt;0),R276/(6*$N$3*1000000*$N$5)*(IF(N276&lt;($N$4*2/10),($N$4*2/10)*(MIN(O276,($N$4*2/10))^3-N276^3)-(MIN(O276,($N$4*2/10))^4-N276^4)/4,0)+IF(O276&gt;($N$4*2/10),($N$4*2/10)^2*(1.5*(O276^2-MAX(N276,($N$4*2/10))^2)-($N$4*2/10)*(O276-MAX(N276,($N$4*2/10)))),0))*1000,0)</f>
        <v>0</v>
      </c>
      <c r="AP276" s="120">
        <f>IF(AND(V276="OK",ISNUMBER($N$5),$N$5&gt;0,ISNUMBER($N$3),$N$3&gt;0),R276/(6*$N$3*1000000*$N$5)*(IF(N276&lt;($N$4*3/10),($N$4*3/10)*(MIN(O276,($N$4*3/10))^3-N276^3)-(MIN(O276,($N$4*3/10))^4-N276^4)/4,0)+IF(O276&gt;($N$4*3/10),($N$4*3/10)^2*(1.5*(O276^2-MAX(N276,($N$4*3/10))^2)-($N$4*3/10)*(O276-MAX(N276,($N$4*3/10)))),0))*1000,0)</f>
        <v>0</v>
      </c>
      <c r="AQ276" s="120">
        <f>IF(AND(V276="OK",ISNUMBER($N$5),$N$5&gt;0,ISNUMBER($N$3),$N$3&gt;0),R276/(6*$N$3*1000000*$N$5)*(IF(N276&lt;($N$4*4/10),($N$4*4/10)*(MIN(O276,($N$4*4/10))^3-N276^3)-(MIN(O276,($N$4*4/10))^4-N276^4)/4,0)+IF(O276&gt;($N$4*4/10),($N$4*4/10)^2*(1.5*(O276^2-MAX(N276,($N$4*4/10))^2)-($N$4*4/10)*(O276-MAX(N276,($N$4*4/10)))),0))*1000,0)</f>
        <v>0</v>
      </c>
      <c r="AR276" s="120">
        <f>IF(AND(V276="OK",ISNUMBER($N$5),$N$5&gt;0,ISNUMBER($N$3),$N$3&gt;0),R276/(6*$N$3*1000000*$N$5)*(IF(N276&lt;($N$4*5/10),($N$4*5/10)*(MIN(O276,($N$4*5/10))^3-N276^3)-(MIN(O276,($N$4*5/10))^4-N276^4)/4,0)+IF(O276&gt;($N$4*5/10),($N$4*5/10)^2*(1.5*(O276^2-MAX(N276,($N$4*5/10))^2)-($N$4*5/10)*(O276-MAX(N276,($N$4*5/10)))),0))*1000,0)</f>
        <v>0</v>
      </c>
      <c r="AS276" s="120">
        <f>IF(AND(V276="OK",ISNUMBER($N$5),$N$5&gt;0,ISNUMBER($N$3),$N$3&gt;0),R276/(6*$N$3*1000000*$N$5)*(IF(N276&lt;($N$4*6/10),($N$4*6/10)*(MIN(O276,($N$4*6/10))^3-N276^3)-(MIN(O276,($N$4*6/10))^4-N276^4)/4,0)+IF(O276&gt;($N$4*6/10),($N$4*6/10)^2*(1.5*(O276^2-MAX(N276,($N$4*6/10))^2)-($N$4*6/10)*(O276-MAX(N276,($N$4*6/10)))),0))*1000,0)</f>
        <v>0</v>
      </c>
      <c r="AT276" s="120">
        <f>IF(AND(V276="OK",ISNUMBER($N$5),$N$5&gt;0,ISNUMBER($N$3),$N$3&gt;0),R276/(6*$N$3*1000000*$N$5)*(IF(N276&lt;($N$4*7/10),($N$4*7/10)*(MIN(O276,($N$4*7/10))^3-N276^3)-(MIN(O276,($N$4*7/10))^4-N276^4)/4,0)+IF(O276&gt;($N$4*7/10),($N$4*7/10)^2*(1.5*(O276^2-MAX(N276,($N$4*7/10))^2)-($N$4*7/10)*(O276-MAX(N276,($N$4*7/10)))),0))*1000,0)</f>
        <v>0</v>
      </c>
      <c r="AU276" s="120">
        <f>IF(AND(V276="OK",ISNUMBER($N$5),$N$5&gt;0,ISNUMBER($N$3),$N$3&gt;0),R276/(6*$N$3*1000000*$N$5)*(IF(N276&lt;($N$4*8/10),($N$4*8/10)*(MIN(O276,($N$4*8/10))^3-N276^3)-(MIN(O276,($N$4*8/10))^4-N276^4)/4,0)+IF(O276&gt;($N$4*8/10),($N$4*8/10)^2*(1.5*(O276^2-MAX(N276,($N$4*8/10))^2)-($N$4*8/10)*(O276-MAX(N276,($N$4*8/10)))),0))*1000,0)</f>
        <v>0</v>
      </c>
      <c r="AV276" s="120">
        <f>IF(AND(V276="OK",ISNUMBER($N$5),$N$5&gt;0,ISNUMBER($N$3),$N$3&gt;0),R276/(6*$N$3*1000000*$N$5)*(IF(N276&lt;($N$4*9/10),($N$4*9/10)*(MIN(O276,($N$4*9/10))^3-N276^3)-(MIN(O276,($N$4*9/10))^4-N276^4)/4,0)+IF(O276&gt;($N$4*9/10),($N$4*9/10)^2*(1.5*(O276^2-MAX(N276,($N$4*9/10))^2)-($N$4*9/10)*(O276-MAX(N276,($N$4*9/10)))),0))*1000,0)</f>
        <v>0</v>
      </c>
      <c r="AW276" s="120">
        <f>IF(AND(V276="OK",ISNUMBER($N$5),$N$5&gt;0,ISNUMBER($N$3),$N$3&gt;0),R276/(6*$N$3*1000000*$N$5)*(IF(N276&lt;($N$4*10/10),($N$4*10/10)*(MIN(O276,($N$4*10/10))^3-N276^3)-(MIN(O276,($N$4*10/10))^4-N276^4)/4,0)+IF(O276&gt;($N$4*10/10),($N$4*10/10)^2*(1.5*(O276^2-MAX(N276,($N$4*10/10))^2)-($N$4*10/10)*(O276-MAX(N276,($N$4*10/10)))),0))*1000,0)</f>
        <v>0</v>
      </c>
    </row>
    <row r="277" spans="1:49">
      <c r="A277" s="124"/>
      <c r="B277" s="125"/>
      <c r="C277" s="125"/>
      <c r="D277" s="125"/>
      <c r="E277" s="125"/>
      <c r="F277" s="126" t="str">
        <f>IF(J277="OK",D277*E277,"")</f>
        <v/>
      </c>
      <c r="G277" s="126" t="str">
        <f>IF(J277="OK",F277*(C277-B277),"")</f>
        <v/>
      </c>
      <c r="H277" s="126" t="str">
        <f>IF(J277="OK",G277*(C277+B277)/2,"")</f>
        <v/>
      </c>
      <c r="I277" s="126" t="str">
        <f>IF(AND(J277="OK",ISNUMBER($B$5),$B$5&gt;0,ISNUMBER($B$3),$B$3&gt;0),F277*(4*$B$4*(C277^3-B277^3)-(C277^4-B277^4))/(24*$B$3*1000000*$B$5)*1000,"")</f>
        <v/>
      </c>
      <c r="J277" s="120" t="str">
        <f>IF(COUNTA(A277:E277)=0,"",IF(AND(COUNT(B277:E277)=4,B277&gt;=0,C277&gt;B277,C277&lt;=$B$4,D277&gt;=0,E277&gt;0),IF(COUNTIFS($B$13:$B$276,"&lt;"&amp;C277,$C$13:$C$276,"&gt;"&amp;B277)&gt;0,"OVERLAP","OK"),"CHECK INPUTS"))</f>
        <v/>
      </c>
      <c r="M277" s="124"/>
      <c r="N277" s="125"/>
      <c r="O277" s="125"/>
      <c r="P277" s="125"/>
      <c r="Q277" s="125"/>
      <c r="R277" s="126" t="str">
        <f>IF(V277="OK",P277*Q277,"")</f>
        <v/>
      </c>
      <c r="S277" s="126" t="str">
        <f>IF(V277="OK",R277*(O277-N277),"")</f>
        <v/>
      </c>
      <c r="T277" s="126" t="str">
        <f>IF(V277="OK",S277*(O277+N277)/2,"")</f>
        <v/>
      </c>
      <c r="U277" s="126" t="str">
        <f>IF(AND(V277="OK",ISNUMBER($N$5),$N$5&gt;0,ISNUMBER($N$3),$N$3&gt;0),R277*(4*$N$4*(O277^3-N277^3)-(O277^4-N277^4))/(24*$N$3*1000000*$N$5)*1000,"")</f>
        <v/>
      </c>
      <c r="V277" s="120" t="str">
        <f>IF(COUNTA(M277:Q277)=0,"",IF(AND(COUNT(N277:Q277)=4,N277&gt;=0,O277&gt;N277,O277&lt;=$N$4,P277&gt;=0,Q277&gt;0),IF(COUNTIFS($N$13:$N$276,"&lt;"&amp;O277,$O$13:$O$276,"&gt;"&amp;N277)&gt;0,"OVERLAP","OK"),"CHECK INPUTS"))</f>
        <v/>
      </c>
      <c r="AA277" s="120">
        <f>IF(AND(J277="OK",ISNUMBER($B$5),$B$5&gt;0,ISNUMBER($B$3),$B$3&gt;0),F277/(6*$B$3*1000000*$B$5)*(IF(B277&lt;($B$4*0/10),($B$4*0/10)*(MIN(C277,($B$4*0/10))^3-B277^3)-(MIN(C277,($B$4*0/10))^4-B277^4)/4,0)+IF(C277&gt;($B$4*0/10),($B$4*0/10)^2*(1.5*(C277^2-MAX(B277,($B$4*0/10))^2)-($B$4*0/10)*(C277-MAX(B277,($B$4*0/10)))),0))*1000,0)</f>
        <v>0</v>
      </c>
      <c r="AB277" s="120">
        <f>IF(AND(J277="OK",ISNUMBER($B$5),$B$5&gt;0,ISNUMBER($B$3),$B$3&gt;0),F277/(6*$B$3*1000000*$B$5)*(IF(B277&lt;($B$4*1/10),($B$4*1/10)*(MIN(C277,($B$4*1/10))^3-B277^3)-(MIN(C277,($B$4*1/10))^4-B277^4)/4,0)+IF(C277&gt;($B$4*1/10),($B$4*1/10)^2*(1.5*(C277^2-MAX(B277,($B$4*1/10))^2)-($B$4*1/10)*(C277-MAX(B277,($B$4*1/10)))),0))*1000,0)</f>
        <v>0</v>
      </c>
      <c r="AC277" s="120">
        <f>IF(AND(J277="OK",ISNUMBER($B$5),$B$5&gt;0,ISNUMBER($B$3),$B$3&gt;0),F277/(6*$B$3*1000000*$B$5)*(IF(B277&lt;($B$4*2/10),($B$4*2/10)*(MIN(C277,($B$4*2/10))^3-B277^3)-(MIN(C277,($B$4*2/10))^4-B277^4)/4,0)+IF(C277&gt;($B$4*2/10),($B$4*2/10)^2*(1.5*(C277^2-MAX(B277,($B$4*2/10))^2)-($B$4*2/10)*(C277-MAX(B277,($B$4*2/10)))),0))*1000,0)</f>
        <v>0</v>
      </c>
      <c r="AD277" s="120">
        <f>IF(AND(J277="OK",ISNUMBER($B$5),$B$5&gt;0,ISNUMBER($B$3),$B$3&gt;0),F277/(6*$B$3*1000000*$B$5)*(IF(B277&lt;($B$4*3/10),($B$4*3/10)*(MIN(C277,($B$4*3/10))^3-B277^3)-(MIN(C277,($B$4*3/10))^4-B277^4)/4,0)+IF(C277&gt;($B$4*3/10),($B$4*3/10)^2*(1.5*(C277^2-MAX(B277,($B$4*3/10))^2)-($B$4*3/10)*(C277-MAX(B277,($B$4*3/10)))),0))*1000,0)</f>
        <v>0</v>
      </c>
      <c r="AE277" s="120">
        <f>IF(AND(J277="OK",ISNUMBER($B$5),$B$5&gt;0,ISNUMBER($B$3),$B$3&gt;0),F277/(6*$B$3*1000000*$B$5)*(IF(B277&lt;($B$4*4/10),($B$4*4/10)*(MIN(C277,($B$4*4/10))^3-B277^3)-(MIN(C277,($B$4*4/10))^4-B277^4)/4,0)+IF(C277&gt;($B$4*4/10),($B$4*4/10)^2*(1.5*(C277^2-MAX(B277,($B$4*4/10))^2)-($B$4*4/10)*(C277-MAX(B277,($B$4*4/10)))),0))*1000,0)</f>
        <v>0</v>
      </c>
      <c r="AF277" s="120">
        <f>IF(AND(J277="OK",ISNUMBER($B$5),$B$5&gt;0,ISNUMBER($B$3),$B$3&gt;0),F277/(6*$B$3*1000000*$B$5)*(IF(B277&lt;($B$4*5/10),($B$4*5/10)*(MIN(C277,($B$4*5/10))^3-B277^3)-(MIN(C277,($B$4*5/10))^4-B277^4)/4,0)+IF(C277&gt;($B$4*5/10),($B$4*5/10)^2*(1.5*(C277^2-MAX(B277,($B$4*5/10))^2)-($B$4*5/10)*(C277-MAX(B277,($B$4*5/10)))),0))*1000,0)</f>
        <v>0</v>
      </c>
      <c r="AG277" s="120">
        <f>IF(AND(J277="OK",ISNUMBER($B$5),$B$5&gt;0,ISNUMBER($B$3),$B$3&gt;0),F277/(6*$B$3*1000000*$B$5)*(IF(B277&lt;($B$4*6/10),($B$4*6/10)*(MIN(C277,($B$4*6/10))^3-B277^3)-(MIN(C277,($B$4*6/10))^4-B277^4)/4,0)+IF(C277&gt;($B$4*6/10),($B$4*6/10)^2*(1.5*(C277^2-MAX(B277,($B$4*6/10))^2)-($B$4*6/10)*(C277-MAX(B277,($B$4*6/10)))),0))*1000,0)</f>
        <v>0</v>
      </c>
      <c r="AH277" s="120">
        <f>IF(AND(J277="OK",ISNUMBER($B$5),$B$5&gt;0,ISNUMBER($B$3),$B$3&gt;0),F277/(6*$B$3*1000000*$B$5)*(IF(B277&lt;($B$4*7/10),($B$4*7/10)*(MIN(C277,($B$4*7/10))^3-B277^3)-(MIN(C277,($B$4*7/10))^4-B277^4)/4,0)+IF(C277&gt;($B$4*7/10),($B$4*7/10)^2*(1.5*(C277^2-MAX(B277,($B$4*7/10))^2)-($B$4*7/10)*(C277-MAX(B277,($B$4*7/10)))),0))*1000,0)</f>
        <v>0</v>
      </c>
      <c r="AI277" s="120">
        <f>IF(AND(J277="OK",ISNUMBER($B$5),$B$5&gt;0,ISNUMBER($B$3),$B$3&gt;0),F277/(6*$B$3*1000000*$B$5)*(IF(B277&lt;($B$4*8/10),($B$4*8/10)*(MIN(C277,($B$4*8/10))^3-B277^3)-(MIN(C277,($B$4*8/10))^4-B277^4)/4,0)+IF(C277&gt;($B$4*8/10),($B$4*8/10)^2*(1.5*(C277^2-MAX(B277,($B$4*8/10))^2)-($B$4*8/10)*(C277-MAX(B277,($B$4*8/10)))),0))*1000,0)</f>
        <v>0</v>
      </c>
      <c r="AJ277" s="120">
        <f>IF(AND(J277="OK",ISNUMBER($B$5),$B$5&gt;0,ISNUMBER($B$3),$B$3&gt;0),F277/(6*$B$3*1000000*$B$5)*(IF(B277&lt;($B$4*9/10),($B$4*9/10)*(MIN(C277,($B$4*9/10))^3-B277^3)-(MIN(C277,($B$4*9/10))^4-B277^4)/4,0)+IF(C277&gt;($B$4*9/10),($B$4*9/10)^2*(1.5*(C277^2-MAX(B277,($B$4*9/10))^2)-($B$4*9/10)*(C277-MAX(B277,($B$4*9/10)))),0))*1000,0)</f>
        <v>0</v>
      </c>
      <c r="AK277" s="120">
        <f>IF(AND(J277="OK",ISNUMBER($B$5),$B$5&gt;0,ISNUMBER($B$3),$B$3&gt;0),F277/(6*$B$3*1000000*$B$5)*(IF(B277&lt;($B$4*10/10),($B$4*10/10)*(MIN(C277,($B$4*10/10))^3-B277^3)-(MIN(C277,($B$4*10/10))^4-B277^4)/4,0)+IF(C277&gt;($B$4*10/10),($B$4*10/10)^2*(1.5*(C277^2-MAX(B277,($B$4*10/10))^2)-($B$4*10/10)*(C277-MAX(B277,($B$4*10/10)))),0))*1000,0)</f>
        <v>0</v>
      </c>
      <c r="AM277" s="120">
        <f>IF(AND(V277="OK",ISNUMBER($N$5),$N$5&gt;0,ISNUMBER($N$3),$N$3&gt;0),R277/(6*$N$3*1000000*$N$5)*(IF(N277&lt;($N$4*0/10),($N$4*0/10)*(MIN(O277,($N$4*0/10))^3-N277^3)-(MIN(O277,($N$4*0/10))^4-N277^4)/4,0)+IF(O277&gt;($N$4*0/10),($N$4*0/10)^2*(1.5*(O277^2-MAX(N277,($N$4*0/10))^2)-($N$4*0/10)*(O277-MAX(N277,($N$4*0/10)))),0))*1000,0)</f>
        <v>0</v>
      </c>
      <c r="AN277" s="120">
        <f>IF(AND(V277="OK",ISNUMBER($N$5),$N$5&gt;0,ISNUMBER($N$3),$N$3&gt;0),R277/(6*$N$3*1000000*$N$5)*(IF(N277&lt;($N$4*1/10),($N$4*1/10)*(MIN(O277,($N$4*1/10))^3-N277^3)-(MIN(O277,($N$4*1/10))^4-N277^4)/4,0)+IF(O277&gt;($N$4*1/10),($N$4*1/10)^2*(1.5*(O277^2-MAX(N277,($N$4*1/10))^2)-($N$4*1/10)*(O277-MAX(N277,($N$4*1/10)))),0))*1000,0)</f>
        <v>0</v>
      </c>
      <c r="AO277" s="120">
        <f>IF(AND(V277="OK",ISNUMBER($N$5),$N$5&gt;0,ISNUMBER($N$3),$N$3&gt;0),R277/(6*$N$3*1000000*$N$5)*(IF(N277&lt;($N$4*2/10),($N$4*2/10)*(MIN(O277,($N$4*2/10))^3-N277^3)-(MIN(O277,($N$4*2/10))^4-N277^4)/4,0)+IF(O277&gt;($N$4*2/10),($N$4*2/10)^2*(1.5*(O277^2-MAX(N277,($N$4*2/10))^2)-($N$4*2/10)*(O277-MAX(N277,($N$4*2/10)))),0))*1000,0)</f>
        <v>0</v>
      </c>
      <c r="AP277" s="120">
        <f>IF(AND(V277="OK",ISNUMBER($N$5),$N$5&gt;0,ISNUMBER($N$3),$N$3&gt;0),R277/(6*$N$3*1000000*$N$5)*(IF(N277&lt;($N$4*3/10),($N$4*3/10)*(MIN(O277,($N$4*3/10))^3-N277^3)-(MIN(O277,($N$4*3/10))^4-N277^4)/4,0)+IF(O277&gt;($N$4*3/10),($N$4*3/10)^2*(1.5*(O277^2-MAX(N277,($N$4*3/10))^2)-($N$4*3/10)*(O277-MAX(N277,($N$4*3/10)))),0))*1000,0)</f>
        <v>0</v>
      </c>
      <c r="AQ277" s="120">
        <f>IF(AND(V277="OK",ISNUMBER($N$5),$N$5&gt;0,ISNUMBER($N$3),$N$3&gt;0),R277/(6*$N$3*1000000*$N$5)*(IF(N277&lt;($N$4*4/10),($N$4*4/10)*(MIN(O277,($N$4*4/10))^3-N277^3)-(MIN(O277,($N$4*4/10))^4-N277^4)/4,0)+IF(O277&gt;($N$4*4/10),($N$4*4/10)^2*(1.5*(O277^2-MAX(N277,($N$4*4/10))^2)-($N$4*4/10)*(O277-MAX(N277,($N$4*4/10)))),0))*1000,0)</f>
        <v>0</v>
      </c>
      <c r="AR277" s="120">
        <f>IF(AND(V277="OK",ISNUMBER($N$5),$N$5&gt;0,ISNUMBER($N$3),$N$3&gt;0),R277/(6*$N$3*1000000*$N$5)*(IF(N277&lt;($N$4*5/10),($N$4*5/10)*(MIN(O277,($N$4*5/10))^3-N277^3)-(MIN(O277,($N$4*5/10))^4-N277^4)/4,0)+IF(O277&gt;($N$4*5/10),($N$4*5/10)^2*(1.5*(O277^2-MAX(N277,($N$4*5/10))^2)-($N$4*5/10)*(O277-MAX(N277,($N$4*5/10)))),0))*1000,0)</f>
        <v>0</v>
      </c>
      <c r="AS277" s="120">
        <f>IF(AND(V277="OK",ISNUMBER($N$5),$N$5&gt;0,ISNUMBER($N$3),$N$3&gt;0),R277/(6*$N$3*1000000*$N$5)*(IF(N277&lt;($N$4*6/10),($N$4*6/10)*(MIN(O277,($N$4*6/10))^3-N277^3)-(MIN(O277,($N$4*6/10))^4-N277^4)/4,0)+IF(O277&gt;($N$4*6/10),($N$4*6/10)^2*(1.5*(O277^2-MAX(N277,($N$4*6/10))^2)-($N$4*6/10)*(O277-MAX(N277,($N$4*6/10)))),0))*1000,0)</f>
        <v>0</v>
      </c>
      <c r="AT277" s="120">
        <f>IF(AND(V277="OK",ISNUMBER($N$5),$N$5&gt;0,ISNUMBER($N$3),$N$3&gt;0),R277/(6*$N$3*1000000*$N$5)*(IF(N277&lt;($N$4*7/10),($N$4*7/10)*(MIN(O277,($N$4*7/10))^3-N277^3)-(MIN(O277,($N$4*7/10))^4-N277^4)/4,0)+IF(O277&gt;($N$4*7/10),($N$4*7/10)^2*(1.5*(O277^2-MAX(N277,($N$4*7/10))^2)-($N$4*7/10)*(O277-MAX(N277,($N$4*7/10)))),0))*1000,0)</f>
        <v>0</v>
      </c>
      <c r="AU277" s="120">
        <f>IF(AND(V277="OK",ISNUMBER($N$5),$N$5&gt;0,ISNUMBER($N$3),$N$3&gt;0),R277/(6*$N$3*1000000*$N$5)*(IF(N277&lt;($N$4*8/10),($N$4*8/10)*(MIN(O277,($N$4*8/10))^3-N277^3)-(MIN(O277,($N$4*8/10))^4-N277^4)/4,0)+IF(O277&gt;($N$4*8/10),($N$4*8/10)^2*(1.5*(O277^2-MAX(N277,($N$4*8/10))^2)-($N$4*8/10)*(O277-MAX(N277,($N$4*8/10)))),0))*1000,0)</f>
        <v>0</v>
      </c>
      <c r="AV277" s="120">
        <f>IF(AND(V277="OK",ISNUMBER($N$5),$N$5&gt;0,ISNUMBER($N$3),$N$3&gt;0),R277/(6*$N$3*1000000*$N$5)*(IF(N277&lt;($N$4*9/10),($N$4*9/10)*(MIN(O277,($N$4*9/10))^3-N277^3)-(MIN(O277,($N$4*9/10))^4-N277^4)/4,0)+IF(O277&gt;($N$4*9/10),($N$4*9/10)^2*(1.5*(O277^2-MAX(N277,($N$4*9/10))^2)-($N$4*9/10)*(O277-MAX(N277,($N$4*9/10)))),0))*1000,0)</f>
        <v>0</v>
      </c>
      <c r="AW277" s="120">
        <f>IF(AND(V277="OK",ISNUMBER($N$5),$N$5&gt;0,ISNUMBER($N$3),$N$3&gt;0),R277/(6*$N$3*1000000*$N$5)*(IF(N277&lt;($N$4*10/10),($N$4*10/10)*(MIN(O277,($N$4*10/10))^3-N277^3)-(MIN(O277,($N$4*10/10))^4-N277^4)/4,0)+IF(O277&gt;($N$4*10/10),($N$4*10/10)^2*(1.5*(O277^2-MAX(N277,($N$4*10/10))^2)-($N$4*10/10)*(O277-MAX(N277,($N$4*10/10)))),0))*1000,0)</f>
        <v>0</v>
      </c>
    </row>
    <row r="278" spans="1:49">
      <c r="A278" s="124"/>
      <c r="B278" s="125"/>
      <c r="C278" s="125"/>
      <c r="D278" s="125"/>
      <c r="E278" s="125"/>
      <c r="F278" s="126" t="str">
        <f>IF(J278="OK",D278*E278,"")</f>
        <v/>
      </c>
      <c r="G278" s="126" t="str">
        <f>IF(J278="OK",F278*(C278-B278),"")</f>
        <v/>
      </c>
      <c r="H278" s="126" t="str">
        <f>IF(J278="OK",G278*(C278+B278)/2,"")</f>
        <v/>
      </c>
      <c r="I278" s="126" t="str">
        <f>IF(AND(J278="OK",ISNUMBER($B$5),$B$5&gt;0,ISNUMBER($B$3),$B$3&gt;0),F278*(4*$B$4*(C278^3-B278^3)-(C278^4-B278^4))/(24*$B$3*1000000*$B$5)*1000,"")</f>
        <v/>
      </c>
      <c r="J278" s="120" t="str">
        <f>IF(COUNTA(A278:E278)=0,"",IF(AND(COUNT(B278:E278)=4,B278&gt;=0,C278&gt;B278,C278&lt;=$B$4,D278&gt;=0,E278&gt;0),IF(COUNTIFS($B$13:$B$277,"&lt;"&amp;C278,$C$13:$C$277,"&gt;"&amp;B278)&gt;0,"OVERLAP","OK"),"CHECK INPUTS"))</f>
        <v/>
      </c>
      <c r="M278" s="124"/>
      <c r="N278" s="125"/>
      <c r="O278" s="125"/>
      <c r="P278" s="125"/>
      <c r="Q278" s="125"/>
      <c r="R278" s="126" t="str">
        <f>IF(V278="OK",P278*Q278,"")</f>
        <v/>
      </c>
      <c r="S278" s="126" t="str">
        <f>IF(V278="OK",R278*(O278-N278),"")</f>
        <v/>
      </c>
      <c r="T278" s="126" t="str">
        <f>IF(V278="OK",S278*(O278+N278)/2,"")</f>
        <v/>
      </c>
      <c r="U278" s="126" t="str">
        <f>IF(AND(V278="OK",ISNUMBER($N$5),$N$5&gt;0,ISNUMBER($N$3),$N$3&gt;0),R278*(4*$N$4*(O278^3-N278^3)-(O278^4-N278^4))/(24*$N$3*1000000*$N$5)*1000,"")</f>
        <v/>
      </c>
      <c r="V278" s="120" t="str">
        <f>IF(COUNTA(M278:Q278)=0,"",IF(AND(COUNT(N278:Q278)=4,N278&gt;=0,O278&gt;N278,O278&lt;=$N$4,P278&gt;=0,Q278&gt;0),IF(COUNTIFS($N$13:$N$277,"&lt;"&amp;O278,$O$13:$O$277,"&gt;"&amp;N278)&gt;0,"OVERLAP","OK"),"CHECK INPUTS"))</f>
        <v/>
      </c>
      <c r="AA278" s="120">
        <f>IF(AND(J278="OK",ISNUMBER($B$5),$B$5&gt;0,ISNUMBER($B$3),$B$3&gt;0),F278/(6*$B$3*1000000*$B$5)*(IF(B278&lt;($B$4*0/10),($B$4*0/10)*(MIN(C278,($B$4*0/10))^3-B278^3)-(MIN(C278,($B$4*0/10))^4-B278^4)/4,0)+IF(C278&gt;($B$4*0/10),($B$4*0/10)^2*(1.5*(C278^2-MAX(B278,($B$4*0/10))^2)-($B$4*0/10)*(C278-MAX(B278,($B$4*0/10)))),0))*1000,0)</f>
        <v>0</v>
      </c>
      <c r="AB278" s="120">
        <f>IF(AND(J278="OK",ISNUMBER($B$5),$B$5&gt;0,ISNUMBER($B$3),$B$3&gt;0),F278/(6*$B$3*1000000*$B$5)*(IF(B278&lt;($B$4*1/10),($B$4*1/10)*(MIN(C278,($B$4*1/10))^3-B278^3)-(MIN(C278,($B$4*1/10))^4-B278^4)/4,0)+IF(C278&gt;($B$4*1/10),($B$4*1/10)^2*(1.5*(C278^2-MAX(B278,($B$4*1/10))^2)-($B$4*1/10)*(C278-MAX(B278,($B$4*1/10)))),0))*1000,0)</f>
        <v>0</v>
      </c>
      <c r="AC278" s="120">
        <f>IF(AND(J278="OK",ISNUMBER($B$5),$B$5&gt;0,ISNUMBER($B$3),$B$3&gt;0),F278/(6*$B$3*1000000*$B$5)*(IF(B278&lt;($B$4*2/10),($B$4*2/10)*(MIN(C278,($B$4*2/10))^3-B278^3)-(MIN(C278,($B$4*2/10))^4-B278^4)/4,0)+IF(C278&gt;($B$4*2/10),($B$4*2/10)^2*(1.5*(C278^2-MAX(B278,($B$4*2/10))^2)-($B$4*2/10)*(C278-MAX(B278,($B$4*2/10)))),0))*1000,0)</f>
        <v>0</v>
      </c>
      <c r="AD278" s="120">
        <f>IF(AND(J278="OK",ISNUMBER($B$5),$B$5&gt;0,ISNUMBER($B$3),$B$3&gt;0),F278/(6*$B$3*1000000*$B$5)*(IF(B278&lt;($B$4*3/10),($B$4*3/10)*(MIN(C278,($B$4*3/10))^3-B278^3)-(MIN(C278,($B$4*3/10))^4-B278^4)/4,0)+IF(C278&gt;($B$4*3/10),($B$4*3/10)^2*(1.5*(C278^2-MAX(B278,($B$4*3/10))^2)-($B$4*3/10)*(C278-MAX(B278,($B$4*3/10)))),0))*1000,0)</f>
        <v>0</v>
      </c>
      <c r="AE278" s="120">
        <f>IF(AND(J278="OK",ISNUMBER($B$5),$B$5&gt;0,ISNUMBER($B$3),$B$3&gt;0),F278/(6*$B$3*1000000*$B$5)*(IF(B278&lt;($B$4*4/10),($B$4*4/10)*(MIN(C278,($B$4*4/10))^3-B278^3)-(MIN(C278,($B$4*4/10))^4-B278^4)/4,0)+IF(C278&gt;($B$4*4/10),($B$4*4/10)^2*(1.5*(C278^2-MAX(B278,($B$4*4/10))^2)-($B$4*4/10)*(C278-MAX(B278,($B$4*4/10)))),0))*1000,0)</f>
        <v>0</v>
      </c>
      <c r="AF278" s="120">
        <f>IF(AND(J278="OK",ISNUMBER($B$5),$B$5&gt;0,ISNUMBER($B$3),$B$3&gt;0),F278/(6*$B$3*1000000*$B$5)*(IF(B278&lt;($B$4*5/10),($B$4*5/10)*(MIN(C278,($B$4*5/10))^3-B278^3)-(MIN(C278,($B$4*5/10))^4-B278^4)/4,0)+IF(C278&gt;($B$4*5/10),($B$4*5/10)^2*(1.5*(C278^2-MAX(B278,($B$4*5/10))^2)-($B$4*5/10)*(C278-MAX(B278,($B$4*5/10)))),0))*1000,0)</f>
        <v>0</v>
      </c>
      <c r="AG278" s="120">
        <f>IF(AND(J278="OK",ISNUMBER($B$5),$B$5&gt;0,ISNUMBER($B$3),$B$3&gt;0),F278/(6*$B$3*1000000*$B$5)*(IF(B278&lt;($B$4*6/10),($B$4*6/10)*(MIN(C278,($B$4*6/10))^3-B278^3)-(MIN(C278,($B$4*6/10))^4-B278^4)/4,0)+IF(C278&gt;($B$4*6/10),($B$4*6/10)^2*(1.5*(C278^2-MAX(B278,($B$4*6/10))^2)-($B$4*6/10)*(C278-MAX(B278,($B$4*6/10)))),0))*1000,0)</f>
        <v>0</v>
      </c>
      <c r="AH278" s="120">
        <f>IF(AND(J278="OK",ISNUMBER($B$5),$B$5&gt;0,ISNUMBER($B$3),$B$3&gt;0),F278/(6*$B$3*1000000*$B$5)*(IF(B278&lt;($B$4*7/10),($B$4*7/10)*(MIN(C278,($B$4*7/10))^3-B278^3)-(MIN(C278,($B$4*7/10))^4-B278^4)/4,0)+IF(C278&gt;($B$4*7/10),($B$4*7/10)^2*(1.5*(C278^2-MAX(B278,($B$4*7/10))^2)-($B$4*7/10)*(C278-MAX(B278,($B$4*7/10)))),0))*1000,0)</f>
        <v>0</v>
      </c>
      <c r="AI278" s="120">
        <f>IF(AND(J278="OK",ISNUMBER($B$5),$B$5&gt;0,ISNUMBER($B$3),$B$3&gt;0),F278/(6*$B$3*1000000*$B$5)*(IF(B278&lt;($B$4*8/10),($B$4*8/10)*(MIN(C278,($B$4*8/10))^3-B278^3)-(MIN(C278,($B$4*8/10))^4-B278^4)/4,0)+IF(C278&gt;($B$4*8/10),($B$4*8/10)^2*(1.5*(C278^2-MAX(B278,($B$4*8/10))^2)-($B$4*8/10)*(C278-MAX(B278,($B$4*8/10)))),0))*1000,0)</f>
        <v>0</v>
      </c>
      <c r="AJ278" s="120">
        <f>IF(AND(J278="OK",ISNUMBER($B$5),$B$5&gt;0,ISNUMBER($B$3),$B$3&gt;0),F278/(6*$B$3*1000000*$B$5)*(IF(B278&lt;($B$4*9/10),($B$4*9/10)*(MIN(C278,($B$4*9/10))^3-B278^3)-(MIN(C278,($B$4*9/10))^4-B278^4)/4,0)+IF(C278&gt;($B$4*9/10),($B$4*9/10)^2*(1.5*(C278^2-MAX(B278,($B$4*9/10))^2)-($B$4*9/10)*(C278-MAX(B278,($B$4*9/10)))),0))*1000,0)</f>
        <v>0</v>
      </c>
      <c r="AK278" s="120">
        <f>IF(AND(J278="OK",ISNUMBER($B$5),$B$5&gt;0,ISNUMBER($B$3),$B$3&gt;0),F278/(6*$B$3*1000000*$B$5)*(IF(B278&lt;($B$4*10/10),($B$4*10/10)*(MIN(C278,($B$4*10/10))^3-B278^3)-(MIN(C278,($B$4*10/10))^4-B278^4)/4,0)+IF(C278&gt;($B$4*10/10),($B$4*10/10)^2*(1.5*(C278^2-MAX(B278,($B$4*10/10))^2)-($B$4*10/10)*(C278-MAX(B278,($B$4*10/10)))),0))*1000,0)</f>
        <v>0</v>
      </c>
      <c r="AM278" s="120">
        <f>IF(AND(V278="OK",ISNUMBER($N$5),$N$5&gt;0,ISNUMBER($N$3),$N$3&gt;0),R278/(6*$N$3*1000000*$N$5)*(IF(N278&lt;($N$4*0/10),($N$4*0/10)*(MIN(O278,($N$4*0/10))^3-N278^3)-(MIN(O278,($N$4*0/10))^4-N278^4)/4,0)+IF(O278&gt;($N$4*0/10),($N$4*0/10)^2*(1.5*(O278^2-MAX(N278,($N$4*0/10))^2)-($N$4*0/10)*(O278-MAX(N278,($N$4*0/10)))),0))*1000,0)</f>
        <v>0</v>
      </c>
      <c r="AN278" s="120">
        <f>IF(AND(V278="OK",ISNUMBER($N$5),$N$5&gt;0,ISNUMBER($N$3),$N$3&gt;0),R278/(6*$N$3*1000000*$N$5)*(IF(N278&lt;($N$4*1/10),($N$4*1/10)*(MIN(O278,($N$4*1/10))^3-N278^3)-(MIN(O278,($N$4*1/10))^4-N278^4)/4,0)+IF(O278&gt;($N$4*1/10),($N$4*1/10)^2*(1.5*(O278^2-MAX(N278,($N$4*1/10))^2)-($N$4*1/10)*(O278-MAX(N278,($N$4*1/10)))),0))*1000,0)</f>
        <v>0</v>
      </c>
      <c r="AO278" s="120">
        <f>IF(AND(V278="OK",ISNUMBER($N$5),$N$5&gt;0,ISNUMBER($N$3),$N$3&gt;0),R278/(6*$N$3*1000000*$N$5)*(IF(N278&lt;($N$4*2/10),($N$4*2/10)*(MIN(O278,($N$4*2/10))^3-N278^3)-(MIN(O278,($N$4*2/10))^4-N278^4)/4,0)+IF(O278&gt;($N$4*2/10),($N$4*2/10)^2*(1.5*(O278^2-MAX(N278,($N$4*2/10))^2)-($N$4*2/10)*(O278-MAX(N278,($N$4*2/10)))),0))*1000,0)</f>
        <v>0</v>
      </c>
      <c r="AP278" s="120">
        <f>IF(AND(V278="OK",ISNUMBER($N$5),$N$5&gt;0,ISNUMBER($N$3),$N$3&gt;0),R278/(6*$N$3*1000000*$N$5)*(IF(N278&lt;($N$4*3/10),($N$4*3/10)*(MIN(O278,($N$4*3/10))^3-N278^3)-(MIN(O278,($N$4*3/10))^4-N278^4)/4,0)+IF(O278&gt;($N$4*3/10),($N$4*3/10)^2*(1.5*(O278^2-MAX(N278,($N$4*3/10))^2)-($N$4*3/10)*(O278-MAX(N278,($N$4*3/10)))),0))*1000,0)</f>
        <v>0</v>
      </c>
      <c r="AQ278" s="120">
        <f>IF(AND(V278="OK",ISNUMBER($N$5),$N$5&gt;0,ISNUMBER($N$3),$N$3&gt;0),R278/(6*$N$3*1000000*$N$5)*(IF(N278&lt;($N$4*4/10),($N$4*4/10)*(MIN(O278,($N$4*4/10))^3-N278^3)-(MIN(O278,($N$4*4/10))^4-N278^4)/4,0)+IF(O278&gt;($N$4*4/10),($N$4*4/10)^2*(1.5*(O278^2-MAX(N278,($N$4*4/10))^2)-($N$4*4/10)*(O278-MAX(N278,($N$4*4/10)))),0))*1000,0)</f>
        <v>0</v>
      </c>
      <c r="AR278" s="120">
        <f>IF(AND(V278="OK",ISNUMBER($N$5),$N$5&gt;0,ISNUMBER($N$3),$N$3&gt;0),R278/(6*$N$3*1000000*$N$5)*(IF(N278&lt;($N$4*5/10),($N$4*5/10)*(MIN(O278,($N$4*5/10))^3-N278^3)-(MIN(O278,($N$4*5/10))^4-N278^4)/4,0)+IF(O278&gt;($N$4*5/10),($N$4*5/10)^2*(1.5*(O278^2-MAX(N278,($N$4*5/10))^2)-($N$4*5/10)*(O278-MAX(N278,($N$4*5/10)))),0))*1000,0)</f>
        <v>0</v>
      </c>
      <c r="AS278" s="120">
        <f>IF(AND(V278="OK",ISNUMBER($N$5),$N$5&gt;0,ISNUMBER($N$3),$N$3&gt;0),R278/(6*$N$3*1000000*$N$5)*(IF(N278&lt;($N$4*6/10),($N$4*6/10)*(MIN(O278,($N$4*6/10))^3-N278^3)-(MIN(O278,($N$4*6/10))^4-N278^4)/4,0)+IF(O278&gt;($N$4*6/10),($N$4*6/10)^2*(1.5*(O278^2-MAX(N278,($N$4*6/10))^2)-($N$4*6/10)*(O278-MAX(N278,($N$4*6/10)))),0))*1000,0)</f>
        <v>0</v>
      </c>
      <c r="AT278" s="120">
        <f>IF(AND(V278="OK",ISNUMBER($N$5),$N$5&gt;0,ISNUMBER($N$3),$N$3&gt;0),R278/(6*$N$3*1000000*$N$5)*(IF(N278&lt;($N$4*7/10),($N$4*7/10)*(MIN(O278,($N$4*7/10))^3-N278^3)-(MIN(O278,($N$4*7/10))^4-N278^4)/4,0)+IF(O278&gt;($N$4*7/10),($N$4*7/10)^2*(1.5*(O278^2-MAX(N278,($N$4*7/10))^2)-($N$4*7/10)*(O278-MAX(N278,($N$4*7/10)))),0))*1000,0)</f>
        <v>0</v>
      </c>
      <c r="AU278" s="120">
        <f>IF(AND(V278="OK",ISNUMBER($N$5),$N$5&gt;0,ISNUMBER($N$3),$N$3&gt;0),R278/(6*$N$3*1000000*$N$5)*(IF(N278&lt;($N$4*8/10),($N$4*8/10)*(MIN(O278,($N$4*8/10))^3-N278^3)-(MIN(O278,($N$4*8/10))^4-N278^4)/4,0)+IF(O278&gt;($N$4*8/10),($N$4*8/10)^2*(1.5*(O278^2-MAX(N278,($N$4*8/10))^2)-($N$4*8/10)*(O278-MAX(N278,($N$4*8/10)))),0))*1000,0)</f>
        <v>0</v>
      </c>
      <c r="AV278" s="120">
        <f>IF(AND(V278="OK",ISNUMBER($N$5),$N$5&gt;0,ISNUMBER($N$3),$N$3&gt;0),R278/(6*$N$3*1000000*$N$5)*(IF(N278&lt;($N$4*9/10),($N$4*9/10)*(MIN(O278,($N$4*9/10))^3-N278^3)-(MIN(O278,($N$4*9/10))^4-N278^4)/4,0)+IF(O278&gt;($N$4*9/10),($N$4*9/10)^2*(1.5*(O278^2-MAX(N278,($N$4*9/10))^2)-($N$4*9/10)*(O278-MAX(N278,($N$4*9/10)))),0))*1000,0)</f>
        <v>0</v>
      </c>
      <c r="AW278" s="120">
        <f>IF(AND(V278="OK",ISNUMBER($N$5),$N$5&gt;0,ISNUMBER($N$3),$N$3&gt;0),R278/(6*$N$3*1000000*$N$5)*(IF(N278&lt;($N$4*10/10),($N$4*10/10)*(MIN(O278,($N$4*10/10))^3-N278^3)-(MIN(O278,($N$4*10/10))^4-N278^4)/4,0)+IF(O278&gt;($N$4*10/10),($N$4*10/10)^2*(1.5*(O278^2-MAX(N278,($N$4*10/10))^2)-($N$4*10/10)*(O278-MAX(N278,($N$4*10/10)))),0))*1000,0)</f>
        <v>0</v>
      </c>
    </row>
    <row r="279" spans="1:49">
      <c r="A279" s="124"/>
      <c r="B279" s="125"/>
      <c r="C279" s="125"/>
      <c r="D279" s="125"/>
      <c r="E279" s="125"/>
      <c r="F279" s="126" t="str">
        <f>IF(J279="OK",D279*E279,"")</f>
        <v/>
      </c>
      <c r="G279" s="126" t="str">
        <f>IF(J279="OK",F279*(C279-B279),"")</f>
        <v/>
      </c>
      <c r="H279" s="126" t="str">
        <f>IF(J279="OK",G279*(C279+B279)/2,"")</f>
        <v/>
      </c>
      <c r="I279" s="126" t="str">
        <f>IF(AND(J279="OK",ISNUMBER($B$5),$B$5&gt;0,ISNUMBER($B$3),$B$3&gt;0),F279*(4*$B$4*(C279^3-B279^3)-(C279^4-B279^4))/(24*$B$3*1000000*$B$5)*1000,"")</f>
        <v/>
      </c>
      <c r="J279" s="120" t="str">
        <f>IF(COUNTA(A279:E279)=0,"",IF(AND(COUNT(B279:E279)=4,B279&gt;=0,C279&gt;B279,C279&lt;=$B$4,D279&gt;=0,E279&gt;0),IF(COUNTIFS($B$13:$B$278,"&lt;"&amp;C279,$C$13:$C$278,"&gt;"&amp;B279)&gt;0,"OVERLAP","OK"),"CHECK INPUTS"))</f>
        <v/>
      </c>
      <c r="M279" s="124"/>
      <c r="N279" s="125"/>
      <c r="O279" s="125"/>
      <c r="P279" s="125"/>
      <c r="Q279" s="125"/>
      <c r="R279" s="126" t="str">
        <f>IF(V279="OK",P279*Q279,"")</f>
        <v/>
      </c>
      <c r="S279" s="126" t="str">
        <f>IF(V279="OK",R279*(O279-N279),"")</f>
        <v/>
      </c>
      <c r="T279" s="126" t="str">
        <f>IF(V279="OK",S279*(O279+N279)/2,"")</f>
        <v/>
      </c>
      <c r="U279" s="126" t="str">
        <f>IF(AND(V279="OK",ISNUMBER($N$5),$N$5&gt;0,ISNUMBER($N$3),$N$3&gt;0),R279*(4*$N$4*(O279^3-N279^3)-(O279^4-N279^4))/(24*$N$3*1000000*$N$5)*1000,"")</f>
        <v/>
      </c>
      <c r="V279" s="120" t="str">
        <f>IF(COUNTA(M279:Q279)=0,"",IF(AND(COUNT(N279:Q279)=4,N279&gt;=0,O279&gt;N279,O279&lt;=$N$4,P279&gt;=0,Q279&gt;0),IF(COUNTIFS($N$13:$N$278,"&lt;"&amp;O279,$O$13:$O$278,"&gt;"&amp;N279)&gt;0,"OVERLAP","OK"),"CHECK INPUTS"))</f>
        <v/>
      </c>
      <c r="AA279" s="120">
        <f>IF(AND(J279="OK",ISNUMBER($B$5),$B$5&gt;0,ISNUMBER($B$3),$B$3&gt;0),F279/(6*$B$3*1000000*$B$5)*(IF(B279&lt;($B$4*0/10),($B$4*0/10)*(MIN(C279,($B$4*0/10))^3-B279^3)-(MIN(C279,($B$4*0/10))^4-B279^4)/4,0)+IF(C279&gt;($B$4*0/10),($B$4*0/10)^2*(1.5*(C279^2-MAX(B279,($B$4*0/10))^2)-($B$4*0/10)*(C279-MAX(B279,($B$4*0/10)))),0))*1000,0)</f>
        <v>0</v>
      </c>
      <c r="AB279" s="120">
        <f>IF(AND(J279="OK",ISNUMBER($B$5),$B$5&gt;0,ISNUMBER($B$3),$B$3&gt;0),F279/(6*$B$3*1000000*$B$5)*(IF(B279&lt;($B$4*1/10),($B$4*1/10)*(MIN(C279,($B$4*1/10))^3-B279^3)-(MIN(C279,($B$4*1/10))^4-B279^4)/4,0)+IF(C279&gt;($B$4*1/10),($B$4*1/10)^2*(1.5*(C279^2-MAX(B279,($B$4*1/10))^2)-($B$4*1/10)*(C279-MAX(B279,($B$4*1/10)))),0))*1000,0)</f>
        <v>0</v>
      </c>
      <c r="AC279" s="120">
        <f>IF(AND(J279="OK",ISNUMBER($B$5),$B$5&gt;0,ISNUMBER($B$3),$B$3&gt;0),F279/(6*$B$3*1000000*$B$5)*(IF(B279&lt;($B$4*2/10),($B$4*2/10)*(MIN(C279,($B$4*2/10))^3-B279^3)-(MIN(C279,($B$4*2/10))^4-B279^4)/4,0)+IF(C279&gt;($B$4*2/10),($B$4*2/10)^2*(1.5*(C279^2-MAX(B279,($B$4*2/10))^2)-($B$4*2/10)*(C279-MAX(B279,($B$4*2/10)))),0))*1000,0)</f>
        <v>0</v>
      </c>
      <c r="AD279" s="120">
        <f>IF(AND(J279="OK",ISNUMBER($B$5),$B$5&gt;0,ISNUMBER($B$3),$B$3&gt;0),F279/(6*$B$3*1000000*$B$5)*(IF(B279&lt;($B$4*3/10),($B$4*3/10)*(MIN(C279,($B$4*3/10))^3-B279^3)-(MIN(C279,($B$4*3/10))^4-B279^4)/4,0)+IF(C279&gt;($B$4*3/10),($B$4*3/10)^2*(1.5*(C279^2-MAX(B279,($B$4*3/10))^2)-($B$4*3/10)*(C279-MAX(B279,($B$4*3/10)))),0))*1000,0)</f>
        <v>0</v>
      </c>
      <c r="AE279" s="120">
        <f>IF(AND(J279="OK",ISNUMBER($B$5),$B$5&gt;0,ISNUMBER($B$3),$B$3&gt;0),F279/(6*$B$3*1000000*$B$5)*(IF(B279&lt;($B$4*4/10),($B$4*4/10)*(MIN(C279,($B$4*4/10))^3-B279^3)-(MIN(C279,($B$4*4/10))^4-B279^4)/4,0)+IF(C279&gt;($B$4*4/10),($B$4*4/10)^2*(1.5*(C279^2-MAX(B279,($B$4*4/10))^2)-($B$4*4/10)*(C279-MAX(B279,($B$4*4/10)))),0))*1000,0)</f>
        <v>0</v>
      </c>
      <c r="AF279" s="120">
        <f>IF(AND(J279="OK",ISNUMBER($B$5),$B$5&gt;0,ISNUMBER($B$3),$B$3&gt;0),F279/(6*$B$3*1000000*$B$5)*(IF(B279&lt;($B$4*5/10),($B$4*5/10)*(MIN(C279,($B$4*5/10))^3-B279^3)-(MIN(C279,($B$4*5/10))^4-B279^4)/4,0)+IF(C279&gt;($B$4*5/10),($B$4*5/10)^2*(1.5*(C279^2-MAX(B279,($B$4*5/10))^2)-($B$4*5/10)*(C279-MAX(B279,($B$4*5/10)))),0))*1000,0)</f>
        <v>0</v>
      </c>
      <c r="AG279" s="120">
        <f>IF(AND(J279="OK",ISNUMBER($B$5),$B$5&gt;0,ISNUMBER($B$3),$B$3&gt;0),F279/(6*$B$3*1000000*$B$5)*(IF(B279&lt;($B$4*6/10),($B$4*6/10)*(MIN(C279,($B$4*6/10))^3-B279^3)-(MIN(C279,($B$4*6/10))^4-B279^4)/4,0)+IF(C279&gt;($B$4*6/10),($B$4*6/10)^2*(1.5*(C279^2-MAX(B279,($B$4*6/10))^2)-($B$4*6/10)*(C279-MAX(B279,($B$4*6/10)))),0))*1000,0)</f>
        <v>0</v>
      </c>
      <c r="AH279" s="120">
        <f>IF(AND(J279="OK",ISNUMBER($B$5),$B$5&gt;0,ISNUMBER($B$3),$B$3&gt;0),F279/(6*$B$3*1000000*$B$5)*(IF(B279&lt;($B$4*7/10),($B$4*7/10)*(MIN(C279,($B$4*7/10))^3-B279^3)-(MIN(C279,($B$4*7/10))^4-B279^4)/4,0)+IF(C279&gt;($B$4*7/10),($B$4*7/10)^2*(1.5*(C279^2-MAX(B279,($B$4*7/10))^2)-($B$4*7/10)*(C279-MAX(B279,($B$4*7/10)))),0))*1000,0)</f>
        <v>0</v>
      </c>
      <c r="AI279" s="120">
        <f>IF(AND(J279="OK",ISNUMBER($B$5),$B$5&gt;0,ISNUMBER($B$3),$B$3&gt;0),F279/(6*$B$3*1000000*$B$5)*(IF(B279&lt;($B$4*8/10),($B$4*8/10)*(MIN(C279,($B$4*8/10))^3-B279^3)-(MIN(C279,($B$4*8/10))^4-B279^4)/4,0)+IF(C279&gt;($B$4*8/10),($B$4*8/10)^2*(1.5*(C279^2-MAX(B279,($B$4*8/10))^2)-($B$4*8/10)*(C279-MAX(B279,($B$4*8/10)))),0))*1000,0)</f>
        <v>0</v>
      </c>
      <c r="AJ279" s="120">
        <f>IF(AND(J279="OK",ISNUMBER($B$5),$B$5&gt;0,ISNUMBER($B$3),$B$3&gt;0),F279/(6*$B$3*1000000*$B$5)*(IF(B279&lt;($B$4*9/10),($B$4*9/10)*(MIN(C279,($B$4*9/10))^3-B279^3)-(MIN(C279,($B$4*9/10))^4-B279^4)/4,0)+IF(C279&gt;($B$4*9/10),($B$4*9/10)^2*(1.5*(C279^2-MAX(B279,($B$4*9/10))^2)-($B$4*9/10)*(C279-MAX(B279,($B$4*9/10)))),0))*1000,0)</f>
        <v>0</v>
      </c>
      <c r="AK279" s="120">
        <f>IF(AND(J279="OK",ISNUMBER($B$5),$B$5&gt;0,ISNUMBER($B$3),$B$3&gt;0),F279/(6*$B$3*1000000*$B$5)*(IF(B279&lt;($B$4*10/10),($B$4*10/10)*(MIN(C279,($B$4*10/10))^3-B279^3)-(MIN(C279,($B$4*10/10))^4-B279^4)/4,0)+IF(C279&gt;($B$4*10/10),($B$4*10/10)^2*(1.5*(C279^2-MAX(B279,($B$4*10/10))^2)-($B$4*10/10)*(C279-MAX(B279,($B$4*10/10)))),0))*1000,0)</f>
        <v>0</v>
      </c>
      <c r="AM279" s="120">
        <f>IF(AND(V279="OK",ISNUMBER($N$5),$N$5&gt;0,ISNUMBER($N$3),$N$3&gt;0),R279/(6*$N$3*1000000*$N$5)*(IF(N279&lt;($N$4*0/10),($N$4*0/10)*(MIN(O279,($N$4*0/10))^3-N279^3)-(MIN(O279,($N$4*0/10))^4-N279^4)/4,0)+IF(O279&gt;($N$4*0/10),($N$4*0/10)^2*(1.5*(O279^2-MAX(N279,($N$4*0/10))^2)-($N$4*0/10)*(O279-MAX(N279,($N$4*0/10)))),0))*1000,0)</f>
        <v>0</v>
      </c>
      <c r="AN279" s="120">
        <f>IF(AND(V279="OK",ISNUMBER($N$5),$N$5&gt;0,ISNUMBER($N$3),$N$3&gt;0),R279/(6*$N$3*1000000*$N$5)*(IF(N279&lt;($N$4*1/10),($N$4*1/10)*(MIN(O279,($N$4*1/10))^3-N279^3)-(MIN(O279,($N$4*1/10))^4-N279^4)/4,0)+IF(O279&gt;($N$4*1/10),($N$4*1/10)^2*(1.5*(O279^2-MAX(N279,($N$4*1/10))^2)-($N$4*1/10)*(O279-MAX(N279,($N$4*1/10)))),0))*1000,0)</f>
        <v>0</v>
      </c>
      <c r="AO279" s="120">
        <f>IF(AND(V279="OK",ISNUMBER($N$5),$N$5&gt;0,ISNUMBER($N$3),$N$3&gt;0),R279/(6*$N$3*1000000*$N$5)*(IF(N279&lt;($N$4*2/10),($N$4*2/10)*(MIN(O279,($N$4*2/10))^3-N279^3)-(MIN(O279,($N$4*2/10))^4-N279^4)/4,0)+IF(O279&gt;($N$4*2/10),($N$4*2/10)^2*(1.5*(O279^2-MAX(N279,($N$4*2/10))^2)-($N$4*2/10)*(O279-MAX(N279,($N$4*2/10)))),0))*1000,0)</f>
        <v>0</v>
      </c>
      <c r="AP279" s="120">
        <f>IF(AND(V279="OK",ISNUMBER($N$5),$N$5&gt;0,ISNUMBER($N$3),$N$3&gt;0),R279/(6*$N$3*1000000*$N$5)*(IF(N279&lt;($N$4*3/10),($N$4*3/10)*(MIN(O279,($N$4*3/10))^3-N279^3)-(MIN(O279,($N$4*3/10))^4-N279^4)/4,0)+IF(O279&gt;($N$4*3/10),($N$4*3/10)^2*(1.5*(O279^2-MAX(N279,($N$4*3/10))^2)-($N$4*3/10)*(O279-MAX(N279,($N$4*3/10)))),0))*1000,0)</f>
        <v>0</v>
      </c>
      <c r="AQ279" s="120">
        <f>IF(AND(V279="OK",ISNUMBER($N$5),$N$5&gt;0,ISNUMBER($N$3),$N$3&gt;0),R279/(6*$N$3*1000000*$N$5)*(IF(N279&lt;($N$4*4/10),($N$4*4/10)*(MIN(O279,($N$4*4/10))^3-N279^3)-(MIN(O279,($N$4*4/10))^4-N279^4)/4,0)+IF(O279&gt;($N$4*4/10),($N$4*4/10)^2*(1.5*(O279^2-MAX(N279,($N$4*4/10))^2)-($N$4*4/10)*(O279-MAX(N279,($N$4*4/10)))),0))*1000,0)</f>
        <v>0</v>
      </c>
      <c r="AR279" s="120">
        <f>IF(AND(V279="OK",ISNUMBER($N$5),$N$5&gt;0,ISNUMBER($N$3),$N$3&gt;0),R279/(6*$N$3*1000000*$N$5)*(IF(N279&lt;($N$4*5/10),($N$4*5/10)*(MIN(O279,($N$4*5/10))^3-N279^3)-(MIN(O279,($N$4*5/10))^4-N279^4)/4,0)+IF(O279&gt;($N$4*5/10),($N$4*5/10)^2*(1.5*(O279^2-MAX(N279,($N$4*5/10))^2)-($N$4*5/10)*(O279-MAX(N279,($N$4*5/10)))),0))*1000,0)</f>
        <v>0</v>
      </c>
      <c r="AS279" s="120">
        <f>IF(AND(V279="OK",ISNUMBER($N$5),$N$5&gt;0,ISNUMBER($N$3),$N$3&gt;0),R279/(6*$N$3*1000000*$N$5)*(IF(N279&lt;($N$4*6/10),($N$4*6/10)*(MIN(O279,($N$4*6/10))^3-N279^3)-(MIN(O279,($N$4*6/10))^4-N279^4)/4,0)+IF(O279&gt;($N$4*6/10),($N$4*6/10)^2*(1.5*(O279^2-MAX(N279,($N$4*6/10))^2)-($N$4*6/10)*(O279-MAX(N279,($N$4*6/10)))),0))*1000,0)</f>
        <v>0</v>
      </c>
      <c r="AT279" s="120">
        <f>IF(AND(V279="OK",ISNUMBER($N$5),$N$5&gt;0,ISNUMBER($N$3),$N$3&gt;0),R279/(6*$N$3*1000000*$N$5)*(IF(N279&lt;($N$4*7/10),($N$4*7/10)*(MIN(O279,($N$4*7/10))^3-N279^3)-(MIN(O279,($N$4*7/10))^4-N279^4)/4,0)+IF(O279&gt;($N$4*7/10),($N$4*7/10)^2*(1.5*(O279^2-MAX(N279,($N$4*7/10))^2)-($N$4*7/10)*(O279-MAX(N279,($N$4*7/10)))),0))*1000,0)</f>
        <v>0</v>
      </c>
      <c r="AU279" s="120">
        <f>IF(AND(V279="OK",ISNUMBER($N$5),$N$5&gt;0,ISNUMBER($N$3),$N$3&gt;0),R279/(6*$N$3*1000000*$N$5)*(IF(N279&lt;($N$4*8/10),($N$4*8/10)*(MIN(O279,($N$4*8/10))^3-N279^3)-(MIN(O279,($N$4*8/10))^4-N279^4)/4,0)+IF(O279&gt;($N$4*8/10),($N$4*8/10)^2*(1.5*(O279^2-MAX(N279,($N$4*8/10))^2)-($N$4*8/10)*(O279-MAX(N279,($N$4*8/10)))),0))*1000,0)</f>
        <v>0</v>
      </c>
      <c r="AV279" s="120">
        <f>IF(AND(V279="OK",ISNUMBER($N$5),$N$5&gt;0,ISNUMBER($N$3),$N$3&gt;0),R279/(6*$N$3*1000000*$N$5)*(IF(N279&lt;($N$4*9/10),($N$4*9/10)*(MIN(O279,($N$4*9/10))^3-N279^3)-(MIN(O279,($N$4*9/10))^4-N279^4)/4,0)+IF(O279&gt;($N$4*9/10),($N$4*9/10)^2*(1.5*(O279^2-MAX(N279,($N$4*9/10))^2)-($N$4*9/10)*(O279-MAX(N279,($N$4*9/10)))),0))*1000,0)</f>
        <v>0</v>
      </c>
      <c r="AW279" s="120">
        <f>IF(AND(V279="OK",ISNUMBER($N$5),$N$5&gt;0,ISNUMBER($N$3),$N$3&gt;0),R279/(6*$N$3*1000000*$N$5)*(IF(N279&lt;($N$4*10/10),($N$4*10/10)*(MIN(O279,($N$4*10/10))^3-N279^3)-(MIN(O279,($N$4*10/10))^4-N279^4)/4,0)+IF(O279&gt;($N$4*10/10),($N$4*10/10)^2*(1.5*(O279^2-MAX(N279,($N$4*10/10))^2)-($N$4*10/10)*(O279-MAX(N279,($N$4*10/10)))),0))*1000,0)</f>
        <v>0</v>
      </c>
    </row>
    <row r="280" spans="1:49">
      <c r="A280" s="124"/>
      <c r="B280" s="125"/>
      <c r="C280" s="125"/>
      <c r="D280" s="125"/>
      <c r="E280" s="125"/>
      <c r="F280" s="126" t="str">
        <f>IF(J280="OK",D280*E280,"")</f>
        <v/>
      </c>
      <c r="G280" s="126" t="str">
        <f>IF(J280="OK",F280*(C280-B280),"")</f>
        <v/>
      </c>
      <c r="H280" s="126" t="str">
        <f>IF(J280="OK",G280*(C280+B280)/2,"")</f>
        <v/>
      </c>
      <c r="I280" s="126" t="str">
        <f>IF(AND(J280="OK",ISNUMBER($B$5),$B$5&gt;0,ISNUMBER($B$3),$B$3&gt;0),F280*(4*$B$4*(C280^3-B280^3)-(C280^4-B280^4))/(24*$B$3*1000000*$B$5)*1000,"")</f>
        <v/>
      </c>
      <c r="J280" s="120" t="str">
        <f>IF(COUNTA(A280:E280)=0,"",IF(AND(COUNT(B280:E280)=4,B280&gt;=0,C280&gt;B280,C280&lt;=$B$4,D280&gt;=0,E280&gt;0),IF(COUNTIFS($B$13:$B$279,"&lt;"&amp;C280,$C$13:$C$279,"&gt;"&amp;B280)&gt;0,"OVERLAP","OK"),"CHECK INPUTS"))</f>
        <v/>
      </c>
      <c r="M280" s="124"/>
      <c r="N280" s="125"/>
      <c r="O280" s="125"/>
      <c r="P280" s="125"/>
      <c r="Q280" s="125"/>
      <c r="R280" s="126" t="str">
        <f>IF(V280="OK",P280*Q280,"")</f>
        <v/>
      </c>
      <c r="S280" s="126" t="str">
        <f>IF(V280="OK",R280*(O280-N280),"")</f>
        <v/>
      </c>
      <c r="T280" s="126" t="str">
        <f>IF(V280="OK",S280*(O280+N280)/2,"")</f>
        <v/>
      </c>
      <c r="U280" s="126" t="str">
        <f>IF(AND(V280="OK",ISNUMBER($N$5),$N$5&gt;0,ISNUMBER($N$3),$N$3&gt;0),R280*(4*$N$4*(O280^3-N280^3)-(O280^4-N280^4))/(24*$N$3*1000000*$N$5)*1000,"")</f>
        <v/>
      </c>
      <c r="V280" s="120" t="str">
        <f>IF(COUNTA(M280:Q280)=0,"",IF(AND(COUNT(N280:Q280)=4,N280&gt;=0,O280&gt;N280,O280&lt;=$N$4,P280&gt;=0,Q280&gt;0),IF(COUNTIFS($N$13:$N$279,"&lt;"&amp;O280,$O$13:$O$279,"&gt;"&amp;N280)&gt;0,"OVERLAP","OK"),"CHECK INPUTS"))</f>
        <v/>
      </c>
      <c r="AA280" s="120">
        <f>IF(AND(J280="OK",ISNUMBER($B$5),$B$5&gt;0,ISNUMBER($B$3),$B$3&gt;0),F280/(6*$B$3*1000000*$B$5)*(IF(B280&lt;($B$4*0/10),($B$4*0/10)*(MIN(C280,($B$4*0/10))^3-B280^3)-(MIN(C280,($B$4*0/10))^4-B280^4)/4,0)+IF(C280&gt;($B$4*0/10),($B$4*0/10)^2*(1.5*(C280^2-MAX(B280,($B$4*0/10))^2)-($B$4*0/10)*(C280-MAX(B280,($B$4*0/10)))),0))*1000,0)</f>
        <v>0</v>
      </c>
      <c r="AB280" s="120">
        <f>IF(AND(J280="OK",ISNUMBER($B$5),$B$5&gt;0,ISNUMBER($B$3),$B$3&gt;0),F280/(6*$B$3*1000000*$B$5)*(IF(B280&lt;($B$4*1/10),($B$4*1/10)*(MIN(C280,($B$4*1/10))^3-B280^3)-(MIN(C280,($B$4*1/10))^4-B280^4)/4,0)+IF(C280&gt;($B$4*1/10),($B$4*1/10)^2*(1.5*(C280^2-MAX(B280,($B$4*1/10))^2)-($B$4*1/10)*(C280-MAX(B280,($B$4*1/10)))),0))*1000,0)</f>
        <v>0</v>
      </c>
      <c r="AC280" s="120">
        <f>IF(AND(J280="OK",ISNUMBER($B$5),$B$5&gt;0,ISNUMBER($B$3),$B$3&gt;0),F280/(6*$B$3*1000000*$B$5)*(IF(B280&lt;($B$4*2/10),($B$4*2/10)*(MIN(C280,($B$4*2/10))^3-B280^3)-(MIN(C280,($B$4*2/10))^4-B280^4)/4,0)+IF(C280&gt;($B$4*2/10),($B$4*2/10)^2*(1.5*(C280^2-MAX(B280,($B$4*2/10))^2)-($B$4*2/10)*(C280-MAX(B280,($B$4*2/10)))),0))*1000,0)</f>
        <v>0</v>
      </c>
      <c r="AD280" s="120">
        <f>IF(AND(J280="OK",ISNUMBER($B$5),$B$5&gt;0,ISNUMBER($B$3),$B$3&gt;0),F280/(6*$B$3*1000000*$B$5)*(IF(B280&lt;($B$4*3/10),($B$4*3/10)*(MIN(C280,($B$4*3/10))^3-B280^3)-(MIN(C280,($B$4*3/10))^4-B280^4)/4,0)+IF(C280&gt;($B$4*3/10),($B$4*3/10)^2*(1.5*(C280^2-MAX(B280,($B$4*3/10))^2)-($B$4*3/10)*(C280-MAX(B280,($B$4*3/10)))),0))*1000,0)</f>
        <v>0</v>
      </c>
      <c r="AE280" s="120">
        <f>IF(AND(J280="OK",ISNUMBER($B$5),$B$5&gt;0,ISNUMBER($B$3),$B$3&gt;0),F280/(6*$B$3*1000000*$B$5)*(IF(B280&lt;($B$4*4/10),($B$4*4/10)*(MIN(C280,($B$4*4/10))^3-B280^3)-(MIN(C280,($B$4*4/10))^4-B280^4)/4,0)+IF(C280&gt;($B$4*4/10),($B$4*4/10)^2*(1.5*(C280^2-MAX(B280,($B$4*4/10))^2)-($B$4*4/10)*(C280-MAX(B280,($B$4*4/10)))),0))*1000,0)</f>
        <v>0</v>
      </c>
      <c r="AF280" s="120">
        <f>IF(AND(J280="OK",ISNUMBER($B$5),$B$5&gt;0,ISNUMBER($B$3),$B$3&gt;0),F280/(6*$B$3*1000000*$B$5)*(IF(B280&lt;($B$4*5/10),($B$4*5/10)*(MIN(C280,($B$4*5/10))^3-B280^3)-(MIN(C280,($B$4*5/10))^4-B280^4)/4,0)+IF(C280&gt;($B$4*5/10),($B$4*5/10)^2*(1.5*(C280^2-MAX(B280,($B$4*5/10))^2)-($B$4*5/10)*(C280-MAX(B280,($B$4*5/10)))),0))*1000,0)</f>
        <v>0</v>
      </c>
      <c r="AG280" s="120">
        <f>IF(AND(J280="OK",ISNUMBER($B$5),$B$5&gt;0,ISNUMBER($B$3),$B$3&gt;0),F280/(6*$B$3*1000000*$B$5)*(IF(B280&lt;($B$4*6/10),($B$4*6/10)*(MIN(C280,($B$4*6/10))^3-B280^3)-(MIN(C280,($B$4*6/10))^4-B280^4)/4,0)+IF(C280&gt;($B$4*6/10),($B$4*6/10)^2*(1.5*(C280^2-MAX(B280,($B$4*6/10))^2)-($B$4*6/10)*(C280-MAX(B280,($B$4*6/10)))),0))*1000,0)</f>
        <v>0</v>
      </c>
      <c r="AH280" s="120">
        <f>IF(AND(J280="OK",ISNUMBER($B$5),$B$5&gt;0,ISNUMBER($B$3),$B$3&gt;0),F280/(6*$B$3*1000000*$B$5)*(IF(B280&lt;($B$4*7/10),($B$4*7/10)*(MIN(C280,($B$4*7/10))^3-B280^3)-(MIN(C280,($B$4*7/10))^4-B280^4)/4,0)+IF(C280&gt;($B$4*7/10),($B$4*7/10)^2*(1.5*(C280^2-MAX(B280,($B$4*7/10))^2)-($B$4*7/10)*(C280-MAX(B280,($B$4*7/10)))),0))*1000,0)</f>
        <v>0</v>
      </c>
      <c r="AI280" s="120">
        <f>IF(AND(J280="OK",ISNUMBER($B$5),$B$5&gt;0,ISNUMBER($B$3),$B$3&gt;0),F280/(6*$B$3*1000000*$B$5)*(IF(B280&lt;($B$4*8/10),($B$4*8/10)*(MIN(C280,($B$4*8/10))^3-B280^3)-(MIN(C280,($B$4*8/10))^4-B280^4)/4,0)+IF(C280&gt;($B$4*8/10),($B$4*8/10)^2*(1.5*(C280^2-MAX(B280,($B$4*8/10))^2)-($B$4*8/10)*(C280-MAX(B280,($B$4*8/10)))),0))*1000,0)</f>
        <v>0</v>
      </c>
      <c r="AJ280" s="120">
        <f>IF(AND(J280="OK",ISNUMBER($B$5),$B$5&gt;0,ISNUMBER($B$3),$B$3&gt;0),F280/(6*$B$3*1000000*$B$5)*(IF(B280&lt;($B$4*9/10),($B$4*9/10)*(MIN(C280,($B$4*9/10))^3-B280^3)-(MIN(C280,($B$4*9/10))^4-B280^4)/4,0)+IF(C280&gt;($B$4*9/10),($B$4*9/10)^2*(1.5*(C280^2-MAX(B280,($B$4*9/10))^2)-($B$4*9/10)*(C280-MAX(B280,($B$4*9/10)))),0))*1000,0)</f>
        <v>0</v>
      </c>
      <c r="AK280" s="120">
        <f>IF(AND(J280="OK",ISNUMBER($B$5),$B$5&gt;0,ISNUMBER($B$3),$B$3&gt;0),F280/(6*$B$3*1000000*$B$5)*(IF(B280&lt;($B$4*10/10),($B$4*10/10)*(MIN(C280,($B$4*10/10))^3-B280^3)-(MIN(C280,($B$4*10/10))^4-B280^4)/4,0)+IF(C280&gt;($B$4*10/10),($B$4*10/10)^2*(1.5*(C280^2-MAX(B280,($B$4*10/10))^2)-($B$4*10/10)*(C280-MAX(B280,($B$4*10/10)))),0))*1000,0)</f>
        <v>0</v>
      </c>
      <c r="AM280" s="120">
        <f>IF(AND(V280="OK",ISNUMBER($N$5),$N$5&gt;0,ISNUMBER($N$3),$N$3&gt;0),R280/(6*$N$3*1000000*$N$5)*(IF(N280&lt;($N$4*0/10),($N$4*0/10)*(MIN(O280,($N$4*0/10))^3-N280^3)-(MIN(O280,($N$4*0/10))^4-N280^4)/4,0)+IF(O280&gt;($N$4*0/10),($N$4*0/10)^2*(1.5*(O280^2-MAX(N280,($N$4*0/10))^2)-($N$4*0/10)*(O280-MAX(N280,($N$4*0/10)))),0))*1000,0)</f>
        <v>0</v>
      </c>
      <c r="AN280" s="120">
        <f>IF(AND(V280="OK",ISNUMBER($N$5),$N$5&gt;0,ISNUMBER($N$3),$N$3&gt;0),R280/(6*$N$3*1000000*$N$5)*(IF(N280&lt;($N$4*1/10),($N$4*1/10)*(MIN(O280,($N$4*1/10))^3-N280^3)-(MIN(O280,($N$4*1/10))^4-N280^4)/4,0)+IF(O280&gt;($N$4*1/10),($N$4*1/10)^2*(1.5*(O280^2-MAX(N280,($N$4*1/10))^2)-($N$4*1/10)*(O280-MAX(N280,($N$4*1/10)))),0))*1000,0)</f>
        <v>0</v>
      </c>
      <c r="AO280" s="120">
        <f>IF(AND(V280="OK",ISNUMBER($N$5),$N$5&gt;0,ISNUMBER($N$3),$N$3&gt;0),R280/(6*$N$3*1000000*$N$5)*(IF(N280&lt;($N$4*2/10),($N$4*2/10)*(MIN(O280,($N$4*2/10))^3-N280^3)-(MIN(O280,($N$4*2/10))^4-N280^4)/4,0)+IF(O280&gt;($N$4*2/10),($N$4*2/10)^2*(1.5*(O280^2-MAX(N280,($N$4*2/10))^2)-($N$4*2/10)*(O280-MAX(N280,($N$4*2/10)))),0))*1000,0)</f>
        <v>0</v>
      </c>
      <c r="AP280" s="120">
        <f>IF(AND(V280="OK",ISNUMBER($N$5),$N$5&gt;0,ISNUMBER($N$3),$N$3&gt;0),R280/(6*$N$3*1000000*$N$5)*(IF(N280&lt;($N$4*3/10),($N$4*3/10)*(MIN(O280,($N$4*3/10))^3-N280^3)-(MIN(O280,($N$4*3/10))^4-N280^4)/4,0)+IF(O280&gt;($N$4*3/10),($N$4*3/10)^2*(1.5*(O280^2-MAX(N280,($N$4*3/10))^2)-($N$4*3/10)*(O280-MAX(N280,($N$4*3/10)))),0))*1000,0)</f>
        <v>0</v>
      </c>
      <c r="AQ280" s="120">
        <f>IF(AND(V280="OK",ISNUMBER($N$5),$N$5&gt;0,ISNUMBER($N$3),$N$3&gt;0),R280/(6*$N$3*1000000*$N$5)*(IF(N280&lt;($N$4*4/10),($N$4*4/10)*(MIN(O280,($N$4*4/10))^3-N280^3)-(MIN(O280,($N$4*4/10))^4-N280^4)/4,0)+IF(O280&gt;($N$4*4/10),($N$4*4/10)^2*(1.5*(O280^2-MAX(N280,($N$4*4/10))^2)-($N$4*4/10)*(O280-MAX(N280,($N$4*4/10)))),0))*1000,0)</f>
        <v>0</v>
      </c>
      <c r="AR280" s="120">
        <f>IF(AND(V280="OK",ISNUMBER($N$5),$N$5&gt;0,ISNUMBER($N$3),$N$3&gt;0),R280/(6*$N$3*1000000*$N$5)*(IF(N280&lt;($N$4*5/10),($N$4*5/10)*(MIN(O280,($N$4*5/10))^3-N280^3)-(MIN(O280,($N$4*5/10))^4-N280^4)/4,0)+IF(O280&gt;($N$4*5/10),($N$4*5/10)^2*(1.5*(O280^2-MAX(N280,($N$4*5/10))^2)-($N$4*5/10)*(O280-MAX(N280,($N$4*5/10)))),0))*1000,0)</f>
        <v>0</v>
      </c>
      <c r="AS280" s="120">
        <f>IF(AND(V280="OK",ISNUMBER($N$5),$N$5&gt;0,ISNUMBER($N$3),$N$3&gt;0),R280/(6*$N$3*1000000*$N$5)*(IF(N280&lt;($N$4*6/10),($N$4*6/10)*(MIN(O280,($N$4*6/10))^3-N280^3)-(MIN(O280,($N$4*6/10))^4-N280^4)/4,0)+IF(O280&gt;($N$4*6/10),($N$4*6/10)^2*(1.5*(O280^2-MAX(N280,($N$4*6/10))^2)-($N$4*6/10)*(O280-MAX(N280,($N$4*6/10)))),0))*1000,0)</f>
        <v>0</v>
      </c>
      <c r="AT280" s="120">
        <f>IF(AND(V280="OK",ISNUMBER($N$5),$N$5&gt;0,ISNUMBER($N$3),$N$3&gt;0),R280/(6*$N$3*1000000*$N$5)*(IF(N280&lt;($N$4*7/10),($N$4*7/10)*(MIN(O280,($N$4*7/10))^3-N280^3)-(MIN(O280,($N$4*7/10))^4-N280^4)/4,0)+IF(O280&gt;($N$4*7/10),($N$4*7/10)^2*(1.5*(O280^2-MAX(N280,($N$4*7/10))^2)-($N$4*7/10)*(O280-MAX(N280,($N$4*7/10)))),0))*1000,0)</f>
        <v>0</v>
      </c>
      <c r="AU280" s="120">
        <f>IF(AND(V280="OK",ISNUMBER($N$5),$N$5&gt;0,ISNUMBER($N$3),$N$3&gt;0),R280/(6*$N$3*1000000*$N$5)*(IF(N280&lt;($N$4*8/10),($N$4*8/10)*(MIN(O280,($N$4*8/10))^3-N280^3)-(MIN(O280,($N$4*8/10))^4-N280^4)/4,0)+IF(O280&gt;($N$4*8/10),($N$4*8/10)^2*(1.5*(O280^2-MAX(N280,($N$4*8/10))^2)-($N$4*8/10)*(O280-MAX(N280,($N$4*8/10)))),0))*1000,0)</f>
        <v>0</v>
      </c>
      <c r="AV280" s="120">
        <f>IF(AND(V280="OK",ISNUMBER($N$5),$N$5&gt;0,ISNUMBER($N$3),$N$3&gt;0),R280/(6*$N$3*1000000*$N$5)*(IF(N280&lt;($N$4*9/10),($N$4*9/10)*(MIN(O280,($N$4*9/10))^3-N280^3)-(MIN(O280,($N$4*9/10))^4-N280^4)/4,0)+IF(O280&gt;($N$4*9/10),($N$4*9/10)^2*(1.5*(O280^2-MAX(N280,($N$4*9/10))^2)-($N$4*9/10)*(O280-MAX(N280,($N$4*9/10)))),0))*1000,0)</f>
        <v>0</v>
      </c>
      <c r="AW280" s="120">
        <f>IF(AND(V280="OK",ISNUMBER($N$5),$N$5&gt;0,ISNUMBER($N$3),$N$3&gt;0),R280/(6*$N$3*1000000*$N$5)*(IF(N280&lt;($N$4*10/10),($N$4*10/10)*(MIN(O280,($N$4*10/10))^3-N280^3)-(MIN(O280,($N$4*10/10))^4-N280^4)/4,0)+IF(O280&gt;($N$4*10/10),($N$4*10/10)^2*(1.5*(O280^2-MAX(N280,($N$4*10/10))^2)-($N$4*10/10)*(O280-MAX(N280,($N$4*10/10)))),0))*1000,0)</f>
        <v>0</v>
      </c>
    </row>
    <row r="281" spans="1:49">
      <c r="A281" s="124"/>
      <c r="B281" s="125"/>
      <c r="C281" s="125"/>
      <c r="D281" s="125"/>
      <c r="E281" s="125"/>
      <c r="F281" s="126" t="str">
        <f>IF(J281="OK",D281*E281,"")</f>
        <v/>
      </c>
      <c r="G281" s="126" t="str">
        <f>IF(J281="OK",F281*(C281-B281),"")</f>
        <v/>
      </c>
      <c r="H281" s="126" t="str">
        <f>IF(J281="OK",G281*(C281+B281)/2,"")</f>
        <v/>
      </c>
      <c r="I281" s="126" t="str">
        <f>IF(AND(J281="OK",ISNUMBER($B$5),$B$5&gt;0,ISNUMBER($B$3),$B$3&gt;0),F281*(4*$B$4*(C281^3-B281^3)-(C281^4-B281^4))/(24*$B$3*1000000*$B$5)*1000,"")</f>
        <v/>
      </c>
      <c r="J281" s="120" t="str">
        <f>IF(COUNTA(A281:E281)=0,"",IF(AND(COUNT(B281:E281)=4,B281&gt;=0,C281&gt;B281,C281&lt;=$B$4,D281&gt;=0,E281&gt;0),IF(COUNTIFS($B$13:$B$280,"&lt;"&amp;C281,$C$13:$C$280,"&gt;"&amp;B281)&gt;0,"OVERLAP","OK"),"CHECK INPUTS"))</f>
        <v/>
      </c>
      <c r="M281" s="124"/>
      <c r="N281" s="125"/>
      <c r="O281" s="125"/>
      <c r="P281" s="125"/>
      <c r="Q281" s="125"/>
      <c r="R281" s="126" t="str">
        <f>IF(V281="OK",P281*Q281,"")</f>
        <v/>
      </c>
      <c r="S281" s="126" t="str">
        <f>IF(V281="OK",R281*(O281-N281),"")</f>
        <v/>
      </c>
      <c r="T281" s="126" t="str">
        <f>IF(V281="OK",S281*(O281+N281)/2,"")</f>
        <v/>
      </c>
      <c r="U281" s="126" t="str">
        <f>IF(AND(V281="OK",ISNUMBER($N$5),$N$5&gt;0,ISNUMBER($N$3),$N$3&gt;0),R281*(4*$N$4*(O281^3-N281^3)-(O281^4-N281^4))/(24*$N$3*1000000*$N$5)*1000,"")</f>
        <v/>
      </c>
      <c r="V281" s="120" t="str">
        <f>IF(COUNTA(M281:Q281)=0,"",IF(AND(COUNT(N281:Q281)=4,N281&gt;=0,O281&gt;N281,O281&lt;=$N$4,P281&gt;=0,Q281&gt;0),IF(COUNTIFS($N$13:$N$280,"&lt;"&amp;O281,$O$13:$O$280,"&gt;"&amp;N281)&gt;0,"OVERLAP","OK"),"CHECK INPUTS"))</f>
        <v/>
      </c>
      <c r="AA281" s="120">
        <f>IF(AND(J281="OK",ISNUMBER($B$5),$B$5&gt;0,ISNUMBER($B$3),$B$3&gt;0),F281/(6*$B$3*1000000*$B$5)*(IF(B281&lt;($B$4*0/10),($B$4*0/10)*(MIN(C281,($B$4*0/10))^3-B281^3)-(MIN(C281,($B$4*0/10))^4-B281^4)/4,0)+IF(C281&gt;($B$4*0/10),($B$4*0/10)^2*(1.5*(C281^2-MAX(B281,($B$4*0/10))^2)-($B$4*0/10)*(C281-MAX(B281,($B$4*0/10)))),0))*1000,0)</f>
        <v>0</v>
      </c>
      <c r="AB281" s="120">
        <f>IF(AND(J281="OK",ISNUMBER($B$5),$B$5&gt;0,ISNUMBER($B$3),$B$3&gt;0),F281/(6*$B$3*1000000*$B$5)*(IF(B281&lt;($B$4*1/10),($B$4*1/10)*(MIN(C281,($B$4*1/10))^3-B281^3)-(MIN(C281,($B$4*1/10))^4-B281^4)/4,0)+IF(C281&gt;($B$4*1/10),($B$4*1/10)^2*(1.5*(C281^2-MAX(B281,($B$4*1/10))^2)-($B$4*1/10)*(C281-MAX(B281,($B$4*1/10)))),0))*1000,0)</f>
        <v>0</v>
      </c>
      <c r="AC281" s="120">
        <f>IF(AND(J281="OK",ISNUMBER($B$5),$B$5&gt;0,ISNUMBER($B$3),$B$3&gt;0),F281/(6*$B$3*1000000*$B$5)*(IF(B281&lt;($B$4*2/10),($B$4*2/10)*(MIN(C281,($B$4*2/10))^3-B281^3)-(MIN(C281,($B$4*2/10))^4-B281^4)/4,0)+IF(C281&gt;($B$4*2/10),($B$4*2/10)^2*(1.5*(C281^2-MAX(B281,($B$4*2/10))^2)-($B$4*2/10)*(C281-MAX(B281,($B$4*2/10)))),0))*1000,0)</f>
        <v>0</v>
      </c>
      <c r="AD281" s="120">
        <f>IF(AND(J281="OK",ISNUMBER($B$5),$B$5&gt;0,ISNUMBER($B$3),$B$3&gt;0),F281/(6*$B$3*1000000*$B$5)*(IF(B281&lt;($B$4*3/10),($B$4*3/10)*(MIN(C281,($B$4*3/10))^3-B281^3)-(MIN(C281,($B$4*3/10))^4-B281^4)/4,0)+IF(C281&gt;($B$4*3/10),($B$4*3/10)^2*(1.5*(C281^2-MAX(B281,($B$4*3/10))^2)-($B$4*3/10)*(C281-MAX(B281,($B$4*3/10)))),0))*1000,0)</f>
        <v>0</v>
      </c>
      <c r="AE281" s="120">
        <f>IF(AND(J281="OK",ISNUMBER($B$5),$B$5&gt;0,ISNUMBER($B$3),$B$3&gt;0),F281/(6*$B$3*1000000*$B$5)*(IF(B281&lt;($B$4*4/10),($B$4*4/10)*(MIN(C281,($B$4*4/10))^3-B281^3)-(MIN(C281,($B$4*4/10))^4-B281^4)/4,0)+IF(C281&gt;($B$4*4/10),($B$4*4/10)^2*(1.5*(C281^2-MAX(B281,($B$4*4/10))^2)-($B$4*4/10)*(C281-MAX(B281,($B$4*4/10)))),0))*1000,0)</f>
        <v>0</v>
      </c>
      <c r="AF281" s="120">
        <f>IF(AND(J281="OK",ISNUMBER($B$5),$B$5&gt;0,ISNUMBER($B$3),$B$3&gt;0),F281/(6*$B$3*1000000*$B$5)*(IF(B281&lt;($B$4*5/10),($B$4*5/10)*(MIN(C281,($B$4*5/10))^3-B281^3)-(MIN(C281,($B$4*5/10))^4-B281^4)/4,0)+IF(C281&gt;($B$4*5/10),($B$4*5/10)^2*(1.5*(C281^2-MAX(B281,($B$4*5/10))^2)-($B$4*5/10)*(C281-MAX(B281,($B$4*5/10)))),0))*1000,0)</f>
        <v>0</v>
      </c>
      <c r="AG281" s="120">
        <f>IF(AND(J281="OK",ISNUMBER($B$5),$B$5&gt;0,ISNUMBER($B$3),$B$3&gt;0),F281/(6*$B$3*1000000*$B$5)*(IF(B281&lt;($B$4*6/10),($B$4*6/10)*(MIN(C281,($B$4*6/10))^3-B281^3)-(MIN(C281,($B$4*6/10))^4-B281^4)/4,0)+IF(C281&gt;($B$4*6/10),($B$4*6/10)^2*(1.5*(C281^2-MAX(B281,($B$4*6/10))^2)-($B$4*6/10)*(C281-MAX(B281,($B$4*6/10)))),0))*1000,0)</f>
        <v>0</v>
      </c>
      <c r="AH281" s="120">
        <f>IF(AND(J281="OK",ISNUMBER($B$5),$B$5&gt;0,ISNUMBER($B$3),$B$3&gt;0),F281/(6*$B$3*1000000*$B$5)*(IF(B281&lt;($B$4*7/10),($B$4*7/10)*(MIN(C281,($B$4*7/10))^3-B281^3)-(MIN(C281,($B$4*7/10))^4-B281^4)/4,0)+IF(C281&gt;($B$4*7/10),($B$4*7/10)^2*(1.5*(C281^2-MAX(B281,($B$4*7/10))^2)-($B$4*7/10)*(C281-MAX(B281,($B$4*7/10)))),0))*1000,0)</f>
        <v>0</v>
      </c>
      <c r="AI281" s="120">
        <f>IF(AND(J281="OK",ISNUMBER($B$5),$B$5&gt;0,ISNUMBER($B$3),$B$3&gt;0),F281/(6*$B$3*1000000*$B$5)*(IF(B281&lt;($B$4*8/10),($B$4*8/10)*(MIN(C281,($B$4*8/10))^3-B281^3)-(MIN(C281,($B$4*8/10))^4-B281^4)/4,0)+IF(C281&gt;($B$4*8/10),($B$4*8/10)^2*(1.5*(C281^2-MAX(B281,($B$4*8/10))^2)-($B$4*8/10)*(C281-MAX(B281,($B$4*8/10)))),0))*1000,0)</f>
        <v>0</v>
      </c>
      <c r="AJ281" s="120">
        <f>IF(AND(J281="OK",ISNUMBER($B$5),$B$5&gt;0,ISNUMBER($B$3),$B$3&gt;0),F281/(6*$B$3*1000000*$B$5)*(IF(B281&lt;($B$4*9/10),($B$4*9/10)*(MIN(C281,($B$4*9/10))^3-B281^3)-(MIN(C281,($B$4*9/10))^4-B281^4)/4,0)+IF(C281&gt;($B$4*9/10),($B$4*9/10)^2*(1.5*(C281^2-MAX(B281,($B$4*9/10))^2)-($B$4*9/10)*(C281-MAX(B281,($B$4*9/10)))),0))*1000,0)</f>
        <v>0</v>
      </c>
      <c r="AK281" s="120">
        <f>IF(AND(J281="OK",ISNUMBER($B$5),$B$5&gt;0,ISNUMBER($B$3),$B$3&gt;0),F281/(6*$B$3*1000000*$B$5)*(IF(B281&lt;($B$4*10/10),($B$4*10/10)*(MIN(C281,($B$4*10/10))^3-B281^3)-(MIN(C281,($B$4*10/10))^4-B281^4)/4,0)+IF(C281&gt;($B$4*10/10),($B$4*10/10)^2*(1.5*(C281^2-MAX(B281,($B$4*10/10))^2)-($B$4*10/10)*(C281-MAX(B281,($B$4*10/10)))),0))*1000,0)</f>
        <v>0</v>
      </c>
      <c r="AM281" s="120">
        <f>IF(AND(V281="OK",ISNUMBER($N$5),$N$5&gt;0,ISNUMBER($N$3),$N$3&gt;0),R281/(6*$N$3*1000000*$N$5)*(IF(N281&lt;($N$4*0/10),($N$4*0/10)*(MIN(O281,($N$4*0/10))^3-N281^3)-(MIN(O281,($N$4*0/10))^4-N281^4)/4,0)+IF(O281&gt;($N$4*0/10),($N$4*0/10)^2*(1.5*(O281^2-MAX(N281,($N$4*0/10))^2)-($N$4*0/10)*(O281-MAX(N281,($N$4*0/10)))),0))*1000,0)</f>
        <v>0</v>
      </c>
      <c r="AN281" s="120">
        <f>IF(AND(V281="OK",ISNUMBER($N$5),$N$5&gt;0,ISNUMBER($N$3),$N$3&gt;0),R281/(6*$N$3*1000000*$N$5)*(IF(N281&lt;($N$4*1/10),($N$4*1/10)*(MIN(O281,($N$4*1/10))^3-N281^3)-(MIN(O281,($N$4*1/10))^4-N281^4)/4,0)+IF(O281&gt;($N$4*1/10),($N$4*1/10)^2*(1.5*(O281^2-MAX(N281,($N$4*1/10))^2)-($N$4*1/10)*(O281-MAX(N281,($N$4*1/10)))),0))*1000,0)</f>
        <v>0</v>
      </c>
      <c r="AO281" s="120">
        <f>IF(AND(V281="OK",ISNUMBER($N$5),$N$5&gt;0,ISNUMBER($N$3),$N$3&gt;0),R281/(6*$N$3*1000000*$N$5)*(IF(N281&lt;($N$4*2/10),($N$4*2/10)*(MIN(O281,($N$4*2/10))^3-N281^3)-(MIN(O281,($N$4*2/10))^4-N281^4)/4,0)+IF(O281&gt;($N$4*2/10),($N$4*2/10)^2*(1.5*(O281^2-MAX(N281,($N$4*2/10))^2)-($N$4*2/10)*(O281-MAX(N281,($N$4*2/10)))),0))*1000,0)</f>
        <v>0</v>
      </c>
      <c r="AP281" s="120">
        <f>IF(AND(V281="OK",ISNUMBER($N$5),$N$5&gt;0,ISNUMBER($N$3),$N$3&gt;0),R281/(6*$N$3*1000000*$N$5)*(IF(N281&lt;($N$4*3/10),($N$4*3/10)*(MIN(O281,($N$4*3/10))^3-N281^3)-(MIN(O281,($N$4*3/10))^4-N281^4)/4,0)+IF(O281&gt;($N$4*3/10),($N$4*3/10)^2*(1.5*(O281^2-MAX(N281,($N$4*3/10))^2)-($N$4*3/10)*(O281-MAX(N281,($N$4*3/10)))),0))*1000,0)</f>
        <v>0</v>
      </c>
      <c r="AQ281" s="120">
        <f>IF(AND(V281="OK",ISNUMBER($N$5),$N$5&gt;0,ISNUMBER($N$3),$N$3&gt;0),R281/(6*$N$3*1000000*$N$5)*(IF(N281&lt;($N$4*4/10),($N$4*4/10)*(MIN(O281,($N$4*4/10))^3-N281^3)-(MIN(O281,($N$4*4/10))^4-N281^4)/4,0)+IF(O281&gt;($N$4*4/10),($N$4*4/10)^2*(1.5*(O281^2-MAX(N281,($N$4*4/10))^2)-($N$4*4/10)*(O281-MAX(N281,($N$4*4/10)))),0))*1000,0)</f>
        <v>0</v>
      </c>
      <c r="AR281" s="120">
        <f>IF(AND(V281="OK",ISNUMBER($N$5),$N$5&gt;0,ISNUMBER($N$3),$N$3&gt;0),R281/(6*$N$3*1000000*$N$5)*(IF(N281&lt;($N$4*5/10),($N$4*5/10)*(MIN(O281,($N$4*5/10))^3-N281^3)-(MIN(O281,($N$4*5/10))^4-N281^4)/4,0)+IF(O281&gt;($N$4*5/10),($N$4*5/10)^2*(1.5*(O281^2-MAX(N281,($N$4*5/10))^2)-($N$4*5/10)*(O281-MAX(N281,($N$4*5/10)))),0))*1000,0)</f>
        <v>0</v>
      </c>
      <c r="AS281" s="120">
        <f>IF(AND(V281="OK",ISNUMBER($N$5),$N$5&gt;0,ISNUMBER($N$3),$N$3&gt;0),R281/(6*$N$3*1000000*$N$5)*(IF(N281&lt;($N$4*6/10),($N$4*6/10)*(MIN(O281,($N$4*6/10))^3-N281^3)-(MIN(O281,($N$4*6/10))^4-N281^4)/4,0)+IF(O281&gt;($N$4*6/10),($N$4*6/10)^2*(1.5*(O281^2-MAX(N281,($N$4*6/10))^2)-($N$4*6/10)*(O281-MAX(N281,($N$4*6/10)))),0))*1000,0)</f>
        <v>0</v>
      </c>
      <c r="AT281" s="120">
        <f>IF(AND(V281="OK",ISNUMBER($N$5),$N$5&gt;0,ISNUMBER($N$3),$N$3&gt;0),R281/(6*$N$3*1000000*$N$5)*(IF(N281&lt;($N$4*7/10),($N$4*7/10)*(MIN(O281,($N$4*7/10))^3-N281^3)-(MIN(O281,($N$4*7/10))^4-N281^4)/4,0)+IF(O281&gt;($N$4*7/10),($N$4*7/10)^2*(1.5*(O281^2-MAX(N281,($N$4*7/10))^2)-($N$4*7/10)*(O281-MAX(N281,($N$4*7/10)))),0))*1000,0)</f>
        <v>0</v>
      </c>
      <c r="AU281" s="120">
        <f>IF(AND(V281="OK",ISNUMBER($N$5),$N$5&gt;0,ISNUMBER($N$3),$N$3&gt;0),R281/(6*$N$3*1000000*$N$5)*(IF(N281&lt;($N$4*8/10),($N$4*8/10)*(MIN(O281,($N$4*8/10))^3-N281^3)-(MIN(O281,($N$4*8/10))^4-N281^4)/4,0)+IF(O281&gt;($N$4*8/10),($N$4*8/10)^2*(1.5*(O281^2-MAX(N281,($N$4*8/10))^2)-($N$4*8/10)*(O281-MAX(N281,($N$4*8/10)))),0))*1000,0)</f>
        <v>0</v>
      </c>
      <c r="AV281" s="120">
        <f>IF(AND(V281="OK",ISNUMBER($N$5),$N$5&gt;0,ISNUMBER($N$3),$N$3&gt;0),R281/(6*$N$3*1000000*$N$5)*(IF(N281&lt;($N$4*9/10),($N$4*9/10)*(MIN(O281,($N$4*9/10))^3-N281^3)-(MIN(O281,($N$4*9/10))^4-N281^4)/4,0)+IF(O281&gt;($N$4*9/10),($N$4*9/10)^2*(1.5*(O281^2-MAX(N281,($N$4*9/10))^2)-($N$4*9/10)*(O281-MAX(N281,($N$4*9/10)))),0))*1000,0)</f>
        <v>0</v>
      </c>
      <c r="AW281" s="120">
        <f>IF(AND(V281="OK",ISNUMBER($N$5),$N$5&gt;0,ISNUMBER($N$3),$N$3&gt;0),R281/(6*$N$3*1000000*$N$5)*(IF(N281&lt;($N$4*10/10),($N$4*10/10)*(MIN(O281,($N$4*10/10))^3-N281^3)-(MIN(O281,($N$4*10/10))^4-N281^4)/4,0)+IF(O281&gt;($N$4*10/10),($N$4*10/10)^2*(1.5*(O281^2-MAX(N281,($N$4*10/10))^2)-($N$4*10/10)*(O281-MAX(N281,($N$4*10/10)))),0))*1000,0)</f>
        <v>0</v>
      </c>
    </row>
    <row r="282" spans="1:49">
      <c r="A282" s="124"/>
      <c r="B282" s="125"/>
      <c r="C282" s="125"/>
      <c r="D282" s="125"/>
      <c r="E282" s="125"/>
      <c r="F282" s="126" t="str">
        <f>IF(J282="OK",D282*E282,"")</f>
        <v/>
      </c>
      <c r="G282" s="126" t="str">
        <f>IF(J282="OK",F282*(C282-B282),"")</f>
        <v/>
      </c>
      <c r="H282" s="126" t="str">
        <f>IF(J282="OK",G282*(C282+B282)/2,"")</f>
        <v/>
      </c>
      <c r="I282" s="126" t="str">
        <f>IF(AND(J282="OK",ISNUMBER($B$5),$B$5&gt;0,ISNUMBER($B$3),$B$3&gt;0),F282*(4*$B$4*(C282^3-B282^3)-(C282^4-B282^4))/(24*$B$3*1000000*$B$5)*1000,"")</f>
        <v/>
      </c>
      <c r="J282" s="120" t="str">
        <f>IF(COUNTA(A282:E282)=0,"",IF(AND(COUNT(B282:E282)=4,B282&gt;=0,C282&gt;B282,C282&lt;=$B$4,D282&gt;=0,E282&gt;0),IF(COUNTIFS($B$13:$B$281,"&lt;"&amp;C282,$C$13:$C$281,"&gt;"&amp;B282)&gt;0,"OVERLAP","OK"),"CHECK INPUTS"))</f>
        <v/>
      </c>
      <c r="M282" s="124"/>
      <c r="N282" s="125"/>
      <c r="O282" s="125"/>
      <c r="P282" s="125"/>
      <c r="Q282" s="125"/>
      <c r="R282" s="126" t="str">
        <f>IF(V282="OK",P282*Q282,"")</f>
        <v/>
      </c>
      <c r="S282" s="126" t="str">
        <f>IF(V282="OK",R282*(O282-N282),"")</f>
        <v/>
      </c>
      <c r="T282" s="126" t="str">
        <f>IF(V282="OK",S282*(O282+N282)/2,"")</f>
        <v/>
      </c>
      <c r="U282" s="126" t="str">
        <f>IF(AND(V282="OK",ISNUMBER($N$5),$N$5&gt;0,ISNUMBER($N$3),$N$3&gt;0),R282*(4*$N$4*(O282^3-N282^3)-(O282^4-N282^4))/(24*$N$3*1000000*$N$5)*1000,"")</f>
        <v/>
      </c>
      <c r="V282" s="120" t="str">
        <f>IF(COUNTA(M282:Q282)=0,"",IF(AND(COUNT(N282:Q282)=4,N282&gt;=0,O282&gt;N282,O282&lt;=$N$4,P282&gt;=0,Q282&gt;0),IF(COUNTIFS($N$13:$N$281,"&lt;"&amp;O282,$O$13:$O$281,"&gt;"&amp;N282)&gt;0,"OVERLAP","OK"),"CHECK INPUTS"))</f>
        <v/>
      </c>
      <c r="AA282" s="120">
        <f>IF(AND(J282="OK",ISNUMBER($B$5),$B$5&gt;0,ISNUMBER($B$3),$B$3&gt;0),F282/(6*$B$3*1000000*$B$5)*(IF(B282&lt;($B$4*0/10),($B$4*0/10)*(MIN(C282,($B$4*0/10))^3-B282^3)-(MIN(C282,($B$4*0/10))^4-B282^4)/4,0)+IF(C282&gt;($B$4*0/10),($B$4*0/10)^2*(1.5*(C282^2-MAX(B282,($B$4*0/10))^2)-($B$4*0/10)*(C282-MAX(B282,($B$4*0/10)))),0))*1000,0)</f>
        <v>0</v>
      </c>
      <c r="AB282" s="120">
        <f>IF(AND(J282="OK",ISNUMBER($B$5),$B$5&gt;0,ISNUMBER($B$3),$B$3&gt;0),F282/(6*$B$3*1000000*$B$5)*(IF(B282&lt;($B$4*1/10),($B$4*1/10)*(MIN(C282,($B$4*1/10))^3-B282^3)-(MIN(C282,($B$4*1/10))^4-B282^4)/4,0)+IF(C282&gt;($B$4*1/10),($B$4*1/10)^2*(1.5*(C282^2-MAX(B282,($B$4*1/10))^2)-($B$4*1/10)*(C282-MAX(B282,($B$4*1/10)))),0))*1000,0)</f>
        <v>0</v>
      </c>
      <c r="AC282" s="120">
        <f>IF(AND(J282="OK",ISNUMBER($B$5),$B$5&gt;0,ISNUMBER($B$3),$B$3&gt;0),F282/(6*$B$3*1000000*$B$5)*(IF(B282&lt;($B$4*2/10),($B$4*2/10)*(MIN(C282,($B$4*2/10))^3-B282^3)-(MIN(C282,($B$4*2/10))^4-B282^4)/4,0)+IF(C282&gt;($B$4*2/10),($B$4*2/10)^2*(1.5*(C282^2-MAX(B282,($B$4*2/10))^2)-($B$4*2/10)*(C282-MAX(B282,($B$4*2/10)))),0))*1000,0)</f>
        <v>0</v>
      </c>
      <c r="AD282" s="120">
        <f>IF(AND(J282="OK",ISNUMBER($B$5),$B$5&gt;0,ISNUMBER($B$3),$B$3&gt;0),F282/(6*$B$3*1000000*$B$5)*(IF(B282&lt;($B$4*3/10),($B$4*3/10)*(MIN(C282,($B$4*3/10))^3-B282^3)-(MIN(C282,($B$4*3/10))^4-B282^4)/4,0)+IF(C282&gt;($B$4*3/10),($B$4*3/10)^2*(1.5*(C282^2-MAX(B282,($B$4*3/10))^2)-($B$4*3/10)*(C282-MAX(B282,($B$4*3/10)))),0))*1000,0)</f>
        <v>0</v>
      </c>
      <c r="AE282" s="120">
        <f>IF(AND(J282="OK",ISNUMBER($B$5),$B$5&gt;0,ISNUMBER($B$3),$B$3&gt;0),F282/(6*$B$3*1000000*$B$5)*(IF(B282&lt;($B$4*4/10),($B$4*4/10)*(MIN(C282,($B$4*4/10))^3-B282^3)-(MIN(C282,($B$4*4/10))^4-B282^4)/4,0)+IF(C282&gt;($B$4*4/10),($B$4*4/10)^2*(1.5*(C282^2-MAX(B282,($B$4*4/10))^2)-($B$4*4/10)*(C282-MAX(B282,($B$4*4/10)))),0))*1000,0)</f>
        <v>0</v>
      </c>
      <c r="AF282" s="120">
        <f>IF(AND(J282="OK",ISNUMBER($B$5),$B$5&gt;0,ISNUMBER($B$3),$B$3&gt;0),F282/(6*$B$3*1000000*$B$5)*(IF(B282&lt;($B$4*5/10),($B$4*5/10)*(MIN(C282,($B$4*5/10))^3-B282^3)-(MIN(C282,($B$4*5/10))^4-B282^4)/4,0)+IF(C282&gt;($B$4*5/10),($B$4*5/10)^2*(1.5*(C282^2-MAX(B282,($B$4*5/10))^2)-($B$4*5/10)*(C282-MAX(B282,($B$4*5/10)))),0))*1000,0)</f>
        <v>0</v>
      </c>
      <c r="AG282" s="120">
        <f>IF(AND(J282="OK",ISNUMBER($B$5),$B$5&gt;0,ISNUMBER($B$3),$B$3&gt;0),F282/(6*$B$3*1000000*$B$5)*(IF(B282&lt;($B$4*6/10),($B$4*6/10)*(MIN(C282,($B$4*6/10))^3-B282^3)-(MIN(C282,($B$4*6/10))^4-B282^4)/4,0)+IF(C282&gt;($B$4*6/10),($B$4*6/10)^2*(1.5*(C282^2-MAX(B282,($B$4*6/10))^2)-($B$4*6/10)*(C282-MAX(B282,($B$4*6/10)))),0))*1000,0)</f>
        <v>0</v>
      </c>
      <c r="AH282" s="120">
        <f>IF(AND(J282="OK",ISNUMBER($B$5),$B$5&gt;0,ISNUMBER($B$3),$B$3&gt;0),F282/(6*$B$3*1000000*$B$5)*(IF(B282&lt;($B$4*7/10),($B$4*7/10)*(MIN(C282,($B$4*7/10))^3-B282^3)-(MIN(C282,($B$4*7/10))^4-B282^4)/4,0)+IF(C282&gt;($B$4*7/10),($B$4*7/10)^2*(1.5*(C282^2-MAX(B282,($B$4*7/10))^2)-($B$4*7/10)*(C282-MAX(B282,($B$4*7/10)))),0))*1000,0)</f>
        <v>0</v>
      </c>
      <c r="AI282" s="120">
        <f>IF(AND(J282="OK",ISNUMBER($B$5),$B$5&gt;0,ISNUMBER($B$3),$B$3&gt;0),F282/(6*$B$3*1000000*$B$5)*(IF(B282&lt;($B$4*8/10),($B$4*8/10)*(MIN(C282,($B$4*8/10))^3-B282^3)-(MIN(C282,($B$4*8/10))^4-B282^4)/4,0)+IF(C282&gt;($B$4*8/10),($B$4*8/10)^2*(1.5*(C282^2-MAX(B282,($B$4*8/10))^2)-($B$4*8/10)*(C282-MAX(B282,($B$4*8/10)))),0))*1000,0)</f>
        <v>0</v>
      </c>
      <c r="AJ282" s="120">
        <f>IF(AND(J282="OK",ISNUMBER($B$5),$B$5&gt;0,ISNUMBER($B$3),$B$3&gt;0),F282/(6*$B$3*1000000*$B$5)*(IF(B282&lt;($B$4*9/10),($B$4*9/10)*(MIN(C282,($B$4*9/10))^3-B282^3)-(MIN(C282,($B$4*9/10))^4-B282^4)/4,0)+IF(C282&gt;($B$4*9/10),($B$4*9/10)^2*(1.5*(C282^2-MAX(B282,($B$4*9/10))^2)-($B$4*9/10)*(C282-MAX(B282,($B$4*9/10)))),0))*1000,0)</f>
        <v>0</v>
      </c>
      <c r="AK282" s="120">
        <f>IF(AND(J282="OK",ISNUMBER($B$5),$B$5&gt;0,ISNUMBER($B$3),$B$3&gt;0),F282/(6*$B$3*1000000*$B$5)*(IF(B282&lt;($B$4*10/10),($B$4*10/10)*(MIN(C282,($B$4*10/10))^3-B282^3)-(MIN(C282,($B$4*10/10))^4-B282^4)/4,0)+IF(C282&gt;($B$4*10/10),($B$4*10/10)^2*(1.5*(C282^2-MAX(B282,($B$4*10/10))^2)-($B$4*10/10)*(C282-MAX(B282,($B$4*10/10)))),0))*1000,0)</f>
        <v>0</v>
      </c>
      <c r="AM282" s="120">
        <f>IF(AND(V282="OK",ISNUMBER($N$5),$N$5&gt;0,ISNUMBER($N$3),$N$3&gt;0),R282/(6*$N$3*1000000*$N$5)*(IF(N282&lt;($N$4*0/10),($N$4*0/10)*(MIN(O282,($N$4*0/10))^3-N282^3)-(MIN(O282,($N$4*0/10))^4-N282^4)/4,0)+IF(O282&gt;($N$4*0/10),($N$4*0/10)^2*(1.5*(O282^2-MAX(N282,($N$4*0/10))^2)-($N$4*0/10)*(O282-MAX(N282,($N$4*0/10)))),0))*1000,0)</f>
        <v>0</v>
      </c>
      <c r="AN282" s="120">
        <f>IF(AND(V282="OK",ISNUMBER($N$5),$N$5&gt;0,ISNUMBER($N$3),$N$3&gt;0),R282/(6*$N$3*1000000*$N$5)*(IF(N282&lt;($N$4*1/10),($N$4*1/10)*(MIN(O282,($N$4*1/10))^3-N282^3)-(MIN(O282,($N$4*1/10))^4-N282^4)/4,0)+IF(O282&gt;($N$4*1/10),($N$4*1/10)^2*(1.5*(O282^2-MAX(N282,($N$4*1/10))^2)-($N$4*1/10)*(O282-MAX(N282,($N$4*1/10)))),0))*1000,0)</f>
        <v>0</v>
      </c>
      <c r="AO282" s="120">
        <f>IF(AND(V282="OK",ISNUMBER($N$5),$N$5&gt;0,ISNUMBER($N$3),$N$3&gt;0),R282/(6*$N$3*1000000*$N$5)*(IF(N282&lt;($N$4*2/10),($N$4*2/10)*(MIN(O282,($N$4*2/10))^3-N282^3)-(MIN(O282,($N$4*2/10))^4-N282^4)/4,0)+IF(O282&gt;($N$4*2/10),($N$4*2/10)^2*(1.5*(O282^2-MAX(N282,($N$4*2/10))^2)-($N$4*2/10)*(O282-MAX(N282,($N$4*2/10)))),0))*1000,0)</f>
        <v>0</v>
      </c>
      <c r="AP282" s="120">
        <f>IF(AND(V282="OK",ISNUMBER($N$5),$N$5&gt;0,ISNUMBER($N$3),$N$3&gt;0),R282/(6*$N$3*1000000*$N$5)*(IF(N282&lt;($N$4*3/10),($N$4*3/10)*(MIN(O282,($N$4*3/10))^3-N282^3)-(MIN(O282,($N$4*3/10))^4-N282^4)/4,0)+IF(O282&gt;($N$4*3/10),($N$4*3/10)^2*(1.5*(O282^2-MAX(N282,($N$4*3/10))^2)-($N$4*3/10)*(O282-MAX(N282,($N$4*3/10)))),0))*1000,0)</f>
        <v>0</v>
      </c>
      <c r="AQ282" s="120">
        <f>IF(AND(V282="OK",ISNUMBER($N$5),$N$5&gt;0,ISNUMBER($N$3),$N$3&gt;0),R282/(6*$N$3*1000000*$N$5)*(IF(N282&lt;($N$4*4/10),($N$4*4/10)*(MIN(O282,($N$4*4/10))^3-N282^3)-(MIN(O282,($N$4*4/10))^4-N282^4)/4,0)+IF(O282&gt;($N$4*4/10),($N$4*4/10)^2*(1.5*(O282^2-MAX(N282,($N$4*4/10))^2)-($N$4*4/10)*(O282-MAX(N282,($N$4*4/10)))),0))*1000,0)</f>
        <v>0</v>
      </c>
      <c r="AR282" s="120">
        <f>IF(AND(V282="OK",ISNUMBER($N$5),$N$5&gt;0,ISNUMBER($N$3),$N$3&gt;0),R282/(6*$N$3*1000000*$N$5)*(IF(N282&lt;($N$4*5/10),($N$4*5/10)*(MIN(O282,($N$4*5/10))^3-N282^3)-(MIN(O282,($N$4*5/10))^4-N282^4)/4,0)+IF(O282&gt;($N$4*5/10),($N$4*5/10)^2*(1.5*(O282^2-MAX(N282,($N$4*5/10))^2)-($N$4*5/10)*(O282-MAX(N282,($N$4*5/10)))),0))*1000,0)</f>
        <v>0</v>
      </c>
      <c r="AS282" s="120">
        <f>IF(AND(V282="OK",ISNUMBER($N$5),$N$5&gt;0,ISNUMBER($N$3),$N$3&gt;0),R282/(6*$N$3*1000000*$N$5)*(IF(N282&lt;($N$4*6/10),($N$4*6/10)*(MIN(O282,($N$4*6/10))^3-N282^3)-(MIN(O282,($N$4*6/10))^4-N282^4)/4,0)+IF(O282&gt;($N$4*6/10),($N$4*6/10)^2*(1.5*(O282^2-MAX(N282,($N$4*6/10))^2)-($N$4*6/10)*(O282-MAX(N282,($N$4*6/10)))),0))*1000,0)</f>
        <v>0</v>
      </c>
      <c r="AT282" s="120">
        <f>IF(AND(V282="OK",ISNUMBER($N$5),$N$5&gt;0,ISNUMBER($N$3),$N$3&gt;0),R282/(6*$N$3*1000000*$N$5)*(IF(N282&lt;($N$4*7/10),($N$4*7/10)*(MIN(O282,($N$4*7/10))^3-N282^3)-(MIN(O282,($N$4*7/10))^4-N282^4)/4,0)+IF(O282&gt;($N$4*7/10),($N$4*7/10)^2*(1.5*(O282^2-MAX(N282,($N$4*7/10))^2)-($N$4*7/10)*(O282-MAX(N282,($N$4*7/10)))),0))*1000,0)</f>
        <v>0</v>
      </c>
      <c r="AU282" s="120">
        <f>IF(AND(V282="OK",ISNUMBER($N$5),$N$5&gt;0,ISNUMBER($N$3),$N$3&gt;0),R282/(6*$N$3*1000000*$N$5)*(IF(N282&lt;($N$4*8/10),($N$4*8/10)*(MIN(O282,($N$4*8/10))^3-N282^3)-(MIN(O282,($N$4*8/10))^4-N282^4)/4,0)+IF(O282&gt;($N$4*8/10),($N$4*8/10)^2*(1.5*(O282^2-MAX(N282,($N$4*8/10))^2)-($N$4*8/10)*(O282-MAX(N282,($N$4*8/10)))),0))*1000,0)</f>
        <v>0</v>
      </c>
      <c r="AV282" s="120">
        <f>IF(AND(V282="OK",ISNUMBER($N$5),$N$5&gt;0,ISNUMBER($N$3),$N$3&gt;0),R282/(6*$N$3*1000000*$N$5)*(IF(N282&lt;($N$4*9/10),($N$4*9/10)*(MIN(O282,($N$4*9/10))^3-N282^3)-(MIN(O282,($N$4*9/10))^4-N282^4)/4,0)+IF(O282&gt;($N$4*9/10),($N$4*9/10)^2*(1.5*(O282^2-MAX(N282,($N$4*9/10))^2)-($N$4*9/10)*(O282-MAX(N282,($N$4*9/10)))),0))*1000,0)</f>
        <v>0</v>
      </c>
      <c r="AW282" s="120">
        <f>IF(AND(V282="OK",ISNUMBER($N$5),$N$5&gt;0,ISNUMBER($N$3),$N$3&gt;0),R282/(6*$N$3*1000000*$N$5)*(IF(N282&lt;($N$4*10/10),($N$4*10/10)*(MIN(O282,($N$4*10/10))^3-N282^3)-(MIN(O282,($N$4*10/10))^4-N282^4)/4,0)+IF(O282&gt;($N$4*10/10),($N$4*10/10)^2*(1.5*(O282^2-MAX(N282,($N$4*10/10))^2)-($N$4*10/10)*(O282-MAX(N282,($N$4*10/10)))),0))*1000,0)</f>
        <v>0</v>
      </c>
    </row>
    <row r="283" spans="1:49">
      <c r="A283" s="124"/>
      <c r="B283" s="125"/>
      <c r="C283" s="125"/>
      <c r="D283" s="125"/>
      <c r="E283" s="125"/>
      <c r="F283" s="126" t="str">
        <f>IF(J283="OK",D283*E283,"")</f>
        <v/>
      </c>
      <c r="G283" s="126" t="str">
        <f>IF(J283="OK",F283*(C283-B283),"")</f>
        <v/>
      </c>
      <c r="H283" s="126" t="str">
        <f>IF(J283="OK",G283*(C283+B283)/2,"")</f>
        <v/>
      </c>
      <c r="I283" s="126" t="str">
        <f>IF(AND(J283="OK",ISNUMBER($B$5),$B$5&gt;0,ISNUMBER($B$3),$B$3&gt;0),F283*(4*$B$4*(C283^3-B283^3)-(C283^4-B283^4))/(24*$B$3*1000000*$B$5)*1000,"")</f>
        <v/>
      </c>
      <c r="J283" s="120" t="str">
        <f>IF(COUNTA(A283:E283)=0,"",IF(AND(COUNT(B283:E283)=4,B283&gt;=0,C283&gt;B283,C283&lt;=$B$4,D283&gt;=0,E283&gt;0),IF(COUNTIFS($B$13:$B$282,"&lt;"&amp;C283,$C$13:$C$282,"&gt;"&amp;B283)&gt;0,"OVERLAP","OK"),"CHECK INPUTS"))</f>
        <v/>
      </c>
      <c r="M283" s="124"/>
      <c r="N283" s="125"/>
      <c r="O283" s="125"/>
      <c r="P283" s="125"/>
      <c r="Q283" s="125"/>
      <c r="R283" s="126" t="str">
        <f>IF(V283="OK",P283*Q283,"")</f>
        <v/>
      </c>
      <c r="S283" s="126" t="str">
        <f>IF(V283="OK",R283*(O283-N283),"")</f>
        <v/>
      </c>
      <c r="T283" s="126" t="str">
        <f>IF(V283="OK",S283*(O283+N283)/2,"")</f>
        <v/>
      </c>
      <c r="U283" s="126" t="str">
        <f>IF(AND(V283="OK",ISNUMBER($N$5),$N$5&gt;0,ISNUMBER($N$3),$N$3&gt;0),R283*(4*$N$4*(O283^3-N283^3)-(O283^4-N283^4))/(24*$N$3*1000000*$N$5)*1000,"")</f>
        <v/>
      </c>
      <c r="V283" s="120" t="str">
        <f>IF(COUNTA(M283:Q283)=0,"",IF(AND(COUNT(N283:Q283)=4,N283&gt;=0,O283&gt;N283,O283&lt;=$N$4,P283&gt;=0,Q283&gt;0),IF(COUNTIFS($N$13:$N$282,"&lt;"&amp;O283,$O$13:$O$282,"&gt;"&amp;N283)&gt;0,"OVERLAP","OK"),"CHECK INPUTS"))</f>
        <v/>
      </c>
      <c r="AA283" s="120">
        <f>IF(AND(J283="OK",ISNUMBER($B$5),$B$5&gt;0,ISNUMBER($B$3),$B$3&gt;0),F283/(6*$B$3*1000000*$B$5)*(IF(B283&lt;($B$4*0/10),($B$4*0/10)*(MIN(C283,($B$4*0/10))^3-B283^3)-(MIN(C283,($B$4*0/10))^4-B283^4)/4,0)+IF(C283&gt;($B$4*0/10),($B$4*0/10)^2*(1.5*(C283^2-MAX(B283,($B$4*0/10))^2)-($B$4*0/10)*(C283-MAX(B283,($B$4*0/10)))),0))*1000,0)</f>
        <v>0</v>
      </c>
      <c r="AB283" s="120">
        <f>IF(AND(J283="OK",ISNUMBER($B$5),$B$5&gt;0,ISNUMBER($B$3),$B$3&gt;0),F283/(6*$B$3*1000000*$B$5)*(IF(B283&lt;($B$4*1/10),($B$4*1/10)*(MIN(C283,($B$4*1/10))^3-B283^3)-(MIN(C283,($B$4*1/10))^4-B283^4)/4,0)+IF(C283&gt;($B$4*1/10),($B$4*1/10)^2*(1.5*(C283^2-MAX(B283,($B$4*1/10))^2)-($B$4*1/10)*(C283-MAX(B283,($B$4*1/10)))),0))*1000,0)</f>
        <v>0</v>
      </c>
      <c r="AC283" s="120">
        <f>IF(AND(J283="OK",ISNUMBER($B$5),$B$5&gt;0,ISNUMBER($B$3),$B$3&gt;0),F283/(6*$B$3*1000000*$B$5)*(IF(B283&lt;($B$4*2/10),($B$4*2/10)*(MIN(C283,($B$4*2/10))^3-B283^3)-(MIN(C283,($B$4*2/10))^4-B283^4)/4,0)+IF(C283&gt;($B$4*2/10),($B$4*2/10)^2*(1.5*(C283^2-MAX(B283,($B$4*2/10))^2)-($B$4*2/10)*(C283-MAX(B283,($B$4*2/10)))),0))*1000,0)</f>
        <v>0</v>
      </c>
      <c r="AD283" s="120">
        <f>IF(AND(J283="OK",ISNUMBER($B$5),$B$5&gt;0,ISNUMBER($B$3),$B$3&gt;0),F283/(6*$B$3*1000000*$B$5)*(IF(B283&lt;($B$4*3/10),($B$4*3/10)*(MIN(C283,($B$4*3/10))^3-B283^3)-(MIN(C283,($B$4*3/10))^4-B283^4)/4,0)+IF(C283&gt;($B$4*3/10),($B$4*3/10)^2*(1.5*(C283^2-MAX(B283,($B$4*3/10))^2)-($B$4*3/10)*(C283-MAX(B283,($B$4*3/10)))),0))*1000,0)</f>
        <v>0</v>
      </c>
      <c r="AE283" s="120">
        <f>IF(AND(J283="OK",ISNUMBER($B$5),$B$5&gt;0,ISNUMBER($B$3),$B$3&gt;0),F283/(6*$B$3*1000000*$B$5)*(IF(B283&lt;($B$4*4/10),($B$4*4/10)*(MIN(C283,($B$4*4/10))^3-B283^3)-(MIN(C283,($B$4*4/10))^4-B283^4)/4,0)+IF(C283&gt;($B$4*4/10),($B$4*4/10)^2*(1.5*(C283^2-MAX(B283,($B$4*4/10))^2)-($B$4*4/10)*(C283-MAX(B283,($B$4*4/10)))),0))*1000,0)</f>
        <v>0</v>
      </c>
      <c r="AF283" s="120">
        <f>IF(AND(J283="OK",ISNUMBER($B$5),$B$5&gt;0,ISNUMBER($B$3),$B$3&gt;0),F283/(6*$B$3*1000000*$B$5)*(IF(B283&lt;($B$4*5/10),($B$4*5/10)*(MIN(C283,($B$4*5/10))^3-B283^3)-(MIN(C283,($B$4*5/10))^4-B283^4)/4,0)+IF(C283&gt;($B$4*5/10),($B$4*5/10)^2*(1.5*(C283^2-MAX(B283,($B$4*5/10))^2)-($B$4*5/10)*(C283-MAX(B283,($B$4*5/10)))),0))*1000,0)</f>
        <v>0</v>
      </c>
      <c r="AG283" s="120">
        <f>IF(AND(J283="OK",ISNUMBER($B$5),$B$5&gt;0,ISNUMBER($B$3),$B$3&gt;0),F283/(6*$B$3*1000000*$B$5)*(IF(B283&lt;($B$4*6/10),($B$4*6/10)*(MIN(C283,($B$4*6/10))^3-B283^3)-(MIN(C283,($B$4*6/10))^4-B283^4)/4,0)+IF(C283&gt;($B$4*6/10),($B$4*6/10)^2*(1.5*(C283^2-MAX(B283,($B$4*6/10))^2)-($B$4*6/10)*(C283-MAX(B283,($B$4*6/10)))),0))*1000,0)</f>
        <v>0</v>
      </c>
      <c r="AH283" s="120">
        <f>IF(AND(J283="OK",ISNUMBER($B$5),$B$5&gt;0,ISNUMBER($B$3),$B$3&gt;0),F283/(6*$B$3*1000000*$B$5)*(IF(B283&lt;($B$4*7/10),($B$4*7/10)*(MIN(C283,($B$4*7/10))^3-B283^3)-(MIN(C283,($B$4*7/10))^4-B283^4)/4,0)+IF(C283&gt;($B$4*7/10),($B$4*7/10)^2*(1.5*(C283^2-MAX(B283,($B$4*7/10))^2)-($B$4*7/10)*(C283-MAX(B283,($B$4*7/10)))),0))*1000,0)</f>
        <v>0</v>
      </c>
      <c r="AI283" s="120">
        <f>IF(AND(J283="OK",ISNUMBER($B$5),$B$5&gt;0,ISNUMBER($B$3),$B$3&gt;0),F283/(6*$B$3*1000000*$B$5)*(IF(B283&lt;($B$4*8/10),($B$4*8/10)*(MIN(C283,($B$4*8/10))^3-B283^3)-(MIN(C283,($B$4*8/10))^4-B283^4)/4,0)+IF(C283&gt;($B$4*8/10),($B$4*8/10)^2*(1.5*(C283^2-MAX(B283,($B$4*8/10))^2)-($B$4*8/10)*(C283-MAX(B283,($B$4*8/10)))),0))*1000,0)</f>
        <v>0</v>
      </c>
      <c r="AJ283" s="120">
        <f>IF(AND(J283="OK",ISNUMBER($B$5),$B$5&gt;0,ISNUMBER($B$3),$B$3&gt;0),F283/(6*$B$3*1000000*$B$5)*(IF(B283&lt;($B$4*9/10),($B$4*9/10)*(MIN(C283,($B$4*9/10))^3-B283^3)-(MIN(C283,($B$4*9/10))^4-B283^4)/4,0)+IF(C283&gt;($B$4*9/10),($B$4*9/10)^2*(1.5*(C283^2-MAX(B283,($B$4*9/10))^2)-($B$4*9/10)*(C283-MAX(B283,($B$4*9/10)))),0))*1000,0)</f>
        <v>0</v>
      </c>
      <c r="AK283" s="120">
        <f>IF(AND(J283="OK",ISNUMBER($B$5),$B$5&gt;0,ISNUMBER($B$3),$B$3&gt;0),F283/(6*$B$3*1000000*$B$5)*(IF(B283&lt;($B$4*10/10),($B$4*10/10)*(MIN(C283,($B$4*10/10))^3-B283^3)-(MIN(C283,($B$4*10/10))^4-B283^4)/4,0)+IF(C283&gt;($B$4*10/10),($B$4*10/10)^2*(1.5*(C283^2-MAX(B283,($B$4*10/10))^2)-($B$4*10/10)*(C283-MAX(B283,($B$4*10/10)))),0))*1000,0)</f>
        <v>0</v>
      </c>
      <c r="AM283" s="120">
        <f>IF(AND(V283="OK",ISNUMBER($N$5),$N$5&gt;0,ISNUMBER($N$3),$N$3&gt;0),R283/(6*$N$3*1000000*$N$5)*(IF(N283&lt;($N$4*0/10),($N$4*0/10)*(MIN(O283,($N$4*0/10))^3-N283^3)-(MIN(O283,($N$4*0/10))^4-N283^4)/4,0)+IF(O283&gt;($N$4*0/10),($N$4*0/10)^2*(1.5*(O283^2-MAX(N283,($N$4*0/10))^2)-($N$4*0/10)*(O283-MAX(N283,($N$4*0/10)))),0))*1000,0)</f>
        <v>0</v>
      </c>
      <c r="AN283" s="120">
        <f>IF(AND(V283="OK",ISNUMBER($N$5),$N$5&gt;0,ISNUMBER($N$3),$N$3&gt;0),R283/(6*$N$3*1000000*$N$5)*(IF(N283&lt;($N$4*1/10),($N$4*1/10)*(MIN(O283,($N$4*1/10))^3-N283^3)-(MIN(O283,($N$4*1/10))^4-N283^4)/4,0)+IF(O283&gt;($N$4*1/10),($N$4*1/10)^2*(1.5*(O283^2-MAX(N283,($N$4*1/10))^2)-($N$4*1/10)*(O283-MAX(N283,($N$4*1/10)))),0))*1000,0)</f>
        <v>0</v>
      </c>
      <c r="AO283" s="120">
        <f>IF(AND(V283="OK",ISNUMBER($N$5),$N$5&gt;0,ISNUMBER($N$3),$N$3&gt;0),R283/(6*$N$3*1000000*$N$5)*(IF(N283&lt;($N$4*2/10),($N$4*2/10)*(MIN(O283,($N$4*2/10))^3-N283^3)-(MIN(O283,($N$4*2/10))^4-N283^4)/4,0)+IF(O283&gt;($N$4*2/10),($N$4*2/10)^2*(1.5*(O283^2-MAX(N283,($N$4*2/10))^2)-($N$4*2/10)*(O283-MAX(N283,($N$4*2/10)))),0))*1000,0)</f>
        <v>0</v>
      </c>
      <c r="AP283" s="120">
        <f>IF(AND(V283="OK",ISNUMBER($N$5),$N$5&gt;0,ISNUMBER($N$3),$N$3&gt;0),R283/(6*$N$3*1000000*$N$5)*(IF(N283&lt;($N$4*3/10),($N$4*3/10)*(MIN(O283,($N$4*3/10))^3-N283^3)-(MIN(O283,($N$4*3/10))^4-N283^4)/4,0)+IF(O283&gt;($N$4*3/10),($N$4*3/10)^2*(1.5*(O283^2-MAX(N283,($N$4*3/10))^2)-($N$4*3/10)*(O283-MAX(N283,($N$4*3/10)))),0))*1000,0)</f>
        <v>0</v>
      </c>
      <c r="AQ283" s="120">
        <f>IF(AND(V283="OK",ISNUMBER($N$5),$N$5&gt;0,ISNUMBER($N$3),$N$3&gt;0),R283/(6*$N$3*1000000*$N$5)*(IF(N283&lt;($N$4*4/10),($N$4*4/10)*(MIN(O283,($N$4*4/10))^3-N283^3)-(MIN(O283,($N$4*4/10))^4-N283^4)/4,0)+IF(O283&gt;($N$4*4/10),($N$4*4/10)^2*(1.5*(O283^2-MAX(N283,($N$4*4/10))^2)-($N$4*4/10)*(O283-MAX(N283,($N$4*4/10)))),0))*1000,0)</f>
        <v>0</v>
      </c>
      <c r="AR283" s="120">
        <f>IF(AND(V283="OK",ISNUMBER($N$5),$N$5&gt;0,ISNUMBER($N$3),$N$3&gt;0),R283/(6*$N$3*1000000*$N$5)*(IF(N283&lt;($N$4*5/10),($N$4*5/10)*(MIN(O283,($N$4*5/10))^3-N283^3)-(MIN(O283,($N$4*5/10))^4-N283^4)/4,0)+IF(O283&gt;($N$4*5/10),($N$4*5/10)^2*(1.5*(O283^2-MAX(N283,($N$4*5/10))^2)-($N$4*5/10)*(O283-MAX(N283,($N$4*5/10)))),0))*1000,0)</f>
        <v>0</v>
      </c>
      <c r="AS283" s="120">
        <f>IF(AND(V283="OK",ISNUMBER($N$5),$N$5&gt;0,ISNUMBER($N$3),$N$3&gt;0),R283/(6*$N$3*1000000*$N$5)*(IF(N283&lt;($N$4*6/10),($N$4*6/10)*(MIN(O283,($N$4*6/10))^3-N283^3)-(MIN(O283,($N$4*6/10))^4-N283^4)/4,0)+IF(O283&gt;($N$4*6/10),($N$4*6/10)^2*(1.5*(O283^2-MAX(N283,($N$4*6/10))^2)-($N$4*6/10)*(O283-MAX(N283,($N$4*6/10)))),0))*1000,0)</f>
        <v>0</v>
      </c>
      <c r="AT283" s="120">
        <f>IF(AND(V283="OK",ISNUMBER($N$5),$N$5&gt;0,ISNUMBER($N$3),$N$3&gt;0),R283/(6*$N$3*1000000*$N$5)*(IF(N283&lt;($N$4*7/10),($N$4*7/10)*(MIN(O283,($N$4*7/10))^3-N283^3)-(MIN(O283,($N$4*7/10))^4-N283^4)/4,0)+IF(O283&gt;($N$4*7/10),($N$4*7/10)^2*(1.5*(O283^2-MAX(N283,($N$4*7/10))^2)-($N$4*7/10)*(O283-MAX(N283,($N$4*7/10)))),0))*1000,0)</f>
        <v>0</v>
      </c>
      <c r="AU283" s="120">
        <f>IF(AND(V283="OK",ISNUMBER($N$5),$N$5&gt;0,ISNUMBER($N$3),$N$3&gt;0),R283/(6*$N$3*1000000*$N$5)*(IF(N283&lt;($N$4*8/10),($N$4*8/10)*(MIN(O283,($N$4*8/10))^3-N283^3)-(MIN(O283,($N$4*8/10))^4-N283^4)/4,0)+IF(O283&gt;($N$4*8/10),($N$4*8/10)^2*(1.5*(O283^2-MAX(N283,($N$4*8/10))^2)-($N$4*8/10)*(O283-MAX(N283,($N$4*8/10)))),0))*1000,0)</f>
        <v>0</v>
      </c>
      <c r="AV283" s="120">
        <f>IF(AND(V283="OK",ISNUMBER($N$5),$N$5&gt;0,ISNUMBER($N$3),$N$3&gt;0),R283/(6*$N$3*1000000*$N$5)*(IF(N283&lt;($N$4*9/10),($N$4*9/10)*(MIN(O283,($N$4*9/10))^3-N283^3)-(MIN(O283,($N$4*9/10))^4-N283^4)/4,0)+IF(O283&gt;($N$4*9/10),($N$4*9/10)^2*(1.5*(O283^2-MAX(N283,($N$4*9/10))^2)-($N$4*9/10)*(O283-MAX(N283,($N$4*9/10)))),0))*1000,0)</f>
        <v>0</v>
      </c>
      <c r="AW283" s="120">
        <f>IF(AND(V283="OK",ISNUMBER($N$5),$N$5&gt;0,ISNUMBER($N$3),$N$3&gt;0),R283/(6*$N$3*1000000*$N$5)*(IF(N283&lt;($N$4*10/10),($N$4*10/10)*(MIN(O283,($N$4*10/10))^3-N283^3)-(MIN(O283,($N$4*10/10))^4-N283^4)/4,0)+IF(O283&gt;($N$4*10/10),($N$4*10/10)^2*(1.5*(O283^2-MAX(N283,($N$4*10/10))^2)-($N$4*10/10)*(O283-MAX(N283,($N$4*10/10)))),0))*1000,0)</f>
        <v>0</v>
      </c>
    </row>
    <row r="284" spans="1:49">
      <c r="A284" s="124"/>
      <c r="B284" s="125"/>
      <c r="C284" s="125"/>
      <c r="D284" s="125"/>
      <c r="E284" s="125"/>
      <c r="F284" s="126" t="str">
        <f>IF(J284="OK",D284*E284,"")</f>
        <v/>
      </c>
      <c r="G284" s="126" t="str">
        <f>IF(J284="OK",F284*(C284-B284),"")</f>
        <v/>
      </c>
      <c r="H284" s="126" t="str">
        <f>IF(J284="OK",G284*(C284+B284)/2,"")</f>
        <v/>
      </c>
      <c r="I284" s="126" t="str">
        <f>IF(AND(J284="OK",ISNUMBER($B$5),$B$5&gt;0,ISNUMBER($B$3),$B$3&gt;0),F284*(4*$B$4*(C284^3-B284^3)-(C284^4-B284^4))/(24*$B$3*1000000*$B$5)*1000,"")</f>
        <v/>
      </c>
      <c r="J284" s="120" t="str">
        <f>IF(COUNTA(A284:E284)=0,"",IF(AND(COUNT(B284:E284)=4,B284&gt;=0,C284&gt;B284,C284&lt;=$B$4,D284&gt;=0,E284&gt;0),IF(COUNTIFS($B$13:$B$283,"&lt;"&amp;C284,$C$13:$C$283,"&gt;"&amp;B284)&gt;0,"OVERLAP","OK"),"CHECK INPUTS"))</f>
        <v/>
      </c>
      <c r="M284" s="124"/>
      <c r="N284" s="125"/>
      <c r="O284" s="125"/>
      <c r="P284" s="125"/>
      <c r="Q284" s="125"/>
      <c r="R284" s="126" t="str">
        <f>IF(V284="OK",P284*Q284,"")</f>
        <v/>
      </c>
      <c r="S284" s="126" t="str">
        <f>IF(V284="OK",R284*(O284-N284),"")</f>
        <v/>
      </c>
      <c r="T284" s="126" t="str">
        <f>IF(V284="OK",S284*(O284+N284)/2,"")</f>
        <v/>
      </c>
      <c r="U284" s="126" t="str">
        <f>IF(AND(V284="OK",ISNUMBER($N$5),$N$5&gt;0,ISNUMBER($N$3),$N$3&gt;0),R284*(4*$N$4*(O284^3-N284^3)-(O284^4-N284^4))/(24*$N$3*1000000*$N$5)*1000,"")</f>
        <v/>
      </c>
      <c r="V284" s="120" t="str">
        <f>IF(COUNTA(M284:Q284)=0,"",IF(AND(COUNT(N284:Q284)=4,N284&gt;=0,O284&gt;N284,O284&lt;=$N$4,P284&gt;=0,Q284&gt;0),IF(COUNTIFS($N$13:$N$283,"&lt;"&amp;O284,$O$13:$O$283,"&gt;"&amp;N284)&gt;0,"OVERLAP","OK"),"CHECK INPUTS"))</f>
        <v/>
      </c>
      <c r="AA284" s="120">
        <f>IF(AND(J284="OK",ISNUMBER($B$5),$B$5&gt;0,ISNUMBER($B$3),$B$3&gt;0),F284/(6*$B$3*1000000*$B$5)*(IF(B284&lt;($B$4*0/10),($B$4*0/10)*(MIN(C284,($B$4*0/10))^3-B284^3)-(MIN(C284,($B$4*0/10))^4-B284^4)/4,0)+IF(C284&gt;($B$4*0/10),($B$4*0/10)^2*(1.5*(C284^2-MAX(B284,($B$4*0/10))^2)-($B$4*0/10)*(C284-MAX(B284,($B$4*0/10)))),0))*1000,0)</f>
        <v>0</v>
      </c>
      <c r="AB284" s="120">
        <f>IF(AND(J284="OK",ISNUMBER($B$5),$B$5&gt;0,ISNUMBER($B$3),$B$3&gt;0),F284/(6*$B$3*1000000*$B$5)*(IF(B284&lt;($B$4*1/10),($B$4*1/10)*(MIN(C284,($B$4*1/10))^3-B284^3)-(MIN(C284,($B$4*1/10))^4-B284^4)/4,0)+IF(C284&gt;($B$4*1/10),($B$4*1/10)^2*(1.5*(C284^2-MAX(B284,($B$4*1/10))^2)-($B$4*1/10)*(C284-MAX(B284,($B$4*1/10)))),0))*1000,0)</f>
        <v>0</v>
      </c>
      <c r="AC284" s="120">
        <f>IF(AND(J284="OK",ISNUMBER($B$5),$B$5&gt;0,ISNUMBER($B$3),$B$3&gt;0),F284/(6*$B$3*1000000*$B$5)*(IF(B284&lt;($B$4*2/10),($B$4*2/10)*(MIN(C284,($B$4*2/10))^3-B284^3)-(MIN(C284,($B$4*2/10))^4-B284^4)/4,0)+IF(C284&gt;($B$4*2/10),($B$4*2/10)^2*(1.5*(C284^2-MAX(B284,($B$4*2/10))^2)-($B$4*2/10)*(C284-MAX(B284,($B$4*2/10)))),0))*1000,0)</f>
        <v>0</v>
      </c>
      <c r="AD284" s="120">
        <f>IF(AND(J284="OK",ISNUMBER($B$5),$B$5&gt;0,ISNUMBER($B$3),$B$3&gt;0),F284/(6*$B$3*1000000*$B$5)*(IF(B284&lt;($B$4*3/10),($B$4*3/10)*(MIN(C284,($B$4*3/10))^3-B284^3)-(MIN(C284,($B$4*3/10))^4-B284^4)/4,0)+IF(C284&gt;($B$4*3/10),($B$4*3/10)^2*(1.5*(C284^2-MAX(B284,($B$4*3/10))^2)-($B$4*3/10)*(C284-MAX(B284,($B$4*3/10)))),0))*1000,0)</f>
        <v>0</v>
      </c>
      <c r="AE284" s="120">
        <f>IF(AND(J284="OK",ISNUMBER($B$5),$B$5&gt;0,ISNUMBER($B$3),$B$3&gt;0),F284/(6*$B$3*1000000*$B$5)*(IF(B284&lt;($B$4*4/10),($B$4*4/10)*(MIN(C284,($B$4*4/10))^3-B284^3)-(MIN(C284,($B$4*4/10))^4-B284^4)/4,0)+IF(C284&gt;($B$4*4/10),($B$4*4/10)^2*(1.5*(C284^2-MAX(B284,($B$4*4/10))^2)-($B$4*4/10)*(C284-MAX(B284,($B$4*4/10)))),0))*1000,0)</f>
        <v>0</v>
      </c>
      <c r="AF284" s="120">
        <f>IF(AND(J284="OK",ISNUMBER($B$5),$B$5&gt;0,ISNUMBER($B$3),$B$3&gt;0),F284/(6*$B$3*1000000*$B$5)*(IF(B284&lt;($B$4*5/10),($B$4*5/10)*(MIN(C284,($B$4*5/10))^3-B284^3)-(MIN(C284,($B$4*5/10))^4-B284^4)/4,0)+IF(C284&gt;($B$4*5/10),($B$4*5/10)^2*(1.5*(C284^2-MAX(B284,($B$4*5/10))^2)-($B$4*5/10)*(C284-MAX(B284,($B$4*5/10)))),0))*1000,0)</f>
        <v>0</v>
      </c>
      <c r="AG284" s="120">
        <f>IF(AND(J284="OK",ISNUMBER($B$5),$B$5&gt;0,ISNUMBER($B$3),$B$3&gt;0),F284/(6*$B$3*1000000*$B$5)*(IF(B284&lt;($B$4*6/10),($B$4*6/10)*(MIN(C284,($B$4*6/10))^3-B284^3)-(MIN(C284,($B$4*6/10))^4-B284^4)/4,0)+IF(C284&gt;($B$4*6/10),($B$4*6/10)^2*(1.5*(C284^2-MAX(B284,($B$4*6/10))^2)-($B$4*6/10)*(C284-MAX(B284,($B$4*6/10)))),0))*1000,0)</f>
        <v>0</v>
      </c>
      <c r="AH284" s="120">
        <f>IF(AND(J284="OK",ISNUMBER($B$5),$B$5&gt;0,ISNUMBER($B$3),$B$3&gt;0),F284/(6*$B$3*1000000*$B$5)*(IF(B284&lt;($B$4*7/10),($B$4*7/10)*(MIN(C284,($B$4*7/10))^3-B284^3)-(MIN(C284,($B$4*7/10))^4-B284^4)/4,0)+IF(C284&gt;($B$4*7/10),($B$4*7/10)^2*(1.5*(C284^2-MAX(B284,($B$4*7/10))^2)-($B$4*7/10)*(C284-MAX(B284,($B$4*7/10)))),0))*1000,0)</f>
        <v>0</v>
      </c>
      <c r="AI284" s="120">
        <f>IF(AND(J284="OK",ISNUMBER($B$5),$B$5&gt;0,ISNUMBER($B$3),$B$3&gt;0),F284/(6*$B$3*1000000*$B$5)*(IF(B284&lt;($B$4*8/10),($B$4*8/10)*(MIN(C284,($B$4*8/10))^3-B284^3)-(MIN(C284,($B$4*8/10))^4-B284^4)/4,0)+IF(C284&gt;($B$4*8/10),($B$4*8/10)^2*(1.5*(C284^2-MAX(B284,($B$4*8/10))^2)-($B$4*8/10)*(C284-MAX(B284,($B$4*8/10)))),0))*1000,0)</f>
        <v>0</v>
      </c>
      <c r="AJ284" s="120">
        <f>IF(AND(J284="OK",ISNUMBER($B$5),$B$5&gt;0,ISNUMBER($B$3),$B$3&gt;0),F284/(6*$B$3*1000000*$B$5)*(IF(B284&lt;($B$4*9/10),($B$4*9/10)*(MIN(C284,($B$4*9/10))^3-B284^3)-(MIN(C284,($B$4*9/10))^4-B284^4)/4,0)+IF(C284&gt;($B$4*9/10),($B$4*9/10)^2*(1.5*(C284^2-MAX(B284,($B$4*9/10))^2)-($B$4*9/10)*(C284-MAX(B284,($B$4*9/10)))),0))*1000,0)</f>
        <v>0</v>
      </c>
      <c r="AK284" s="120">
        <f>IF(AND(J284="OK",ISNUMBER($B$5),$B$5&gt;0,ISNUMBER($B$3),$B$3&gt;0),F284/(6*$B$3*1000000*$B$5)*(IF(B284&lt;($B$4*10/10),($B$4*10/10)*(MIN(C284,($B$4*10/10))^3-B284^3)-(MIN(C284,($B$4*10/10))^4-B284^4)/4,0)+IF(C284&gt;($B$4*10/10),($B$4*10/10)^2*(1.5*(C284^2-MAX(B284,($B$4*10/10))^2)-($B$4*10/10)*(C284-MAX(B284,($B$4*10/10)))),0))*1000,0)</f>
        <v>0</v>
      </c>
      <c r="AM284" s="120">
        <f>IF(AND(V284="OK",ISNUMBER($N$5),$N$5&gt;0,ISNUMBER($N$3),$N$3&gt;0),R284/(6*$N$3*1000000*$N$5)*(IF(N284&lt;($N$4*0/10),($N$4*0/10)*(MIN(O284,($N$4*0/10))^3-N284^3)-(MIN(O284,($N$4*0/10))^4-N284^4)/4,0)+IF(O284&gt;($N$4*0/10),($N$4*0/10)^2*(1.5*(O284^2-MAX(N284,($N$4*0/10))^2)-($N$4*0/10)*(O284-MAX(N284,($N$4*0/10)))),0))*1000,0)</f>
        <v>0</v>
      </c>
      <c r="AN284" s="120">
        <f>IF(AND(V284="OK",ISNUMBER($N$5),$N$5&gt;0,ISNUMBER($N$3),$N$3&gt;0),R284/(6*$N$3*1000000*$N$5)*(IF(N284&lt;($N$4*1/10),($N$4*1/10)*(MIN(O284,($N$4*1/10))^3-N284^3)-(MIN(O284,($N$4*1/10))^4-N284^4)/4,0)+IF(O284&gt;($N$4*1/10),($N$4*1/10)^2*(1.5*(O284^2-MAX(N284,($N$4*1/10))^2)-($N$4*1/10)*(O284-MAX(N284,($N$4*1/10)))),0))*1000,0)</f>
        <v>0</v>
      </c>
      <c r="AO284" s="120">
        <f>IF(AND(V284="OK",ISNUMBER($N$5),$N$5&gt;0,ISNUMBER($N$3),$N$3&gt;0),R284/(6*$N$3*1000000*$N$5)*(IF(N284&lt;($N$4*2/10),($N$4*2/10)*(MIN(O284,($N$4*2/10))^3-N284^3)-(MIN(O284,($N$4*2/10))^4-N284^4)/4,0)+IF(O284&gt;($N$4*2/10),($N$4*2/10)^2*(1.5*(O284^2-MAX(N284,($N$4*2/10))^2)-($N$4*2/10)*(O284-MAX(N284,($N$4*2/10)))),0))*1000,0)</f>
        <v>0</v>
      </c>
      <c r="AP284" s="120">
        <f>IF(AND(V284="OK",ISNUMBER($N$5),$N$5&gt;0,ISNUMBER($N$3),$N$3&gt;0),R284/(6*$N$3*1000000*$N$5)*(IF(N284&lt;($N$4*3/10),($N$4*3/10)*(MIN(O284,($N$4*3/10))^3-N284^3)-(MIN(O284,($N$4*3/10))^4-N284^4)/4,0)+IF(O284&gt;($N$4*3/10),($N$4*3/10)^2*(1.5*(O284^2-MAX(N284,($N$4*3/10))^2)-($N$4*3/10)*(O284-MAX(N284,($N$4*3/10)))),0))*1000,0)</f>
        <v>0</v>
      </c>
      <c r="AQ284" s="120">
        <f>IF(AND(V284="OK",ISNUMBER($N$5),$N$5&gt;0,ISNUMBER($N$3),$N$3&gt;0),R284/(6*$N$3*1000000*$N$5)*(IF(N284&lt;($N$4*4/10),($N$4*4/10)*(MIN(O284,($N$4*4/10))^3-N284^3)-(MIN(O284,($N$4*4/10))^4-N284^4)/4,0)+IF(O284&gt;($N$4*4/10),($N$4*4/10)^2*(1.5*(O284^2-MAX(N284,($N$4*4/10))^2)-($N$4*4/10)*(O284-MAX(N284,($N$4*4/10)))),0))*1000,0)</f>
        <v>0</v>
      </c>
      <c r="AR284" s="120">
        <f>IF(AND(V284="OK",ISNUMBER($N$5),$N$5&gt;0,ISNUMBER($N$3),$N$3&gt;0),R284/(6*$N$3*1000000*$N$5)*(IF(N284&lt;($N$4*5/10),($N$4*5/10)*(MIN(O284,($N$4*5/10))^3-N284^3)-(MIN(O284,($N$4*5/10))^4-N284^4)/4,0)+IF(O284&gt;($N$4*5/10),($N$4*5/10)^2*(1.5*(O284^2-MAX(N284,($N$4*5/10))^2)-($N$4*5/10)*(O284-MAX(N284,($N$4*5/10)))),0))*1000,0)</f>
        <v>0</v>
      </c>
      <c r="AS284" s="120">
        <f>IF(AND(V284="OK",ISNUMBER($N$5),$N$5&gt;0,ISNUMBER($N$3),$N$3&gt;0),R284/(6*$N$3*1000000*$N$5)*(IF(N284&lt;($N$4*6/10),($N$4*6/10)*(MIN(O284,($N$4*6/10))^3-N284^3)-(MIN(O284,($N$4*6/10))^4-N284^4)/4,0)+IF(O284&gt;($N$4*6/10),($N$4*6/10)^2*(1.5*(O284^2-MAX(N284,($N$4*6/10))^2)-($N$4*6/10)*(O284-MAX(N284,($N$4*6/10)))),0))*1000,0)</f>
        <v>0</v>
      </c>
      <c r="AT284" s="120">
        <f>IF(AND(V284="OK",ISNUMBER($N$5),$N$5&gt;0,ISNUMBER($N$3),$N$3&gt;0),R284/(6*$N$3*1000000*$N$5)*(IF(N284&lt;($N$4*7/10),($N$4*7/10)*(MIN(O284,($N$4*7/10))^3-N284^3)-(MIN(O284,($N$4*7/10))^4-N284^4)/4,0)+IF(O284&gt;($N$4*7/10),($N$4*7/10)^2*(1.5*(O284^2-MAX(N284,($N$4*7/10))^2)-($N$4*7/10)*(O284-MAX(N284,($N$4*7/10)))),0))*1000,0)</f>
        <v>0</v>
      </c>
      <c r="AU284" s="120">
        <f>IF(AND(V284="OK",ISNUMBER($N$5),$N$5&gt;0,ISNUMBER($N$3),$N$3&gt;0),R284/(6*$N$3*1000000*$N$5)*(IF(N284&lt;($N$4*8/10),($N$4*8/10)*(MIN(O284,($N$4*8/10))^3-N284^3)-(MIN(O284,($N$4*8/10))^4-N284^4)/4,0)+IF(O284&gt;($N$4*8/10),($N$4*8/10)^2*(1.5*(O284^2-MAX(N284,($N$4*8/10))^2)-($N$4*8/10)*(O284-MAX(N284,($N$4*8/10)))),0))*1000,0)</f>
        <v>0</v>
      </c>
      <c r="AV284" s="120">
        <f>IF(AND(V284="OK",ISNUMBER($N$5),$N$5&gt;0,ISNUMBER($N$3),$N$3&gt;0),R284/(6*$N$3*1000000*$N$5)*(IF(N284&lt;($N$4*9/10),($N$4*9/10)*(MIN(O284,($N$4*9/10))^3-N284^3)-(MIN(O284,($N$4*9/10))^4-N284^4)/4,0)+IF(O284&gt;($N$4*9/10),($N$4*9/10)^2*(1.5*(O284^2-MAX(N284,($N$4*9/10))^2)-($N$4*9/10)*(O284-MAX(N284,($N$4*9/10)))),0))*1000,0)</f>
        <v>0</v>
      </c>
      <c r="AW284" s="120">
        <f>IF(AND(V284="OK",ISNUMBER($N$5),$N$5&gt;0,ISNUMBER($N$3),$N$3&gt;0),R284/(6*$N$3*1000000*$N$5)*(IF(N284&lt;($N$4*10/10),($N$4*10/10)*(MIN(O284,($N$4*10/10))^3-N284^3)-(MIN(O284,($N$4*10/10))^4-N284^4)/4,0)+IF(O284&gt;($N$4*10/10),($N$4*10/10)^2*(1.5*(O284^2-MAX(N284,($N$4*10/10))^2)-($N$4*10/10)*(O284-MAX(N284,($N$4*10/10)))),0))*1000,0)</f>
        <v>0</v>
      </c>
    </row>
    <row r="285" spans="1:49">
      <c r="A285" s="124"/>
      <c r="B285" s="125"/>
      <c r="C285" s="125"/>
      <c r="D285" s="125"/>
      <c r="E285" s="125"/>
      <c r="F285" s="126" t="str">
        <f>IF(J285="OK",D285*E285,"")</f>
        <v/>
      </c>
      <c r="G285" s="126" t="str">
        <f>IF(J285="OK",F285*(C285-B285),"")</f>
        <v/>
      </c>
      <c r="H285" s="126" t="str">
        <f>IF(J285="OK",G285*(C285+B285)/2,"")</f>
        <v/>
      </c>
      <c r="I285" s="126" t="str">
        <f>IF(AND(J285="OK",ISNUMBER($B$5),$B$5&gt;0,ISNUMBER($B$3),$B$3&gt;0),F285*(4*$B$4*(C285^3-B285^3)-(C285^4-B285^4))/(24*$B$3*1000000*$B$5)*1000,"")</f>
        <v/>
      </c>
      <c r="J285" s="120" t="str">
        <f>IF(COUNTA(A285:E285)=0,"",IF(AND(COUNT(B285:E285)=4,B285&gt;=0,C285&gt;B285,C285&lt;=$B$4,D285&gt;=0,E285&gt;0),IF(COUNTIFS($B$13:$B$284,"&lt;"&amp;C285,$C$13:$C$284,"&gt;"&amp;B285)&gt;0,"OVERLAP","OK"),"CHECK INPUTS"))</f>
        <v/>
      </c>
      <c r="M285" s="124"/>
      <c r="N285" s="125"/>
      <c r="O285" s="125"/>
      <c r="P285" s="125"/>
      <c r="Q285" s="125"/>
      <c r="R285" s="126" t="str">
        <f>IF(V285="OK",P285*Q285,"")</f>
        <v/>
      </c>
      <c r="S285" s="126" t="str">
        <f>IF(V285="OK",R285*(O285-N285),"")</f>
        <v/>
      </c>
      <c r="T285" s="126" t="str">
        <f>IF(V285="OK",S285*(O285+N285)/2,"")</f>
        <v/>
      </c>
      <c r="U285" s="126" t="str">
        <f>IF(AND(V285="OK",ISNUMBER($N$5),$N$5&gt;0,ISNUMBER($N$3),$N$3&gt;0),R285*(4*$N$4*(O285^3-N285^3)-(O285^4-N285^4))/(24*$N$3*1000000*$N$5)*1000,"")</f>
        <v/>
      </c>
      <c r="V285" s="120" t="str">
        <f>IF(COUNTA(M285:Q285)=0,"",IF(AND(COUNT(N285:Q285)=4,N285&gt;=0,O285&gt;N285,O285&lt;=$N$4,P285&gt;=0,Q285&gt;0),IF(COUNTIFS($N$13:$N$284,"&lt;"&amp;O285,$O$13:$O$284,"&gt;"&amp;N285)&gt;0,"OVERLAP","OK"),"CHECK INPUTS"))</f>
        <v/>
      </c>
      <c r="AA285" s="120">
        <f>IF(AND(J285="OK",ISNUMBER($B$5),$B$5&gt;0,ISNUMBER($B$3),$B$3&gt;0),F285/(6*$B$3*1000000*$B$5)*(IF(B285&lt;($B$4*0/10),($B$4*0/10)*(MIN(C285,($B$4*0/10))^3-B285^3)-(MIN(C285,($B$4*0/10))^4-B285^4)/4,0)+IF(C285&gt;($B$4*0/10),($B$4*0/10)^2*(1.5*(C285^2-MAX(B285,($B$4*0/10))^2)-($B$4*0/10)*(C285-MAX(B285,($B$4*0/10)))),0))*1000,0)</f>
        <v>0</v>
      </c>
      <c r="AB285" s="120">
        <f>IF(AND(J285="OK",ISNUMBER($B$5),$B$5&gt;0,ISNUMBER($B$3),$B$3&gt;0),F285/(6*$B$3*1000000*$B$5)*(IF(B285&lt;($B$4*1/10),($B$4*1/10)*(MIN(C285,($B$4*1/10))^3-B285^3)-(MIN(C285,($B$4*1/10))^4-B285^4)/4,0)+IF(C285&gt;($B$4*1/10),($B$4*1/10)^2*(1.5*(C285^2-MAX(B285,($B$4*1/10))^2)-($B$4*1/10)*(C285-MAX(B285,($B$4*1/10)))),0))*1000,0)</f>
        <v>0</v>
      </c>
      <c r="AC285" s="120">
        <f>IF(AND(J285="OK",ISNUMBER($B$5),$B$5&gt;0,ISNUMBER($B$3),$B$3&gt;0),F285/(6*$B$3*1000000*$B$5)*(IF(B285&lt;($B$4*2/10),($B$4*2/10)*(MIN(C285,($B$4*2/10))^3-B285^3)-(MIN(C285,($B$4*2/10))^4-B285^4)/4,0)+IF(C285&gt;($B$4*2/10),($B$4*2/10)^2*(1.5*(C285^2-MAX(B285,($B$4*2/10))^2)-($B$4*2/10)*(C285-MAX(B285,($B$4*2/10)))),0))*1000,0)</f>
        <v>0</v>
      </c>
      <c r="AD285" s="120">
        <f>IF(AND(J285="OK",ISNUMBER($B$5),$B$5&gt;0,ISNUMBER($B$3),$B$3&gt;0),F285/(6*$B$3*1000000*$B$5)*(IF(B285&lt;($B$4*3/10),($B$4*3/10)*(MIN(C285,($B$4*3/10))^3-B285^3)-(MIN(C285,($B$4*3/10))^4-B285^4)/4,0)+IF(C285&gt;($B$4*3/10),($B$4*3/10)^2*(1.5*(C285^2-MAX(B285,($B$4*3/10))^2)-($B$4*3/10)*(C285-MAX(B285,($B$4*3/10)))),0))*1000,0)</f>
        <v>0</v>
      </c>
      <c r="AE285" s="120">
        <f>IF(AND(J285="OK",ISNUMBER($B$5),$B$5&gt;0,ISNUMBER($B$3),$B$3&gt;0),F285/(6*$B$3*1000000*$B$5)*(IF(B285&lt;($B$4*4/10),($B$4*4/10)*(MIN(C285,($B$4*4/10))^3-B285^3)-(MIN(C285,($B$4*4/10))^4-B285^4)/4,0)+IF(C285&gt;($B$4*4/10),($B$4*4/10)^2*(1.5*(C285^2-MAX(B285,($B$4*4/10))^2)-($B$4*4/10)*(C285-MAX(B285,($B$4*4/10)))),0))*1000,0)</f>
        <v>0</v>
      </c>
      <c r="AF285" s="120">
        <f>IF(AND(J285="OK",ISNUMBER($B$5),$B$5&gt;0,ISNUMBER($B$3),$B$3&gt;0),F285/(6*$B$3*1000000*$B$5)*(IF(B285&lt;($B$4*5/10),($B$4*5/10)*(MIN(C285,($B$4*5/10))^3-B285^3)-(MIN(C285,($B$4*5/10))^4-B285^4)/4,0)+IF(C285&gt;($B$4*5/10),($B$4*5/10)^2*(1.5*(C285^2-MAX(B285,($B$4*5/10))^2)-($B$4*5/10)*(C285-MAX(B285,($B$4*5/10)))),0))*1000,0)</f>
        <v>0</v>
      </c>
      <c r="AG285" s="120">
        <f>IF(AND(J285="OK",ISNUMBER($B$5),$B$5&gt;0,ISNUMBER($B$3),$B$3&gt;0),F285/(6*$B$3*1000000*$B$5)*(IF(B285&lt;($B$4*6/10),($B$4*6/10)*(MIN(C285,($B$4*6/10))^3-B285^3)-(MIN(C285,($B$4*6/10))^4-B285^4)/4,0)+IF(C285&gt;($B$4*6/10),($B$4*6/10)^2*(1.5*(C285^2-MAX(B285,($B$4*6/10))^2)-($B$4*6/10)*(C285-MAX(B285,($B$4*6/10)))),0))*1000,0)</f>
        <v>0</v>
      </c>
      <c r="AH285" s="120">
        <f>IF(AND(J285="OK",ISNUMBER($B$5),$B$5&gt;0,ISNUMBER($B$3),$B$3&gt;0),F285/(6*$B$3*1000000*$B$5)*(IF(B285&lt;($B$4*7/10),($B$4*7/10)*(MIN(C285,($B$4*7/10))^3-B285^3)-(MIN(C285,($B$4*7/10))^4-B285^4)/4,0)+IF(C285&gt;($B$4*7/10),($B$4*7/10)^2*(1.5*(C285^2-MAX(B285,($B$4*7/10))^2)-($B$4*7/10)*(C285-MAX(B285,($B$4*7/10)))),0))*1000,0)</f>
        <v>0</v>
      </c>
      <c r="AI285" s="120">
        <f>IF(AND(J285="OK",ISNUMBER($B$5),$B$5&gt;0,ISNUMBER($B$3),$B$3&gt;0),F285/(6*$B$3*1000000*$B$5)*(IF(B285&lt;($B$4*8/10),($B$4*8/10)*(MIN(C285,($B$4*8/10))^3-B285^3)-(MIN(C285,($B$4*8/10))^4-B285^4)/4,0)+IF(C285&gt;($B$4*8/10),($B$4*8/10)^2*(1.5*(C285^2-MAX(B285,($B$4*8/10))^2)-($B$4*8/10)*(C285-MAX(B285,($B$4*8/10)))),0))*1000,0)</f>
        <v>0</v>
      </c>
      <c r="AJ285" s="120">
        <f>IF(AND(J285="OK",ISNUMBER($B$5),$B$5&gt;0,ISNUMBER($B$3),$B$3&gt;0),F285/(6*$B$3*1000000*$B$5)*(IF(B285&lt;($B$4*9/10),($B$4*9/10)*(MIN(C285,($B$4*9/10))^3-B285^3)-(MIN(C285,($B$4*9/10))^4-B285^4)/4,0)+IF(C285&gt;($B$4*9/10),($B$4*9/10)^2*(1.5*(C285^2-MAX(B285,($B$4*9/10))^2)-($B$4*9/10)*(C285-MAX(B285,($B$4*9/10)))),0))*1000,0)</f>
        <v>0</v>
      </c>
      <c r="AK285" s="120">
        <f>IF(AND(J285="OK",ISNUMBER($B$5),$B$5&gt;0,ISNUMBER($B$3),$B$3&gt;0),F285/(6*$B$3*1000000*$B$5)*(IF(B285&lt;($B$4*10/10),($B$4*10/10)*(MIN(C285,($B$4*10/10))^3-B285^3)-(MIN(C285,($B$4*10/10))^4-B285^4)/4,0)+IF(C285&gt;($B$4*10/10),($B$4*10/10)^2*(1.5*(C285^2-MAX(B285,($B$4*10/10))^2)-($B$4*10/10)*(C285-MAX(B285,($B$4*10/10)))),0))*1000,0)</f>
        <v>0</v>
      </c>
      <c r="AM285" s="120">
        <f>IF(AND(V285="OK",ISNUMBER($N$5),$N$5&gt;0,ISNUMBER($N$3),$N$3&gt;0),R285/(6*$N$3*1000000*$N$5)*(IF(N285&lt;($N$4*0/10),($N$4*0/10)*(MIN(O285,($N$4*0/10))^3-N285^3)-(MIN(O285,($N$4*0/10))^4-N285^4)/4,0)+IF(O285&gt;($N$4*0/10),($N$4*0/10)^2*(1.5*(O285^2-MAX(N285,($N$4*0/10))^2)-($N$4*0/10)*(O285-MAX(N285,($N$4*0/10)))),0))*1000,0)</f>
        <v>0</v>
      </c>
      <c r="AN285" s="120">
        <f>IF(AND(V285="OK",ISNUMBER($N$5),$N$5&gt;0,ISNUMBER($N$3),$N$3&gt;0),R285/(6*$N$3*1000000*$N$5)*(IF(N285&lt;($N$4*1/10),($N$4*1/10)*(MIN(O285,($N$4*1/10))^3-N285^3)-(MIN(O285,($N$4*1/10))^4-N285^4)/4,0)+IF(O285&gt;($N$4*1/10),($N$4*1/10)^2*(1.5*(O285^2-MAX(N285,($N$4*1/10))^2)-($N$4*1/10)*(O285-MAX(N285,($N$4*1/10)))),0))*1000,0)</f>
        <v>0</v>
      </c>
      <c r="AO285" s="120">
        <f>IF(AND(V285="OK",ISNUMBER($N$5),$N$5&gt;0,ISNUMBER($N$3),$N$3&gt;0),R285/(6*$N$3*1000000*$N$5)*(IF(N285&lt;($N$4*2/10),($N$4*2/10)*(MIN(O285,($N$4*2/10))^3-N285^3)-(MIN(O285,($N$4*2/10))^4-N285^4)/4,0)+IF(O285&gt;($N$4*2/10),($N$4*2/10)^2*(1.5*(O285^2-MAX(N285,($N$4*2/10))^2)-($N$4*2/10)*(O285-MAX(N285,($N$4*2/10)))),0))*1000,0)</f>
        <v>0</v>
      </c>
      <c r="AP285" s="120">
        <f>IF(AND(V285="OK",ISNUMBER($N$5),$N$5&gt;0,ISNUMBER($N$3),$N$3&gt;0),R285/(6*$N$3*1000000*$N$5)*(IF(N285&lt;($N$4*3/10),($N$4*3/10)*(MIN(O285,($N$4*3/10))^3-N285^3)-(MIN(O285,($N$4*3/10))^4-N285^4)/4,0)+IF(O285&gt;($N$4*3/10),($N$4*3/10)^2*(1.5*(O285^2-MAX(N285,($N$4*3/10))^2)-($N$4*3/10)*(O285-MAX(N285,($N$4*3/10)))),0))*1000,0)</f>
        <v>0</v>
      </c>
      <c r="AQ285" s="120">
        <f>IF(AND(V285="OK",ISNUMBER($N$5),$N$5&gt;0,ISNUMBER($N$3),$N$3&gt;0),R285/(6*$N$3*1000000*$N$5)*(IF(N285&lt;($N$4*4/10),($N$4*4/10)*(MIN(O285,($N$4*4/10))^3-N285^3)-(MIN(O285,($N$4*4/10))^4-N285^4)/4,0)+IF(O285&gt;($N$4*4/10),($N$4*4/10)^2*(1.5*(O285^2-MAX(N285,($N$4*4/10))^2)-($N$4*4/10)*(O285-MAX(N285,($N$4*4/10)))),0))*1000,0)</f>
        <v>0</v>
      </c>
      <c r="AR285" s="120">
        <f>IF(AND(V285="OK",ISNUMBER($N$5),$N$5&gt;0,ISNUMBER($N$3),$N$3&gt;0),R285/(6*$N$3*1000000*$N$5)*(IF(N285&lt;($N$4*5/10),($N$4*5/10)*(MIN(O285,($N$4*5/10))^3-N285^3)-(MIN(O285,($N$4*5/10))^4-N285^4)/4,0)+IF(O285&gt;($N$4*5/10),($N$4*5/10)^2*(1.5*(O285^2-MAX(N285,($N$4*5/10))^2)-($N$4*5/10)*(O285-MAX(N285,($N$4*5/10)))),0))*1000,0)</f>
        <v>0</v>
      </c>
      <c r="AS285" s="120">
        <f>IF(AND(V285="OK",ISNUMBER($N$5),$N$5&gt;0,ISNUMBER($N$3),$N$3&gt;0),R285/(6*$N$3*1000000*$N$5)*(IF(N285&lt;($N$4*6/10),($N$4*6/10)*(MIN(O285,($N$4*6/10))^3-N285^3)-(MIN(O285,($N$4*6/10))^4-N285^4)/4,0)+IF(O285&gt;($N$4*6/10),($N$4*6/10)^2*(1.5*(O285^2-MAX(N285,($N$4*6/10))^2)-($N$4*6/10)*(O285-MAX(N285,($N$4*6/10)))),0))*1000,0)</f>
        <v>0</v>
      </c>
      <c r="AT285" s="120">
        <f>IF(AND(V285="OK",ISNUMBER($N$5),$N$5&gt;0,ISNUMBER($N$3),$N$3&gt;0),R285/(6*$N$3*1000000*$N$5)*(IF(N285&lt;($N$4*7/10),($N$4*7/10)*(MIN(O285,($N$4*7/10))^3-N285^3)-(MIN(O285,($N$4*7/10))^4-N285^4)/4,0)+IF(O285&gt;($N$4*7/10),($N$4*7/10)^2*(1.5*(O285^2-MAX(N285,($N$4*7/10))^2)-($N$4*7/10)*(O285-MAX(N285,($N$4*7/10)))),0))*1000,0)</f>
        <v>0</v>
      </c>
      <c r="AU285" s="120">
        <f>IF(AND(V285="OK",ISNUMBER($N$5),$N$5&gt;0,ISNUMBER($N$3),$N$3&gt;0),R285/(6*$N$3*1000000*$N$5)*(IF(N285&lt;($N$4*8/10),($N$4*8/10)*(MIN(O285,($N$4*8/10))^3-N285^3)-(MIN(O285,($N$4*8/10))^4-N285^4)/4,0)+IF(O285&gt;($N$4*8/10),($N$4*8/10)^2*(1.5*(O285^2-MAX(N285,($N$4*8/10))^2)-($N$4*8/10)*(O285-MAX(N285,($N$4*8/10)))),0))*1000,0)</f>
        <v>0</v>
      </c>
      <c r="AV285" s="120">
        <f>IF(AND(V285="OK",ISNUMBER($N$5),$N$5&gt;0,ISNUMBER($N$3),$N$3&gt;0),R285/(6*$N$3*1000000*$N$5)*(IF(N285&lt;($N$4*9/10),($N$4*9/10)*(MIN(O285,($N$4*9/10))^3-N285^3)-(MIN(O285,($N$4*9/10))^4-N285^4)/4,0)+IF(O285&gt;($N$4*9/10),($N$4*9/10)^2*(1.5*(O285^2-MAX(N285,($N$4*9/10))^2)-($N$4*9/10)*(O285-MAX(N285,($N$4*9/10)))),0))*1000,0)</f>
        <v>0</v>
      </c>
      <c r="AW285" s="120">
        <f>IF(AND(V285="OK",ISNUMBER($N$5),$N$5&gt;0,ISNUMBER($N$3),$N$3&gt;0),R285/(6*$N$3*1000000*$N$5)*(IF(N285&lt;($N$4*10/10),($N$4*10/10)*(MIN(O285,($N$4*10/10))^3-N285^3)-(MIN(O285,($N$4*10/10))^4-N285^4)/4,0)+IF(O285&gt;($N$4*10/10),($N$4*10/10)^2*(1.5*(O285^2-MAX(N285,($N$4*10/10))^2)-($N$4*10/10)*(O285-MAX(N285,($N$4*10/10)))),0))*1000,0)</f>
        <v>0</v>
      </c>
    </row>
    <row r="286" spans="1:49">
      <c r="A286" s="124"/>
      <c r="B286" s="125"/>
      <c r="C286" s="125"/>
      <c r="D286" s="125"/>
      <c r="E286" s="125"/>
      <c r="F286" s="126" t="str">
        <f>IF(J286="OK",D286*E286,"")</f>
        <v/>
      </c>
      <c r="G286" s="126" t="str">
        <f>IF(J286="OK",F286*(C286-B286),"")</f>
        <v/>
      </c>
      <c r="H286" s="126" t="str">
        <f>IF(J286="OK",G286*(C286+B286)/2,"")</f>
        <v/>
      </c>
      <c r="I286" s="126" t="str">
        <f>IF(AND(J286="OK",ISNUMBER($B$5),$B$5&gt;0,ISNUMBER($B$3),$B$3&gt;0),F286*(4*$B$4*(C286^3-B286^3)-(C286^4-B286^4))/(24*$B$3*1000000*$B$5)*1000,"")</f>
        <v/>
      </c>
      <c r="J286" s="120" t="str">
        <f>IF(COUNTA(A286:E286)=0,"",IF(AND(COUNT(B286:E286)=4,B286&gt;=0,C286&gt;B286,C286&lt;=$B$4,D286&gt;=0,E286&gt;0),IF(COUNTIFS($B$13:$B$285,"&lt;"&amp;C286,$C$13:$C$285,"&gt;"&amp;B286)&gt;0,"OVERLAP","OK"),"CHECK INPUTS"))</f>
        <v/>
      </c>
      <c r="M286" s="124"/>
      <c r="N286" s="125"/>
      <c r="O286" s="125"/>
      <c r="P286" s="125"/>
      <c r="Q286" s="125"/>
      <c r="R286" s="126" t="str">
        <f>IF(V286="OK",P286*Q286,"")</f>
        <v/>
      </c>
      <c r="S286" s="126" t="str">
        <f>IF(V286="OK",R286*(O286-N286),"")</f>
        <v/>
      </c>
      <c r="T286" s="126" t="str">
        <f>IF(V286="OK",S286*(O286+N286)/2,"")</f>
        <v/>
      </c>
      <c r="U286" s="126" t="str">
        <f>IF(AND(V286="OK",ISNUMBER($N$5),$N$5&gt;0,ISNUMBER($N$3),$N$3&gt;0),R286*(4*$N$4*(O286^3-N286^3)-(O286^4-N286^4))/(24*$N$3*1000000*$N$5)*1000,"")</f>
        <v/>
      </c>
      <c r="V286" s="120" t="str">
        <f>IF(COUNTA(M286:Q286)=0,"",IF(AND(COUNT(N286:Q286)=4,N286&gt;=0,O286&gt;N286,O286&lt;=$N$4,P286&gt;=0,Q286&gt;0),IF(COUNTIFS($N$13:$N$285,"&lt;"&amp;O286,$O$13:$O$285,"&gt;"&amp;N286)&gt;0,"OVERLAP","OK"),"CHECK INPUTS"))</f>
        <v/>
      </c>
      <c r="AA286" s="120">
        <f>IF(AND(J286="OK",ISNUMBER($B$5),$B$5&gt;0,ISNUMBER($B$3),$B$3&gt;0),F286/(6*$B$3*1000000*$B$5)*(IF(B286&lt;($B$4*0/10),($B$4*0/10)*(MIN(C286,($B$4*0/10))^3-B286^3)-(MIN(C286,($B$4*0/10))^4-B286^4)/4,0)+IF(C286&gt;($B$4*0/10),($B$4*0/10)^2*(1.5*(C286^2-MAX(B286,($B$4*0/10))^2)-($B$4*0/10)*(C286-MAX(B286,($B$4*0/10)))),0))*1000,0)</f>
        <v>0</v>
      </c>
      <c r="AB286" s="120">
        <f>IF(AND(J286="OK",ISNUMBER($B$5),$B$5&gt;0,ISNUMBER($B$3),$B$3&gt;0),F286/(6*$B$3*1000000*$B$5)*(IF(B286&lt;($B$4*1/10),($B$4*1/10)*(MIN(C286,($B$4*1/10))^3-B286^3)-(MIN(C286,($B$4*1/10))^4-B286^4)/4,0)+IF(C286&gt;($B$4*1/10),($B$4*1/10)^2*(1.5*(C286^2-MAX(B286,($B$4*1/10))^2)-($B$4*1/10)*(C286-MAX(B286,($B$4*1/10)))),0))*1000,0)</f>
        <v>0</v>
      </c>
      <c r="AC286" s="120">
        <f>IF(AND(J286="OK",ISNUMBER($B$5),$B$5&gt;0,ISNUMBER($B$3),$B$3&gt;0),F286/(6*$B$3*1000000*$B$5)*(IF(B286&lt;($B$4*2/10),($B$4*2/10)*(MIN(C286,($B$4*2/10))^3-B286^3)-(MIN(C286,($B$4*2/10))^4-B286^4)/4,0)+IF(C286&gt;($B$4*2/10),($B$4*2/10)^2*(1.5*(C286^2-MAX(B286,($B$4*2/10))^2)-($B$4*2/10)*(C286-MAX(B286,($B$4*2/10)))),0))*1000,0)</f>
        <v>0</v>
      </c>
      <c r="AD286" s="120">
        <f>IF(AND(J286="OK",ISNUMBER($B$5),$B$5&gt;0,ISNUMBER($B$3),$B$3&gt;0),F286/(6*$B$3*1000000*$B$5)*(IF(B286&lt;($B$4*3/10),($B$4*3/10)*(MIN(C286,($B$4*3/10))^3-B286^3)-(MIN(C286,($B$4*3/10))^4-B286^4)/4,0)+IF(C286&gt;($B$4*3/10),($B$4*3/10)^2*(1.5*(C286^2-MAX(B286,($B$4*3/10))^2)-($B$4*3/10)*(C286-MAX(B286,($B$4*3/10)))),0))*1000,0)</f>
        <v>0</v>
      </c>
      <c r="AE286" s="120">
        <f>IF(AND(J286="OK",ISNUMBER($B$5),$B$5&gt;0,ISNUMBER($B$3),$B$3&gt;0),F286/(6*$B$3*1000000*$B$5)*(IF(B286&lt;($B$4*4/10),($B$4*4/10)*(MIN(C286,($B$4*4/10))^3-B286^3)-(MIN(C286,($B$4*4/10))^4-B286^4)/4,0)+IF(C286&gt;($B$4*4/10),($B$4*4/10)^2*(1.5*(C286^2-MAX(B286,($B$4*4/10))^2)-($B$4*4/10)*(C286-MAX(B286,($B$4*4/10)))),0))*1000,0)</f>
        <v>0</v>
      </c>
      <c r="AF286" s="120">
        <f>IF(AND(J286="OK",ISNUMBER($B$5),$B$5&gt;0,ISNUMBER($B$3),$B$3&gt;0),F286/(6*$B$3*1000000*$B$5)*(IF(B286&lt;($B$4*5/10),($B$4*5/10)*(MIN(C286,($B$4*5/10))^3-B286^3)-(MIN(C286,($B$4*5/10))^4-B286^4)/4,0)+IF(C286&gt;($B$4*5/10),($B$4*5/10)^2*(1.5*(C286^2-MAX(B286,($B$4*5/10))^2)-($B$4*5/10)*(C286-MAX(B286,($B$4*5/10)))),0))*1000,0)</f>
        <v>0</v>
      </c>
      <c r="AG286" s="120">
        <f>IF(AND(J286="OK",ISNUMBER($B$5),$B$5&gt;0,ISNUMBER($B$3),$B$3&gt;0),F286/(6*$B$3*1000000*$B$5)*(IF(B286&lt;($B$4*6/10),($B$4*6/10)*(MIN(C286,($B$4*6/10))^3-B286^3)-(MIN(C286,($B$4*6/10))^4-B286^4)/4,0)+IF(C286&gt;($B$4*6/10),($B$4*6/10)^2*(1.5*(C286^2-MAX(B286,($B$4*6/10))^2)-($B$4*6/10)*(C286-MAX(B286,($B$4*6/10)))),0))*1000,0)</f>
        <v>0</v>
      </c>
      <c r="AH286" s="120">
        <f>IF(AND(J286="OK",ISNUMBER($B$5),$B$5&gt;0,ISNUMBER($B$3),$B$3&gt;0),F286/(6*$B$3*1000000*$B$5)*(IF(B286&lt;($B$4*7/10),($B$4*7/10)*(MIN(C286,($B$4*7/10))^3-B286^3)-(MIN(C286,($B$4*7/10))^4-B286^4)/4,0)+IF(C286&gt;($B$4*7/10),($B$4*7/10)^2*(1.5*(C286^2-MAX(B286,($B$4*7/10))^2)-($B$4*7/10)*(C286-MAX(B286,($B$4*7/10)))),0))*1000,0)</f>
        <v>0</v>
      </c>
      <c r="AI286" s="120">
        <f>IF(AND(J286="OK",ISNUMBER($B$5),$B$5&gt;0,ISNUMBER($B$3),$B$3&gt;0),F286/(6*$B$3*1000000*$B$5)*(IF(B286&lt;($B$4*8/10),($B$4*8/10)*(MIN(C286,($B$4*8/10))^3-B286^3)-(MIN(C286,($B$4*8/10))^4-B286^4)/4,0)+IF(C286&gt;($B$4*8/10),($B$4*8/10)^2*(1.5*(C286^2-MAX(B286,($B$4*8/10))^2)-($B$4*8/10)*(C286-MAX(B286,($B$4*8/10)))),0))*1000,0)</f>
        <v>0</v>
      </c>
      <c r="AJ286" s="120">
        <f>IF(AND(J286="OK",ISNUMBER($B$5),$B$5&gt;0,ISNUMBER($B$3),$B$3&gt;0),F286/(6*$B$3*1000000*$B$5)*(IF(B286&lt;($B$4*9/10),($B$4*9/10)*(MIN(C286,($B$4*9/10))^3-B286^3)-(MIN(C286,($B$4*9/10))^4-B286^4)/4,0)+IF(C286&gt;($B$4*9/10),($B$4*9/10)^2*(1.5*(C286^2-MAX(B286,($B$4*9/10))^2)-($B$4*9/10)*(C286-MAX(B286,($B$4*9/10)))),0))*1000,0)</f>
        <v>0</v>
      </c>
      <c r="AK286" s="120">
        <f>IF(AND(J286="OK",ISNUMBER($B$5),$B$5&gt;0,ISNUMBER($B$3),$B$3&gt;0),F286/(6*$B$3*1000000*$B$5)*(IF(B286&lt;($B$4*10/10),($B$4*10/10)*(MIN(C286,($B$4*10/10))^3-B286^3)-(MIN(C286,($B$4*10/10))^4-B286^4)/4,0)+IF(C286&gt;($B$4*10/10),($B$4*10/10)^2*(1.5*(C286^2-MAX(B286,($B$4*10/10))^2)-($B$4*10/10)*(C286-MAX(B286,($B$4*10/10)))),0))*1000,0)</f>
        <v>0</v>
      </c>
      <c r="AM286" s="120">
        <f>IF(AND(V286="OK",ISNUMBER($N$5),$N$5&gt;0,ISNUMBER($N$3),$N$3&gt;0),R286/(6*$N$3*1000000*$N$5)*(IF(N286&lt;($N$4*0/10),($N$4*0/10)*(MIN(O286,($N$4*0/10))^3-N286^3)-(MIN(O286,($N$4*0/10))^4-N286^4)/4,0)+IF(O286&gt;($N$4*0/10),($N$4*0/10)^2*(1.5*(O286^2-MAX(N286,($N$4*0/10))^2)-($N$4*0/10)*(O286-MAX(N286,($N$4*0/10)))),0))*1000,0)</f>
        <v>0</v>
      </c>
      <c r="AN286" s="120">
        <f>IF(AND(V286="OK",ISNUMBER($N$5),$N$5&gt;0,ISNUMBER($N$3),$N$3&gt;0),R286/(6*$N$3*1000000*$N$5)*(IF(N286&lt;($N$4*1/10),($N$4*1/10)*(MIN(O286,($N$4*1/10))^3-N286^3)-(MIN(O286,($N$4*1/10))^4-N286^4)/4,0)+IF(O286&gt;($N$4*1/10),($N$4*1/10)^2*(1.5*(O286^2-MAX(N286,($N$4*1/10))^2)-($N$4*1/10)*(O286-MAX(N286,($N$4*1/10)))),0))*1000,0)</f>
        <v>0</v>
      </c>
      <c r="AO286" s="120">
        <f>IF(AND(V286="OK",ISNUMBER($N$5),$N$5&gt;0,ISNUMBER($N$3),$N$3&gt;0),R286/(6*$N$3*1000000*$N$5)*(IF(N286&lt;($N$4*2/10),($N$4*2/10)*(MIN(O286,($N$4*2/10))^3-N286^3)-(MIN(O286,($N$4*2/10))^4-N286^4)/4,0)+IF(O286&gt;($N$4*2/10),($N$4*2/10)^2*(1.5*(O286^2-MAX(N286,($N$4*2/10))^2)-($N$4*2/10)*(O286-MAX(N286,($N$4*2/10)))),0))*1000,0)</f>
        <v>0</v>
      </c>
      <c r="AP286" s="120">
        <f>IF(AND(V286="OK",ISNUMBER($N$5),$N$5&gt;0,ISNUMBER($N$3),$N$3&gt;0),R286/(6*$N$3*1000000*$N$5)*(IF(N286&lt;($N$4*3/10),($N$4*3/10)*(MIN(O286,($N$4*3/10))^3-N286^3)-(MIN(O286,($N$4*3/10))^4-N286^4)/4,0)+IF(O286&gt;($N$4*3/10),($N$4*3/10)^2*(1.5*(O286^2-MAX(N286,($N$4*3/10))^2)-($N$4*3/10)*(O286-MAX(N286,($N$4*3/10)))),0))*1000,0)</f>
        <v>0</v>
      </c>
      <c r="AQ286" s="120">
        <f>IF(AND(V286="OK",ISNUMBER($N$5),$N$5&gt;0,ISNUMBER($N$3),$N$3&gt;0),R286/(6*$N$3*1000000*$N$5)*(IF(N286&lt;($N$4*4/10),($N$4*4/10)*(MIN(O286,($N$4*4/10))^3-N286^3)-(MIN(O286,($N$4*4/10))^4-N286^4)/4,0)+IF(O286&gt;($N$4*4/10),($N$4*4/10)^2*(1.5*(O286^2-MAX(N286,($N$4*4/10))^2)-($N$4*4/10)*(O286-MAX(N286,($N$4*4/10)))),0))*1000,0)</f>
        <v>0</v>
      </c>
      <c r="AR286" s="120">
        <f>IF(AND(V286="OK",ISNUMBER($N$5),$N$5&gt;0,ISNUMBER($N$3),$N$3&gt;0),R286/(6*$N$3*1000000*$N$5)*(IF(N286&lt;($N$4*5/10),($N$4*5/10)*(MIN(O286,($N$4*5/10))^3-N286^3)-(MIN(O286,($N$4*5/10))^4-N286^4)/4,0)+IF(O286&gt;($N$4*5/10),($N$4*5/10)^2*(1.5*(O286^2-MAX(N286,($N$4*5/10))^2)-($N$4*5/10)*(O286-MAX(N286,($N$4*5/10)))),0))*1000,0)</f>
        <v>0</v>
      </c>
      <c r="AS286" s="120">
        <f>IF(AND(V286="OK",ISNUMBER($N$5),$N$5&gt;0,ISNUMBER($N$3),$N$3&gt;0),R286/(6*$N$3*1000000*$N$5)*(IF(N286&lt;($N$4*6/10),($N$4*6/10)*(MIN(O286,($N$4*6/10))^3-N286^3)-(MIN(O286,($N$4*6/10))^4-N286^4)/4,0)+IF(O286&gt;($N$4*6/10),($N$4*6/10)^2*(1.5*(O286^2-MAX(N286,($N$4*6/10))^2)-($N$4*6/10)*(O286-MAX(N286,($N$4*6/10)))),0))*1000,0)</f>
        <v>0</v>
      </c>
      <c r="AT286" s="120">
        <f>IF(AND(V286="OK",ISNUMBER($N$5),$N$5&gt;0,ISNUMBER($N$3),$N$3&gt;0),R286/(6*$N$3*1000000*$N$5)*(IF(N286&lt;($N$4*7/10),($N$4*7/10)*(MIN(O286,($N$4*7/10))^3-N286^3)-(MIN(O286,($N$4*7/10))^4-N286^4)/4,0)+IF(O286&gt;($N$4*7/10),($N$4*7/10)^2*(1.5*(O286^2-MAX(N286,($N$4*7/10))^2)-($N$4*7/10)*(O286-MAX(N286,($N$4*7/10)))),0))*1000,0)</f>
        <v>0</v>
      </c>
      <c r="AU286" s="120">
        <f>IF(AND(V286="OK",ISNUMBER($N$5),$N$5&gt;0,ISNUMBER($N$3),$N$3&gt;0),R286/(6*$N$3*1000000*$N$5)*(IF(N286&lt;($N$4*8/10),($N$4*8/10)*(MIN(O286,($N$4*8/10))^3-N286^3)-(MIN(O286,($N$4*8/10))^4-N286^4)/4,0)+IF(O286&gt;($N$4*8/10),($N$4*8/10)^2*(1.5*(O286^2-MAX(N286,($N$4*8/10))^2)-($N$4*8/10)*(O286-MAX(N286,($N$4*8/10)))),0))*1000,0)</f>
        <v>0</v>
      </c>
      <c r="AV286" s="120">
        <f>IF(AND(V286="OK",ISNUMBER($N$5),$N$5&gt;0,ISNUMBER($N$3),$N$3&gt;0),R286/(6*$N$3*1000000*$N$5)*(IF(N286&lt;($N$4*9/10),($N$4*9/10)*(MIN(O286,($N$4*9/10))^3-N286^3)-(MIN(O286,($N$4*9/10))^4-N286^4)/4,0)+IF(O286&gt;($N$4*9/10),($N$4*9/10)^2*(1.5*(O286^2-MAX(N286,($N$4*9/10))^2)-($N$4*9/10)*(O286-MAX(N286,($N$4*9/10)))),0))*1000,0)</f>
        <v>0</v>
      </c>
      <c r="AW286" s="120">
        <f>IF(AND(V286="OK",ISNUMBER($N$5),$N$5&gt;0,ISNUMBER($N$3),$N$3&gt;0),R286/(6*$N$3*1000000*$N$5)*(IF(N286&lt;($N$4*10/10),($N$4*10/10)*(MIN(O286,($N$4*10/10))^3-N286^3)-(MIN(O286,($N$4*10/10))^4-N286^4)/4,0)+IF(O286&gt;($N$4*10/10),($N$4*10/10)^2*(1.5*(O286^2-MAX(N286,($N$4*10/10))^2)-($N$4*10/10)*(O286-MAX(N286,($N$4*10/10)))),0))*1000,0)</f>
        <v>0</v>
      </c>
    </row>
    <row r="287" spans="1:49">
      <c r="A287" s="124"/>
      <c r="B287" s="125"/>
      <c r="C287" s="125"/>
      <c r="D287" s="125"/>
      <c r="E287" s="125"/>
      <c r="F287" s="126" t="str">
        <f>IF(J287="OK",D287*E287,"")</f>
        <v/>
      </c>
      <c r="G287" s="126" t="str">
        <f>IF(J287="OK",F287*(C287-B287),"")</f>
        <v/>
      </c>
      <c r="H287" s="126" t="str">
        <f>IF(J287="OK",G287*(C287+B287)/2,"")</f>
        <v/>
      </c>
      <c r="I287" s="126" t="str">
        <f>IF(AND(J287="OK",ISNUMBER($B$5),$B$5&gt;0,ISNUMBER($B$3),$B$3&gt;0),F287*(4*$B$4*(C287^3-B287^3)-(C287^4-B287^4))/(24*$B$3*1000000*$B$5)*1000,"")</f>
        <v/>
      </c>
      <c r="J287" s="120" t="str">
        <f>IF(COUNTA(A287:E287)=0,"",IF(AND(COUNT(B287:E287)=4,B287&gt;=0,C287&gt;B287,C287&lt;=$B$4,D287&gt;=0,E287&gt;0),IF(COUNTIFS($B$13:$B$286,"&lt;"&amp;C287,$C$13:$C$286,"&gt;"&amp;B287)&gt;0,"OVERLAP","OK"),"CHECK INPUTS"))</f>
        <v/>
      </c>
      <c r="M287" s="124"/>
      <c r="N287" s="125"/>
      <c r="O287" s="125"/>
      <c r="P287" s="125"/>
      <c r="Q287" s="125"/>
      <c r="R287" s="126" t="str">
        <f>IF(V287="OK",P287*Q287,"")</f>
        <v/>
      </c>
      <c r="S287" s="126" t="str">
        <f>IF(V287="OK",R287*(O287-N287),"")</f>
        <v/>
      </c>
      <c r="T287" s="126" t="str">
        <f>IF(V287="OK",S287*(O287+N287)/2,"")</f>
        <v/>
      </c>
      <c r="U287" s="126" t="str">
        <f>IF(AND(V287="OK",ISNUMBER($N$5),$N$5&gt;0,ISNUMBER($N$3),$N$3&gt;0),R287*(4*$N$4*(O287^3-N287^3)-(O287^4-N287^4))/(24*$N$3*1000000*$N$5)*1000,"")</f>
        <v/>
      </c>
      <c r="V287" s="120" t="str">
        <f>IF(COUNTA(M287:Q287)=0,"",IF(AND(COUNT(N287:Q287)=4,N287&gt;=0,O287&gt;N287,O287&lt;=$N$4,P287&gt;=0,Q287&gt;0),IF(COUNTIFS($N$13:$N$286,"&lt;"&amp;O287,$O$13:$O$286,"&gt;"&amp;N287)&gt;0,"OVERLAP","OK"),"CHECK INPUTS"))</f>
        <v/>
      </c>
      <c r="AA287" s="120">
        <f>IF(AND(J287="OK",ISNUMBER($B$5),$B$5&gt;0,ISNUMBER($B$3),$B$3&gt;0),F287/(6*$B$3*1000000*$B$5)*(IF(B287&lt;($B$4*0/10),($B$4*0/10)*(MIN(C287,($B$4*0/10))^3-B287^3)-(MIN(C287,($B$4*0/10))^4-B287^4)/4,0)+IF(C287&gt;($B$4*0/10),($B$4*0/10)^2*(1.5*(C287^2-MAX(B287,($B$4*0/10))^2)-($B$4*0/10)*(C287-MAX(B287,($B$4*0/10)))),0))*1000,0)</f>
        <v>0</v>
      </c>
      <c r="AB287" s="120">
        <f>IF(AND(J287="OK",ISNUMBER($B$5),$B$5&gt;0,ISNUMBER($B$3),$B$3&gt;0),F287/(6*$B$3*1000000*$B$5)*(IF(B287&lt;($B$4*1/10),($B$4*1/10)*(MIN(C287,($B$4*1/10))^3-B287^3)-(MIN(C287,($B$4*1/10))^4-B287^4)/4,0)+IF(C287&gt;($B$4*1/10),($B$4*1/10)^2*(1.5*(C287^2-MAX(B287,($B$4*1/10))^2)-($B$4*1/10)*(C287-MAX(B287,($B$4*1/10)))),0))*1000,0)</f>
        <v>0</v>
      </c>
      <c r="AC287" s="120">
        <f>IF(AND(J287="OK",ISNUMBER($B$5),$B$5&gt;0,ISNUMBER($B$3),$B$3&gt;0),F287/(6*$B$3*1000000*$B$5)*(IF(B287&lt;($B$4*2/10),($B$4*2/10)*(MIN(C287,($B$4*2/10))^3-B287^3)-(MIN(C287,($B$4*2/10))^4-B287^4)/4,0)+IF(C287&gt;($B$4*2/10),($B$4*2/10)^2*(1.5*(C287^2-MAX(B287,($B$4*2/10))^2)-($B$4*2/10)*(C287-MAX(B287,($B$4*2/10)))),0))*1000,0)</f>
        <v>0</v>
      </c>
      <c r="AD287" s="120">
        <f>IF(AND(J287="OK",ISNUMBER($B$5),$B$5&gt;0,ISNUMBER($B$3),$B$3&gt;0),F287/(6*$B$3*1000000*$B$5)*(IF(B287&lt;($B$4*3/10),($B$4*3/10)*(MIN(C287,($B$4*3/10))^3-B287^3)-(MIN(C287,($B$4*3/10))^4-B287^4)/4,0)+IF(C287&gt;($B$4*3/10),($B$4*3/10)^2*(1.5*(C287^2-MAX(B287,($B$4*3/10))^2)-($B$4*3/10)*(C287-MAX(B287,($B$4*3/10)))),0))*1000,0)</f>
        <v>0</v>
      </c>
      <c r="AE287" s="120">
        <f>IF(AND(J287="OK",ISNUMBER($B$5),$B$5&gt;0,ISNUMBER($B$3),$B$3&gt;0),F287/(6*$B$3*1000000*$B$5)*(IF(B287&lt;($B$4*4/10),($B$4*4/10)*(MIN(C287,($B$4*4/10))^3-B287^3)-(MIN(C287,($B$4*4/10))^4-B287^4)/4,0)+IF(C287&gt;($B$4*4/10),($B$4*4/10)^2*(1.5*(C287^2-MAX(B287,($B$4*4/10))^2)-($B$4*4/10)*(C287-MAX(B287,($B$4*4/10)))),0))*1000,0)</f>
        <v>0</v>
      </c>
      <c r="AF287" s="120">
        <f>IF(AND(J287="OK",ISNUMBER($B$5),$B$5&gt;0,ISNUMBER($B$3),$B$3&gt;0),F287/(6*$B$3*1000000*$B$5)*(IF(B287&lt;($B$4*5/10),($B$4*5/10)*(MIN(C287,($B$4*5/10))^3-B287^3)-(MIN(C287,($B$4*5/10))^4-B287^4)/4,0)+IF(C287&gt;($B$4*5/10),($B$4*5/10)^2*(1.5*(C287^2-MAX(B287,($B$4*5/10))^2)-($B$4*5/10)*(C287-MAX(B287,($B$4*5/10)))),0))*1000,0)</f>
        <v>0</v>
      </c>
      <c r="AG287" s="120">
        <f>IF(AND(J287="OK",ISNUMBER($B$5),$B$5&gt;0,ISNUMBER($B$3),$B$3&gt;0),F287/(6*$B$3*1000000*$B$5)*(IF(B287&lt;($B$4*6/10),($B$4*6/10)*(MIN(C287,($B$4*6/10))^3-B287^3)-(MIN(C287,($B$4*6/10))^4-B287^4)/4,0)+IF(C287&gt;($B$4*6/10),($B$4*6/10)^2*(1.5*(C287^2-MAX(B287,($B$4*6/10))^2)-($B$4*6/10)*(C287-MAX(B287,($B$4*6/10)))),0))*1000,0)</f>
        <v>0</v>
      </c>
      <c r="AH287" s="120">
        <f>IF(AND(J287="OK",ISNUMBER($B$5),$B$5&gt;0,ISNUMBER($B$3),$B$3&gt;0),F287/(6*$B$3*1000000*$B$5)*(IF(B287&lt;($B$4*7/10),($B$4*7/10)*(MIN(C287,($B$4*7/10))^3-B287^3)-(MIN(C287,($B$4*7/10))^4-B287^4)/4,0)+IF(C287&gt;($B$4*7/10),($B$4*7/10)^2*(1.5*(C287^2-MAX(B287,($B$4*7/10))^2)-($B$4*7/10)*(C287-MAX(B287,($B$4*7/10)))),0))*1000,0)</f>
        <v>0</v>
      </c>
      <c r="AI287" s="120">
        <f>IF(AND(J287="OK",ISNUMBER($B$5),$B$5&gt;0,ISNUMBER($B$3),$B$3&gt;0),F287/(6*$B$3*1000000*$B$5)*(IF(B287&lt;($B$4*8/10),($B$4*8/10)*(MIN(C287,($B$4*8/10))^3-B287^3)-(MIN(C287,($B$4*8/10))^4-B287^4)/4,0)+IF(C287&gt;($B$4*8/10),($B$4*8/10)^2*(1.5*(C287^2-MAX(B287,($B$4*8/10))^2)-($B$4*8/10)*(C287-MAX(B287,($B$4*8/10)))),0))*1000,0)</f>
        <v>0</v>
      </c>
      <c r="AJ287" s="120">
        <f>IF(AND(J287="OK",ISNUMBER($B$5),$B$5&gt;0,ISNUMBER($B$3),$B$3&gt;0),F287/(6*$B$3*1000000*$B$5)*(IF(B287&lt;($B$4*9/10),($B$4*9/10)*(MIN(C287,($B$4*9/10))^3-B287^3)-(MIN(C287,($B$4*9/10))^4-B287^4)/4,0)+IF(C287&gt;($B$4*9/10),($B$4*9/10)^2*(1.5*(C287^2-MAX(B287,($B$4*9/10))^2)-($B$4*9/10)*(C287-MAX(B287,($B$4*9/10)))),0))*1000,0)</f>
        <v>0</v>
      </c>
      <c r="AK287" s="120">
        <f>IF(AND(J287="OK",ISNUMBER($B$5),$B$5&gt;0,ISNUMBER($B$3),$B$3&gt;0),F287/(6*$B$3*1000000*$B$5)*(IF(B287&lt;($B$4*10/10),($B$4*10/10)*(MIN(C287,($B$4*10/10))^3-B287^3)-(MIN(C287,($B$4*10/10))^4-B287^4)/4,0)+IF(C287&gt;($B$4*10/10),($B$4*10/10)^2*(1.5*(C287^2-MAX(B287,($B$4*10/10))^2)-($B$4*10/10)*(C287-MAX(B287,($B$4*10/10)))),0))*1000,0)</f>
        <v>0</v>
      </c>
      <c r="AM287" s="120">
        <f>IF(AND(V287="OK",ISNUMBER($N$5),$N$5&gt;0,ISNUMBER($N$3),$N$3&gt;0),R287/(6*$N$3*1000000*$N$5)*(IF(N287&lt;($N$4*0/10),($N$4*0/10)*(MIN(O287,($N$4*0/10))^3-N287^3)-(MIN(O287,($N$4*0/10))^4-N287^4)/4,0)+IF(O287&gt;($N$4*0/10),($N$4*0/10)^2*(1.5*(O287^2-MAX(N287,($N$4*0/10))^2)-($N$4*0/10)*(O287-MAX(N287,($N$4*0/10)))),0))*1000,0)</f>
        <v>0</v>
      </c>
      <c r="AN287" s="120">
        <f>IF(AND(V287="OK",ISNUMBER($N$5),$N$5&gt;0,ISNUMBER($N$3),$N$3&gt;0),R287/(6*$N$3*1000000*$N$5)*(IF(N287&lt;($N$4*1/10),($N$4*1/10)*(MIN(O287,($N$4*1/10))^3-N287^3)-(MIN(O287,($N$4*1/10))^4-N287^4)/4,0)+IF(O287&gt;($N$4*1/10),($N$4*1/10)^2*(1.5*(O287^2-MAX(N287,($N$4*1/10))^2)-($N$4*1/10)*(O287-MAX(N287,($N$4*1/10)))),0))*1000,0)</f>
        <v>0</v>
      </c>
      <c r="AO287" s="120">
        <f>IF(AND(V287="OK",ISNUMBER($N$5),$N$5&gt;0,ISNUMBER($N$3),$N$3&gt;0),R287/(6*$N$3*1000000*$N$5)*(IF(N287&lt;($N$4*2/10),($N$4*2/10)*(MIN(O287,($N$4*2/10))^3-N287^3)-(MIN(O287,($N$4*2/10))^4-N287^4)/4,0)+IF(O287&gt;($N$4*2/10),($N$4*2/10)^2*(1.5*(O287^2-MAX(N287,($N$4*2/10))^2)-($N$4*2/10)*(O287-MAX(N287,($N$4*2/10)))),0))*1000,0)</f>
        <v>0</v>
      </c>
      <c r="AP287" s="120">
        <f>IF(AND(V287="OK",ISNUMBER($N$5),$N$5&gt;0,ISNUMBER($N$3),$N$3&gt;0),R287/(6*$N$3*1000000*$N$5)*(IF(N287&lt;($N$4*3/10),($N$4*3/10)*(MIN(O287,($N$4*3/10))^3-N287^3)-(MIN(O287,($N$4*3/10))^4-N287^4)/4,0)+IF(O287&gt;($N$4*3/10),($N$4*3/10)^2*(1.5*(O287^2-MAX(N287,($N$4*3/10))^2)-($N$4*3/10)*(O287-MAX(N287,($N$4*3/10)))),0))*1000,0)</f>
        <v>0</v>
      </c>
      <c r="AQ287" s="120">
        <f>IF(AND(V287="OK",ISNUMBER($N$5),$N$5&gt;0,ISNUMBER($N$3),$N$3&gt;0),R287/(6*$N$3*1000000*$N$5)*(IF(N287&lt;($N$4*4/10),($N$4*4/10)*(MIN(O287,($N$4*4/10))^3-N287^3)-(MIN(O287,($N$4*4/10))^4-N287^4)/4,0)+IF(O287&gt;($N$4*4/10),($N$4*4/10)^2*(1.5*(O287^2-MAX(N287,($N$4*4/10))^2)-($N$4*4/10)*(O287-MAX(N287,($N$4*4/10)))),0))*1000,0)</f>
        <v>0</v>
      </c>
      <c r="AR287" s="120">
        <f>IF(AND(V287="OK",ISNUMBER($N$5),$N$5&gt;0,ISNUMBER($N$3),$N$3&gt;0),R287/(6*$N$3*1000000*$N$5)*(IF(N287&lt;($N$4*5/10),($N$4*5/10)*(MIN(O287,($N$4*5/10))^3-N287^3)-(MIN(O287,($N$4*5/10))^4-N287^4)/4,0)+IF(O287&gt;($N$4*5/10),($N$4*5/10)^2*(1.5*(O287^2-MAX(N287,($N$4*5/10))^2)-($N$4*5/10)*(O287-MAX(N287,($N$4*5/10)))),0))*1000,0)</f>
        <v>0</v>
      </c>
      <c r="AS287" s="120">
        <f>IF(AND(V287="OK",ISNUMBER($N$5),$N$5&gt;0,ISNUMBER($N$3),$N$3&gt;0),R287/(6*$N$3*1000000*$N$5)*(IF(N287&lt;($N$4*6/10),($N$4*6/10)*(MIN(O287,($N$4*6/10))^3-N287^3)-(MIN(O287,($N$4*6/10))^4-N287^4)/4,0)+IF(O287&gt;($N$4*6/10),($N$4*6/10)^2*(1.5*(O287^2-MAX(N287,($N$4*6/10))^2)-($N$4*6/10)*(O287-MAX(N287,($N$4*6/10)))),0))*1000,0)</f>
        <v>0</v>
      </c>
      <c r="AT287" s="120">
        <f>IF(AND(V287="OK",ISNUMBER($N$5),$N$5&gt;0,ISNUMBER($N$3),$N$3&gt;0),R287/(6*$N$3*1000000*$N$5)*(IF(N287&lt;($N$4*7/10),($N$4*7/10)*(MIN(O287,($N$4*7/10))^3-N287^3)-(MIN(O287,($N$4*7/10))^4-N287^4)/4,0)+IF(O287&gt;($N$4*7/10),($N$4*7/10)^2*(1.5*(O287^2-MAX(N287,($N$4*7/10))^2)-($N$4*7/10)*(O287-MAX(N287,($N$4*7/10)))),0))*1000,0)</f>
        <v>0</v>
      </c>
      <c r="AU287" s="120">
        <f>IF(AND(V287="OK",ISNUMBER($N$5),$N$5&gt;0,ISNUMBER($N$3),$N$3&gt;0),R287/(6*$N$3*1000000*$N$5)*(IF(N287&lt;($N$4*8/10),($N$4*8/10)*(MIN(O287,($N$4*8/10))^3-N287^3)-(MIN(O287,($N$4*8/10))^4-N287^4)/4,0)+IF(O287&gt;($N$4*8/10),($N$4*8/10)^2*(1.5*(O287^2-MAX(N287,($N$4*8/10))^2)-($N$4*8/10)*(O287-MAX(N287,($N$4*8/10)))),0))*1000,0)</f>
        <v>0</v>
      </c>
      <c r="AV287" s="120">
        <f>IF(AND(V287="OK",ISNUMBER($N$5),$N$5&gt;0,ISNUMBER($N$3),$N$3&gt;0),R287/(6*$N$3*1000000*$N$5)*(IF(N287&lt;($N$4*9/10),($N$4*9/10)*(MIN(O287,($N$4*9/10))^3-N287^3)-(MIN(O287,($N$4*9/10))^4-N287^4)/4,0)+IF(O287&gt;($N$4*9/10),($N$4*9/10)^2*(1.5*(O287^2-MAX(N287,($N$4*9/10))^2)-($N$4*9/10)*(O287-MAX(N287,($N$4*9/10)))),0))*1000,0)</f>
        <v>0</v>
      </c>
      <c r="AW287" s="120">
        <f>IF(AND(V287="OK",ISNUMBER($N$5),$N$5&gt;0,ISNUMBER($N$3),$N$3&gt;0),R287/(6*$N$3*1000000*$N$5)*(IF(N287&lt;($N$4*10/10),($N$4*10/10)*(MIN(O287,($N$4*10/10))^3-N287^3)-(MIN(O287,($N$4*10/10))^4-N287^4)/4,0)+IF(O287&gt;($N$4*10/10),($N$4*10/10)^2*(1.5*(O287^2-MAX(N287,($N$4*10/10))^2)-($N$4*10/10)*(O287-MAX(N287,($N$4*10/10)))),0))*1000,0)</f>
        <v>0</v>
      </c>
    </row>
    <row r="288" spans="1:49">
      <c r="A288" s="124"/>
      <c r="B288" s="125"/>
      <c r="C288" s="125"/>
      <c r="D288" s="125"/>
      <c r="E288" s="125"/>
      <c r="F288" s="126" t="str">
        <f>IF(J288="OK",D288*E288,"")</f>
        <v/>
      </c>
      <c r="G288" s="126" t="str">
        <f>IF(J288="OK",F288*(C288-B288),"")</f>
        <v/>
      </c>
      <c r="H288" s="126" t="str">
        <f>IF(J288="OK",G288*(C288+B288)/2,"")</f>
        <v/>
      </c>
      <c r="I288" s="126" t="str">
        <f>IF(AND(J288="OK",ISNUMBER($B$5),$B$5&gt;0,ISNUMBER($B$3),$B$3&gt;0),F288*(4*$B$4*(C288^3-B288^3)-(C288^4-B288^4))/(24*$B$3*1000000*$B$5)*1000,"")</f>
        <v/>
      </c>
      <c r="J288" s="120" t="str">
        <f>IF(COUNTA(A288:E288)=0,"",IF(AND(COUNT(B288:E288)=4,B288&gt;=0,C288&gt;B288,C288&lt;=$B$4,D288&gt;=0,E288&gt;0),IF(COUNTIFS($B$13:$B$287,"&lt;"&amp;C288,$C$13:$C$287,"&gt;"&amp;B288)&gt;0,"OVERLAP","OK"),"CHECK INPUTS"))</f>
        <v/>
      </c>
      <c r="M288" s="124"/>
      <c r="N288" s="125"/>
      <c r="O288" s="125"/>
      <c r="P288" s="125"/>
      <c r="Q288" s="125"/>
      <c r="R288" s="126" t="str">
        <f>IF(V288="OK",P288*Q288,"")</f>
        <v/>
      </c>
      <c r="S288" s="126" t="str">
        <f>IF(V288="OK",R288*(O288-N288),"")</f>
        <v/>
      </c>
      <c r="T288" s="126" t="str">
        <f>IF(V288="OK",S288*(O288+N288)/2,"")</f>
        <v/>
      </c>
      <c r="U288" s="126" t="str">
        <f>IF(AND(V288="OK",ISNUMBER($N$5),$N$5&gt;0,ISNUMBER($N$3),$N$3&gt;0),R288*(4*$N$4*(O288^3-N288^3)-(O288^4-N288^4))/(24*$N$3*1000000*$N$5)*1000,"")</f>
        <v/>
      </c>
      <c r="V288" s="120" t="str">
        <f>IF(COUNTA(M288:Q288)=0,"",IF(AND(COUNT(N288:Q288)=4,N288&gt;=0,O288&gt;N288,O288&lt;=$N$4,P288&gt;=0,Q288&gt;0),IF(COUNTIFS($N$13:$N$287,"&lt;"&amp;O288,$O$13:$O$287,"&gt;"&amp;N288)&gt;0,"OVERLAP","OK"),"CHECK INPUTS"))</f>
        <v/>
      </c>
      <c r="AA288" s="120">
        <f>IF(AND(J288="OK",ISNUMBER($B$5),$B$5&gt;0,ISNUMBER($B$3),$B$3&gt;0),F288/(6*$B$3*1000000*$B$5)*(IF(B288&lt;($B$4*0/10),($B$4*0/10)*(MIN(C288,($B$4*0/10))^3-B288^3)-(MIN(C288,($B$4*0/10))^4-B288^4)/4,0)+IF(C288&gt;($B$4*0/10),($B$4*0/10)^2*(1.5*(C288^2-MAX(B288,($B$4*0/10))^2)-($B$4*0/10)*(C288-MAX(B288,($B$4*0/10)))),0))*1000,0)</f>
        <v>0</v>
      </c>
      <c r="AB288" s="120">
        <f>IF(AND(J288="OK",ISNUMBER($B$5),$B$5&gt;0,ISNUMBER($B$3),$B$3&gt;0),F288/(6*$B$3*1000000*$B$5)*(IF(B288&lt;($B$4*1/10),($B$4*1/10)*(MIN(C288,($B$4*1/10))^3-B288^3)-(MIN(C288,($B$4*1/10))^4-B288^4)/4,0)+IF(C288&gt;($B$4*1/10),($B$4*1/10)^2*(1.5*(C288^2-MAX(B288,($B$4*1/10))^2)-($B$4*1/10)*(C288-MAX(B288,($B$4*1/10)))),0))*1000,0)</f>
        <v>0</v>
      </c>
      <c r="AC288" s="120">
        <f>IF(AND(J288="OK",ISNUMBER($B$5),$B$5&gt;0,ISNUMBER($B$3),$B$3&gt;0),F288/(6*$B$3*1000000*$B$5)*(IF(B288&lt;($B$4*2/10),($B$4*2/10)*(MIN(C288,($B$4*2/10))^3-B288^3)-(MIN(C288,($B$4*2/10))^4-B288^4)/4,0)+IF(C288&gt;($B$4*2/10),($B$4*2/10)^2*(1.5*(C288^2-MAX(B288,($B$4*2/10))^2)-($B$4*2/10)*(C288-MAX(B288,($B$4*2/10)))),0))*1000,0)</f>
        <v>0</v>
      </c>
      <c r="AD288" s="120">
        <f>IF(AND(J288="OK",ISNUMBER($B$5),$B$5&gt;0,ISNUMBER($B$3),$B$3&gt;0),F288/(6*$B$3*1000000*$B$5)*(IF(B288&lt;($B$4*3/10),($B$4*3/10)*(MIN(C288,($B$4*3/10))^3-B288^3)-(MIN(C288,($B$4*3/10))^4-B288^4)/4,0)+IF(C288&gt;($B$4*3/10),($B$4*3/10)^2*(1.5*(C288^2-MAX(B288,($B$4*3/10))^2)-($B$4*3/10)*(C288-MAX(B288,($B$4*3/10)))),0))*1000,0)</f>
        <v>0</v>
      </c>
      <c r="AE288" s="120">
        <f>IF(AND(J288="OK",ISNUMBER($B$5),$B$5&gt;0,ISNUMBER($B$3),$B$3&gt;0),F288/(6*$B$3*1000000*$B$5)*(IF(B288&lt;($B$4*4/10),($B$4*4/10)*(MIN(C288,($B$4*4/10))^3-B288^3)-(MIN(C288,($B$4*4/10))^4-B288^4)/4,0)+IF(C288&gt;($B$4*4/10),($B$4*4/10)^2*(1.5*(C288^2-MAX(B288,($B$4*4/10))^2)-($B$4*4/10)*(C288-MAX(B288,($B$4*4/10)))),0))*1000,0)</f>
        <v>0</v>
      </c>
      <c r="AF288" s="120">
        <f>IF(AND(J288="OK",ISNUMBER($B$5),$B$5&gt;0,ISNUMBER($B$3),$B$3&gt;0),F288/(6*$B$3*1000000*$B$5)*(IF(B288&lt;($B$4*5/10),($B$4*5/10)*(MIN(C288,($B$4*5/10))^3-B288^3)-(MIN(C288,($B$4*5/10))^4-B288^4)/4,0)+IF(C288&gt;($B$4*5/10),($B$4*5/10)^2*(1.5*(C288^2-MAX(B288,($B$4*5/10))^2)-($B$4*5/10)*(C288-MAX(B288,($B$4*5/10)))),0))*1000,0)</f>
        <v>0</v>
      </c>
      <c r="AG288" s="120">
        <f>IF(AND(J288="OK",ISNUMBER($B$5),$B$5&gt;0,ISNUMBER($B$3),$B$3&gt;0),F288/(6*$B$3*1000000*$B$5)*(IF(B288&lt;($B$4*6/10),($B$4*6/10)*(MIN(C288,($B$4*6/10))^3-B288^3)-(MIN(C288,($B$4*6/10))^4-B288^4)/4,0)+IF(C288&gt;($B$4*6/10),($B$4*6/10)^2*(1.5*(C288^2-MAX(B288,($B$4*6/10))^2)-($B$4*6/10)*(C288-MAX(B288,($B$4*6/10)))),0))*1000,0)</f>
        <v>0</v>
      </c>
      <c r="AH288" s="120">
        <f>IF(AND(J288="OK",ISNUMBER($B$5),$B$5&gt;0,ISNUMBER($B$3),$B$3&gt;0),F288/(6*$B$3*1000000*$B$5)*(IF(B288&lt;($B$4*7/10),($B$4*7/10)*(MIN(C288,($B$4*7/10))^3-B288^3)-(MIN(C288,($B$4*7/10))^4-B288^4)/4,0)+IF(C288&gt;($B$4*7/10),($B$4*7/10)^2*(1.5*(C288^2-MAX(B288,($B$4*7/10))^2)-($B$4*7/10)*(C288-MAX(B288,($B$4*7/10)))),0))*1000,0)</f>
        <v>0</v>
      </c>
      <c r="AI288" s="120">
        <f>IF(AND(J288="OK",ISNUMBER($B$5),$B$5&gt;0,ISNUMBER($B$3),$B$3&gt;0),F288/(6*$B$3*1000000*$B$5)*(IF(B288&lt;($B$4*8/10),($B$4*8/10)*(MIN(C288,($B$4*8/10))^3-B288^3)-(MIN(C288,($B$4*8/10))^4-B288^4)/4,0)+IF(C288&gt;($B$4*8/10),($B$4*8/10)^2*(1.5*(C288^2-MAX(B288,($B$4*8/10))^2)-($B$4*8/10)*(C288-MAX(B288,($B$4*8/10)))),0))*1000,0)</f>
        <v>0</v>
      </c>
      <c r="AJ288" s="120">
        <f>IF(AND(J288="OK",ISNUMBER($B$5),$B$5&gt;0,ISNUMBER($B$3),$B$3&gt;0),F288/(6*$B$3*1000000*$B$5)*(IF(B288&lt;($B$4*9/10),($B$4*9/10)*(MIN(C288,($B$4*9/10))^3-B288^3)-(MIN(C288,($B$4*9/10))^4-B288^4)/4,0)+IF(C288&gt;($B$4*9/10),($B$4*9/10)^2*(1.5*(C288^2-MAX(B288,($B$4*9/10))^2)-($B$4*9/10)*(C288-MAX(B288,($B$4*9/10)))),0))*1000,0)</f>
        <v>0</v>
      </c>
      <c r="AK288" s="120">
        <f>IF(AND(J288="OK",ISNUMBER($B$5),$B$5&gt;0,ISNUMBER($B$3),$B$3&gt;0),F288/(6*$B$3*1000000*$B$5)*(IF(B288&lt;($B$4*10/10),($B$4*10/10)*(MIN(C288,($B$4*10/10))^3-B288^3)-(MIN(C288,($B$4*10/10))^4-B288^4)/4,0)+IF(C288&gt;($B$4*10/10),($B$4*10/10)^2*(1.5*(C288^2-MAX(B288,($B$4*10/10))^2)-($B$4*10/10)*(C288-MAX(B288,($B$4*10/10)))),0))*1000,0)</f>
        <v>0</v>
      </c>
      <c r="AM288" s="120">
        <f>IF(AND(V288="OK",ISNUMBER($N$5),$N$5&gt;0,ISNUMBER($N$3),$N$3&gt;0),R288/(6*$N$3*1000000*$N$5)*(IF(N288&lt;($N$4*0/10),($N$4*0/10)*(MIN(O288,($N$4*0/10))^3-N288^3)-(MIN(O288,($N$4*0/10))^4-N288^4)/4,0)+IF(O288&gt;($N$4*0/10),($N$4*0/10)^2*(1.5*(O288^2-MAX(N288,($N$4*0/10))^2)-($N$4*0/10)*(O288-MAX(N288,($N$4*0/10)))),0))*1000,0)</f>
        <v>0</v>
      </c>
      <c r="AN288" s="120">
        <f>IF(AND(V288="OK",ISNUMBER($N$5),$N$5&gt;0,ISNUMBER($N$3),$N$3&gt;0),R288/(6*$N$3*1000000*$N$5)*(IF(N288&lt;($N$4*1/10),($N$4*1/10)*(MIN(O288,($N$4*1/10))^3-N288^3)-(MIN(O288,($N$4*1/10))^4-N288^4)/4,0)+IF(O288&gt;($N$4*1/10),($N$4*1/10)^2*(1.5*(O288^2-MAX(N288,($N$4*1/10))^2)-($N$4*1/10)*(O288-MAX(N288,($N$4*1/10)))),0))*1000,0)</f>
        <v>0</v>
      </c>
      <c r="AO288" s="120">
        <f>IF(AND(V288="OK",ISNUMBER($N$5),$N$5&gt;0,ISNUMBER($N$3),$N$3&gt;0),R288/(6*$N$3*1000000*$N$5)*(IF(N288&lt;($N$4*2/10),($N$4*2/10)*(MIN(O288,($N$4*2/10))^3-N288^3)-(MIN(O288,($N$4*2/10))^4-N288^4)/4,0)+IF(O288&gt;($N$4*2/10),($N$4*2/10)^2*(1.5*(O288^2-MAX(N288,($N$4*2/10))^2)-($N$4*2/10)*(O288-MAX(N288,($N$4*2/10)))),0))*1000,0)</f>
        <v>0</v>
      </c>
      <c r="AP288" s="120">
        <f>IF(AND(V288="OK",ISNUMBER($N$5),$N$5&gt;0,ISNUMBER($N$3),$N$3&gt;0),R288/(6*$N$3*1000000*$N$5)*(IF(N288&lt;($N$4*3/10),($N$4*3/10)*(MIN(O288,($N$4*3/10))^3-N288^3)-(MIN(O288,($N$4*3/10))^4-N288^4)/4,0)+IF(O288&gt;($N$4*3/10),($N$4*3/10)^2*(1.5*(O288^2-MAX(N288,($N$4*3/10))^2)-($N$4*3/10)*(O288-MAX(N288,($N$4*3/10)))),0))*1000,0)</f>
        <v>0</v>
      </c>
      <c r="AQ288" s="120">
        <f>IF(AND(V288="OK",ISNUMBER($N$5),$N$5&gt;0,ISNUMBER($N$3),$N$3&gt;0),R288/(6*$N$3*1000000*$N$5)*(IF(N288&lt;($N$4*4/10),($N$4*4/10)*(MIN(O288,($N$4*4/10))^3-N288^3)-(MIN(O288,($N$4*4/10))^4-N288^4)/4,0)+IF(O288&gt;($N$4*4/10),($N$4*4/10)^2*(1.5*(O288^2-MAX(N288,($N$4*4/10))^2)-($N$4*4/10)*(O288-MAX(N288,($N$4*4/10)))),0))*1000,0)</f>
        <v>0</v>
      </c>
      <c r="AR288" s="120">
        <f>IF(AND(V288="OK",ISNUMBER($N$5),$N$5&gt;0,ISNUMBER($N$3),$N$3&gt;0),R288/(6*$N$3*1000000*$N$5)*(IF(N288&lt;($N$4*5/10),($N$4*5/10)*(MIN(O288,($N$4*5/10))^3-N288^3)-(MIN(O288,($N$4*5/10))^4-N288^4)/4,0)+IF(O288&gt;($N$4*5/10),($N$4*5/10)^2*(1.5*(O288^2-MAX(N288,($N$4*5/10))^2)-($N$4*5/10)*(O288-MAX(N288,($N$4*5/10)))),0))*1000,0)</f>
        <v>0</v>
      </c>
      <c r="AS288" s="120">
        <f>IF(AND(V288="OK",ISNUMBER($N$5),$N$5&gt;0,ISNUMBER($N$3),$N$3&gt;0),R288/(6*$N$3*1000000*$N$5)*(IF(N288&lt;($N$4*6/10),($N$4*6/10)*(MIN(O288,($N$4*6/10))^3-N288^3)-(MIN(O288,($N$4*6/10))^4-N288^4)/4,0)+IF(O288&gt;($N$4*6/10),($N$4*6/10)^2*(1.5*(O288^2-MAX(N288,($N$4*6/10))^2)-($N$4*6/10)*(O288-MAX(N288,($N$4*6/10)))),0))*1000,0)</f>
        <v>0</v>
      </c>
      <c r="AT288" s="120">
        <f>IF(AND(V288="OK",ISNUMBER($N$5),$N$5&gt;0,ISNUMBER($N$3),$N$3&gt;0),R288/(6*$N$3*1000000*$N$5)*(IF(N288&lt;($N$4*7/10),($N$4*7/10)*(MIN(O288,($N$4*7/10))^3-N288^3)-(MIN(O288,($N$4*7/10))^4-N288^4)/4,0)+IF(O288&gt;($N$4*7/10),($N$4*7/10)^2*(1.5*(O288^2-MAX(N288,($N$4*7/10))^2)-($N$4*7/10)*(O288-MAX(N288,($N$4*7/10)))),0))*1000,0)</f>
        <v>0</v>
      </c>
      <c r="AU288" s="120">
        <f>IF(AND(V288="OK",ISNUMBER($N$5),$N$5&gt;0,ISNUMBER($N$3),$N$3&gt;0),R288/(6*$N$3*1000000*$N$5)*(IF(N288&lt;($N$4*8/10),($N$4*8/10)*(MIN(O288,($N$4*8/10))^3-N288^3)-(MIN(O288,($N$4*8/10))^4-N288^4)/4,0)+IF(O288&gt;($N$4*8/10),($N$4*8/10)^2*(1.5*(O288^2-MAX(N288,($N$4*8/10))^2)-($N$4*8/10)*(O288-MAX(N288,($N$4*8/10)))),0))*1000,0)</f>
        <v>0</v>
      </c>
      <c r="AV288" s="120">
        <f>IF(AND(V288="OK",ISNUMBER($N$5),$N$5&gt;0,ISNUMBER($N$3),$N$3&gt;0),R288/(6*$N$3*1000000*$N$5)*(IF(N288&lt;($N$4*9/10),($N$4*9/10)*(MIN(O288,($N$4*9/10))^3-N288^3)-(MIN(O288,($N$4*9/10))^4-N288^4)/4,0)+IF(O288&gt;($N$4*9/10),($N$4*9/10)^2*(1.5*(O288^2-MAX(N288,($N$4*9/10))^2)-($N$4*9/10)*(O288-MAX(N288,($N$4*9/10)))),0))*1000,0)</f>
        <v>0</v>
      </c>
      <c r="AW288" s="120">
        <f>IF(AND(V288="OK",ISNUMBER($N$5),$N$5&gt;0,ISNUMBER($N$3),$N$3&gt;0),R288/(6*$N$3*1000000*$N$5)*(IF(N288&lt;($N$4*10/10),($N$4*10/10)*(MIN(O288,($N$4*10/10))^3-N288^3)-(MIN(O288,($N$4*10/10))^4-N288^4)/4,0)+IF(O288&gt;($N$4*10/10),($N$4*10/10)^2*(1.5*(O288^2-MAX(N288,($N$4*10/10))^2)-($N$4*10/10)*(O288-MAX(N288,($N$4*10/10)))),0))*1000,0)</f>
        <v>0</v>
      </c>
    </row>
    <row r="289" spans="1:49">
      <c r="A289" s="124"/>
      <c r="B289" s="125"/>
      <c r="C289" s="125"/>
      <c r="D289" s="125"/>
      <c r="E289" s="125"/>
      <c r="F289" s="126" t="str">
        <f>IF(J289="OK",D289*E289,"")</f>
        <v/>
      </c>
      <c r="G289" s="126" t="str">
        <f>IF(J289="OK",F289*(C289-B289),"")</f>
        <v/>
      </c>
      <c r="H289" s="126" t="str">
        <f>IF(J289="OK",G289*(C289+B289)/2,"")</f>
        <v/>
      </c>
      <c r="I289" s="126" t="str">
        <f>IF(AND(J289="OK",ISNUMBER($B$5),$B$5&gt;0,ISNUMBER($B$3),$B$3&gt;0),F289*(4*$B$4*(C289^3-B289^3)-(C289^4-B289^4))/(24*$B$3*1000000*$B$5)*1000,"")</f>
        <v/>
      </c>
      <c r="J289" s="120" t="str">
        <f>IF(COUNTA(A289:E289)=0,"",IF(AND(COUNT(B289:E289)=4,B289&gt;=0,C289&gt;B289,C289&lt;=$B$4,D289&gt;=0,E289&gt;0),IF(COUNTIFS($B$13:$B$288,"&lt;"&amp;C289,$C$13:$C$288,"&gt;"&amp;B289)&gt;0,"OVERLAP","OK"),"CHECK INPUTS"))</f>
        <v/>
      </c>
      <c r="M289" s="124"/>
      <c r="N289" s="125"/>
      <c r="O289" s="125"/>
      <c r="P289" s="125"/>
      <c r="Q289" s="125"/>
      <c r="R289" s="126" t="str">
        <f>IF(V289="OK",P289*Q289,"")</f>
        <v/>
      </c>
      <c r="S289" s="126" t="str">
        <f>IF(V289="OK",R289*(O289-N289),"")</f>
        <v/>
      </c>
      <c r="T289" s="126" t="str">
        <f>IF(V289="OK",S289*(O289+N289)/2,"")</f>
        <v/>
      </c>
      <c r="U289" s="126" t="str">
        <f>IF(AND(V289="OK",ISNUMBER($N$5),$N$5&gt;0,ISNUMBER($N$3),$N$3&gt;0),R289*(4*$N$4*(O289^3-N289^3)-(O289^4-N289^4))/(24*$N$3*1000000*$N$5)*1000,"")</f>
        <v/>
      </c>
      <c r="V289" s="120" t="str">
        <f>IF(COUNTA(M289:Q289)=0,"",IF(AND(COUNT(N289:Q289)=4,N289&gt;=0,O289&gt;N289,O289&lt;=$N$4,P289&gt;=0,Q289&gt;0),IF(COUNTIFS($N$13:$N$288,"&lt;"&amp;O289,$O$13:$O$288,"&gt;"&amp;N289)&gt;0,"OVERLAP","OK"),"CHECK INPUTS"))</f>
        <v/>
      </c>
      <c r="AA289" s="120">
        <f>IF(AND(J289="OK",ISNUMBER($B$5),$B$5&gt;0,ISNUMBER($B$3),$B$3&gt;0),F289/(6*$B$3*1000000*$B$5)*(IF(B289&lt;($B$4*0/10),($B$4*0/10)*(MIN(C289,($B$4*0/10))^3-B289^3)-(MIN(C289,($B$4*0/10))^4-B289^4)/4,0)+IF(C289&gt;($B$4*0/10),($B$4*0/10)^2*(1.5*(C289^2-MAX(B289,($B$4*0/10))^2)-($B$4*0/10)*(C289-MAX(B289,($B$4*0/10)))),0))*1000,0)</f>
        <v>0</v>
      </c>
      <c r="AB289" s="120">
        <f>IF(AND(J289="OK",ISNUMBER($B$5),$B$5&gt;0,ISNUMBER($B$3),$B$3&gt;0),F289/(6*$B$3*1000000*$B$5)*(IF(B289&lt;($B$4*1/10),($B$4*1/10)*(MIN(C289,($B$4*1/10))^3-B289^3)-(MIN(C289,($B$4*1/10))^4-B289^4)/4,0)+IF(C289&gt;($B$4*1/10),($B$4*1/10)^2*(1.5*(C289^2-MAX(B289,($B$4*1/10))^2)-($B$4*1/10)*(C289-MAX(B289,($B$4*1/10)))),0))*1000,0)</f>
        <v>0</v>
      </c>
      <c r="AC289" s="120">
        <f>IF(AND(J289="OK",ISNUMBER($B$5),$B$5&gt;0,ISNUMBER($B$3),$B$3&gt;0),F289/(6*$B$3*1000000*$B$5)*(IF(B289&lt;($B$4*2/10),($B$4*2/10)*(MIN(C289,($B$4*2/10))^3-B289^3)-(MIN(C289,($B$4*2/10))^4-B289^4)/4,0)+IF(C289&gt;($B$4*2/10),($B$4*2/10)^2*(1.5*(C289^2-MAX(B289,($B$4*2/10))^2)-($B$4*2/10)*(C289-MAX(B289,($B$4*2/10)))),0))*1000,0)</f>
        <v>0</v>
      </c>
      <c r="AD289" s="120">
        <f>IF(AND(J289="OK",ISNUMBER($B$5),$B$5&gt;0,ISNUMBER($B$3),$B$3&gt;0),F289/(6*$B$3*1000000*$B$5)*(IF(B289&lt;($B$4*3/10),($B$4*3/10)*(MIN(C289,($B$4*3/10))^3-B289^3)-(MIN(C289,($B$4*3/10))^4-B289^4)/4,0)+IF(C289&gt;($B$4*3/10),($B$4*3/10)^2*(1.5*(C289^2-MAX(B289,($B$4*3/10))^2)-($B$4*3/10)*(C289-MAX(B289,($B$4*3/10)))),0))*1000,0)</f>
        <v>0</v>
      </c>
      <c r="AE289" s="120">
        <f>IF(AND(J289="OK",ISNUMBER($B$5),$B$5&gt;0,ISNUMBER($B$3),$B$3&gt;0),F289/(6*$B$3*1000000*$B$5)*(IF(B289&lt;($B$4*4/10),($B$4*4/10)*(MIN(C289,($B$4*4/10))^3-B289^3)-(MIN(C289,($B$4*4/10))^4-B289^4)/4,0)+IF(C289&gt;($B$4*4/10),($B$4*4/10)^2*(1.5*(C289^2-MAX(B289,($B$4*4/10))^2)-($B$4*4/10)*(C289-MAX(B289,($B$4*4/10)))),0))*1000,0)</f>
        <v>0</v>
      </c>
      <c r="AF289" s="120">
        <f>IF(AND(J289="OK",ISNUMBER($B$5),$B$5&gt;0,ISNUMBER($B$3),$B$3&gt;0),F289/(6*$B$3*1000000*$B$5)*(IF(B289&lt;($B$4*5/10),($B$4*5/10)*(MIN(C289,($B$4*5/10))^3-B289^3)-(MIN(C289,($B$4*5/10))^4-B289^4)/4,0)+IF(C289&gt;($B$4*5/10),($B$4*5/10)^2*(1.5*(C289^2-MAX(B289,($B$4*5/10))^2)-($B$4*5/10)*(C289-MAX(B289,($B$4*5/10)))),0))*1000,0)</f>
        <v>0</v>
      </c>
      <c r="AG289" s="120">
        <f>IF(AND(J289="OK",ISNUMBER($B$5),$B$5&gt;0,ISNUMBER($B$3),$B$3&gt;0),F289/(6*$B$3*1000000*$B$5)*(IF(B289&lt;($B$4*6/10),($B$4*6/10)*(MIN(C289,($B$4*6/10))^3-B289^3)-(MIN(C289,($B$4*6/10))^4-B289^4)/4,0)+IF(C289&gt;($B$4*6/10),($B$4*6/10)^2*(1.5*(C289^2-MAX(B289,($B$4*6/10))^2)-($B$4*6/10)*(C289-MAX(B289,($B$4*6/10)))),0))*1000,0)</f>
        <v>0</v>
      </c>
      <c r="AH289" s="120">
        <f>IF(AND(J289="OK",ISNUMBER($B$5),$B$5&gt;0,ISNUMBER($B$3),$B$3&gt;0),F289/(6*$B$3*1000000*$B$5)*(IF(B289&lt;($B$4*7/10),($B$4*7/10)*(MIN(C289,($B$4*7/10))^3-B289^3)-(MIN(C289,($B$4*7/10))^4-B289^4)/4,0)+IF(C289&gt;($B$4*7/10),($B$4*7/10)^2*(1.5*(C289^2-MAX(B289,($B$4*7/10))^2)-($B$4*7/10)*(C289-MAX(B289,($B$4*7/10)))),0))*1000,0)</f>
        <v>0</v>
      </c>
      <c r="AI289" s="120">
        <f>IF(AND(J289="OK",ISNUMBER($B$5),$B$5&gt;0,ISNUMBER($B$3),$B$3&gt;0),F289/(6*$B$3*1000000*$B$5)*(IF(B289&lt;($B$4*8/10),($B$4*8/10)*(MIN(C289,($B$4*8/10))^3-B289^3)-(MIN(C289,($B$4*8/10))^4-B289^4)/4,0)+IF(C289&gt;($B$4*8/10),($B$4*8/10)^2*(1.5*(C289^2-MAX(B289,($B$4*8/10))^2)-($B$4*8/10)*(C289-MAX(B289,($B$4*8/10)))),0))*1000,0)</f>
        <v>0</v>
      </c>
      <c r="AJ289" s="120">
        <f>IF(AND(J289="OK",ISNUMBER($B$5),$B$5&gt;0,ISNUMBER($B$3),$B$3&gt;0),F289/(6*$B$3*1000000*$B$5)*(IF(B289&lt;($B$4*9/10),($B$4*9/10)*(MIN(C289,($B$4*9/10))^3-B289^3)-(MIN(C289,($B$4*9/10))^4-B289^4)/4,0)+IF(C289&gt;($B$4*9/10),($B$4*9/10)^2*(1.5*(C289^2-MAX(B289,($B$4*9/10))^2)-($B$4*9/10)*(C289-MAX(B289,($B$4*9/10)))),0))*1000,0)</f>
        <v>0</v>
      </c>
      <c r="AK289" s="120">
        <f>IF(AND(J289="OK",ISNUMBER($B$5),$B$5&gt;0,ISNUMBER($B$3),$B$3&gt;0),F289/(6*$B$3*1000000*$B$5)*(IF(B289&lt;($B$4*10/10),($B$4*10/10)*(MIN(C289,($B$4*10/10))^3-B289^3)-(MIN(C289,($B$4*10/10))^4-B289^4)/4,0)+IF(C289&gt;($B$4*10/10),($B$4*10/10)^2*(1.5*(C289^2-MAX(B289,($B$4*10/10))^2)-($B$4*10/10)*(C289-MAX(B289,($B$4*10/10)))),0))*1000,0)</f>
        <v>0</v>
      </c>
      <c r="AM289" s="120">
        <f>IF(AND(V289="OK",ISNUMBER($N$5),$N$5&gt;0,ISNUMBER($N$3),$N$3&gt;0),R289/(6*$N$3*1000000*$N$5)*(IF(N289&lt;($N$4*0/10),($N$4*0/10)*(MIN(O289,($N$4*0/10))^3-N289^3)-(MIN(O289,($N$4*0/10))^4-N289^4)/4,0)+IF(O289&gt;($N$4*0/10),($N$4*0/10)^2*(1.5*(O289^2-MAX(N289,($N$4*0/10))^2)-($N$4*0/10)*(O289-MAX(N289,($N$4*0/10)))),0))*1000,0)</f>
        <v>0</v>
      </c>
      <c r="AN289" s="120">
        <f>IF(AND(V289="OK",ISNUMBER($N$5),$N$5&gt;0,ISNUMBER($N$3),$N$3&gt;0),R289/(6*$N$3*1000000*$N$5)*(IF(N289&lt;($N$4*1/10),($N$4*1/10)*(MIN(O289,($N$4*1/10))^3-N289^3)-(MIN(O289,($N$4*1/10))^4-N289^4)/4,0)+IF(O289&gt;($N$4*1/10),($N$4*1/10)^2*(1.5*(O289^2-MAX(N289,($N$4*1/10))^2)-($N$4*1/10)*(O289-MAX(N289,($N$4*1/10)))),0))*1000,0)</f>
        <v>0</v>
      </c>
      <c r="AO289" s="120">
        <f>IF(AND(V289="OK",ISNUMBER($N$5),$N$5&gt;0,ISNUMBER($N$3),$N$3&gt;0),R289/(6*$N$3*1000000*$N$5)*(IF(N289&lt;($N$4*2/10),($N$4*2/10)*(MIN(O289,($N$4*2/10))^3-N289^3)-(MIN(O289,($N$4*2/10))^4-N289^4)/4,0)+IF(O289&gt;($N$4*2/10),($N$4*2/10)^2*(1.5*(O289^2-MAX(N289,($N$4*2/10))^2)-($N$4*2/10)*(O289-MAX(N289,($N$4*2/10)))),0))*1000,0)</f>
        <v>0</v>
      </c>
      <c r="AP289" s="120">
        <f>IF(AND(V289="OK",ISNUMBER($N$5),$N$5&gt;0,ISNUMBER($N$3),$N$3&gt;0),R289/(6*$N$3*1000000*$N$5)*(IF(N289&lt;($N$4*3/10),($N$4*3/10)*(MIN(O289,($N$4*3/10))^3-N289^3)-(MIN(O289,($N$4*3/10))^4-N289^4)/4,0)+IF(O289&gt;($N$4*3/10),($N$4*3/10)^2*(1.5*(O289^2-MAX(N289,($N$4*3/10))^2)-($N$4*3/10)*(O289-MAX(N289,($N$4*3/10)))),0))*1000,0)</f>
        <v>0</v>
      </c>
      <c r="AQ289" s="120">
        <f>IF(AND(V289="OK",ISNUMBER($N$5),$N$5&gt;0,ISNUMBER($N$3),$N$3&gt;0),R289/(6*$N$3*1000000*$N$5)*(IF(N289&lt;($N$4*4/10),($N$4*4/10)*(MIN(O289,($N$4*4/10))^3-N289^3)-(MIN(O289,($N$4*4/10))^4-N289^4)/4,0)+IF(O289&gt;($N$4*4/10),($N$4*4/10)^2*(1.5*(O289^2-MAX(N289,($N$4*4/10))^2)-($N$4*4/10)*(O289-MAX(N289,($N$4*4/10)))),0))*1000,0)</f>
        <v>0</v>
      </c>
      <c r="AR289" s="120">
        <f>IF(AND(V289="OK",ISNUMBER($N$5),$N$5&gt;0,ISNUMBER($N$3),$N$3&gt;0),R289/(6*$N$3*1000000*$N$5)*(IF(N289&lt;($N$4*5/10),($N$4*5/10)*(MIN(O289,($N$4*5/10))^3-N289^3)-(MIN(O289,($N$4*5/10))^4-N289^4)/4,0)+IF(O289&gt;($N$4*5/10),($N$4*5/10)^2*(1.5*(O289^2-MAX(N289,($N$4*5/10))^2)-($N$4*5/10)*(O289-MAX(N289,($N$4*5/10)))),0))*1000,0)</f>
        <v>0</v>
      </c>
      <c r="AS289" s="120">
        <f>IF(AND(V289="OK",ISNUMBER($N$5),$N$5&gt;0,ISNUMBER($N$3),$N$3&gt;0),R289/(6*$N$3*1000000*$N$5)*(IF(N289&lt;($N$4*6/10),($N$4*6/10)*(MIN(O289,($N$4*6/10))^3-N289^3)-(MIN(O289,($N$4*6/10))^4-N289^4)/4,0)+IF(O289&gt;($N$4*6/10),($N$4*6/10)^2*(1.5*(O289^2-MAX(N289,($N$4*6/10))^2)-($N$4*6/10)*(O289-MAX(N289,($N$4*6/10)))),0))*1000,0)</f>
        <v>0</v>
      </c>
      <c r="AT289" s="120">
        <f>IF(AND(V289="OK",ISNUMBER($N$5),$N$5&gt;0,ISNUMBER($N$3),$N$3&gt;0),R289/(6*$N$3*1000000*$N$5)*(IF(N289&lt;($N$4*7/10),($N$4*7/10)*(MIN(O289,($N$4*7/10))^3-N289^3)-(MIN(O289,($N$4*7/10))^4-N289^4)/4,0)+IF(O289&gt;($N$4*7/10),($N$4*7/10)^2*(1.5*(O289^2-MAX(N289,($N$4*7/10))^2)-($N$4*7/10)*(O289-MAX(N289,($N$4*7/10)))),0))*1000,0)</f>
        <v>0</v>
      </c>
      <c r="AU289" s="120">
        <f>IF(AND(V289="OK",ISNUMBER($N$5),$N$5&gt;0,ISNUMBER($N$3),$N$3&gt;0),R289/(6*$N$3*1000000*$N$5)*(IF(N289&lt;($N$4*8/10),($N$4*8/10)*(MIN(O289,($N$4*8/10))^3-N289^3)-(MIN(O289,($N$4*8/10))^4-N289^4)/4,0)+IF(O289&gt;($N$4*8/10),($N$4*8/10)^2*(1.5*(O289^2-MAX(N289,($N$4*8/10))^2)-($N$4*8/10)*(O289-MAX(N289,($N$4*8/10)))),0))*1000,0)</f>
        <v>0</v>
      </c>
      <c r="AV289" s="120">
        <f>IF(AND(V289="OK",ISNUMBER($N$5),$N$5&gt;0,ISNUMBER($N$3),$N$3&gt;0),R289/(6*$N$3*1000000*$N$5)*(IF(N289&lt;($N$4*9/10),($N$4*9/10)*(MIN(O289,($N$4*9/10))^3-N289^3)-(MIN(O289,($N$4*9/10))^4-N289^4)/4,0)+IF(O289&gt;($N$4*9/10),($N$4*9/10)^2*(1.5*(O289^2-MAX(N289,($N$4*9/10))^2)-($N$4*9/10)*(O289-MAX(N289,($N$4*9/10)))),0))*1000,0)</f>
        <v>0</v>
      </c>
      <c r="AW289" s="120">
        <f>IF(AND(V289="OK",ISNUMBER($N$5),$N$5&gt;0,ISNUMBER($N$3),$N$3&gt;0),R289/(6*$N$3*1000000*$N$5)*(IF(N289&lt;($N$4*10/10),($N$4*10/10)*(MIN(O289,($N$4*10/10))^3-N289^3)-(MIN(O289,($N$4*10/10))^4-N289^4)/4,0)+IF(O289&gt;($N$4*10/10),($N$4*10/10)^2*(1.5*(O289^2-MAX(N289,($N$4*10/10))^2)-($N$4*10/10)*(O289-MAX(N289,($N$4*10/10)))),0))*1000,0)</f>
        <v>0</v>
      </c>
    </row>
    <row r="290" spans="1:49">
      <c r="A290" s="124"/>
      <c r="B290" s="125"/>
      <c r="C290" s="125"/>
      <c r="D290" s="125"/>
      <c r="E290" s="125"/>
      <c r="F290" s="126" t="str">
        <f>IF(J290="OK",D290*E290,"")</f>
        <v/>
      </c>
      <c r="G290" s="126" t="str">
        <f>IF(J290="OK",F290*(C290-B290),"")</f>
        <v/>
      </c>
      <c r="H290" s="126" t="str">
        <f>IF(J290="OK",G290*(C290+B290)/2,"")</f>
        <v/>
      </c>
      <c r="I290" s="126" t="str">
        <f>IF(AND(J290="OK",ISNUMBER($B$5),$B$5&gt;0,ISNUMBER($B$3),$B$3&gt;0),F290*(4*$B$4*(C290^3-B290^3)-(C290^4-B290^4))/(24*$B$3*1000000*$B$5)*1000,"")</f>
        <v/>
      </c>
      <c r="J290" s="120" t="str">
        <f>IF(COUNTA(A290:E290)=0,"",IF(AND(COUNT(B290:E290)=4,B290&gt;=0,C290&gt;B290,C290&lt;=$B$4,D290&gt;=0,E290&gt;0),IF(COUNTIFS($B$13:$B$289,"&lt;"&amp;C290,$C$13:$C$289,"&gt;"&amp;B290)&gt;0,"OVERLAP","OK"),"CHECK INPUTS"))</f>
        <v/>
      </c>
      <c r="M290" s="124"/>
      <c r="N290" s="125"/>
      <c r="O290" s="125"/>
      <c r="P290" s="125"/>
      <c r="Q290" s="125"/>
      <c r="R290" s="126" t="str">
        <f>IF(V290="OK",P290*Q290,"")</f>
        <v/>
      </c>
      <c r="S290" s="126" t="str">
        <f>IF(V290="OK",R290*(O290-N290),"")</f>
        <v/>
      </c>
      <c r="T290" s="126" t="str">
        <f>IF(V290="OK",S290*(O290+N290)/2,"")</f>
        <v/>
      </c>
      <c r="U290" s="126" t="str">
        <f>IF(AND(V290="OK",ISNUMBER($N$5),$N$5&gt;0,ISNUMBER($N$3),$N$3&gt;0),R290*(4*$N$4*(O290^3-N290^3)-(O290^4-N290^4))/(24*$N$3*1000000*$N$5)*1000,"")</f>
        <v/>
      </c>
      <c r="V290" s="120" t="str">
        <f>IF(COUNTA(M290:Q290)=0,"",IF(AND(COUNT(N290:Q290)=4,N290&gt;=0,O290&gt;N290,O290&lt;=$N$4,P290&gt;=0,Q290&gt;0),IF(COUNTIFS($N$13:$N$289,"&lt;"&amp;O290,$O$13:$O$289,"&gt;"&amp;N290)&gt;0,"OVERLAP","OK"),"CHECK INPUTS"))</f>
        <v/>
      </c>
      <c r="AA290" s="120">
        <f>IF(AND(J290="OK",ISNUMBER($B$5),$B$5&gt;0,ISNUMBER($B$3),$B$3&gt;0),F290/(6*$B$3*1000000*$B$5)*(IF(B290&lt;($B$4*0/10),($B$4*0/10)*(MIN(C290,($B$4*0/10))^3-B290^3)-(MIN(C290,($B$4*0/10))^4-B290^4)/4,0)+IF(C290&gt;($B$4*0/10),($B$4*0/10)^2*(1.5*(C290^2-MAX(B290,($B$4*0/10))^2)-($B$4*0/10)*(C290-MAX(B290,($B$4*0/10)))),0))*1000,0)</f>
        <v>0</v>
      </c>
      <c r="AB290" s="120">
        <f>IF(AND(J290="OK",ISNUMBER($B$5),$B$5&gt;0,ISNUMBER($B$3),$B$3&gt;0),F290/(6*$B$3*1000000*$B$5)*(IF(B290&lt;($B$4*1/10),($B$4*1/10)*(MIN(C290,($B$4*1/10))^3-B290^3)-(MIN(C290,($B$4*1/10))^4-B290^4)/4,0)+IF(C290&gt;($B$4*1/10),($B$4*1/10)^2*(1.5*(C290^2-MAX(B290,($B$4*1/10))^2)-($B$4*1/10)*(C290-MAX(B290,($B$4*1/10)))),0))*1000,0)</f>
        <v>0</v>
      </c>
      <c r="AC290" s="120">
        <f>IF(AND(J290="OK",ISNUMBER($B$5),$B$5&gt;0,ISNUMBER($B$3),$B$3&gt;0),F290/(6*$B$3*1000000*$B$5)*(IF(B290&lt;($B$4*2/10),($B$4*2/10)*(MIN(C290,($B$4*2/10))^3-B290^3)-(MIN(C290,($B$4*2/10))^4-B290^4)/4,0)+IF(C290&gt;($B$4*2/10),($B$4*2/10)^2*(1.5*(C290^2-MAX(B290,($B$4*2/10))^2)-($B$4*2/10)*(C290-MAX(B290,($B$4*2/10)))),0))*1000,0)</f>
        <v>0</v>
      </c>
      <c r="AD290" s="120">
        <f>IF(AND(J290="OK",ISNUMBER($B$5),$B$5&gt;0,ISNUMBER($B$3),$B$3&gt;0),F290/(6*$B$3*1000000*$B$5)*(IF(B290&lt;($B$4*3/10),($B$4*3/10)*(MIN(C290,($B$4*3/10))^3-B290^3)-(MIN(C290,($B$4*3/10))^4-B290^4)/4,0)+IF(C290&gt;($B$4*3/10),($B$4*3/10)^2*(1.5*(C290^2-MAX(B290,($B$4*3/10))^2)-($B$4*3/10)*(C290-MAX(B290,($B$4*3/10)))),0))*1000,0)</f>
        <v>0</v>
      </c>
      <c r="AE290" s="120">
        <f>IF(AND(J290="OK",ISNUMBER($B$5),$B$5&gt;0,ISNUMBER($B$3),$B$3&gt;0),F290/(6*$B$3*1000000*$B$5)*(IF(B290&lt;($B$4*4/10),($B$4*4/10)*(MIN(C290,($B$4*4/10))^3-B290^3)-(MIN(C290,($B$4*4/10))^4-B290^4)/4,0)+IF(C290&gt;($B$4*4/10),($B$4*4/10)^2*(1.5*(C290^2-MAX(B290,($B$4*4/10))^2)-($B$4*4/10)*(C290-MAX(B290,($B$4*4/10)))),0))*1000,0)</f>
        <v>0</v>
      </c>
      <c r="AF290" s="120">
        <f>IF(AND(J290="OK",ISNUMBER($B$5),$B$5&gt;0,ISNUMBER($B$3),$B$3&gt;0),F290/(6*$B$3*1000000*$B$5)*(IF(B290&lt;($B$4*5/10),($B$4*5/10)*(MIN(C290,($B$4*5/10))^3-B290^3)-(MIN(C290,($B$4*5/10))^4-B290^4)/4,0)+IF(C290&gt;($B$4*5/10),($B$4*5/10)^2*(1.5*(C290^2-MAX(B290,($B$4*5/10))^2)-($B$4*5/10)*(C290-MAX(B290,($B$4*5/10)))),0))*1000,0)</f>
        <v>0</v>
      </c>
      <c r="AG290" s="120">
        <f>IF(AND(J290="OK",ISNUMBER($B$5),$B$5&gt;0,ISNUMBER($B$3),$B$3&gt;0),F290/(6*$B$3*1000000*$B$5)*(IF(B290&lt;($B$4*6/10),($B$4*6/10)*(MIN(C290,($B$4*6/10))^3-B290^3)-(MIN(C290,($B$4*6/10))^4-B290^4)/4,0)+IF(C290&gt;($B$4*6/10),($B$4*6/10)^2*(1.5*(C290^2-MAX(B290,($B$4*6/10))^2)-($B$4*6/10)*(C290-MAX(B290,($B$4*6/10)))),0))*1000,0)</f>
        <v>0</v>
      </c>
      <c r="AH290" s="120">
        <f>IF(AND(J290="OK",ISNUMBER($B$5),$B$5&gt;0,ISNUMBER($B$3),$B$3&gt;0),F290/(6*$B$3*1000000*$B$5)*(IF(B290&lt;($B$4*7/10),($B$4*7/10)*(MIN(C290,($B$4*7/10))^3-B290^3)-(MIN(C290,($B$4*7/10))^4-B290^4)/4,0)+IF(C290&gt;($B$4*7/10),($B$4*7/10)^2*(1.5*(C290^2-MAX(B290,($B$4*7/10))^2)-($B$4*7/10)*(C290-MAX(B290,($B$4*7/10)))),0))*1000,0)</f>
        <v>0</v>
      </c>
      <c r="AI290" s="120">
        <f>IF(AND(J290="OK",ISNUMBER($B$5),$B$5&gt;0,ISNUMBER($B$3),$B$3&gt;0),F290/(6*$B$3*1000000*$B$5)*(IF(B290&lt;($B$4*8/10),($B$4*8/10)*(MIN(C290,($B$4*8/10))^3-B290^3)-(MIN(C290,($B$4*8/10))^4-B290^4)/4,0)+IF(C290&gt;($B$4*8/10),($B$4*8/10)^2*(1.5*(C290^2-MAX(B290,($B$4*8/10))^2)-($B$4*8/10)*(C290-MAX(B290,($B$4*8/10)))),0))*1000,0)</f>
        <v>0</v>
      </c>
      <c r="AJ290" s="120">
        <f>IF(AND(J290="OK",ISNUMBER($B$5),$B$5&gt;0,ISNUMBER($B$3),$B$3&gt;0),F290/(6*$B$3*1000000*$B$5)*(IF(B290&lt;($B$4*9/10),($B$4*9/10)*(MIN(C290,($B$4*9/10))^3-B290^3)-(MIN(C290,($B$4*9/10))^4-B290^4)/4,0)+IF(C290&gt;($B$4*9/10),($B$4*9/10)^2*(1.5*(C290^2-MAX(B290,($B$4*9/10))^2)-($B$4*9/10)*(C290-MAX(B290,($B$4*9/10)))),0))*1000,0)</f>
        <v>0</v>
      </c>
      <c r="AK290" s="120">
        <f>IF(AND(J290="OK",ISNUMBER($B$5),$B$5&gt;0,ISNUMBER($B$3),$B$3&gt;0),F290/(6*$B$3*1000000*$B$5)*(IF(B290&lt;($B$4*10/10),($B$4*10/10)*(MIN(C290,($B$4*10/10))^3-B290^3)-(MIN(C290,($B$4*10/10))^4-B290^4)/4,0)+IF(C290&gt;($B$4*10/10),($B$4*10/10)^2*(1.5*(C290^2-MAX(B290,($B$4*10/10))^2)-($B$4*10/10)*(C290-MAX(B290,($B$4*10/10)))),0))*1000,0)</f>
        <v>0</v>
      </c>
      <c r="AM290" s="120">
        <f>IF(AND(V290="OK",ISNUMBER($N$5),$N$5&gt;0,ISNUMBER($N$3),$N$3&gt;0),R290/(6*$N$3*1000000*$N$5)*(IF(N290&lt;($N$4*0/10),($N$4*0/10)*(MIN(O290,($N$4*0/10))^3-N290^3)-(MIN(O290,($N$4*0/10))^4-N290^4)/4,0)+IF(O290&gt;($N$4*0/10),($N$4*0/10)^2*(1.5*(O290^2-MAX(N290,($N$4*0/10))^2)-($N$4*0/10)*(O290-MAX(N290,($N$4*0/10)))),0))*1000,0)</f>
        <v>0</v>
      </c>
      <c r="AN290" s="120">
        <f>IF(AND(V290="OK",ISNUMBER($N$5),$N$5&gt;0,ISNUMBER($N$3),$N$3&gt;0),R290/(6*$N$3*1000000*$N$5)*(IF(N290&lt;($N$4*1/10),($N$4*1/10)*(MIN(O290,($N$4*1/10))^3-N290^3)-(MIN(O290,($N$4*1/10))^4-N290^4)/4,0)+IF(O290&gt;($N$4*1/10),($N$4*1/10)^2*(1.5*(O290^2-MAX(N290,($N$4*1/10))^2)-($N$4*1/10)*(O290-MAX(N290,($N$4*1/10)))),0))*1000,0)</f>
        <v>0</v>
      </c>
      <c r="AO290" s="120">
        <f>IF(AND(V290="OK",ISNUMBER($N$5),$N$5&gt;0,ISNUMBER($N$3),$N$3&gt;0),R290/(6*$N$3*1000000*$N$5)*(IF(N290&lt;($N$4*2/10),($N$4*2/10)*(MIN(O290,($N$4*2/10))^3-N290^3)-(MIN(O290,($N$4*2/10))^4-N290^4)/4,0)+IF(O290&gt;($N$4*2/10),($N$4*2/10)^2*(1.5*(O290^2-MAX(N290,($N$4*2/10))^2)-($N$4*2/10)*(O290-MAX(N290,($N$4*2/10)))),0))*1000,0)</f>
        <v>0</v>
      </c>
      <c r="AP290" s="120">
        <f>IF(AND(V290="OK",ISNUMBER($N$5),$N$5&gt;0,ISNUMBER($N$3),$N$3&gt;0),R290/(6*$N$3*1000000*$N$5)*(IF(N290&lt;($N$4*3/10),($N$4*3/10)*(MIN(O290,($N$4*3/10))^3-N290^3)-(MIN(O290,($N$4*3/10))^4-N290^4)/4,0)+IF(O290&gt;($N$4*3/10),($N$4*3/10)^2*(1.5*(O290^2-MAX(N290,($N$4*3/10))^2)-($N$4*3/10)*(O290-MAX(N290,($N$4*3/10)))),0))*1000,0)</f>
        <v>0</v>
      </c>
      <c r="AQ290" s="120">
        <f>IF(AND(V290="OK",ISNUMBER($N$5),$N$5&gt;0,ISNUMBER($N$3),$N$3&gt;0),R290/(6*$N$3*1000000*$N$5)*(IF(N290&lt;($N$4*4/10),($N$4*4/10)*(MIN(O290,($N$4*4/10))^3-N290^3)-(MIN(O290,($N$4*4/10))^4-N290^4)/4,0)+IF(O290&gt;($N$4*4/10),($N$4*4/10)^2*(1.5*(O290^2-MAX(N290,($N$4*4/10))^2)-($N$4*4/10)*(O290-MAX(N290,($N$4*4/10)))),0))*1000,0)</f>
        <v>0</v>
      </c>
      <c r="AR290" s="120">
        <f>IF(AND(V290="OK",ISNUMBER($N$5),$N$5&gt;0,ISNUMBER($N$3),$N$3&gt;0),R290/(6*$N$3*1000000*$N$5)*(IF(N290&lt;($N$4*5/10),($N$4*5/10)*(MIN(O290,($N$4*5/10))^3-N290^3)-(MIN(O290,($N$4*5/10))^4-N290^4)/4,0)+IF(O290&gt;($N$4*5/10),($N$4*5/10)^2*(1.5*(O290^2-MAX(N290,($N$4*5/10))^2)-($N$4*5/10)*(O290-MAX(N290,($N$4*5/10)))),0))*1000,0)</f>
        <v>0</v>
      </c>
      <c r="AS290" s="120">
        <f>IF(AND(V290="OK",ISNUMBER($N$5),$N$5&gt;0,ISNUMBER($N$3),$N$3&gt;0),R290/(6*$N$3*1000000*$N$5)*(IF(N290&lt;($N$4*6/10),($N$4*6/10)*(MIN(O290,($N$4*6/10))^3-N290^3)-(MIN(O290,($N$4*6/10))^4-N290^4)/4,0)+IF(O290&gt;($N$4*6/10),($N$4*6/10)^2*(1.5*(O290^2-MAX(N290,($N$4*6/10))^2)-($N$4*6/10)*(O290-MAX(N290,($N$4*6/10)))),0))*1000,0)</f>
        <v>0</v>
      </c>
      <c r="AT290" s="120">
        <f>IF(AND(V290="OK",ISNUMBER($N$5),$N$5&gt;0,ISNUMBER($N$3),$N$3&gt;0),R290/(6*$N$3*1000000*$N$5)*(IF(N290&lt;($N$4*7/10),($N$4*7/10)*(MIN(O290,($N$4*7/10))^3-N290^3)-(MIN(O290,($N$4*7/10))^4-N290^4)/4,0)+IF(O290&gt;($N$4*7/10),($N$4*7/10)^2*(1.5*(O290^2-MAX(N290,($N$4*7/10))^2)-($N$4*7/10)*(O290-MAX(N290,($N$4*7/10)))),0))*1000,0)</f>
        <v>0</v>
      </c>
      <c r="AU290" s="120">
        <f>IF(AND(V290="OK",ISNUMBER($N$5),$N$5&gt;0,ISNUMBER($N$3),$N$3&gt;0),R290/(6*$N$3*1000000*$N$5)*(IF(N290&lt;($N$4*8/10),($N$4*8/10)*(MIN(O290,($N$4*8/10))^3-N290^3)-(MIN(O290,($N$4*8/10))^4-N290^4)/4,0)+IF(O290&gt;($N$4*8/10),($N$4*8/10)^2*(1.5*(O290^2-MAX(N290,($N$4*8/10))^2)-($N$4*8/10)*(O290-MAX(N290,($N$4*8/10)))),0))*1000,0)</f>
        <v>0</v>
      </c>
      <c r="AV290" s="120">
        <f>IF(AND(V290="OK",ISNUMBER($N$5),$N$5&gt;0,ISNUMBER($N$3),$N$3&gt;0),R290/(6*$N$3*1000000*$N$5)*(IF(N290&lt;($N$4*9/10),($N$4*9/10)*(MIN(O290,($N$4*9/10))^3-N290^3)-(MIN(O290,($N$4*9/10))^4-N290^4)/4,0)+IF(O290&gt;($N$4*9/10),($N$4*9/10)^2*(1.5*(O290^2-MAX(N290,($N$4*9/10))^2)-($N$4*9/10)*(O290-MAX(N290,($N$4*9/10)))),0))*1000,0)</f>
        <v>0</v>
      </c>
      <c r="AW290" s="120">
        <f>IF(AND(V290="OK",ISNUMBER($N$5),$N$5&gt;0,ISNUMBER($N$3),$N$3&gt;0),R290/(6*$N$3*1000000*$N$5)*(IF(N290&lt;($N$4*10/10),($N$4*10/10)*(MIN(O290,($N$4*10/10))^3-N290^3)-(MIN(O290,($N$4*10/10))^4-N290^4)/4,0)+IF(O290&gt;($N$4*10/10),($N$4*10/10)^2*(1.5*(O290^2-MAX(N290,($N$4*10/10))^2)-($N$4*10/10)*(O290-MAX(N290,($N$4*10/10)))),0))*1000,0)</f>
        <v>0</v>
      </c>
    </row>
    <row r="291" spans="1:49">
      <c r="A291" s="124"/>
      <c r="B291" s="125"/>
      <c r="C291" s="125"/>
      <c r="D291" s="125"/>
      <c r="E291" s="125"/>
      <c r="F291" s="126" t="str">
        <f>IF(J291="OK",D291*E291,"")</f>
        <v/>
      </c>
      <c r="G291" s="126" t="str">
        <f>IF(J291="OK",F291*(C291-B291),"")</f>
        <v/>
      </c>
      <c r="H291" s="126" t="str">
        <f>IF(J291="OK",G291*(C291+B291)/2,"")</f>
        <v/>
      </c>
      <c r="I291" s="126" t="str">
        <f>IF(AND(J291="OK",ISNUMBER($B$5),$B$5&gt;0,ISNUMBER($B$3),$B$3&gt;0),F291*(4*$B$4*(C291^3-B291^3)-(C291^4-B291^4))/(24*$B$3*1000000*$B$5)*1000,"")</f>
        <v/>
      </c>
      <c r="J291" s="120" t="str">
        <f>IF(COUNTA(A291:E291)=0,"",IF(AND(COUNT(B291:E291)=4,B291&gt;=0,C291&gt;B291,C291&lt;=$B$4,D291&gt;=0,E291&gt;0),IF(COUNTIFS($B$13:$B$290,"&lt;"&amp;C291,$C$13:$C$290,"&gt;"&amp;B291)&gt;0,"OVERLAP","OK"),"CHECK INPUTS"))</f>
        <v/>
      </c>
      <c r="M291" s="124"/>
      <c r="N291" s="125"/>
      <c r="O291" s="125"/>
      <c r="P291" s="125"/>
      <c r="Q291" s="125"/>
      <c r="R291" s="126" t="str">
        <f>IF(V291="OK",P291*Q291,"")</f>
        <v/>
      </c>
      <c r="S291" s="126" t="str">
        <f>IF(V291="OK",R291*(O291-N291),"")</f>
        <v/>
      </c>
      <c r="T291" s="126" t="str">
        <f>IF(V291="OK",S291*(O291+N291)/2,"")</f>
        <v/>
      </c>
      <c r="U291" s="126" t="str">
        <f>IF(AND(V291="OK",ISNUMBER($N$5),$N$5&gt;0,ISNUMBER($N$3),$N$3&gt;0),R291*(4*$N$4*(O291^3-N291^3)-(O291^4-N291^4))/(24*$N$3*1000000*$N$5)*1000,"")</f>
        <v/>
      </c>
      <c r="V291" s="120" t="str">
        <f>IF(COUNTA(M291:Q291)=0,"",IF(AND(COUNT(N291:Q291)=4,N291&gt;=0,O291&gt;N291,O291&lt;=$N$4,P291&gt;=0,Q291&gt;0),IF(COUNTIFS($N$13:$N$290,"&lt;"&amp;O291,$O$13:$O$290,"&gt;"&amp;N291)&gt;0,"OVERLAP","OK"),"CHECK INPUTS"))</f>
        <v/>
      </c>
      <c r="AA291" s="120">
        <f>IF(AND(J291="OK",ISNUMBER($B$5),$B$5&gt;0,ISNUMBER($B$3),$B$3&gt;0),F291/(6*$B$3*1000000*$B$5)*(IF(B291&lt;($B$4*0/10),($B$4*0/10)*(MIN(C291,($B$4*0/10))^3-B291^3)-(MIN(C291,($B$4*0/10))^4-B291^4)/4,0)+IF(C291&gt;($B$4*0/10),($B$4*0/10)^2*(1.5*(C291^2-MAX(B291,($B$4*0/10))^2)-($B$4*0/10)*(C291-MAX(B291,($B$4*0/10)))),0))*1000,0)</f>
        <v>0</v>
      </c>
      <c r="AB291" s="120">
        <f>IF(AND(J291="OK",ISNUMBER($B$5),$B$5&gt;0,ISNUMBER($B$3),$B$3&gt;0),F291/(6*$B$3*1000000*$B$5)*(IF(B291&lt;($B$4*1/10),($B$4*1/10)*(MIN(C291,($B$4*1/10))^3-B291^3)-(MIN(C291,($B$4*1/10))^4-B291^4)/4,0)+IF(C291&gt;($B$4*1/10),($B$4*1/10)^2*(1.5*(C291^2-MAX(B291,($B$4*1/10))^2)-($B$4*1/10)*(C291-MAX(B291,($B$4*1/10)))),0))*1000,0)</f>
        <v>0</v>
      </c>
      <c r="AC291" s="120">
        <f>IF(AND(J291="OK",ISNUMBER($B$5),$B$5&gt;0,ISNUMBER($B$3),$B$3&gt;0),F291/(6*$B$3*1000000*$B$5)*(IF(B291&lt;($B$4*2/10),($B$4*2/10)*(MIN(C291,($B$4*2/10))^3-B291^3)-(MIN(C291,($B$4*2/10))^4-B291^4)/4,0)+IF(C291&gt;($B$4*2/10),($B$4*2/10)^2*(1.5*(C291^2-MAX(B291,($B$4*2/10))^2)-($B$4*2/10)*(C291-MAX(B291,($B$4*2/10)))),0))*1000,0)</f>
        <v>0</v>
      </c>
      <c r="AD291" s="120">
        <f>IF(AND(J291="OK",ISNUMBER($B$5),$B$5&gt;0,ISNUMBER($B$3),$B$3&gt;0),F291/(6*$B$3*1000000*$B$5)*(IF(B291&lt;($B$4*3/10),($B$4*3/10)*(MIN(C291,($B$4*3/10))^3-B291^3)-(MIN(C291,($B$4*3/10))^4-B291^4)/4,0)+IF(C291&gt;($B$4*3/10),($B$4*3/10)^2*(1.5*(C291^2-MAX(B291,($B$4*3/10))^2)-($B$4*3/10)*(C291-MAX(B291,($B$4*3/10)))),0))*1000,0)</f>
        <v>0</v>
      </c>
      <c r="AE291" s="120">
        <f>IF(AND(J291="OK",ISNUMBER($B$5),$B$5&gt;0,ISNUMBER($B$3),$B$3&gt;0),F291/(6*$B$3*1000000*$B$5)*(IF(B291&lt;($B$4*4/10),($B$4*4/10)*(MIN(C291,($B$4*4/10))^3-B291^3)-(MIN(C291,($B$4*4/10))^4-B291^4)/4,0)+IF(C291&gt;($B$4*4/10),($B$4*4/10)^2*(1.5*(C291^2-MAX(B291,($B$4*4/10))^2)-($B$4*4/10)*(C291-MAX(B291,($B$4*4/10)))),0))*1000,0)</f>
        <v>0</v>
      </c>
      <c r="AF291" s="120">
        <f>IF(AND(J291="OK",ISNUMBER($B$5),$B$5&gt;0,ISNUMBER($B$3),$B$3&gt;0),F291/(6*$B$3*1000000*$B$5)*(IF(B291&lt;($B$4*5/10),($B$4*5/10)*(MIN(C291,($B$4*5/10))^3-B291^3)-(MIN(C291,($B$4*5/10))^4-B291^4)/4,0)+IF(C291&gt;($B$4*5/10),($B$4*5/10)^2*(1.5*(C291^2-MAX(B291,($B$4*5/10))^2)-($B$4*5/10)*(C291-MAX(B291,($B$4*5/10)))),0))*1000,0)</f>
        <v>0</v>
      </c>
      <c r="AG291" s="120">
        <f>IF(AND(J291="OK",ISNUMBER($B$5),$B$5&gt;0,ISNUMBER($B$3),$B$3&gt;0),F291/(6*$B$3*1000000*$B$5)*(IF(B291&lt;($B$4*6/10),($B$4*6/10)*(MIN(C291,($B$4*6/10))^3-B291^3)-(MIN(C291,($B$4*6/10))^4-B291^4)/4,0)+IF(C291&gt;($B$4*6/10),($B$4*6/10)^2*(1.5*(C291^2-MAX(B291,($B$4*6/10))^2)-($B$4*6/10)*(C291-MAX(B291,($B$4*6/10)))),0))*1000,0)</f>
        <v>0</v>
      </c>
      <c r="AH291" s="120">
        <f>IF(AND(J291="OK",ISNUMBER($B$5),$B$5&gt;0,ISNUMBER($B$3),$B$3&gt;0),F291/(6*$B$3*1000000*$B$5)*(IF(B291&lt;($B$4*7/10),($B$4*7/10)*(MIN(C291,($B$4*7/10))^3-B291^3)-(MIN(C291,($B$4*7/10))^4-B291^4)/4,0)+IF(C291&gt;($B$4*7/10),($B$4*7/10)^2*(1.5*(C291^2-MAX(B291,($B$4*7/10))^2)-($B$4*7/10)*(C291-MAX(B291,($B$4*7/10)))),0))*1000,0)</f>
        <v>0</v>
      </c>
      <c r="AI291" s="120">
        <f>IF(AND(J291="OK",ISNUMBER($B$5),$B$5&gt;0,ISNUMBER($B$3),$B$3&gt;0),F291/(6*$B$3*1000000*$B$5)*(IF(B291&lt;($B$4*8/10),($B$4*8/10)*(MIN(C291,($B$4*8/10))^3-B291^3)-(MIN(C291,($B$4*8/10))^4-B291^4)/4,0)+IF(C291&gt;($B$4*8/10),($B$4*8/10)^2*(1.5*(C291^2-MAX(B291,($B$4*8/10))^2)-($B$4*8/10)*(C291-MAX(B291,($B$4*8/10)))),0))*1000,0)</f>
        <v>0</v>
      </c>
      <c r="AJ291" s="120">
        <f>IF(AND(J291="OK",ISNUMBER($B$5),$B$5&gt;0,ISNUMBER($B$3),$B$3&gt;0),F291/(6*$B$3*1000000*$B$5)*(IF(B291&lt;($B$4*9/10),($B$4*9/10)*(MIN(C291,($B$4*9/10))^3-B291^3)-(MIN(C291,($B$4*9/10))^4-B291^4)/4,0)+IF(C291&gt;($B$4*9/10),($B$4*9/10)^2*(1.5*(C291^2-MAX(B291,($B$4*9/10))^2)-($B$4*9/10)*(C291-MAX(B291,($B$4*9/10)))),0))*1000,0)</f>
        <v>0</v>
      </c>
      <c r="AK291" s="120">
        <f>IF(AND(J291="OK",ISNUMBER($B$5),$B$5&gt;0,ISNUMBER($B$3),$B$3&gt;0),F291/(6*$B$3*1000000*$B$5)*(IF(B291&lt;($B$4*10/10),($B$4*10/10)*(MIN(C291,($B$4*10/10))^3-B291^3)-(MIN(C291,($B$4*10/10))^4-B291^4)/4,0)+IF(C291&gt;($B$4*10/10),($B$4*10/10)^2*(1.5*(C291^2-MAX(B291,($B$4*10/10))^2)-($B$4*10/10)*(C291-MAX(B291,($B$4*10/10)))),0))*1000,0)</f>
        <v>0</v>
      </c>
      <c r="AM291" s="120">
        <f>IF(AND(V291="OK",ISNUMBER($N$5),$N$5&gt;0,ISNUMBER($N$3),$N$3&gt;0),R291/(6*$N$3*1000000*$N$5)*(IF(N291&lt;($N$4*0/10),($N$4*0/10)*(MIN(O291,($N$4*0/10))^3-N291^3)-(MIN(O291,($N$4*0/10))^4-N291^4)/4,0)+IF(O291&gt;($N$4*0/10),($N$4*0/10)^2*(1.5*(O291^2-MAX(N291,($N$4*0/10))^2)-($N$4*0/10)*(O291-MAX(N291,($N$4*0/10)))),0))*1000,0)</f>
        <v>0</v>
      </c>
      <c r="AN291" s="120">
        <f>IF(AND(V291="OK",ISNUMBER($N$5),$N$5&gt;0,ISNUMBER($N$3),$N$3&gt;0),R291/(6*$N$3*1000000*$N$5)*(IF(N291&lt;($N$4*1/10),($N$4*1/10)*(MIN(O291,($N$4*1/10))^3-N291^3)-(MIN(O291,($N$4*1/10))^4-N291^4)/4,0)+IF(O291&gt;($N$4*1/10),($N$4*1/10)^2*(1.5*(O291^2-MAX(N291,($N$4*1/10))^2)-($N$4*1/10)*(O291-MAX(N291,($N$4*1/10)))),0))*1000,0)</f>
        <v>0</v>
      </c>
      <c r="AO291" s="120">
        <f>IF(AND(V291="OK",ISNUMBER($N$5),$N$5&gt;0,ISNUMBER($N$3),$N$3&gt;0),R291/(6*$N$3*1000000*$N$5)*(IF(N291&lt;($N$4*2/10),($N$4*2/10)*(MIN(O291,($N$4*2/10))^3-N291^3)-(MIN(O291,($N$4*2/10))^4-N291^4)/4,0)+IF(O291&gt;($N$4*2/10),($N$4*2/10)^2*(1.5*(O291^2-MAX(N291,($N$4*2/10))^2)-($N$4*2/10)*(O291-MAX(N291,($N$4*2/10)))),0))*1000,0)</f>
        <v>0</v>
      </c>
      <c r="AP291" s="120">
        <f>IF(AND(V291="OK",ISNUMBER($N$5),$N$5&gt;0,ISNUMBER($N$3),$N$3&gt;0),R291/(6*$N$3*1000000*$N$5)*(IF(N291&lt;($N$4*3/10),($N$4*3/10)*(MIN(O291,($N$4*3/10))^3-N291^3)-(MIN(O291,($N$4*3/10))^4-N291^4)/4,0)+IF(O291&gt;($N$4*3/10),($N$4*3/10)^2*(1.5*(O291^2-MAX(N291,($N$4*3/10))^2)-($N$4*3/10)*(O291-MAX(N291,($N$4*3/10)))),0))*1000,0)</f>
        <v>0</v>
      </c>
      <c r="AQ291" s="120">
        <f>IF(AND(V291="OK",ISNUMBER($N$5),$N$5&gt;0,ISNUMBER($N$3),$N$3&gt;0),R291/(6*$N$3*1000000*$N$5)*(IF(N291&lt;($N$4*4/10),($N$4*4/10)*(MIN(O291,($N$4*4/10))^3-N291^3)-(MIN(O291,($N$4*4/10))^4-N291^4)/4,0)+IF(O291&gt;($N$4*4/10),($N$4*4/10)^2*(1.5*(O291^2-MAX(N291,($N$4*4/10))^2)-($N$4*4/10)*(O291-MAX(N291,($N$4*4/10)))),0))*1000,0)</f>
        <v>0</v>
      </c>
      <c r="AR291" s="120">
        <f>IF(AND(V291="OK",ISNUMBER($N$5),$N$5&gt;0,ISNUMBER($N$3),$N$3&gt;0),R291/(6*$N$3*1000000*$N$5)*(IF(N291&lt;($N$4*5/10),($N$4*5/10)*(MIN(O291,($N$4*5/10))^3-N291^3)-(MIN(O291,($N$4*5/10))^4-N291^4)/4,0)+IF(O291&gt;($N$4*5/10),($N$4*5/10)^2*(1.5*(O291^2-MAX(N291,($N$4*5/10))^2)-($N$4*5/10)*(O291-MAX(N291,($N$4*5/10)))),0))*1000,0)</f>
        <v>0</v>
      </c>
      <c r="AS291" s="120">
        <f>IF(AND(V291="OK",ISNUMBER($N$5),$N$5&gt;0,ISNUMBER($N$3),$N$3&gt;0),R291/(6*$N$3*1000000*$N$5)*(IF(N291&lt;($N$4*6/10),($N$4*6/10)*(MIN(O291,($N$4*6/10))^3-N291^3)-(MIN(O291,($N$4*6/10))^4-N291^4)/4,0)+IF(O291&gt;($N$4*6/10),($N$4*6/10)^2*(1.5*(O291^2-MAX(N291,($N$4*6/10))^2)-($N$4*6/10)*(O291-MAX(N291,($N$4*6/10)))),0))*1000,0)</f>
        <v>0</v>
      </c>
      <c r="AT291" s="120">
        <f>IF(AND(V291="OK",ISNUMBER($N$5),$N$5&gt;0,ISNUMBER($N$3),$N$3&gt;0),R291/(6*$N$3*1000000*$N$5)*(IF(N291&lt;($N$4*7/10),($N$4*7/10)*(MIN(O291,($N$4*7/10))^3-N291^3)-(MIN(O291,($N$4*7/10))^4-N291^4)/4,0)+IF(O291&gt;($N$4*7/10),($N$4*7/10)^2*(1.5*(O291^2-MAX(N291,($N$4*7/10))^2)-($N$4*7/10)*(O291-MAX(N291,($N$4*7/10)))),0))*1000,0)</f>
        <v>0</v>
      </c>
      <c r="AU291" s="120">
        <f>IF(AND(V291="OK",ISNUMBER($N$5),$N$5&gt;0,ISNUMBER($N$3),$N$3&gt;0),R291/(6*$N$3*1000000*$N$5)*(IF(N291&lt;($N$4*8/10),($N$4*8/10)*(MIN(O291,($N$4*8/10))^3-N291^3)-(MIN(O291,($N$4*8/10))^4-N291^4)/4,0)+IF(O291&gt;($N$4*8/10),($N$4*8/10)^2*(1.5*(O291^2-MAX(N291,($N$4*8/10))^2)-($N$4*8/10)*(O291-MAX(N291,($N$4*8/10)))),0))*1000,0)</f>
        <v>0</v>
      </c>
      <c r="AV291" s="120">
        <f>IF(AND(V291="OK",ISNUMBER($N$5),$N$5&gt;0,ISNUMBER($N$3),$N$3&gt;0),R291/(6*$N$3*1000000*$N$5)*(IF(N291&lt;($N$4*9/10),($N$4*9/10)*(MIN(O291,($N$4*9/10))^3-N291^3)-(MIN(O291,($N$4*9/10))^4-N291^4)/4,0)+IF(O291&gt;($N$4*9/10),($N$4*9/10)^2*(1.5*(O291^2-MAX(N291,($N$4*9/10))^2)-($N$4*9/10)*(O291-MAX(N291,($N$4*9/10)))),0))*1000,0)</f>
        <v>0</v>
      </c>
      <c r="AW291" s="120">
        <f>IF(AND(V291="OK",ISNUMBER($N$5),$N$5&gt;0,ISNUMBER($N$3),$N$3&gt;0),R291/(6*$N$3*1000000*$N$5)*(IF(N291&lt;($N$4*10/10),($N$4*10/10)*(MIN(O291,($N$4*10/10))^3-N291^3)-(MIN(O291,($N$4*10/10))^4-N291^4)/4,0)+IF(O291&gt;($N$4*10/10),($N$4*10/10)^2*(1.5*(O291^2-MAX(N291,($N$4*10/10))^2)-($N$4*10/10)*(O291-MAX(N291,($N$4*10/10)))),0))*1000,0)</f>
        <v>0</v>
      </c>
    </row>
    <row r="292" spans="1:49">
      <c r="A292" s="124"/>
      <c r="B292" s="125"/>
      <c r="C292" s="125"/>
      <c r="D292" s="125"/>
      <c r="E292" s="125"/>
      <c r="F292" s="126" t="str">
        <f>IF(J292="OK",D292*E292,"")</f>
        <v/>
      </c>
      <c r="G292" s="126" t="str">
        <f>IF(J292="OK",F292*(C292-B292),"")</f>
        <v/>
      </c>
      <c r="H292" s="126" t="str">
        <f>IF(J292="OK",G292*(C292+B292)/2,"")</f>
        <v/>
      </c>
      <c r="I292" s="126" t="str">
        <f>IF(AND(J292="OK",ISNUMBER($B$5),$B$5&gt;0,ISNUMBER($B$3),$B$3&gt;0),F292*(4*$B$4*(C292^3-B292^3)-(C292^4-B292^4))/(24*$B$3*1000000*$B$5)*1000,"")</f>
        <v/>
      </c>
      <c r="J292" s="120" t="str">
        <f>IF(COUNTA(A292:E292)=0,"",IF(AND(COUNT(B292:E292)=4,B292&gt;=0,C292&gt;B292,C292&lt;=$B$4,D292&gt;=0,E292&gt;0),IF(COUNTIFS($B$13:$B$291,"&lt;"&amp;C292,$C$13:$C$291,"&gt;"&amp;B292)&gt;0,"OVERLAP","OK"),"CHECK INPUTS"))</f>
        <v/>
      </c>
      <c r="M292" s="124"/>
      <c r="N292" s="125"/>
      <c r="O292" s="125"/>
      <c r="P292" s="125"/>
      <c r="Q292" s="125"/>
      <c r="R292" s="126" t="str">
        <f>IF(V292="OK",P292*Q292,"")</f>
        <v/>
      </c>
      <c r="S292" s="126" t="str">
        <f>IF(V292="OK",R292*(O292-N292),"")</f>
        <v/>
      </c>
      <c r="T292" s="126" t="str">
        <f>IF(V292="OK",S292*(O292+N292)/2,"")</f>
        <v/>
      </c>
      <c r="U292" s="126" t="str">
        <f>IF(AND(V292="OK",ISNUMBER($N$5),$N$5&gt;0,ISNUMBER($N$3),$N$3&gt;0),R292*(4*$N$4*(O292^3-N292^3)-(O292^4-N292^4))/(24*$N$3*1000000*$N$5)*1000,"")</f>
        <v/>
      </c>
      <c r="V292" s="120" t="str">
        <f>IF(COUNTA(M292:Q292)=0,"",IF(AND(COUNT(N292:Q292)=4,N292&gt;=0,O292&gt;N292,O292&lt;=$N$4,P292&gt;=0,Q292&gt;0),IF(COUNTIFS($N$13:$N$291,"&lt;"&amp;O292,$O$13:$O$291,"&gt;"&amp;N292)&gt;0,"OVERLAP","OK"),"CHECK INPUTS"))</f>
        <v/>
      </c>
      <c r="AA292" s="120">
        <f>IF(AND(J292="OK",ISNUMBER($B$5),$B$5&gt;0,ISNUMBER($B$3),$B$3&gt;0),F292/(6*$B$3*1000000*$B$5)*(IF(B292&lt;($B$4*0/10),($B$4*0/10)*(MIN(C292,($B$4*0/10))^3-B292^3)-(MIN(C292,($B$4*0/10))^4-B292^4)/4,0)+IF(C292&gt;($B$4*0/10),($B$4*0/10)^2*(1.5*(C292^2-MAX(B292,($B$4*0/10))^2)-($B$4*0/10)*(C292-MAX(B292,($B$4*0/10)))),0))*1000,0)</f>
        <v>0</v>
      </c>
      <c r="AB292" s="120">
        <f>IF(AND(J292="OK",ISNUMBER($B$5),$B$5&gt;0,ISNUMBER($B$3),$B$3&gt;0),F292/(6*$B$3*1000000*$B$5)*(IF(B292&lt;($B$4*1/10),($B$4*1/10)*(MIN(C292,($B$4*1/10))^3-B292^3)-(MIN(C292,($B$4*1/10))^4-B292^4)/4,0)+IF(C292&gt;($B$4*1/10),($B$4*1/10)^2*(1.5*(C292^2-MAX(B292,($B$4*1/10))^2)-($B$4*1/10)*(C292-MAX(B292,($B$4*1/10)))),0))*1000,0)</f>
        <v>0</v>
      </c>
      <c r="AC292" s="120">
        <f>IF(AND(J292="OK",ISNUMBER($B$5),$B$5&gt;0,ISNUMBER($B$3),$B$3&gt;0),F292/(6*$B$3*1000000*$B$5)*(IF(B292&lt;($B$4*2/10),($B$4*2/10)*(MIN(C292,($B$4*2/10))^3-B292^3)-(MIN(C292,($B$4*2/10))^4-B292^4)/4,0)+IF(C292&gt;($B$4*2/10),($B$4*2/10)^2*(1.5*(C292^2-MAX(B292,($B$4*2/10))^2)-($B$4*2/10)*(C292-MAX(B292,($B$4*2/10)))),0))*1000,0)</f>
        <v>0</v>
      </c>
      <c r="AD292" s="120">
        <f>IF(AND(J292="OK",ISNUMBER($B$5),$B$5&gt;0,ISNUMBER($B$3),$B$3&gt;0),F292/(6*$B$3*1000000*$B$5)*(IF(B292&lt;($B$4*3/10),($B$4*3/10)*(MIN(C292,($B$4*3/10))^3-B292^3)-(MIN(C292,($B$4*3/10))^4-B292^4)/4,0)+IF(C292&gt;($B$4*3/10),($B$4*3/10)^2*(1.5*(C292^2-MAX(B292,($B$4*3/10))^2)-($B$4*3/10)*(C292-MAX(B292,($B$4*3/10)))),0))*1000,0)</f>
        <v>0</v>
      </c>
      <c r="AE292" s="120">
        <f>IF(AND(J292="OK",ISNUMBER($B$5),$B$5&gt;0,ISNUMBER($B$3),$B$3&gt;0),F292/(6*$B$3*1000000*$B$5)*(IF(B292&lt;($B$4*4/10),($B$4*4/10)*(MIN(C292,($B$4*4/10))^3-B292^3)-(MIN(C292,($B$4*4/10))^4-B292^4)/4,0)+IF(C292&gt;($B$4*4/10),($B$4*4/10)^2*(1.5*(C292^2-MAX(B292,($B$4*4/10))^2)-($B$4*4/10)*(C292-MAX(B292,($B$4*4/10)))),0))*1000,0)</f>
        <v>0</v>
      </c>
      <c r="AF292" s="120">
        <f>IF(AND(J292="OK",ISNUMBER($B$5),$B$5&gt;0,ISNUMBER($B$3),$B$3&gt;0),F292/(6*$B$3*1000000*$B$5)*(IF(B292&lt;($B$4*5/10),($B$4*5/10)*(MIN(C292,($B$4*5/10))^3-B292^3)-(MIN(C292,($B$4*5/10))^4-B292^4)/4,0)+IF(C292&gt;($B$4*5/10),($B$4*5/10)^2*(1.5*(C292^2-MAX(B292,($B$4*5/10))^2)-($B$4*5/10)*(C292-MAX(B292,($B$4*5/10)))),0))*1000,0)</f>
        <v>0</v>
      </c>
      <c r="AG292" s="120">
        <f>IF(AND(J292="OK",ISNUMBER($B$5),$B$5&gt;0,ISNUMBER($B$3),$B$3&gt;0),F292/(6*$B$3*1000000*$B$5)*(IF(B292&lt;($B$4*6/10),($B$4*6/10)*(MIN(C292,($B$4*6/10))^3-B292^3)-(MIN(C292,($B$4*6/10))^4-B292^4)/4,0)+IF(C292&gt;($B$4*6/10),($B$4*6/10)^2*(1.5*(C292^2-MAX(B292,($B$4*6/10))^2)-($B$4*6/10)*(C292-MAX(B292,($B$4*6/10)))),0))*1000,0)</f>
        <v>0</v>
      </c>
      <c r="AH292" s="120">
        <f>IF(AND(J292="OK",ISNUMBER($B$5),$B$5&gt;0,ISNUMBER($B$3),$B$3&gt;0),F292/(6*$B$3*1000000*$B$5)*(IF(B292&lt;($B$4*7/10),($B$4*7/10)*(MIN(C292,($B$4*7/10))^3-B292^3)-(MIN(C292,($B$4*7/10))^4-B292^4)/4,0)+IF(C292&gt;($B$4*7/10),($B$4*7/10)^2*(1.5*(C292^2-MAX(B292,($B$4*7/10))^2)-($B$4*7/10)*(C292-MAX(B292,($B$4*7/10)))),0))*1000,0)</f>
        <v>0</v>
      </c>
      <c r="AI292" s="120">
        <f>IF(AND(J292="OK",ISNUMBER($B$5),$B$5&gt;0,ISNUMBER($B$3),$B$3&gt;0),F292/(6*$B$3*1000000*$B$5)*(IF(B292&lt;($B$4*8/10),($B$4*8/10)*(MIN(C292,($B$4*8/10))^3-B292^3)-(MIN(C292,($B$4*8/10))^4-B292^4)/4,0)+IF(C292&gt;($B$4*8/10),($B$4*8/10)^2*(1.5*(C292^2-MAX(B292,($B$4*8/10))^2)-($B$4*8/10)*(C292-MAX(B292,($B$4*8/10)))),0))*1000,0)</f>
        <v>0</v>
      </c>
      <c r="AJ292" s="120">
        <f>IF(AND(J292="OK",ISNUMBER($B$5),$B$5&gt;0,ISNUMBER($B$3),$B$3&gt;0),F292/(6*$B$3*1000000*$B$5)*(IF(B292&lt;($B$4*9/10),($B$4*9/10)*(MIN(C292,($B$4*9/10))^3-B292^3)-(MIN(C292,($B$4*9/10))^4-B292^4)/4,0)+IF(C292&gt;($B$4*9/10),($B$4*9/10)^2*(1.5*(C292^2-MAX(B292,($B$4*9/10))^2)-($B$4*9/10)*(C292-MAX(B292,($B$4*9/10)))),0))*1000,0)</f>
        <v>0</v>
      </c>
      <c r="AK292" s="120">
        <f>IF(AND(J292="OK",ISNUMBER($B$5),$B$5&gt;0,ISNUMBER($B$3),$B$3&gt;0),F292/(6*$B$3*1000000*$B$5)*(IF(B292&lt;($B$4*10/10),($B$4*10/10)*(MIN(C292,($B$4*10/10))^3-B292^3)-(MIN(C292,($B$4*10/10))^4-B292^4)/4,0)+IF(C292&gt;($B$4*10/10),($B$4*10/10)^2*(1.5*(C292^2-MAX(B292,($B$4*10/10))^2)-($B$4*10/10)*(C292-MAX(B292,($B$4*10/10)))),0))*1000,0)</f>
        <v>0</v>
      </c>
      <c r="AM292" s="120">
        <f>IF(AND(V292="OK",ISNUMBER($N$5),$N$5&gt;0,ISNUMBER($N$3),$N$3&gt;0),R292/(6*$N$3*1000000*$N$5)*(IF(N292&lt;($N$4*0/10),($N$4*0/10)*(MIN(O292,($N$4*0/10))^3-N292^3)-(MIN(O292,($N$4*0/10))^4-N292^4)/4,0)+IF(O292&gt;($N$4*0/10),($N$4*0/10)^2*(1.5*(O292^2-MAX(N292,($N$4*0/10))^2)-($N$4*0/10)*(O292-MAX(N292,($N$4*0/10)))),0))*1000,0)</f>
        <v>0</v>
      </c>
      <c r="AN292" s="120">
        <f>IF(AND(V292="OK",ISNUMBER($N$5),$N$5&gt;0,ISNUMBER($N$3),$N$3&gt;0),R292/(6*$N$3*1000000*$N$5)*(IF(N292&lt;($N$4*1/10),($N$4*1/10)*(MIN(O292,($N$4*1/10))^3-N292^3)-(MIN(O292,($N$4*1/10))^4-N292^4)/4,0)+IF(O292&gt;($N$4*1/10),($N$4*1/10)^2*(1.5*(O292^2-MAX(N292,($N$4*1/10))^2)-($N$4*1/10)*(O292-MAX(N292,($N$4*1/10)))),0))*1000,0)</f>
        <v>0</v>
      </c>
      <c r="AO292" s="120">
        <f>IF(AND(V292="OK",ISNUMBER($N$5),$N$5&gt;0,ISNUMBER($N$3),$N$3&gt;0),R292/(6*$N$3*1000000*$N$5)*(IF(N292&lt;($N$4*2/10),($N$4*2/10)*(MIN(O292,($N$4*2/10))^3-N292^3)-(MIN(O292,($N$4*2/10))^4-N292^4)/4,0)+IF(O292&gt;($N$4*2/10),($N$4*2/10)^2*(1.5*(O292^2-MAX(N292,($N$4*2/10))^2)-($N$4*2/10)*(O292-MAX(N292,($N$4*2/10)))),0))*1000,0)</f>
        <v>0</v>
      </c>
      <c r="AP292" s="120">
        <f>IF(AND(V292="OK",ISNUMBER($N$5),$N$5&gt;0,ISNUMBER($N$3),$N$3&gt;0),R292/(6*$N$3*1000000*$N$5)*(IF(N292&lt;($N$4*3/10),($N$4*3/10)*(MIN(O292,($N$4*3/10))^3-N292^3)-(MIN(O292,($N$4*3/10))^4-N292^4)/4,0)+IF(O292&gt;($N$4*3/10),($N$4*3/10)^2*(1.5*(O292^2-MAX(N292,($N$4*3/10))^2)-($N$4*3/10)*(O292-MAX(N292,($N$4*3/10)))),0))*1000,0)</f>
        <v>0</v>
      </c>
      <c r="AQ292" s="120">
        <f>IF(AND(V292="OK",ISNUMBER($N$5),$N$5&gt;0,ISNUMBER($N$3),$N$3&gt;0),R292/(6*$N$3*1000000*$N$5)*(IF(N292&lt;($N$4*4/10),($N$4*4/10)*(MIN(O292,($N$4*4/10))^3-N292^3)-(MIN(O292,($N$4*4/10))^4-N292^4)/4,0)+IF(O292&gt;($N$4*4/10),($N$4*4/10)^2*(1.5*(O292^2-MAX(N292,($N$4*4/10))^2)-($N$4*4/10)*(O292-MAX(N292,($N$4*4/10)))),0))*1000,0)</f>
        <v>0</v>
      </c>
      <c r="AR292" s="120">
        <f>IF(AND(V292="OK",ISNUMBER($N$5),$N$5&gt;0,ISNUMBER($N$3),$N$3&gt;0),R292/(6*$N$3*1000000*$N$5)*(IF(N292&lt;($N$4*5/10),($N$4*5/10)*(MIN(O292,($N$4*5/10))^3-N292^3)-(MIN(O292,($N$4*5/10))^4-N292^4)/4,0)+IF(O292&gt;($N$4*5/10),($N$4*5/10)^2*(1.5*(O292^2-MAX(N292,($N$4*5/10))^2)-($N$4*5/10)*(O292-MAX(N292,($N$4*5/10)))),0))*1000,0)</f>
        <v>0</v>
      </c>
      <c r="AS292" s="120">
        <f>IF(AND(V292="OK",ISNUMBER($N$5),$N$5&gt;0,ISNUMBER($N$3),$N$3&gt;0),R292/(6*$N$3*1000000*$N$5)*(IF(N292&lt;($N$4*6/10),($N$4*6/10)*(MIN(O292,($N$4*6/10))^3-N292^3)-(MIN(O292,($N$4*6/10))^4-N292^4)/4,0)+IF(O292&gt;($N$4*6/10),($N$4*6/10)^2*(1.5*(O292^2-MAX(N292,($N$4*6/10))^2)-($N$4*6/10)*(O292-MAX(N292,($N$4*6/10)))),0))*1000,0)</f>
        <v>0</v>
      </c>
      <c r="AT292" s="120">
        <f>IF(AND(V292="OK",ISNUMBER($N$5),$N$5&gt;0,ISNUMBER($N$3),$N$3&gt;0),R292/(6*$N$3*1000000*$N$5)*(IF(N292&lt;($N$4*7/10),($N$4*7/10)*(MIN(O292,($N$4*7/10))^3-N292^3)-(MIN(O292,($N$4*7/10))^4-N292^4)/4,0)+IF(O292&gt;($N$4*7/10),($N$4*7/10)^2*(1.5*(O292^2-MAX(N292,($N$4*7/10))^2)-($N$4*7/10)*(O292-MAX(N292,($N$4*7/10)))),0))*1000,0)</f>
        <v>0</v>
      </c>
      <c r="AU292" s="120">
        <f>IF(AND(V292="OK",ISNUMBER($N$5),$N$5&gt;0,ISNUMBER($N$3),$N$3&gt;0),R292/(6*$N$3*1000000*$N$5)*(IF(N292&lt;($N$4*8/10),($N$4*8/10)*(MIN(O292,($N$4*8/10))^3-N292^3)-(MIN(O292,($N$4*8/10))^4-N292^4)/4,0)+IF(O292&gt;($N$4*8/10),($N$4*8/10)^2*(1.5*(O292^2-MAX(N292,($N$4*8/10))^2)-($N$4*8/10)*(O292-MAX(N292,($N$4*8/10)))),0))*1000,0)</f>
        <v>0</v>
      </c>
      <c r="AV292" s="120">
        <f>IF(AND(V292="OK",ISNUMBER($N$5),$N$5&gt;0,ISNUMBER($N$3),$N$3&gt;0),R292/(6*$N$3*1000000*$N$5)*(IF(N292&lt;($N$4*9/10),($N$4*9/10)*(MIN(O292,($N$4*9/10))^3-N292^3)-(MIN(O292,($N$4*9/10))^4-N292^4)/4,0)+IF(O292&gt;($N$4*9/10),($N$4*9/10)^2*(1.5*(O292^2-MAX(N292,($N$4*9/10))^2)-($N$4*9/10)*(O292-MAX(N292,($N$4*9/10)))),0))*1000,0)</f>
        <v>0</v>
      </c>
      <c r="AW292" s="120">
        <f>IF(AND(V292="OK",ISNUMBER($N$5),$N$5&gt;0,ISNUMBER($N$3),$N$3&gt;0),R292/(6*$N$3*1000000*$N$5)*(IF(N292&lt;($N$4*10/10),($N$4*10/10)*(MIN(O292,($N$4*10/10))^3-N292^3)-(MIN(O292,($N$4*10/10))^4-N292^4)/4,0)+IF(O292&gt;($N$4*10/10),($N$4*10/10)^2*(1.5*(O292^2-MAX(N292,($N$4*10/10))^2)-($N$4*10/10)*(O292-MAX(N292,($N$4*10/10)))),0))*1000,0)</f>
        <v>0</v>
      </c>
    </row>
    <row r="293" spans="1:49">
      <c r="A293" s="124"/>
      <c r="B293" s="125"/>
      <c r="C293" s="125"/>
      <c r="D293" s="125"/>
      <c r="E293" s="125"/>
      <c r="F293" s="126" t="str">
        <f>IF(J293="OK",D293*E293,"")</f>
        <v/>
      </c>
      <c r="G293" s="126" t="str">
        <f>IF(J293="OK",F293*(C293-B293),"")</f>
        <v/>
      </c>
      <c r="H293" s="126" t="str">
        <f>IF(J293="OK",G293*(C293+B293)/2,"")</f>
        <v/>
      </c>
      <c r="I293" s="126" t="str">
        <f>IF(AND(J293="OK",ISNUMBER($B$5),$B$5&gt;0,ISNUMBER($B$3),$B$3&gt;0),F293*(4*$B$4*(C293^3-B293^3)-(C293^4-B293^4))/(24*$B$3*1000000*$B$5)*1000,"")</f>
        <v/>
      </c>
      <c r="J293" s="120" t="str">
        <f>IF(COUNTA(A293:E293)=0,"",IF(AND(COUNT(B293:E293)=4,B293&gt;=0,C293&gt;B293,C293&lt;=$B$4,D293&gt;=0,E293&gt;0),IF(COUNTIFS($B$13:$B$292,"&lt;"&amp;C293,$C$13:$C$292,"&gt;"&amp;B293)&gt;0,"OVERLAP","OK"),"CHECK INPUTS"))</f>
        <v/>
      </c>
      <c r="M293" s="124"/>
      <c r="N293" s="125"/>
      <c r="O293" s="125"/>
      <c r="P293" s="125"/>
      <c r="Q293" s="125"/>
      <c r="R293" s="126" t="str">
        <f>IF(V293="OK",P293*Q293,"")</f>
        <v/>
      </c>
      <c r="S293" s="126" t="str">
        <f>IF(V293="OK",R293*(O293-N293),"")</f>
        <v/>
      </c>
      <c r="T293" s="126" t="str">
        <f>IF(V293="OK",S293*(O293+N293)/2,"")</f>
        <v/>
      </c>
      <c r="U293" s="126" t="str">
        <f>IF(AND(V293="OK",ISNUMBER($N$5),$N$5&gt;0,ISNUMBER($N$3),$N$3&gt;0),R293*(4*$N$4*(O293^3-N293^3)-(O293^4-N293^4))/(24*$N$3*1000000*$N$5)*1000,"")</f>
        <v/>
      </c>
      <c r="V293" s="120" t="str">
        <f>IF(COUNTA(M293:Q293)=0,"",IF(AND(COUNT(N293:Q293)=4,N293&gt;=0,O293&gt;N293,O293&lt;=$N$4,P293&gt;=0,Q293&gt;0),IF(COUNTIFS($N$13:$N$292,"&lt;"&amp;O293,$O$13:$O$292,"&gt;"&amp;N293)&gt;0,"OVERLAP","OK"),"CHECK INPUTS"))</f>
        <v/>
      </c>
      <c r="AA293" s="120">
        <f>IF(AND(J293="OK",ISNUMBER($B$5),$B$5&gt;0,ISNUMBER($B$3),$B$3&gt;0),F293/(6*$B$3*1000000*$B$5)*(IF(B293&lt;($B$4*0/10),($B$4*0/10)*(MIN(C293,($B$4*0/10))^3-B293^3)-(MIN(C293,($B$4*0/10))^4-B293^4)/4,0)+IF(C293&gt;($B$4*0/10),($B$4*0/10)^2*(1.5*(C293^2-MAX(B293,($B$4*0/10))^2)-($B$4*0/10)*(C293-MAX(B293,($B$4*0/10)))),0))*1000,0)</f>
        <v>0</v>
      </c>
      <c r="AB293" s="120">
        <f>IF(AND(J293="OK",ISNUMBER($B$5),$B$5&gt;0,ISNUMBER($B$3),$B$3&gt;0),F293/(6*$B$3*1000000*$B$5)*(IF(B293&lt;($B$4*1/10),($B$4*1/10)*(MIN(C293,($B$4*1/10))^3-B293^3)-(MIN(C293,($B$4*1/10))^4-B293^4)/4,0)+IF(C293&gt;($B$4*1/10),($B$4*1/10)^2*(1.5*(C293^2-MAX(B293,($B$4*1/10))^2)-($B$4*1/10)*(C293-MAX(B293,($B$4*1/10)))),0))*1000,0)</f>
        <v>0</v>
      </c>
      <c r="AC293" s="120">
        <f>IF(AND(J293="OK",ISNUMBER($B$5),$B$5&gt;0,ISNUMBER($B$3),$B$3&gt;0),F293/(6*$B$3*1000000*$B$5)*(IF(B293&lt;($B$4*2/10),($B$4*2/10)*(MIN(C293,($B$4*2/10))^3-B293^3)-(MIN(C293,($B$4*2/10))^4-B293^4)/4,0)+IF(C293&gt;($B$4*2/10),($B$4*2/10)^2*(1.5*(C293^2-MAX(B293,($B$4*2/10))^2)-($B$4*2/10)*(C293-MAX(B293,($B$4*2/10)))),0))*1000,0)</f>
        <v>0</v>
      </c>
      <c r="AD293" s="120">
        <f>IF(AND(J293="OK",ISNUMBER($B$5),$B$5&gt;0,ISNUMBER($B$3),$B$3&gt;0),F293/(6*$B$3*1000000*$B$5)*(IF(B293&lt;($B$4*3/10),($B$4*3/10)*(MIN(C293,($B$4*3/10))^3-B293^3)-(MIN(C293,($B$4*3/10))^4-B293^4)/4,0)+IF(C293&gt;($B$4*3/10),($B$4*3/10)^2*(1.5*(C293^2-MAX(B293,($B$4*3/10))^2)-($B$4*3/10)*(C293-MAX(B293,($B$4*3/10)))),0))*1000,0)</f>
        <v>0</v>
      </c>
      <c r="AE293" s="120">
        <f>IF(AND(J293="OK",ISNUMBER($B$5),$B$5&gt;0,ISNUMBER($B$3),$B$3&gt;0),F293/(6*$B$3*1000000*$B$5)*(IF(B293&lt;($B$4*4/10),($B$4*4/10)*(MIN(C293,($B$4*4/10))^3-B293^3)-(MIN(C293,($B$4*4/10))^4-B293^4)/4,0)+IF(C293&gt;($B$4*4/10),($B$4*4/10)^2*(1.5*(C293^2-MAX(B293,($B$4*4/10))^2)-($B$4*4/10)*(C293-MAX(B293,($B$4*4/10)))),0))*1000,0)</f>
        <v>0</v>
      </c>
      <c r="AF293" s="120">
        <f>IF(AND(J293="OK",ISNUMBER($B$5),$B$5&gt;0,ISNUMBER($B$3),$B$3&gt;0),F293/(6*$B$3*1000000*$B$5)*(IF(B293&lt;($B$4*5/10),($B$4*5/10)*(MIN(C293,($B$4*5/10))^3-B293^3)-(MIN(C293,($B$4*5/10))^4-B293^4)/4,0)+IF(C293&gt;($B$4*5/10),($B$4*5/10)^2*(1.5*(C293^2-MAX(B293,($B$4*5/10))^2)-($B$4*5/10)*(C293-MAX(B293,($B$4*5/10)))),0))*1000,0)</f>
        <v>0</v>
      </c>
      <c r="AG293" s="120">
        <f>IF(AND(J293="OK",ISNUMBER($B$5),$B$5&gt;0,ISNUMBER($B$3),$B$3&gt;0),F293/(6*$B$3*1000000*$B$5)*(IF(B293&lt;($B$4*6/10),($B$4*6/10)*(MIN(C293,($B$4*6/10))^3-B293^3)-(MIN(C293,($B$4*6/10))^4-B293^4)/4,0)+IF(C293&gt;($B$4*6/10),($B$4*6/10)^2*(1.5*(C293^2-MAX(B293,($B$4*6/10))^2)-($B$4*6/10)*(C293-MAX(B293,($B$4*6/10)))),0))*1000,0)</f>
        <v>0</v>
      </c>
      <c r="AH293" s="120">
        <f>IF(AND(J293="OK",ISNUMBER($B$5),$B$5&gt;0,ISNUMBER($B$3),$B$3&gt;0),F293/(6*$B$3*1000000*$B$5)*(IF(B293&lt;($B$4*7/10),($B$4*7/10)*(MIN(C293,($B$4*7/10))^3-B293^3)-(MIN(C293,($B$4*7/10))^4-B293^4)/4,0)+IF(C293&gt;($B$4*7/10),($B$4*7/10)^2*(1.5*(C293^2-MAX(B293,($B$4*7/10))^2)-($B$4*7/10)*(C293-MAX(B293,($B$4*7/10)))),0))*1000,0)</f>
        <v>0</v>
      </c>
      <c r="AI293" s="120">
        <f>IF(AND(J293="OK",ISNUMBER($B$5),$B$5&gt;0,ISNUMBER($B$3),$B$3&gt;0),F293/(6*$B$3*1000000*$B$5)*(IF(B293&lt;($B$4*8/10),($B$4*8/10)*(MIN(C293,($B$4*8/10))^3-B293^3)-(MIN(C293,($B$4*8/10))^4-B293^4)/4,0)+IF(C293&gt;($B$4*8/10),($B$4*8/10)^2*(1.5*(C293^2-MAX(B293,($B$4*8/10))^2)-($B$4*8/10)*(C293-MAX(B293,($B$4*8/10)))),0))*1000,0)</f>
        <v>0</v>
      </c>
      <c r="AJ293" s="120">
        <f>IF(AND(J293="OK",ISNUMBER($B$5),$B$5&gt;0,ISNUMBER($B$3),$B$3&gt;0),F293/(6*$B$3*1000000*$B$5)*(IF(B293&lt;($B$4*9/10),($B$4*9/10)*(MIN(C293,($B$4*9/10))^3-B293^3)-(MIN(C293,($B$4*9/10))^4-B293^4)/4,0)+IF(C293&gt;($B$4*9/10),($B$4*9/10)^2*(1.5*(C293^2-MAX(B293,($B$4*9/10))^2)-($B$4*9/10)*(C293-MAX(B293,($B$4*9/10)))),0))*1000,0)</f>
        <v>0</v>
      </c>
      <c r="AK293" s="120">
        <f>IF(AND(J293="OK",ISNUMBER($B$5),$B$5&gt;0,ISNUMBER($B$3),$B$3&gt;0),F293/(6*$B$3*1000000*$B$5)*(IF(B293&lt;($B$4*10/10),($B$4*10/10)*(MIN(C293,($B$4*10/10))^3-B293^3)-(MIN(C293,($B$4*10/10))^4-B293^4)/4,0)+IF(C293&gt;($B$4*10/10),($B$4*10/10)^2*(1.5*(C293^2-MAX(B293,($B$4*10/10))^2)-($B$4*10/10)*(C293-MAX(B293,($B$4*10/10)))),0))*1000,0)</f>
        <v>0</v>
      </c>
      <c r="AM293" s="120">
        <f>IF(AND(V293="OK",ISNUMBER($N$5),$N$5&gt;0,ISNUMBER($N$3),$N$3&gt;0),R293/(6*$N$3*1000000*$N$5)*(IF(N293&lt;($N$4*0/10),($N$4*0/10)*(MIN(O293,($N$4*0/10))^3-N293^3)-(MIN(O293,($N$4*0/10))^4-N293^4)/4,0)+IF(O293&gt;($N$4*0/10),($N$4*0/10)^2*(1.5*(O293^2-MAX(N293,($N$4*0/10))^2)-($N$4*0/10)*(O293-MAX(N293,($N$4*0/10)))),0))*1000,0)</f>
        <v>0</v>
      </c>
      <c r="AN293" s="120">
        <f>IF(AND(V293="OK",ISNUMBER($N$5),$N$5&gt;0,ISNUMBER($N$3),$N$3&gt;0),R293/(6*$N$3*1000000*$N$5)*(IF(N293&lt;($N$4*1/10),($N$4*1/10)*(MIN(O293,($N$4*1/10))^3-N293^3)-(MIN(O293,($N$4*1/10))^4-N293^4)/4,0)+IF(O293&gt;($N$4*1/10),($N$4*1/10)^2*(1.5*(O293^2-MAX(N293,($N$4*1/10))^2)-($N$4*1/10)*(O293-MAX(N293,($N$4*1/10)))),0))*1000,0)</f>
        <v>0</v>
      </c>
      <c r="AO293" s="120">
        <f>IF(AND(V293="OK",ISNUMBER($N$5),$N$5&gt;0,ISNUMBER($N$3),$N$3&gt;0),R293/(6*$N$3*1000000*$N$5)*(IF(N293&lt;($N$4*2/10),($N$4*2/10)*(MIN(O293,($N$4*2/10))^3-N293^3)-(MIN(O293,($N$4*2/10))^4-N293^4)/4,0)+IF(O293&gt;($N$4*2/10),($N$4*2/10)^2*(1.5*(O293^2-MAX(N293,($N$4*2/10))^2)-($N$4*2/10)*(O293-MAX(N293,($N$4*2/10)))),0))*1000,0)</f>
        <v>0</v>
      </c>
      <c r="AP293" s="120">
        <f>IF(AND(V293="OK",ISNUMBER($N$5),$N$5&gt;0,ISNUMBER($N$3),$N$3&gt;0),R293/(6*$N$3*1000000*$N$5)*(IF(N293&lt;($N$4*3/10),($N$4*3/10)*(MIN(O293,($N$4*3/10))^3-N293^3)-(MIN(O293,($N$4*3/10))^4-N293^4)/4,0)+IF(O293&gt;($N$4*3/10),($N$4*3/10)^2*(1.5*(O293^2-MAX(N293,($N$4*3/10))^2)-($N$4*3/10)*(O293-MAX(N293,($N$4*3/10)))),0))*1000,0)</f>
        <v>0</v>
      </c>
      <c r="AQ293" s="120">
        <f>IF(AND(V293="OK",ISNUMBER($N$5),$N$5&gt;0,ISNUMBER($N$3),$N$3&gt;0),R293/(6*$N$3*1000000*$N$5)*(IF(N293&lt;($N$4*4/10),($N$4*4/10)*(MIN(O293,($N$4*4/10))^3-N293^3)-(MIN(O293,($N$4*4/10))^4-N293^4)/4,0)+IF(O293&gt;($N$4*4/10),($N$4*4/10)^2*(1.5*(O293^2-MAX(N293,($N$4*4/10))^2)-($N$4*4/10)*(O293-MAX(N293,($N$4*4/10)))),0))*1000,0)</f>
        <v>0</v>
      </c>
      <c r="AR293" s="120">
        <f>IF(AND(V293="OK",ISNUMBER($N$5),$N$5&gt;0,ISNUMBER($N$3),$N$3&gt;0),R293/(6*$N$3*1000000*$N$5)*(IF(N293&lt;($N$4*5/10),($N$4*5/10)*(MIN(O293,($N$4*5/10))^3-N293^3)-(MIN(O293,($N$4*5/10))^4-N293^4)/4,0)+IF(O293&gt;($N$4*5/10),($N$4*5/10)^2*(1.5*(O293^2-MAX(N293,($N$4*5/10))^2)-($N$4*5/10)*(O293-MAX(N293,($N$4*5/10)))),0))*1000,0)</f>
        <v>0</v>
      </c>
      <c r="AS293" s="120">
        <f>IF(AND(V293="OK",ISNUMBER($N$5),$N$5&gt;0,ISNUMBER($N$3),$N$3&gt;0),R293/(6*$N$3*1000000*$N$5)*(IF(N293&lt;($N$4*6/10),($N$4*6/10)*(MIN(O293,($N$4*6/10))^3-N293^3)-(MIN(O293,($N$4*6/10))^4-N293^4)/4,0)+IF(O293&gt;($N$4*6/10),($N$4*6/10)^2*(1.5*(O293^2-MAX(N293,($N$4*6/10))^2)-($N$4*6/10)*(O293-MAX(N293,($N$4*6/10)))),0))*1000,0)</f>
        <v>0</v>
      </c>
      <c r="AT293" s="120">
        <f>IF(AND(V293="OK",ISNUMBER($N$5),$N$5&gt;0,ISNUMBER($N$3),$N$3&gt;0),R293/(6*$N$3*1000000*$N$5)*(IF(N293&lt;($N$4*7/10),($N$4*7/10)*(MIN(O293,($N$4*7/10))^3-N293^3)-(MIN(O293,($N$4*7/10))^4-N293^4)/4,0)+IF(O293&gt;($N$4*7/10),($N$4*7/10)^2*(1.5*(O293^2-MAX(N293,($N$4*7/10))^2)-($N$4*7/10)*(O293-MAX(N293,($N$4*7/10)))),0))*1000,0)</f>
        <v>0</v>
      </c>
      <c r="AU293" s="120">
        <f>IF(AND(V293="OK",ISNUMBER($N$5),$N$5&gt;0,ISNUMBER($N$3),$N$3&gt;0),R293/(6*$N$3*1000000*$N$5)*(IF(N293&lt;($N$4*8/10),($N$4*8/10)*(MIN(O293,($N$4*8/10))^3-N293^3)-(MIN(O293,($N$4*8/10))^4-N293^4)/4,0)+IF(O293&gt;($N$4*8/10),($N$4*8/10)^2*(1.5*(O293^2-MAX(N293,($N$4*8/10))^2)-($N$4*8/10)*(O293-MAX(N293,($N$4*8/10)))),0))*1000,0)</f>
        <v>0</v>
      </c>
      <c r="AV293" s="120">
        <f>IF(AND(V293="OK",ISNUMBER($N$5),$N$5&gt;0,ISNUMBER($N$3),$N$3&gt;0),R293/(6*$N$3*1000000*$N$5)*(IF(N293&lt;($N$4*9/10),($N$4*9/10)*(MIN(O293,($N$4*9/10))^3-N293^3)-(MIN(O293,($N$4*9/10))^4-N293^4)/4,0)+IF(O293&gt;($N$4*9/10),($N$4*9/10)^2*(1.5*(O293^2-MAX(N293,($N$4*9/10))^2)-($N$4*9/10)*(O293-MAX(N293,($N$4*9/10)))),0))*1000,0)</f>
        <v>0</v>
      </c>
      <c r="AW293" s="120">
        <f>IF(AND(V293="OK",ISNUMBER($N$5),$N$5&gt;0,ISNUMBER($N$3),$N$3&gt;0),R293/(6*$N$3*1000000*$N$5)*(IF(N293&lt;($N$4*10/10),($N$4*10/10)*(MIN(O293,($N$4*10/10))^3-N293^3)-(MIN(O293,($N$4*10/10))^4-N293^4)/4,0)+IF(O293&gt;($N$4*10/10),($N$4*10/10)^2*(1.5*(O293^2-MAX(N293,($N$4*10/10))^2)-($N$4*10/10)*(O293-MAX(N293,($N$4*10/10)))),0))*1000,0)</f>
        <v>0</v>
      </c>
    </row>
    <row r="294" spans="1:49">
      <c r="A294" s="124"/>
      <c r="B294" s="125"/>
      <c r="C294" s="125"/>
      <c r="D294" s="125"/>
      <c r="E294" s="125"/>
      <c r="F294" s="126" t="str">
        <f>IF(J294="OK",D294*E294,"")</f>
        <v/>
      </c>
      <c r="G294" s="126" t="str">
        <f>IF(J294="OK",F294*(C294-B294),"")</f>
        <v/>
      </c>
      <c r="H294" s="126" t="str">
        <f>IF(J294="OK",G294*(C294+B294)/2,"")</f>
        <v/>
      </c>
      <c r="I294" s="126" t="str">
        <f>IF(AND(J294="OK",ISNUMBER($B$5),$B$5&gt;0,ISNUMBER($B$3),$B$3&gt;0),F294*(4*$B$4*(C294^3-B294^3)-(C294^4-B294^4))/(24*$B$3*1000000*$B$5)*1000,"")</f>
        <v/>
      </c>
      <c r="J294" s="120" t="str">
        <f>IF(COUNTA(A294:E294)=0,"",IF(AND(COUNT(B294:E294)=4,B294&gt;=0,C294&gt;B294,C294&lt;=$B$4,D294&gt;=0,E294&gt;0),IF(COUNTIFS($B$13:$B$293,"&lt;"&amp;C294,$C$13:$C$293,"&gt;"&amp;B294)&gt;0,"OVERLAP","OK"),"CHECK INPUTS"))</f>
        <v/>
      </c>
      <c r="M294" s="124"/>
      <c r="N294" s="125"/>
      <c r="O294" s="125"/>
      <c r="P294" s="125"/>
      <c r="Q294" s="125"/>
      <c r="R294" s="126" t="str">
        <f>IF(V294="OK",P294*Q294,"")</f>
        <v/>
      </c>
      <c r="S294" s="126" t="str">
        <f>IF(V294="OK",R294*(O294-N294),"")</f>
        <v/>
      </c>
      <c r="T294" s="126" t="str">
        <f>IF(V294="OK",S294*(O294+N294)/2,"")</f>
        <v/>
      </c>
      <c r="U294" s="126" t="str">
        <f>IF(AND(V294="OK",ISNUMBER($N$5),$N$5&gt;0,ISNUMBER($N$3),$N$3&gt;0),R294*(4*$N$4*(O294^3-N294^3)-(O294^4-N294^4))/(24*$N$3*1000000*$N$5)*1000,"")</f>
        <v/>
      </c>
      <c r="V294" s="120" t="str">
        <f>IF(COUNTA(M294:Q294)=0,"",IF(AND(COUNT(N294:Q294)=4,N294&gt;=0,O294&gt;N294,O294&lt;=$N$4,P294&gt;=0,Q294&gt;0),IF(COUNTIFS($N$13:$N$293,"&lt;"&amp;O294,$O$13:$O$293,"&gt;"&amp;N294)&gt;0,"OVERLAP","OK"),"CHECK INPUTS"))</f>
        <v/>
      </c>
      <c r="AA294" s="120">
        <f>IF(AND(J294="OK",ISNUMBER($B$5),$B$5&gt;0,ISNUMBER($B$3),$B$3&gt;0),F294/(6*$B$3*1000000*$B$5)*(IF(B294&lt;($B$4*0/10),($B$4*0/10)*(MIN(C294,($B$4*0/10))^3-B294^3)-(MIN(C294,($B$4*0/10))^4-B294^4)/4,0)+IF(C294&gt;($B$4*0/10),($B$4*0/10)^2*(1.5*(C294^2-MAX(B294,($B$4*0/10))^2)-($B$4*0/10)*(C294-MAX(B294,($B$4*0/10)))),0))*1000,0)</f>
        <v>0</v>
      </c>
      <c r="AB294" s="120">
        <f>IF(AND(J294="OK",ISNUMBER($B$5),$B$5&gt;0,ISNUMBER($B$3),$B$3&gt;0),F294/(6*$B$3*1000000*$B$5)*(IF(B294&lt;($B$4*1/10),($B$4*1/10)*(MIN(C294,($B$4*1/10))^3-B294^3)-(MIN(C294,($B$4*1/10))^4-B294^4)/4,0)+IF(C294&gt;($B$4*1/10),($B$4*1/10)^2*(1.5*(C294^2-MAX(B294,($B$4*1/10))^2)-($B$4*1/10)*(C294-MAX(B294,($B$4*1/10)))),0))*1000,0)</f>
        <v>0</v>
      </c>
      <c r="AC294" s="120">
        <f>IF(AND(J294="OK",ISNUMBER($B$5),$B$5&gt;0,ISNUMBER($B$3),$B$3&gt;0),F294/(6*$B$3*1000000*$B$5)*(IF(B294&lt;($B$4*2/10),($B$4*2/10)*(MIN(C294,($B$4*2/10))^3-B294^3)-(MIN(C294,($B$4*2/10))^4-B294^4)/4,0)+IF(C294&gt;($B$4*2/10),($B$4*2/10)^2*(1.5*(C294^2-MAX(B294,($B$4*2/10))^2)-($B$4*2/10)*(C294-MAX(B294,($B$4*2/10)))),0))*1000,0)</f>
        <v>0</v>
      </c>
      <c r="AD294" s="120">
        <f>IF(AND(J294="OK",ISNUMBER($B$5),$B$5&gt;0,ISNUMBER($B$3),$B$3&gt;0),F294/(6*$B$3*1000000*$B$5)*(IF(B294&lt;($B$4*3/10),($B$4*3/10)*(MIN(C294,($B$4*3/10))^3-B294^3)-(MIN(C294,($B$4*3/10))^4-B294^4)/4,0)+IF(C294&gt;($B$4*3/10),($B$4*3/10)^2*(1.5*(C294^2-MAX(B294,($B$4*3/10))^2)-($B$4*3/10)*(C294-MAX(B294,($B$4*3/10)))),0))*1000,0)</f>
        <v>0</v>
      </c>
      <c r="AE294" s="120">
        <f>IF(AND(J294="OK",ISNUMBER($B$5),$B$5&gt;0,ISNUMBER($B$3),$B$3&gt;0),F294/(6*$B$3*1000000*$B$5)*(IF(B294&lt;($B$4*4/10),($B$4*4/10)*(MIN(C294,($B$4*4/10))^3-B294^3)-(MIN(C294,($B$4*4/10))^4-B294^4)/4,0)+IF(C294&gt;($B$4*4/10),($B$4*4/10)^2*(1.5*(C294^2-MAX(B294,($B$4*4/10))^2)-($B$4*4/10)*(C294-MAX(B294,($B$4*4/10)))),0))*1000,0)</f>
        <v>0</v>
      </c>
      <c r="AF294" s="120">
        <f>IF(AND(J294="OK",ISNUMBER($B$5),$B$5&gt;0,ISNUMBER($B$3),$B$3&gt;0),F294/(6*$B$3*1000000*$B$5)*(IF(B294&lt;($B$4*5/10),($B$4*5/10)*(MIN(C294,($B$4*5/10))^3-B294^3)-(MIN(C294,($B$4*5/10))^4-B294^4)/4,0)+IF(C294&gt;($B$4*5/10),($B$4*5/10)^2*(1.5*(C294^2-MAX(B294,($B$4*5/10))^2)-($B$4*5/10)*(C294-MAX(B294,($B$4*5/10)))),0))*1000,0)</f>
        <v>0</v>
      </c>
      <c r="AG294" s="120">
        <f>IF(AND(J294="OK",ISNUMBER($B$5),$B$5&gt;0,ISNUMBER($B$3),$B$3&gt;0),F294/(6*$B$3*1000000*$B$5)*(IF(B294&lt;($B$4*6/10),($B$4*6/10)*(MIN(C294,($B$4*6/10))^3-B294^3)-(MIN(C294,($B$4*6/10))^4-B294^4)/4,0)+IF(C294&gt;($B$4*6/10),($B$4*6/10)^2*(1.5*(C294^2-MAX(B294,($B$4*6/10))^2)-($B$4*6/10)*(C294-MAX(B294,($B$4*6/10)))),0))*1000,0)</f>
        <v>0</v>
      </c>
      <c r="AH294" s="120">
        <f>IF(AND(J294="OK",ISNUMBER($B$5),$B$5&gt;0,ISNUMBER($B$3),$B$3&gt;0),F294/(6*$B$3*1000000*$B$5)*(IF(B294&lt;($B$4*7/10),($B$4*7/10)*(MIN(C294,($B$4*7/10))^3-B294^3)-(MIN(C294,($B$4*7/10))^4-B294^4)/4,0)+IF(C294&gt;($B$4*7/10),($B$4*7/10)^2*(1.5*(C294^2-MAX(B294,($B$4*7/10))^2)-($B$4*7/10)*(C294-MAX(B294,($B$4*7/10)))),0))*1000,0)</f>
        <v>0</v>
      </c>
      <c r="AI294" s="120">
        <f>IF(AND(J294="OK",ISNUMBER($B$5),$B$5&gt;0,ISNUMBER($B$3),$B$3&gt;0),F294/(6*$B$3*1000000*$B$5)*(IF(B294&lt;($B$4*8/10),($B$4*8/10)*(MIN(C294,($B$4*8/10))^3-B294^3)-(MIN(C294,($B$4*8/10))^4-B294^4)/4,0)+IF(C294&gt;($B$4*8/10),($B$4*8/10)^2*(1.5*(C294^2-MAX(B294,($B$4*8/10))^2)-($B$4*8/10)*(C294-MAX(B294,($B$4*8/10)))),0))*1000,0)</f>
        <v>0</v>
      </c>
      <c r="AJ294" s="120">
        <f>IF(AND(J294="OK",ISNUMBER($B$5),$B$5&gt;0,ISNUMBER($B$3),$B$3&gt;0),F294/(6*$B$3*1000000*$B$5)*(IF(B294&lt;($B$4*9/10),($B$4*9/10)*(MIN(C294,($B$4*9/10))^3-B294^3)-(MIN(C294,($B$4*9/10))^4-B294^4)/4,0)+IF(C294&gt;($B$4*9/10),($B$4*9/10)^2*(1.5*(C294^2-MAX(B294,($B$4*9/10))^2)-($B$4*9/10)*(C294-MAX(B294,($B$4*9/10)))),0))*1000,0)</f>
        <v>0</v>
      </c>
      <c r="AK294" s="120">
        <f>IF(AND(J294="OK",ISNUMBER($B$5),$B$5&gt;0,ISNUMBER($B$3),$B$3&gt;0),F294/(6*$B$3*1000000*$B$5)*(IF(B294&lt;($B$4*10/10),($B$4*10/10)*(MIN(C294,($B$4*10/10))^3-B294^3)-(MIN(C294,($B$4*10/10))^4-B294^4)/4,0)+IF(C294&gt;($B$4*10/10),($B$4*10/10)^2*(1.5*(C294^2-MAX(B294,($B$4*10/10))^2)-($B$4*10/10)*(C294-MAX(B294,($B$4*10/10)))),0))*1000,0)</f>
        <v>0</v>
      </c>
      <c r="AM294" s="120">
        <f>IF(AND(V294="OK",ISNUMBER($N$5),$N$5&gt;0,ISNUMBER($N$3),$N$3&gt;0),R294/(6*$N$3*1000000*$N$5)*(IF(N294&lt;($N$4*0/10),($N$4*0/10)*(MIN(O294,($N$4*0/10))^3-N294^3)-(MIN(O294,($N$4*0/10))^4-N294^4)/4,0)+IF(O294&gt;($N$4*0/10),($N$4*0/10)^2*(1.5*(O294^2-MAX(N294,($N$4*0/10))^2)-($N$4*0/10)*(O294-MAX(N294,($N$4*0/10)))),0))*1000,0)</f>
        <v>0</v>
      </c>
      <c r="AN294" s="120">
        <f>IF(AND(V294="OK",ISNUMBER($N$5),$N$5&gt;0,ISNUMBER($N$3),$N$3&gt;0),R294/(6*$N$3*1000000*$N$5)*(IF(N294&lt;($N$4*1/10),($N$4*1/10)*(MIN(O294,($N$4*1/10))^3-N294^3)-(MIN(O294,($N$4*1/10))^4-N294^4)/4,0)+IF(O294&gt;($N$4*1/10),($N$4*1/10)^2*(1.5*(O294^2-MAX(N294,($N$4*1/10))^2)-($N$4*1/10)*(O294-MAX(N294,($N$4*1/10)))),0))*1000,0)</f>
        <v>0</v>
      </c>
      <c r="AO294" s="120">
        <f>IF(AND(V294="OK",ISNUMBER($N$5),$N$5&gt;0,ISNUMBER($N$3),$N$3&gt;0),R294/(6*$N$3*1000000*$N$5)*(IF(N294&lt;($N$4*2/10),($N$4*2/10)*(MIN(O294,($N$4*2/10))^3-N294^3)-(MIN(O294,($N$4*2/10))^4-N294^4)/4,0)+IF(O294&gt;($N$4*2/10),($N$4*2/10)^2*(1.5*(O294^2-MAX(N294,($N$4*2/10))^2)-($N$4*2/10)*(O294-MAX(N294,($N$4*2/10)))),0))*1000,0)</f>
        <v>0</v>
      </c>
      <c r="AP294" s="120">
        <f>IF(AND(V294="OK",ISNUMBER($N$5),$N$5&gt;0,ISNUMBER($N$3),$N$3&gt;0),R294/(6*$N$3*1000000*$N$5)*(IF(N294&lt;($N$4*3/10),($N$4*3/10)*(MIN(O294,($N$4*3/10))^3-N294^3)-(MIN(O294,($N$4*3/10))^4-N294^4)/4,0)+IF(O294&gt;($N$4*3/10),($N$4*3/10)^2*(1.5*(O294^2-MAX(N294,($N$4*3/10))^2)-($N$4*3/10)*(O294-MAX(N294,($N$4*3/10)))),0))*1000,0)</f>
        <v>0</v>
      </c>
      <c r="AQ294" s="120">
        <f>IF(AND(V294="OK",ISNUMBER($N$5),$N$5&gt;0,ISNUMBER($N$3),$N$3&gt;0),R294/(6*$N$3*1000000*$N$5)*(IF(N294&lt;($N$4*4/10),($N$4*4/10)*(MIN(O294,($N$4*4/10))^3-N294^3)-(MIN(O294,($N$4*4/10))^4-N294^4)/4,0)+IF(O294&gt;($N$4*4/10),($N$4*4/10)^2*(1.5*(O294^2-MAX(N294,($N$4*4/10))^2)-($N$4*4/10)*(O294-MAX(N294,($N$4*4/10)))),0))*1000,0)</f>
        <v>0</v>
      </c>
      <c r="AR294" s="120">
        <f>IF(AND(V294="OK",ISNUMBER($N$5),$N$5&gt;0,ISNUMBER($N$3),$N$3&gt;0),R294/(6*$N$3*1000000*$N$5)*(IF(N294&lt;($N$4*5/10),($N$4*5/10)*(MIN(O294,($N$4*5/10))^3-N294^3)-(MIN(O294,($N$4*5/10))^4-N294^4)/4,0)+IF(O294&gt;($N$4*5/10),($N$4*5/10)^2*(1.5*(O294^2-MAX(N294,($N$4*5/10))^2)-($N$4*5/10)*(O294-MAX(N294,($N$4*5/10)))),0))*1000,0)</f>
        <v>0</v>
      </c>
      <c r="AS294" s="120">
        <f>IF(AND(V294="OK",ISNUMBER($N$5),$N$5&gt;0,ISNUMBER($N$3),$N$3&gt;0),R294/(6*$N$3*1000000*$N$5)*(IF(N294&lt;($N$4*6/10),($N$4*6/10)*(MIN(O294,($N$4*6/10))^3-N294^3)-(MIN(O294,($N$4*6/10))^4-N294^4)/4,0)+IF(O294&gt;($N$4*6/10),($N$4*6/10)^2*(1.5*(O294^2-MAX(N294,($N$4*6/10))^2)-($N$4*6/10)*(O294-MAX(N294,($N$4*6/10)))),0))*1000,0)</f>
        <v>0</v>
      </c>
      <c r="AT294" s="120">
        <f>IF(AND(V294="OK",ISNUMBER($N$5),$N$5&gt;0,ISNUMBER($N$3),$N$3&gt;0),R294/(6*$N$3*1000000*$N$5)*(IF(N294&lt;($N$4*7/10),($N$4*7/10)*(MIN(O294,($N$4*7/10))^3-N294^3)-(MIN(O294,($N$4*7/10))^4-N294^4)/4,0)+IF(O294&gt;($N$4*7/10),($N$4*7/10)^2*(1.5*(O294^2-MAX(N294,($N$4*7/10))^2)-($N$4*7/10)*(O294-MAX(N294,($N$4*7/10)))),0))*1000,0)</f>
        <v>0</v>
      </c>
      <c r="AU294" s="120">
        <f>IF(AND(V294="OK",ISNUMBER($N$5),$N$5&gt;0,ISNUMBER($N$3),$N$3&gt;0),R294/(6*$N$3*1000000*$N$5)*(IF(N294&lt;($N$4*8/10),($N$4*8/10)*(MIN(O294,($N$4*8/10))^3-N294^3)-(MIN(O294,($N$4*8/10))^4-N294^4)/4,0)+IF(O294&gt;($N$4*8/10),($N$4*8/10)^2*(1.5*(O294^2-MAX(N294,($N$4*8/10))^2)-($N$4*8/10)*(O294-MAX(N294,($N$4*8/10)))),0))*1000,0)</f>
        <v>0</v>
      </c>
      <c r="AV294" s="120">
        <f>IF(AND(V294="OK",ISNUMBER($N$5),$N$5&gt;0,ISNUMBER($N$3),$N$3&gt;0),R294/(6*$N$3*1000000*$N$5)*(IF(N294&lt;($N$4*9/10),($N$4*9/10)*(MIN(O294,($N$4*9/10))^3-N294^3)-(MIN(O294,($N$4*9/10))^4-N294^4)/4,0)+IF(O294&gt;($N$4*9/10),($N$4*9/10)^2*(1.5*(O294^2-MAX(N294,($N$4*9/10))^2)-($N$4*9/10)*(O294-MAX(N294,($N$4*9/10)))),0))*1000,0)</f>
        <v>0</v>
      </c>
      <c r="AW294" s="120">
        <f>IF(AND(V294="OK",ISNUMBER($N$5),$N$5&gt;0,ISNUMBER($N$3),$N$3&gt;0),R294/(6*$N$3*1000000*$N$5)*(IF(N294&lt;($N$4*10/10),($N$4*10/10)*(MIN(O294,($N$4*10/10))^3-N294^3)-(MIN(O294,($N$4*10/10))^4-N294^4)/4,0)+IF(O294&gt;($N$4*10/10),($N$4*10/10)^2*(1.5*(O294^2-MAX(N294,($N$4*10/10))^2)-($N$4*10/10)*(O294-MAX(N294,($N$4*10/10)))),0))*1000,0)</f>
        <v>0</v>
      </c>
    </row>
    <row r="295" spans="1:49">
      <c r="A295" s="124"/>
      <c r="B295" s="125"/>
      <c r="C295" s="125"/>
      <c r="D295" s="125"/>
      <c r="E295" s="125"/>
      <c r="F295" s="126" t="str">
        <f>IF(J295="OK",D295*E295,"")</f>
        <v/>
      </c>
      <c r="G295" s="126" t="str">
        <f>IF(J295="OK",F295*(C295-B295),"")</f>
        <v/>
      </c>
      <c r="H295" s="126" t="str">
        <f>IF(J295="OK",G295*(C295+B295)/2,"")</f>
        <v/>
      </c>
      <c r="I295" s="126" t="str">
        <f>IF(AND(J295="OK",ISNUMBER($B$5),$B$5&gt;0,ISNUMBER($B$3),$B$3&gt;0),F295*(4*$B$4*(C295^3-B295^3)-(C295^4-B295^4))/(24*$B$3*1000000*$B$5)*1000,"")</f>
        <v/>
      </c>
      <c r="J295" s="120" t="str">
        <f>IF(COUNTA(A295:E295)=0,"",IF(AND(COUNT(B295:E295)=4,B295&gt;=0,C295&gt;B295,C295&lt;=$B$4,D295&gt;=0,E295&gt;0),IF(COUNTIFS($B$13:$B$294,"&lt;"&amp;C295,$C$13:$C$294,"&gt;"&amp;B295)&gt;0,"OVERLAP","OK"),"CHECK INPUTS"))</f>
        <v/>
      </c>
      <c r="M295" s="124"/>
      <c r="N295" s="125"/>
      <c r="O295" s="125"/>
      <c r="P295" s="125"/>
      <c r="Q295" s="125"/>
      <c r="R295" s="126" t="str">
        <f>IF(V295="OK",P295*Q295,"")</f>
        <v/>
      </c>
      <c r="S295" s="126" t="str">
        <f>IF(V295="OK",R295*(O295-N295),"")</f>
        <v/>
      </c>
      <c r="T295" s="126" t="str">
        <f>IF(V295="OK",S295*(O295+N295)/2,"")</f>
        <v/>
      </c>
      <c r="U295" s="126" t="str">
        <f>IF(AND(V295="OK",ISNUMBER($N$5),$N$5&gt;0,ISNUMBER($N$3),$N$3&gt;0),R295*(4*$N$4*(O295^3-N295^3)-(O295^4-N295^4))/(24*$N$3*1000000*$N$5)*1000,"")</f>
        <v/>
      </c>
      <c r="V295" s="120" t="str">
        <f>IF(COUNTA(M295:Q295)=0,"",IF(AND(COUNT(N295:Q295)=4,N295&gt;=0,O295&gt;N295,O295&lt;=$N$4,P295&gt;=0,Q295&gt;0),IF(COUNTIFS($N$13:$N$294,"&lt;"&amp;O295,$O$13:$O$294,"&gt;"&amp;N295)&gt;0,"OVERLAP","OK"),"CHECK INPUTS"))</f>
        <v/>
      </c>
      <c r="AA295" s="120">
        <f>IF(AND(J295="OK",ISNUMBER($B$5),$B$5&gt;0,ISNUMBER($B$3),$B$3&gt;0),F295/(6*$B$3*1000000*$B$5)*(IF(B295&lt;($B$4*0/10),($B$4*0/10)*(MIN(C295,($B$4*0/10))^3-B295^3)-(MIN(C295,($B$4*0/10))^4-B295^4)/4,0)+IF(C295&gt;($B$4*0/10),($B$4*0/10)^2*(1.5*(C295^2-MAX(B295,($B$4*0/10))^2)-($B$4*0/10)*(C295-MAX(B295,($B$4*0/10)))),0))*1000,0)</f>
        <v>0</v>
      </c>
      <c r="AB295" s="120">
        <f>IF(AND(J295="OK",ISNUMBER($B$5),$B$5&gt;0,ISNUMBER($B$3),$B$3&gt;0),F295/(6*$B$3*1000000*$B$5)*(IF(B295&lt;($B$4*1/10),($B$4*1/10)*(MIN(C295,($B$4*1/10))^3-B295^3)-(MIN(C295,($B$4*1/10))^4-B295^4)/4,0)+IF(C295&gt;($B$4*1/10),($B$4*1/10)^2*(1.5*(C295^2-MAX(B295,($B$4*1/10))^2)-($B$4*1/10)*(C295-MAX(B295,($B$4*1/10)))),0))*1000,0)</f>
        <v>0</v>
      </c>
      <c r="AC295" s="120">
        <f>IF(AND(J295="OK",ISNUMBER($B$5),$B$5&gt;0,ISNUMBER($B$3),$B$3&gt;0),F295/(6*$B$3*1000000*$B$5)*(IF(B295&lt;($B$4*2/10),($B$4*2/10)*(MIN(C295,($B$4*2/10))^3-B295^3)-(MIN(C295,($B$4*2/10))^4-B295^4)/4,0)+IF(C295&gt;($B$4*2/10),($B$4*2/10)^2*(1.5*(C295^2-MAX(B295,($B$4*2/10))^2)-($B$4*2/10)*(C295-MAX(B295,($B$4*2/10)))),0))*1000,0)</f>
        <v>0</v>
      </c>
      <c r="AD295" s="120">
        <f>IF(AND(J295="OK",ISNUMBER($B$5),$B$5&gt;0,ISNUMBER($B$3),$B$3&gt;0),F295/(6*$B$3*1000000*$B$5)*(IF(B295&lt;($B$4*3/10),($B$4*3/10)*(MIN(C295,($B$4*3/10))^3-B295^3)-(MIN(C295,($B$4*3/10))^4-B295^4)/4,0)+IF(C295&gt;($B$4*3/10),($B$4*3/10)^2*(1.5*(C295^2-MAX(B295,($B$4*3/10))^2)-($B$4*3/10)*(C295-MAX(B295,($B$4*3/10)))),0))*1000,0)</f>
        <v>0</v>
      </c>
      <c r="AE295" s="120">
        <f>IF(AND(J295="OK",ISNUMBER($B$5),$B$5&gt;0,ISNUMBER($B$3),$B$3&gt;0),F295/(6*$B$3*1000000*$B$5)*(IF(B295&lt;($B$4*4/10),($B$4*4/10)*(MIN(C295,($B$4*4/10))^3-B295^3)-(MIN(C295,($B$4*4/10))^4-B295^4)/4,0)+IF(C295&gt;($B$4*4/10),($B$4*4/10)^2*(1.5*(C295^2-MAX(B295,($B$4*4/10))^2)-($B$4*4/10)*(C295-MAX(B295,($B$4*4/10)))),0))*1000,0)</f>
        <v>0</v>
      </c>
      <c r="AF295" s="120">
        <f>IF(AND(J295="OK",ISNUMBER($B$5),$B$5&gt;0,ISNUMBER($B$3),$B$3&gt;0),F295/(6*$B$3*1000000*$B$5)*(IF(B295&lt;($B$4*5/10),($B$4*5/10)*(MIN(C295,($B$4*5/10))^3-B295^3)-(MIN(C295,($B$4*5/10))^4-B295^4)/4,0)+IF(C295&gt;($B$4*5/10),($B$4*5/10)^2*(1.5*(C295^2-MAX(B295,($B$4*5/10))^2)-($B$4*5/10)*(C295-MAX(B295,($B$4*5/10)))),0))*1000,0)</f>
        <v>0</v>
      </c>
      <c r="AG295" s="120">
        <f>IF(AND(J295="OK",ISNUMBER($B$5),$B$5&gt;0,ISNUMBER($B$3),$B$3&gt;0),F295/(6*$B$3*1000000*$B$5)*(IF(B295&lt;($B$4*6/10),($B$4*6/10)*(MIN(C295,($B$4*6/10))^3-B295^3)-(MIN(C295,($B$4*6/10))^4-B295^4)/4,0)+IF(C295&gt;($B$4*6/10),($B$4*6/10)^2*(1.5*(C295^2-MAX(B295,($B$4*6/10))^2)-($B$4*6/10)*(C295-MAX(B295,($B$4*6/10)))),0))*1000,0)</f>
        <v>0</v>
      </c>
      <c r="AH295" s="120">
        <f>IF(AND(J295="OK",ISNUMBER($B$5),$B$5&gt;0,ISNUMBER($B$3),$B$3&gt;0),F295/(6*$B$3*1000000*$B$5)*(IF(B295&lt;($B$4*7/10),($B$4*7/10)*(MIN(C295,($B$4*7/10))^3-B295^3)-(MIN(C295,($B$4*7/10))^4-B295^4)/4,0)+IF(C295&gt;($B$4*7/10),($B$4*7/10)^2*(1.5*(C295^2-MAX(B295,($B$4*7/10))^2)-($B$4*7/10)*(C295-MAX(B295,($B$4*7/10)))),0))*1000,0)</f>
        <v>0</v>
      </c>
      <c r="AI295" s="120">
        <f>IF(AND(J295="OK",ISNUMBER($B$5),$B$5&gt;0,ISNUMBER($B$3),$B$3&gt;0),F295/(6*$B$3*1000000*$B$5)*(IF(B295&lt;($B$4*8/10),($B$4*8/10)*(MIN(C295,($B$4*8/10))^3-B295^3)-(MIN(C295,($B$4*8/10))^4-B295^4)/4,0)+IF(C295&gt;($B$4*8/10),($B$4*8/10)^2*(1.5*(C295^2-MAX(B295,($B$4*8/10))^2)-($B$4*8/10)*(C295-MAX(B295,($B$4*8/10)))),0))*1000,0)</f>
        <v>0</v>
      </c>
      <c r="AJ295" s="120">
        <f>IF(AND(J295="OK",ISNUMBER($B$5),$B$5&gt;0,ISNUMBER($B$3),$B$3&gt;0),F295/(6*$B$3*1000000*$B$5)*(IF(B295&lt;($B$4*9/10),($B$4*9/10)*(MIN(C295,($B$4*9/10))^3-B295^3)-(MIN(C295,($B$4*9/10))^4-B295^4)/4,0)+IF(C295&gt;($B$4*9/10),($B$4*9/10)^2*(1.5*(C295^2-MAX(B295,($B$4*9/10))^2)-($B$4*9/10)*(C295-MAX(B295,($B$4*9/10)))),0))*1000,0)</f>
        <v>0</v>
      </c>
      <c r="AK295" s="120">
        <f>IF(AND(J295="OK",ISNUMBER($B$5),$B$5&gt;0,ISNUMBER($B$3),$B$3&gt;0),F295/(6*$B$3*1000000*$B$5)*(IF(B295&lt;($B$4*10/10),($B$4*10/10)*(MIN(C295,($B$4*10/10))^3-B295^3)-(MIN(C295,($B$4*10/10))^4-B295^4)/4,0)+IF(C295&gt;($B$4*10/10),($B$4*10/10)^2*(1.5*(C295^2-MAX(B295,($B$4*10/10))^2)-($B$4*10/10)*(C295-MAX(B295,($B$4*10/10)))),0))*1000,0)</f>
        <v>0</v>
      </c>
      <c r="AM295" s="120">
        <f>IF(AND(V295="OK",ISNUMBER($N$5),$N$5&gt;0,ISNUMBER($N$3),$N$3&gt;0),R295/(6*$N$3*1000000*$N$5)*(IF(N295&lt;($N$4*0/10),($N$4*0/10)*(MIN(O295,($N$4*0/10))^3-N295^3)-(MIN(O295,($N$4*0/10))^4-N295^4)/4,0)+IF(O295&gt;($N$4*0/10),($N$4*0/10)^2*(1.5*(O295^2-MAX(N295,($N$4*0/10))^2)-($N$4*0/10)*(O295-MAX(N295,($N$4*0/10)))),0))*1000,0)</f>
        <v>0</v>
      </c>
      <c r="AN295" s="120">
        <f>IF(AND(V295="OK",ISNUMBER($N$5),$N$5&gt;0,ISNUMBER($N$3),$N$3&gt;0),R295/(6*$N$3*1000000*$N$5)*(IF(N295&lt;($N$4*1/10),($N$4*1/10)*(MIN(O295,($N$4*1/10))^3-N295^3)-(MIN(O295,($N$4*1/10))^4-N295^4)/4,0)+IF(O295&gt;($N$4*1/10),($N$4*1/10)^2*(1.5*(O295^2-MAX(N295,($N$4*1/10))^2)-($N$4*1/10)*(O295-MAX(N295,($N$4*1/10)))),0))*1000,0)</f>
        <v>0</v>
      </c>
      <c r="AO295" s="120">
        <f>IF(AND(V295="OK",ISNUMBER($N$5),$N$5&gt;0,ISNUMBER($N$3),$N$3&gt;0),R295/(6*$N$3*1000000*$N$5)*(IF(N295&lt;($N$4*2/10),($N$4*2/10)*(MIN(O295,($N$4*2/10))^3-N295^3)-(MIN(O295,($N$4*2/10))^4-N295^4)/4,0)+IF(O295&gt;($N$4*2/10),($N$4*2/10)^2*(1.5*(O295^2-MAX(N295,($N$4*2/10))^2)-($N$4*2/10)*(O295-MAX(N295,($N$4*2/10)))),0))*1000,0)</f>
        <v>0</v>
      </c>
      <c r="AP295" s="120">
        <f>IF(AND(V295="OK",ISNUMBER($N$5),$N$5&gt;0,ISNUMBER($N$3),$N$3&gt;0),R295/(6*$N$3*1000000*$N$5)*(IF(N295&lt;($N$4*3/10),($N$4*3/10)*(MIN(O295,($N$4*3/10))^3-N295^3)-(MIN(O295,($N$4*3/10))^4-N295^4)/4,0)+IF(O295&gt;($N$4*3/10),($N$4*3/10)^2*(1.5*(O295^2-MAX(N295,($N$4*3/10))^2)-($N$4*3/10)*(O295-MAX(N295,($N$4*3/10)))),0))*1000,0)</f>
        <v>0</v>
      </c>
      <c r="AQ295" s="120">
        <f>IF(AND(V295="OK",ISNUMBER($N$5),$N$5&gt;0,ISNUMBER($N$3),$N$3&gt;0),R295/(6*$N$3*1000000*$N$5)*(IF(N295&lt;($N$4*4/10),($N$4*4/10)*(MIN(O295,($N$4*4/10))^3-N295^3)-(MIN(O295,($N$4*4/10))^4-N295^4)/4,0)+IF(O295&gt;($N$4*4/10),($N$4*4/10)^2*(1.5*(O295^2-MAX(N295,($N$4*4/10))^2)-($N$4*4/10)*(O295-MAX(N295,($N$4*4/10)))),0))*1000,0)</f>
        <v>0</v>
      </c>
      <c r="AR295" s="120">
        <f>IF(AND(V295="OK",ISNUMBER($N$5),$N$5&gt;0,ISNUMBER($N$3),$N$3&gt;0),R295/(6*$N$3*1000000*$N$5)*(IF(N295&lt;($N$4*5/10),($N$4*5/10)*(MIN(O295,($N$4*5/10))^3-N295^3)-(MIN(O295,($N$4*5/10))^4-N295^4)/4,0)+IF(O295&gt;($N$4*5/10),($N$4*5/10)^2*(1.5*(O295^2-MAX(N295,($N$4*5/10))^2)-($N$4*5/10)*(O295-MAX(N295,($N$4*5/10)))),0))*1000,0)</f>
        <v>0</v>
      </c>
      <c r="AS295" s="120">
        <f>IF(AND(V295="OK",ISNUMBER($N$5),$N$5&gt;0,ISNUMBER($N$3),$N$3&gt;0),R295/(6*$N$3*1000000*$N$5)*(IF(N295&lt;($N$4*6/10),($N$4*6/10)*(MIN(O295,($N$4*6/10))^3-N295^3)-(MIN(O295,($N$4*6/10))^4-N295^4)/4,0)+IF(O295&gt;($N$4*6/10),($N$4*6/10)^2*(1.5*(O295^2-MAX(N295,($N$4*6/10))^2)-($N$4*6/10)*(O295-MAX(N295,($N$4*6/10)))),0))*1000,0)</f>
        <v>0</v>
      </c>
      <c r="AT295" s="120">
        <f>IF(AND(V295="OK",ISNUMBER($N$5),$N$5&gt;0,ISNUMBER($N$3),$N$3&gt;0),R295/(6*$N$3*1000000*$N$5)*(IF(N295&lt;($N$4*7/10),($N$4*7/10)*(MIN(O295,($N$4*7/10))^3-N295^3)-(MIN(O295,($N$4*7/10))^4-N295^4)/4,0)+IF(O295&gt;($N$4*7/10),($N$4*7/10)^2*(1.5*(O295^2-MAX(N295,($N$4*7/10))^2)-($N$4*7/10)*(O295-MAX(N295,($N$4*7/10)))),0))*1000,0)</f>
        <v>0</v>
      </c>
      <c r="AU295" s="120">
        <f>IF(AND(V295="OK",ISNUMBER($N$5),$N$5&gt;0,ISNUMBER($N$3),$N$3&gt;0),R295/(6*$N$3*1000000*$N$5)*(IF(N295&lt;($N$4*8/10),($N$4*8/10)*(MIN(O295,($N$4*8/10))^3-N295^3)-(MIN(O295,($N$4*8/10))^4-N295^4)/4,0)+IF(O295&gt;($N$4*8/10),($N$4*8/10)^2*(1.5*(O295^2-MAX(N295,($N$4*8/10))^2)-($N$4*8/10)*(O295-MAX(N295,($N$4*8/10)))),0))*1000,0)</f>
        <v>0</v>
      </c>
      <c r="AV295" s="120">
        <f>IF(AND(V295="OK",ISNUMBER($N$5),$N$5&gt;0,ISNUMBER($N$3),$N$3&gt;0),R295/(6*$N$3*1000000*$N$5)*(IF(N295&lt;($N$4*9/10),($N$4*9/10)*(MIN(O295,($N$4*9/10))^3-N295^3)-(MIN(O295,($N$4*9/10))^4-N295^4)/4,0)+IF(O295&gt;($N$4*9/10),($N$4*9/10)^2*(1.5*(O295^2-MAX(N295,($N$4*9/10))^2)-($N$4*9/10)*(O295-MAX(N295,($N$4*9/10)))),0))*1000,0)</f>
        <v>0</v>
      </c>
      <c r="AW295" s="120">
        <f>IF(AND(V295="OK",ISNUMBER($N$5),$N$5&gt;0,ISNUMBER($N$3),$N$3&gt;0),R295/(6*$N$3*1000000*$N$5)*(IF(N295&lt;($N$4*10/10),($N$4*10/10)*(MIN(O295,($N$4*10/10))^3-N295^3)-(MIN(O295,($N$4*10/10))^4-N295^4)/4,0)+IF(O295&gt;($N$4*10/10),($N$4*10/10)^2*(1.5*(O295^2-MAX(N295,($N$4*10/10))^2)-($N$4*10/10)*(O295-MAX(N295,($N$4*10/10)))),0))*1000,0)</f>
        <v>0</v>
      </c>
    </row>
    <row r="296" spans="1:49">
      <c r="A296" s="124"/>
      <c r="B296" s="125"/>
      <c r="C296" s="125"/>
      <c r="D296" s="125"/>
      <c r="E296" s="125"/>
      <c r="F296" s="126" t="str">
        <f>IF(J296="OK",D296*E296,"")</f>
        <v/>
      </c>
      <c r="G296" s="126" t="str">
        <f>IF(J296="OK",F296*(C296-B296),"")</f>
        <v/>
      </c>
      <c r="H296" s="126" t="str">
        <f>IF(J296="OK",G296*(C296+B296)/2,"")</f>
        <v/>
      </c>
      <c r="I296" s="126" t="str">
        <f>IF(AND(J296="OK",ISNUMBER($B$5),$B$5&gt;0,ISNUMBER($B$3),$B$3&gt;0),F296*(4*$B$4*(C296^3-B296^3)-(C296^4-B296^4))/(24*$B$3*1000000*$B$5)*1000,"")</f>
        <v/>
      </c>
      <c r="J296" s="120" t="str">
        <f>IF(COUNTA(A296:E296)=0,"",IF(AND(COUNT(B296:E296)=4,B296&gt;=0,C296&gt;B296,C296&lt;=$B$4,D296&gt;=0,E296&gt;0),IF(COUNTIFS($B$13:$B$295,"&lt;"&amp;C296,$C$13:$C$295,"&gt;"&amp;B296)&gt;0,"OVERLAP","OK"),"CHECK INPUTS"))</f>
        <v/>
      </c>
      <c r="M296" s="124"/>
      <c r="N296" s="125"/>
      <c r="O296" s="125"/>
      <c r="P296" s="125"/>
      <c r="Q296" s="125"/>
      <c r="R296" s="126" t="str">
        <f>IF(V296="OK",P296*Q296,"")</f>
        <v/>
      </c>
      <c r="S296" s="126" t="str">
        <f>IF(V296="OK",R296*(O296-N296),"")</f>
        <v/>
      </c>
      <c r="T296" s="126" t="str">
        <f>IF(V296="OK",S296*(O296+N296)/2,"")</f>
        <v/>
      </c>
      <c r="U296" s="126" t="str">
        <f>IF(AND(V296="OK",ISNUMBER($N$5),$N$5&gt;0,ISNUMBER($N$3),$N$3&gt;0),R296*(4*$N$4*(O296^3-N296^3)-(O296^4-N296^4))/(24*$N$3*1000000*$N$5)*1000,"")</f>
        <v/>
      </c>
      <c r="V296" s="120" t="str">
        <f>IF(COUNTA(M296:Q296)=0,"",IF(AND(COUNT(N296:Q296)=4,N296&gt;=0,O296&gt;N296,O296&lt;=$N$4,P296&gt;=0,Q296&gt;0),IF(COUNTIFS($N$13:$N$295,"&lt;"&amp;O296,$O$13:$O$295,"&gt;"&amp;N296)&gt;0,"OVERLAP","OK"),"CHECK INPUTS"))</f>
        <v/>
      </c>
      <c r="AA296" s="120">
        <f>IF(AND(J296="OK",ISNUMBER($B$5),$B$5&gt;0,ISNUMBER($B$3),$B$3&gt;0),F296/(6*$B$3*1000000*$B$5)*(IF(B296&lt;($B$4*0/10),($B$4*0/10)*(MIN(C296,($B$4*0/10))^3-B296^3)-(MIN(C296,($B$4*0/10))^4-B296^4)/4,0)+IF(C296&gt;($B$4*0/10),($B$4*0/10)^2*(1.5*(C296^2-MAX(B296,($B$4*0/10))^2)-($B$4*0/10)*(C296-MAX(B296,($B$4*0/10)))),0))*1000,0)</f>
        <v>0</v>
      </c>
      <c r="AB296" s="120">
        <f>IF(AND(J296="OK",ISNUMBER($B$5),$B$5&gt;0,ISNUMBER($B$3),$B$3&gt;0),F296/(6*$B$3*1000000*$B$5)*(IF(B296&lt;($B$4*1/10),($B$4*1/10)*(MIN(C296,($B$4*1/10))^3-B296^3)-(MIN(C296,($B$4*1/10))^4-B296^4)/4,0)+IF(C296&gt;($B$4*1/10),($B$4*1/10)^2*(1.5*(C296^2-MAX(B296,($B$4*1/10))^2)-($B$4*1/10)*(C296-MAX(B296,($B$4*1/10)))),0))*1000,0)</f>
        <v>0</v>
      </c>
      <c r="AC296" s="120">
        <f>IF(AND(J296="OK",ISNUMBER($B$5),$B$5&gt;0,ISNUMBER($B$3),$B$3&gt;0),F296/(6*$B$3*1000000*$B$5)*(IF(B296&lt;($B$4*2/10),($B$4*2/10)*(MIN(C296,($B$4*2/10))^3-B296^3)-(MIN(C296,($B$4*2/10))^4-B296^4)/4,0)+IF(C296&gt;($B$4*2/10),($B$4*2/10)^2*(1.5*(C296^2-MAX(B296,($B$4*2/10))^2)-($B$4*2/10)*(C296-MAX(B296,($B$4*2/10)))),0))*1000,0)</f>
        <v>0</v>
      </c>
      <c r="AD296" s="120">
        <f>IF(AND(J296="OK",ISNUMBER($B$5),$B$5&gt;0,ISNUMBER($B$3),$B$3&gt;0),F296/(6*$B$3*1000000*$B$5)*(IF(B296&lt;($B$4*3/10),($B$4*3/10)*(MIN(C296,($B$4*3/10))^3-B296^3)-(MIN(C296,($B$4*3/10))^4-B296^4)/4,0)+IF(C296&gt;($B$4*3/10),($B$4*3/10)^2*(1.5*(C296^2-MAX(B296,($B$4*3/10))^2)-($B$4*3/10)*(C296-MAX(B296,($B$4*3/10)))),0))*1000,0)</f>
        <v>0</v>
      </c>
      <c r="AE296" s="120">
        <f>IF(AND(J296="OK",ISNUMBER($B$5),$B$5&gt;0,ISNUMBER($B$3),$B$3&gt;0),F296/(6*$B$3*1000000*$B$5)*(IF(B296&lt;($B$4*4/10),($B$4*4/10)*(MIN(C296,($B$4*4/10))^3-B296^3)-(MIN(C296,($B$4*4/10))^4-B296^4)/4,0)+IF(C296&gt;($B$4*4/10),($B$4*4/10)^2*(1.5*(C296^2-MAX(B296,($B$4*4/10))^2)-($B$4*4/10)*(C296-MAX(B296,($B$4*4/10)))),0))*1000,0)</f>
        <v>0</v>
      </c>
      <c r="AF296" s="120">
        <f>IF(AND(J296="OK",ISNUMBER($B$5),$B$5&gt;0,ISNUMBER($B$3),$B$3&gt;0),F296/(6*$B$3*1000000*$B$5)*(IF(B296&lt;($B$4*5/10),($B$4*5/10)*(MIN(C296,($B$4*5/10))^3-B296^3)-(MIN(C296,($B$4*5/10))^4-B296^4)/4,0)+IF(C296&gt;($B$4*5/10),($B$4*5/10)^2*(1.5*(C296^2-MAX(B296,($B$4*5/10))^2)-($B$4*5/10)*(C296-MAX(B296,($B$4*5/10)))),0))*1000,0)</f>
        <v>0</v>
      </c>
      <c r="AG296" s="120">
        <f>IF(AND(J296="OK",ISNUMBER($B$5),$B$5&gt;0,ISNUMBER($B$3),$B$3&gt;0),F296/(6*$B$3*1000000*$B$5)*(IF(B296&lt;($B$4*6/10),($B$4*6/10)*(MIN(C296,($B$4*6/10))^3-B296^3)-(MIN(C296,($B$4*6/10))^4-B296^4)/4,0)+IF(C296&gt;($B$4*6/10),($B$4*6/10)^2*(1.5*(C296^2-MAX(B296,($B$4*6/10))^2)-($B$4*6/10)*(C296-MAX(B296,($B$4*6/10)))),0))*1000,0)</f>
        <v>0</v>
      </c>
      <c r="AH296" s="120">
        <f>IF(AND(J296="OK",ISNUMBER($B$5),$B$5&gt;0,ISNUMBER($B$3),$B$3&gt;0),F296/(6*$B$3*1000000*$B$5)*(IF(B296&lt;($B$4*7/10),($B$4*7/10)*(MIN(C296,($B$4*7/10))^3-B296^3)-(MIN(C296,($B$4*7/10))^4-B296^4)/4,0)+IF(C296&gt;($B$4*7/10),($B$4*7/10)^2*(1.5*(C296^2-MAX(B296,($B$4*7/10))^2)-($B$4*7/10)*(C296-MAX(B296,($B$4*7/10)))),0))*1000,0)</f>
        <v>0</v>
      </c>
      <c r="AI296" s="120">
        <f>IF(AND(J296="OK",ISNUMBER($B$5),$B$5&gt;0,ISNUMBER($B$3),$B$3&gt;0),F296/(6*$B$3*1000000*$B$5)*(IF(B296&lt;($B$4*8/10),($B$4*8/10)*(MIN(C296,($B$4*8/10))^3-B296^3)-(MIN(C296,($B$4*8/10))^4-B296^4)/4,0)+IF(C296&gt;($B$4*8/10),($B$4*8/10)^2*(1.5*(C296^2-MAX(B296,($B$4*8/10))^2)-($B$4*8/10)*(C296-MAX(B296,($B$4*8/10)))),0))*1000,0)</f>
        <v>0</v>
      </c>
      <c r="AJ296" s="120">
        <f>IF(AND(J296="OK",ISNUMBER($B$5),$B$5&gt;0,ISNUMBER($B$3),$B$3&gt;0),F296/(6*$B$3*1000000*$B$5)*(IF(B296&lt;($B$4*9/10),($B$4*9/10)*(MIN(C296,($B$4*9/10))^3-B296^3)-(MIN(C296,($B$4*9/10))^4-B296^4)/4,0)+IF(C296&gt;($B$4*9/10),($B$4*9/10)^2*(1.5*(C296^2-MAX(B296,($B$4*9/10))^2)-($B$4*9/10)*(C296-MAX(B296,($B$4*9/10)))),0))*1000,0)</f>
        <v>0</v>
      </c>
      <c r="AK296" s="120">
        <f>IF(AND(J296="OK",ISNUMBER($B$5),$B$5&gt;0,ISNUMBER($B$3),$B$3&gt;0),F296/(6*$B$3*1000000*$B$5)*(IF(B296&lt;($B$4*10/10),($B$4*10/10)*(MIN(C296,($B$4*10/10))^3-B296^3)-(MIN(C296,($B$4*10/10))^4-B296^4)/4,0)+IF(C296&gt;($B$4*10/10),($B$4*10/10)^2*(1.5*(C296^2-MAX(B296,($B$4*10/10))^2)-($B$4*10/10)*(C296-MAX(B296,($B$4*10/10)))),0))*1000,0)</f>
        <v>0</v>
      </c>
      <c r="AM296" s="120">
        <f>IF(AND(V296="OK",ISNUMBER($N$5),$N$5&gt;0,ISNUMBER($N$3),$N$3&gt;0),R296/(6*$N$3*1000000*$N$5)*(IF(N296&lt;($N$4*0/10),($N$4*0/10)*(MIN(O296,($N$4*0/10))^3-N296^3)-(MIN(O296,($N$4*0/10))^4-N296^4)/4,0)+IF(O296&gt;($N$4*0/10),($N$4*0/10)^2*(1.5*(O296^2-MAX(N296,($N$4*0/10))^2)-($N$4*0/10)*(O296-MAX(N296,($N$4*0/10)))),0))*1000,0)</f>
        <v>0</v>
      </c>
      <c r="AN296" s="120">
        <f>IF(AND(V296="OK",ISNUMBER($N$5),$N$5&gt;0,ISNUMBER($N$3),$N$3&gt;0),R296/(6*$N$3*1000000*$N$5)*(IF(N296&lt;($N$4*1/10),($N$4*1/10)*(MIN(O296,($N$4*1/10))^3-N296^3)-(MIN(O296,($N$4*1/10))^4-N296^4)/4,0)+IF(O296&gt;($N$4*1/10),($N$4*1/10)^2*(1.5*(O296^2-MAX(N296,($N$4*1/10))^2)-($N$4*1/10)*(O296-MAX(N296,($N$4*1/10)))),0))*1000,0)</f>
        <v>0</v>
      </c>
      <c r="AO296" s="120">
        <f>IF(AND(V296="OK",ISNUMBER($N$5),$N$5&gt;0,ISNUMBER($N$3),$N$3&gt;0),R296/(6*$N$3*1000000*$N$5)*(IF(N296&lt;($N$4*2/10),($N$4*2/10)*(MIN(O296,($N$4*2/10))^3-N296^3)-(MIN(O296,($N$4*2/10))^4-N296^4)/4,0)+IF(O296&gt;($N$4*2/10),($N$4*2/10)^2*(1.5*(O296^2-MAX(N296,($N$4*2/10))^2)-($N$4*2/10)*(O296-MAX(N296,($N$4*2/10)))),0))*1000,0)</f>
        <v>0</v>
      </c>
      <c r="AP296" s="120">
        <f>IF(AND(V296="OK",ISNUMBER($N$5),$N$5&gt;0,ISNUMBER($N$3),$N$3&gt;0),R296/(6*$N$3*1000000*$N$5)*(IF(N296&lt;($N$4*3/10),($N$4*3/10)*(MIN(O296,($N$4*3/10))^3-N296^3)-(MIN(O296,($N$4*3/10))^4-N296^4)/4,0)+IF(O296&gt;($N$4*3/10),($N$4*3/10)^2*(1.5*(O296^2-MAX(N296,($N$4*3/10))^2)-($N$4*3/10)*(O296-MAX(N296,($N$4*3/10)))),0))*1000,0)</f>
        <v>0</v>
      </c>
      <c r="AQ296" s="120">
        <f>IF(AND(V296="OK",ISNUMBER($N$5),$N$5&gt;0,ISNUMBER($N$3),$N$3&gt;0),R296/(6*$N$3*1000000*$N$5)*(IF(N296&lt;($N$4*4/10),($N$4*4/10)*(MIN(O296,($N$4*4/10))^3-N296^3)-(MIN(O296,($N$4*4/10))^4-N296^4)/4,0)+IF(O296&gt;($N$4*4/10),($N$4*4/10)^2*(1.5*(O296^2-MAX(N296,($N$4*4/10))^2)-($N$4*4/10)*(O296-MAX(N296,($N$4*4/10)))),0))*1000,0)</f>
        <v>0</v>
      </c>
      <c r="AR296" s="120">
        <f>IF(AND(V296="OK",ISNUMBER($N$5),$N$5&gt;0,ISNUMBER($N$3),$N$3&gt;0),R296/(6*$N$3*1000000*$N$5)*(IF(N296&lt;($N$4*5/10),($N$4*5/10)*(MIN(O296,($N$4*5/10))^3-N296^3)-(MIN(O296,($N$4*5/10))^4-N296^4)/4,0)+IF(O296&gt;($N$4*5/10),($N$4*5/10)^2*(1.5*(O296^2-MAX(N296,($N$4*5/10))^2)-($N$4*5/10)*(O296-MAX(N296,($N$4*5/10)))),0))*1000,0)</f>
        <v>0</v>
      </c>
      <c r="AS296" s="120">
        <f>IF(AND(V296="OK",ISNUMBER($N$5),$N$5&gt;0,ISNUMBER($N$3),$N$3&gt;0),R296/(6*$N$3*1000000*$N$5)*(IF(N296&lt;($N$4*6/10),($N$4*6/10)*(MIN(O296,($N$4*6/10))^3-N296^3)-(MIN(O296,($N$4*6/10))^4-N296^4)/4,0)+IF(O296&gt;($N$4*6/10),($N$4*6/10)^2*(1.5*(O296^2-MAX(N296,($N$4*6/10))^2)-($N$4*6/10)*(O296-MAX(N296,($N$4*6/10)))),0))*1000,0)</f>
        <v>0</v>
      </c>
      <c r="AT296" s="120">
        <f>IF(AND(V296="OK",ISNUMBER($N$5),$N$5&gt;0,ISNUMBER($N$3),$N$3&gt;0),R296/(6*$N$3*1000000*$N$5)*(IF(N296&lt;($N$4*7/10),($N$4*7/10)*(MIN(O296,($N$4*7/10))^3-N296^3)-(MIN(O296,($N$4*7/10))^4-N296^4)/4,0)+IF(O296&gt;($N$4*7/10),($N$4*7/10)^2*(1.5*(O296^2-MAX(N296,($N$4*7/10))^2)-($N$4*7/10)*(O296-MAX(N296,($N$4*7/10)))),0))*1000,0)</f>
        <v>0</v>
      </c>
      <c r="AU296" s="120">
        <f>IF(AND(V296="OK",ISNUMBER($N$5),$N$5&gt;0,ISNUMBER($N$3),$N$3&gt;0),R296/(6*$N$3*1000000*$N$5)*(IF(N296&lt;($N$4*8/10),($N$4*8/10)*(MIN(O296,($N$4*8/10))^3-N296^3)-(MIN(O296,($N$4*8/10))^4-N296^4)/4,0)+IF(O296&gt;($N$4*8/10),($N$4*8/10)^2*(1.5*(O296^2-MAX(N296,($N$4*8/10))^2)-($N$4*8/10)*(O296-MAX(N296,($N$4*8/10)))),0))*1000,0)</f>
        <v>0</v>
      </c>
      <c r="AV296" s="120">
        <f>IF(AND(V296="OK",ISNUMBER($N$5),$N$5&gt;0,ISNUMBER($N$3),$N$3&gt;0),R296/(6*$N$3*1000000*$N$5)*(IF(N296&lt;($N$4*9/10),($N$4*9/10)*(MIN(O296,($N$4*9/10))^3-N296^3)-(MIN(O296,($N$4*9/10))^4-N296^4)/4,0)+IF(O296&gt;($N$4*9/10),($N$4*9/10)^2*(1.5*(O296^2-MAX(N296,($N$4*9/10))^2)-($N$4*9/10)*(O296-MAX(N296,($N$4*9/10)))),0))*1000,0)</f>
        <v>0</v>
      </c>
      <c r="AW296" s="120">
        <f>IF(AND(V296="OK",ISNUMBER($N$5),$N$5&gt;0,ISNUMBER($N$3),$N$3&gt;0),R296/(6*$N$3*1000000*$N$5)*(IF(N296&lt;($N$4*10/10),($N$4*10/10)*(MIN(O296,($N$4*10/10))^3-N296^3)-(MIN(O296,($N$4*10/10))^4-N296^4)/4,0)+IF(O296&gt;($N$4*10/10),($N$4*10/10)^2*(1.5*(O296^2-MAX(N296,($N$4*10/10))^2)-($N$4*10/10)*(O296-MAX(N296,($N$4*10/10)))),0))*1000,0)</f>
        <v>0</v>
      </c>
    </row>
    <row r="297" spans="1:49">
      <c r="A297" s="124"/>
      <c r="B297" s="125"/>
      <c r="C297" s="125"/>
      <c r="D297" s="125"/>
      <c r="E297" s="125"/>
      <c r="F297" s="126" t="str">
        <f>IF(J297="OK",D297*E297,"")</f>
        <v/>
      </c>
      <c r="G297" s="126" t="str">
        <f>IF(J297="OK",F297*(C297-B297),"")</f>
        <v/>
      </c>
      <c r="H297" s="126" t="str">
        <f>IF(J297="OK",G297*(C297+B297)/2,"")</f>
        <v/>
      </c>
      <c r="I297" s="126" t="str">
        <f>IF(AND(J297="OK",ISNUMBER($B$5),$B$5&gt;0,ISNUMBER($B$3),$B$3&gt;0),F297*(4*$B$4*(C297^3-B297^3)-(C297^4-B297^4))/(24*$B$3*1000000*$B$5)*1000,"")</f>
        <v/>
      </c>
      <c r="J297" s="120" t="str">
        <f>IF(COUNTA(A297:E297)=0,"",IF(AND(COUNT(B297:E297)=4,B297&gt;=0,C297&gt;B297,C297&lt;=$B$4,D297&gt;=0,E297&gt;0),IF(COUNTIFS($B$13:$B$296,"&lt;"&amp;C297,$C$13:$C$296,"&gt;"&amp;B297)&gt;0,"OVERLAP","OK"),"CHECK INPUTS"))</f>
        <v/>
      </c>
      <c r="M297" s="124"/>
      <c r="N297" s="125"/>
      <c r="O297" s="125"/>
      <c r="P297" s="125"/>
      <c r="Q297" s="125"/>
      <c r="R297" s="126" t="str">
        <f>IF(V297="OK",P297*Q297,"")</f>
        <v/>
      </c>
      <c r="S297" s="126" t="str">
        <f>IF(V297="OK",R297*(O297-N297),"")</f>
        <v/>
      </c>
      <c r="T297" s="126" t="str">
        <f>IF(V297="OK",S297*(O297+N297)/2,"")</f>
        <v/>
      </c>
      <c r="U297" s="126" t="str">
        <f>IF(AND(V297="OK",ISNUMBER($N$5),$N$5&gt;0,ISNUMBER($N$3),$N$3&gt;0),R297*(4*$N$4*(O297^3-N297^3)-(O297^4-N297^4))/(24*$N$3*1000000*$N$5)*1000,"")</f>
        <v/>
      </c>
      <c r="V297" s="120" t="str">
        <f>IF(COUNTA(M297:Q297)=0,"",IF(AND(COUNT(N297:Q297)=4,N297&gt;=0,O297&gt;N297,O297&lt;=$N$4,P297&gt;=0,Q297&gt;0),IF(COUNTIFS($N$13:$N$296,"&lt;"&amp;O297,$O$13:$O$296,"&gt;"&amp;N297)&gt;0,"OVERLAP","OK"),"CHECK INPUTS"))</f>
        <v/>
      </c>
      <c r="AA297" s="120">
        <f>IF(AND(J297="OK",ISNUMBER($B$5),$B$5&gt;0,ISNUMBER($B$3),$B$3&gt;0),F297/(6*$B$3*1000000*$B$5)*(IF(B297&lt;($B$4*0/10),($B$4*0/10)*(MIN(C297,($B$4*0/10))^3-B297^3)-(MIN(C297,($B$4*0/10))^4-B297^4)/4,0)+IF(C297&gt;($B$4*0/10),($B$4*0/10)^2*(1.5*(C297^2-MAX(B297,($B$4*0/10))^2)-($B$4*0/10)*(C297-MAX(B297,($B$4*0/10)))),0))*1000,0)</f>
        <v>0</v>
      </c>
      <c r="AB297" s="120">
        <f>IF(AND(J297="OK",ISNUMBER($B$5),$B$5&gt;0,ISNUMBER($B$3),$B$3&gt;0),F297/(6*$B$3*1000000*$B$5)*(IF(B297&lt;($B$4*1/10),($B$4*1/10)*(MIN(C297,($B$4*1/10))^3-B297^3)-(MIN(C297,($B$4*1/10))^4-B297^4)/4,0)+IF(C297&gt;($B$4*1/10),($B$4*1/10)^2*(1.5*(C297^2-MAX(B297,($B$4*1/10))^2)-($B$4*1/10)*(C297-MAX(B297,($B$4*1/10)))),0))*1000,0)</f>
        <v>0</v>
      </c>
      <c r="AC297" s="120">
        <f>IF(AND(J297="OK",ISNUMBER($B$5),$B$5&gt;0,ISNUMBER($B$3),$B$3&gt;0),F297/(6*$B$3*1000000*$B$5)*(IF(B297&lt;($B$4*2/10),($B$4*2/10)*(MIN(C297,($B$4*2/10))^3-B297^3)-(MIN(C297,($B$4*2/10))^4-B297^4)/4,0)+IF(C297&gt;($B$4*2/10),($B$4*2/10)^2*(1.5*(C297^2-MAX(B297,($B$4*2/10))^2)-($B$4*2/10)*(C297-MAX(B297,($B$4*2/10)))),0))*1000,0)</f>
        <v>0</v>
      </c>
      <c r="AD297" s="120">
        <f>IF(AND(J297="OK",ISNUMBER($B$5),$B$5&gt;0,ISNUMBER($B$3),$B$3&gt;0),F297/(6*$B$3*1000000*$B$5)*(IF(B297&lt;($B$4*3/10),($B$4*3/10)*(MIN(C297,($B$4*3/10))^3-B297^3)-(MIN(C297,($B$4*3/10))^4-B297^4)/4,0)+IF(C297&gt;($B$4*3/10),($B$4*3/10)^2*(1.5*(C297^2-MAX(B297,($B$4*3/10))^2)-($B$4*3/10)*(C297-MAX(B297,($B$4*3/10)))),0))*1000,0)</f>
        <v>0</v>
      </c>
      <c r="AE297" s="120">
        <f>IF(AND(J297="OK",ISNUMBER($B$5),$B$5&gt;0,ISNUMBER($B$3),$B$3&gt;0),F297/(6*$B$3*1000000*$B$5)*(IF(B297&lt;($B$4*4/10),($B$4*4/10)*(MIN(C297,($B$4*4/10))^3-B297^3)-(MIN(C297,($B$4*4/10))^4-B297^4)/4,0)+IF(C297&gt;($B$4*4/10),($B$4*4/10)^2*(1.5*(C297^2-MAX(B297,($B$4*4/10))^2)-($B$4*4/10)*(C297-MAX(B297,($B$4*4/10)))),0))*1000,0)</f>
        <v>0</v>
      </c>
      <c r="AF297" s="120">
        <f>IF(AND(J297="OK",ISNUMBER($B$5),$B$5&gt;0,ISNUMBER($B$3),$B$3&gt;0),F297/(6*$B$3*1000000*$B$5)*(IF(B297&lt;($B$4*5/10),($B$4*5/10)*(MIN(C297,($B$4*5/10))^3-B297^3)-(MIN(C297,($B$4*5/10))^4-B297^4)/4,0)+IF(C297&gt;($B$4*5/10),($B$4*5/10)^2*(1.5*(C297^2-MAX(B297,($B$4*5/10))^2)-($B$4*5/10)*(C297-MAX(B297,($B$4*5/10)))),0))*1000,0)</f>
        <v>0</v>
      </c>
      <c r="AG297" s="120">
        <f>IF(AND(J297="OK",ISNUMBER($B$5),$B$5&gt;0,ISNUMBER($B$3),$B$3&gt;0),F297/(6*$B$3*1000000*$B$5)*(IF(B297&lt;($B$4*6/10),($B$4*6/10)*(MIN(C297,($B$4*6/10))^3-B297^3)-(MIN(C297,($B$4*6/10))^4-B297^4)/4,0)+IF(C297&gt;($B$4*6/10),($B$4*6/10)^2*(1.5*(C297^2-MAX(B297,($B$4*6/10))^2)-($B$4*6/10)*(C297-MAX(B297,($B$4*6/10)))),0))*1000,0)</f>
        <v>0</v>
      </c>
      <c r="AH297" s="120">
        <f>IF(AND(J297="OK",ISNUMBER($B$5),$B$5&gt;0,ISNUMBER($B$3),$B$3&gt;0),F297/(6*$B$3*1000000*$B$5)*(IF(B297&lt;($B$4*7/10),($B$4*7/10)*(MIN(C297,($B$4*7/10))^3-B297^3)-(MIN(C297,($B$4*7/10))^4-B297^4)/4,0)+IF(C297&gt;($B$4*7/10),($B$4*7/10)^2*(1.5*(C297^2-MAX(B297,($B$4*7/10))^2)-($B$4*7/10)*(C297-MAX(B297,($B$4*7/10)))),0))*1000,0)</f>
        <v>0</v>
      </c>
      <c r="AI297" s="120">
        <f>IF(AND(J297="OK",ISNUMBER($B$5),$B$5&gt;0,ISNUMBER($B$3),$B$3&gt;0),F297/(6*$B$3*1000000*$B$5)*(IF(B297&lt;($B$4*8/10),($B$4*8/10)*(MIN(C297,($B$4*8/10))^3-B297^3)-(MIN(C297,($B$4*8/10))^4-B297^4)/4,0)+IF(C297&gt;($B$4*8/10),($B$4*8/10)^2*(1.5*(C297^2-MAX(B297,($B$4*8/10))^2)-($B$4*8/10)*(C297-MAX(B297,($B$4*8/10)))),0))*1000,0)</f>
        <v>0</v>
      </c>
      <c r="AJ297" s="120">
        <f>IF(AND(J297="OK",ISNUMBER($B$5),$B$5&gt;0,ISNUMBER($B$3),$B$3&gt;0),F297/(6*$B$3*1000000*$B$5)*(IF(B297&lt;($B$4*9/10),($B$4*9/10)*(MIN(C297,($B$4*9/10))^3-B297^3)-(MIN(C297,($B$4*9/10))^4-B297^4)/4,0)+IF(C297&gt;($B$4*9/10),($B$4*9/10)^2*(1.5*(C297^2-MAX(B297,($B$4*9/10))^2)-($B$4*9/10)*(C297-MAX(B297,($B$4*9/10)))),0))*1000,0)</f>
        <v>0</v>
      </c>
      <c r="AK297" s="120">
        <f>IF(AND(J297="OK",ISNUMBER($B$5),$B$5&gt;0,ISNUMBER($B$3),$B$3&gt;0),F297/(6*$B$3*1000000*$B$5)*(IF(B297&lt;($B$4*10/10),($B$4*10/10)*(MIN(C297,($B$4*10/10))^3-B297^3)-(MIN(C297,($B$4*10/10))^4-B297^4)/4,0)+IF(C297&gt;($B$4*10/10),($B$4*10/10)^2*(1.5*(C297^2-MAX(B297,($B$4*10/10))^2)-($B$4*10/10)*(C297-MAX(B297,($B$4*10/10)))),0))*1000,0)</f>
        <v>0</v>
      </c>
      <c r="AM297" s="120">
        <f>IF(AND(V297="OK",ISNUMBER($N$5),$N$5&gt;0,ISNUMBER($N$3),$N$3&gt;0),R297/(6*$N$3*1000000*$N$5)*(IF(N297&lt;($N$4*0/10),($N$4*0/10)*(MIN(O297,($N$4*0/10))^3-N297^3)-(MIN(O297,($N$4*0/10))^4-N297^4)/4,0)+IF(O297&gt;($N$4*0/10),($N$4*0/10)^2*(1.5*(O297^2-MAX(N297,($N$4*0/10))^2)-($N$4*0/10)*(O297-MAX(N297,($N$4*0/10)))),0))*1000,0)</f>
        <v>0</v>
      </c>
      <c r="AN297" s="120">
        <f>IF(AND(V297="OK",ISNUMBER($N$5),$N$5&gt;0,ISNUMBER($N$3),$N$3&gt;0),R297/(6*$N$3*1000000*$N$5)*(IF(N297&lt;($N$4*1/10),($N$4*1/10)*(MIN(O297,($N$4*1/10))^3-N297^3)-(MIN(O297,($N$4*1/10))^4-N297^4)/4,0)+IF(O297&gt;($N$4*1/10),($N$4*1/10)^2*(1.5*(O297^2-MAX(N297,($N$4*1/10))^2)-($N$4*1/10)*(O297-MAX(N297,($N$4*1/10)))),0))*1000,0)</f>
        <v>0</v>
      </c>
      <c r="AO297" s="120">
        <f>IF(AND(V297="OK",ISNUMBER($N$5),$N$5&gt;0,ISNUMBER($N$3),$N$3&gt;0),R297/(6*$N$3*1000000*$N$5)*(IF(N297&lt;($N$4*2/10),($N$4*2/10)*(MIN(O297,($N$4*2/10))^3-N297^3)-(MIN(O297,($N$4*2/10))^4-N297^4)/4,0)+IF(O297&gt;($N$4*2/10),($N$4*2/10)^2*(1.5*(O297^2-MAX(N297,($N$4*2/10))^2)-($N$4*2/10)*(O297-MAX(N297,($N$4*2/10)))),0))*1000,0)</f>
        <v>0</v>
      </c>
      <c r="AP297" s="120">
        <f>IF(AND(V297="OK",ISNUMBER($N$5),$N$5&gt;0,ISNUMBER($N$3),$N$3&gt;0),R297/(6*$N$3*1000000*$N$5)*(IF(N297&lt;($N$4*3/10),($N$4*3/10)*(MIN(O297,($N$4*3/10))^3-N297^3)-(MIN(O297,($N$4*3/10))^4-N297^4)/4,0)+IF(O297&gt;($N$4*3/10),($N$4*3/10)^2*(1.5*(O297^2-MAX(N297,($N$4*3/10))^2)-($N$4*3/10)*(O297-MAX(N297,($N$4*3/10)))),0))*1000,0)</f>
        <v>0</v>
      </c>
      <c r="AQ297" s="120">
        <f>IF(AND(V297="OK",ISNUMBER($N$5),$N$5&gt;0,ISNUMBER($N$3),$N$3&gt;0),R297/(6*$N$3*1000000*$N$5)*(IF(N297&lt;($N$4*4/10),($N$4*4/10)*(MIN(O297,($N$4*4/10))^3-N297^3)-(MIN(O297,($N$4*4/10))^4-N297^4)/4,0)+IF(O297&gt;($N$4*4/10),($N$4*4/10)^2*(1.5*(O297^2-MAX(N297,($N$4*4/10))^2)-($N$4*4/10)*(O297-MAX(N297,($N$4*4/10)))),0))*1000,0)</f>
        <v>0</v>
      </c>
      <c r="AR297" s="120">
        <f>IF(AND(V297="OK",ISNUMBER($N$5),$N$5&gt;0,ISNUMBER($N$3),$N$3&gt;0),R297/(6*$N$3*1000000*$N$5)*(IF(N297&lt;($N$4*5/10),($N$4*5/10)*(MIN(O297,($N$4*5/10))^3-N297^3)-(MIN(O297,($N$4*5/10))^4-N297^4)/4,0)+IF(O297&gt;($N$4*5/10),($N$4*5/10)^2*(1.5*(O297^2-MAX(N297,($N$4*5/10))^2)-($N$4*5/10)*(O297-MAX(N297,($N$4*5/10)))),0))*1000,0)</f>
        <v>0</v>
      </c>
      <c r="AS297" s="120">
        <f>IF(AND(V297="OK",ISNUMBER($N$5),$N$5&gt;0,ISNUMBER($N$3),$N$3&gt;0),R297/(6*$N$3*1000000*$N$5)*(IF(N297&lt;($N$4*6/10),($N$4*6/10)*(MIN(O297,($N$4*6/10))^3-N297^3)-(MIN(O297,($N$4*6/10))^4-N297^4)/4,0)+IF(O297&gt;($N$4*6/10),($N$4*6/10)^2*(1.5*(O297^2-MAX(N297,($N$4*6/10))^2)-($N$4*6/10)*(O297-MAX(N297,($N$4*6/10)))),0))*1000,0)</f>
        <v>0</v>
      </c>
      <c r="AT297" s="120">
        <f>IF(AND(V297="OK",ISNUMBER($N$5),$N$5&gt;0,ISNUMBER($N$3),$N$3&gt;0),R297/(6*$N$3*1000000*$N$5)*(IF(N297&lt;($N$4*7/10),($N$4*7/10)*(MIN(O297,($N$4*7/10))^3-N297^3)-(MIN(O297,($N$4*7/10))^4-N297^4)/4,0)+IF(O297&gt;($N$4*7/10),($N$4*7/10)^2*(1.5*(O297^2-MAX(N297,($N$4*7/10))^2)-($N$4*7/10)*(O297-MAX(N297,($N$4*7/10)))),0))*1000,0)</f>
        <v>0</v>
      </c>
      <c r="AU297" s="120">
        <f>IF(AND(V297="OK",ISNUMBER($N$5),$N$5&gt;0,ISNUMBER($N$3),$N$3&gt;0),R297/(6*$N$3*1000000*$N$5)*(IF(N297&lt;($N$4*8/10),($N$4*8/10)*(MIN(O297,($N$4*8/10))^3-N297^3)-(MIN(O297,($N$4*8/10))^4-N297^4)/4,0)+IF(O297&gt;($N$4*8/10),($N$4*8/10)^2*(1.5*(O297^2-MAX(N297,($N$4*8/10))^2)-($N$4*8/10)*(O297-MAX(N297,($N$4*8/10)))),0))*1000,0)</f>
        <v>0</v>
      </c>
      <c r="AV297" s="120">
        <f>IF(AND(V297="OK",ISNUMBER($N$5),$N$5&gt;0,ISNUMBER($N$3),$N$3&gt;0),R297/(6*$N$3*1000000*$N$5)*(IF(N297&lt;($N$4*9/10),($N$4*9/10)*(MIN(O297,($N$4*9/10))^3-N297^3)-(MIN(O297,($N$4*9/10))^4-N297^4)/4,0)+IF(O297&gt;($N$4*9/10),($N$4*9/10)^2*(1.5*(O297^2-MAX(N297,($N$4*9/10))^2)-($N$4*9/10)*(O297-MAX(N297,($N$4*9/10)))),0))*1000,0)</f>
        <v>0</v>
      </c>
      <c r="AW297" s="120">
        <f>IF(AND(V297="OK",ISNUMBER($N$5),$N$5&gt;0,ISNUMBER($N$3),$N$3&gt;0),R297/(6*$N$3*1000000*$N$5)*(IF(N297&lt;($N$4*10/10),($N$4*10/10)*(MIN(O297,($N$4*10/10))^3-N297^3)-(MIN(O297,($N$4*10/10))^4-N297^4)/4,0)+IF(O297&gt;($N$4*10/10),($N$4*10/10)^2*(1.5*(O297^2-MAX(N297,($N$4*10/10))^2)-($N$4*10/10)*(O297-MAX(N297,($N$4*10/10)))),0))*1000,0)</f>
        <v>0</v>
      </c>
    </row>
    <row r="298" spans="1:49">
      <c r="A298" s="124"/>
      <c r="B298" s="125"/>
      <c r="C298" s="125"/>
      <c r="D298" s="125"/>
      <c r="E298" s="125"/>
      <c r="F298" s="126" t="str">
        <f>IF(J298="OK",D298*E298,"")</f>
        <v/>
      </c>
      <c r="G298" s="126" t="str">
        <f>IF(J298="OK",F298*(C298-B298),"")</f>
        <v/>
      </c>
      <c r="H298" s="126" t="str">
        <f>IF(J298="OK",G298*(C298+B298)/2,"")</f>
        <v/>
      </c>
      <c r="I298" s="126" t="str">
        <f>IF(AND(J298="OK",ISNUMBER($B$5),$B$5&gt;0,ISNUMBER($B$3),$B$3&gt;0),F298*(4*$B$4*(C298^3-B298^3)-(C298^4-B298^4))/(24*$B$3*1000000*$B$5)*1000,"")</f>
        <v/>
      </c>
      <c r="J298" s="120" t="str">
        <f>IF(COUNTA(A298:E298)=0,"",IF(AND(COUNT(B298:E298)=4,B298&gt;=0,C298&gt;B298,C298&lt;=$B$4,D298&gt;=0,E298&gt;0),IF(COUNTIFS($B$13:$B$297,"&lt;"&amp;C298,$C$13:$C$297,"&gt;"&amp;B298)&gt;0,"OVERLAP","OK"),"CHECK INPUTS"))</f>
        <v/>
      </c>
      <c r="M298" s="124"/>
      <c r="N298" s="125"/>
      <c r="O298" s="125"/>
      <c r="P298" s="125"/>
      <c r="Q298" s="125"/>
      <c r="R298" s="126" t="str">
        <f>IF(V298="OK",P298*Q298,"")</f>
        <v/>
      </c>
      <c r="S298" s="126" t="str">
        <f>IF(V298="OK",R298*(O298-N298),"")</f>
        <v/>
      </c>
      <c r="T298" s="126" t="str">
        <f>IF(V298="OK",S298*(O298+N298)/2,"")</f>
        <v/>
      </c>
      <c r="U298" s="126" t="str">
        <f>IF(AND(V298="OK",ISNUMBER($N$5),$N$5&gt;0,ISNUMBER($N$3),$N$3&gt;0),R298*(4*$N$4*(O298^3-N298^3)-(O298^4-N298^4))/(24*$N$3*1000000*$N$5)*1000,"")</f>
        <v/>
      </c>
      <c r="V298" s="120" t="str">
        <f>IF(COUNTA(M298:Q298)=0,"",IF(AND(COUNT(N298:Q298)=4,N298&gt;=0,O298&gt;N298,O298&lt;=$N$4,P298&gt;=0,Q298&gt;0),IF(COUNTIFS($N$13:$N$297,"&lt;"&amp;O298,$O$13:$O$297,"&gt;"&amp;N298)&gt;0,"OVERLAP","OK"),"CHECK INPUTS"))</f>
        <v/>
      </c>
      <c r="AA298" s="120">
        <f>IF(AND(J298="OK",ISNUMBER($B$5),$B$5&gt;0,ISNUMBER($B$3),$B$3&gt;0),F298/(6*$B$3*1000000*$B$5)*(IF(B298&lt;($B$4*0/10),($B$4*0/10)*(MIN(C298,($B$4*0/10))^3-B298^3)-(MIN(C298,($B$4*0/10))^4-B298^4)/4,0)+IF(C298&gt;($B$4*0/10),($B$4*0/10)^2*(1.5*(C298^2-MAX(B298,($B$4*0/10))^2)-($B$4*0/10)*(C298-MAX(B298,($B$4*0/10)))),0))*1000,0)</f>
        <v>0</v>
      </c>
      <c r="AB298" s="120">
        <f>IF(AND(J298="OK",ISNUMBER($B$5),$B$5&gt;0,ISNUMBER($B$3),$B$3&gt;0),F298/(6*$B$3*1000000*$B$5)*(IF(B298&lt;($B$4*1/10),($B$4*1/10)*(MIN(C298,($B$4*1/10))^3-B298^3)-(MIN(C298,($B$4*1/10))^4-B298^4)/4,0)+IF(C298&gt;($B$4*1/10),($B$4*1/10)^2*(1.5*(C298^2-MAX(B298,($B$4*1/10))^2)-($B$4*1/10)*(C298-MAX(B298,($B$4*1/10)))),0))*1000,0)</f>
        <v>0</v>
      </c>
      <c r="AC298" s="120">
        <f>IF(AND(J298="OK",ISNUMBER($B$5),$B$5&gt;0,ISNUMBER($B$3),$B$3&gt;0),F298/(6*$B$3*1000000*$B$5)*(IF(B298&lt;($B$4*2/10),($B$4*2/10)*(MIN(C298,($B$4*2/10))^3-B298^3)-(MIN(C298,($B$4*2/10))^4-B298^4)/4,0)+IF(C298&gt;($B$4*2/10),($B$4*2/10)^2*(1.5*(C298^2-MAX(B298,($B$4*2/10))^2)-($B$4*2/10)*(C298-MAX(B298,($B$4*2/10)))),0))*1000,0)</f>
        <v>0</v>
      </c>
      <c r="AD298" s="120">
        <f>IF(AND(J298="OK",ISNUMBER($B$5),$B$5&gt;0,ISNUMBER($B$3),$B$3&gt;0),F298/(6*$B$3*1000000*$B$5)*(IF(B298&lt;($B$4*3/10),($B$4*3/10)*(MIN(C298,($B$4*3/10))^3-B298^3)-(MIN(C298,($B$4*3/10))^4-B298^4)/4,0)+IF(C298&gt;($B$4*3/10),($B$4*3/10)^2*(1.5*(C298^2-MAX(B298,($B$4*3/10))^2)-($B$4*3/10)*(C298-MAX(B298,($B$4*3/10)))),0))*1000,0)</f>
        <v>0</v>
      </c>
      <c r="AE298" s="120">
        <f>IF(AND(J298="OK",ISNUMBER($B$5),$B$5&gt;0,ISNUMBER($B$3),$B$3&gt;0),F298/(6*$B$3*1000000*$B$5)*(IF(B298&lt;($B$4*4/10),($B$4*4/10)*(MIN(C298,($B$4*4/10))^3-B298^3)-(MIN(C298,($B$4*4/10))^4-B298^4)/4,0)+IF(C298&gt;($B$4*4/10),($B$4*4/10)^2*(1.5*(C298^2-MAX(B298,($B$4*4/10))^2)-($B$4*4/10)*(C298-MAX(B298,($B$4*4/10)))),0))*1000,0)</f>
        <v>0</v>
      </c>
      <c r="AF298" s="120">
        <f>IF(AND(J298="OK",ISNUMBER($B$5),$B$5&gt;0,ISNUMBER($B$3),$B$3&gt;0),F298/(6*$B$3*1000000*$B$5)*(IF(B298&lt;($B$4*5/10),($B$4*5/10)*(MIN(C298,($B$4*5/10))^3-B298^3)-(MIN(C298,($B$4*5/10))^4-B298^4)/4,0)+IF(C298&gt;($B$4*5/10),($B$4*5/10)^2*(1.5*(C298^2-MAX(B298,($B$4*5/10))^2)-($B$4*5/10)*(C298-MAX(B298,($B$4*5/10)))),0))*1000,0)</f>
        <v>0</v>
      </c>
      <c r="AG298" s="120">
        <f>IF(AND(J298="OK",ISNUMBER($B$5),$B$5&gt;0,ISNUMBER($B$3),$B$3&gt;0),F298/(6*$B$3*1000000*$B$5)*(IF(B298&lt;($B$4*6/10),($B$4*6/10)*(MIN(C298,($B$4*6/10))^3-B298^3)-(MIN(C298,($B$4*6/10))^4-B298^4)/4,0)+IF(C298&gt;($B$4*6/10),($B$4*6/10)^2*(1.5*(C298^2-MAX(B298,($B$4*6/10))^2)-($B$4*6/10)*(C298-MAX(B298,($B$4*6/10)))),0))*1000,0)</f>
        <v>0</v>
      </c>
      <c r="AH298" s="120">
        <f>IF(AND(J298="OK",ISNUMBER($B$5),$B$5&gt;0,ISNUMBER($B$3),$B$3&gt;0),F298/(6*$B$3*1000000*$B$5)*(IF(B298&lt;($B$4*7/10),($B$4*7/10)*(MIN(C298,($B$4*7/10))^3-B298^3)-(MIN(C298,($B$4*7/10))^4-B298^4)/4,0)+IF(C298&gt;($B$4*7/10),($B$4*7/10)^2*(1.5*(C298^2-MAX(B298,($B$4*7/10))^2)-($B$4*7/10)*(C298-MAX(B298,($B$4*7/10)))),0))*1000,0)</f>
        <v>0</v>
      </c>
      <c r="AI298" s="120">
        <f>IF(AND(J298="OK",ISNUMBER($B$5),$B$5&gt;0,ISNUMBER($B$3),$B$3&gt;0),F298/(6*$B$3*1000000*$B$5)*(IF(B298&lt;($B$4*8/10),($B$4*8/10)*(MIN(C298,($B$4*8/10))^3-B298^3)-(MIN(C298,($B$4*8/10))^4-B298^4)/4,0)+IF(C298&gt;($B$4*8/10),($B$4*8/10)^2*(1.5*(C298^2-MAX(B298,($B$4*8/10))^2)-($B$4*8/10)*(C298-MAX(B298,($B$4*8/10)))),0))*1000,0)</f>
        <v>0</v>
      </c>
      <c r="AJ298" s="120">
        <f>IF(AND(J298="OK",ISNUMBER($B$5),$B$5&gt;0,ISNUMBER($B$3),$B$3&gt;0),F298/(6*$B$3*1000000*$B$5)*(IF(B298&lt;($B$4*9/10),($B$4*9/10)*(MIN(C298,($B$4*9/10))^3-B298^3)-(MIN(C298,($B$4*9/10))^4-B298^4)/4,0)+IF(C298&gt;($B$4*9/10),($B$4*9/10)^2*(1.5*(C298^2-MAX(B298,($B$4*9/10))^2)-($B$4*9/10)*(C298-MAX(B298,($B$4*9/10)))),0))*1000,0)</f>
        <v>0</v>
      </c>
      <c r="AK298" s="120">
        <f>IF(AND(J298="OK",ISNUMBER($B$5),$B$5&gt;0,ISNUMBER($B$3),$B$3&gt;0),F298/(6*$B$3*1000000*$B$5)*(IF(B298&lt;($B$4*10/10),($B$4*10/10)*(MIN(C298,($B$4*10/10))^3-B298^3)-(MIN(C298,($B$4*10/10))^4-B298^4)/4,0)+IF(C298&gt;($B$4*10/10),($B$4*10/10)^2*(1.5*(C298^2-MAX(B298,($B$4*10/10))^2)-($B$4*10/10)*(C298-MAX(B298,($B$4*10/10)))),0))*1000,0)</f>
        <v>0</v>
      </c>
      <c r="AM298" s="120">
        <f>IF(AND(V298="OK",ISNUMBER($N$5),$N$5&gt;0,ISNUMBER($N$3),$N$3&gt;0),R298/(6*$N$3*1000000*$N$5)*(IF(N298&lt;($N$4*0/10),($N$4*0/10)*(MIN(O298,($N$4*0/10))^3-N298^3)-(MIN(O298,($N$4*0/10))^4-N298^4)/4,0)+IF(O298&gt;($N$4*0/10),($N$4*0/10)^2*(1.5*(O298^2-MAX(N298,($N$4*0/10))^2)-($N$4*0/10)*(O298-MAX(N298,($N$4*0/10)))),0))*1000,0)</f>
        <v>0</v>
      </c>
      <c r="AN298" s="120">
        <f>IF(AND(V298="OK",ISNUMBER($N$5),$N$5&gt;0,ISNUMBER($N$3),$N$3&gt;0),R298/(6*$N$3*1000000*$N$5)*(IF(N298&lt;($N$4*1/10),($N$4*1/10)*(MIN(O298,($N$4*1/10))^3-N298^3)-(MIN(O298,($N$4*1/10))^4-N298^4)/4,0)+IF(O298&gt;($N$4*1/10),($N$4*1/10)^2*(1.5*(O298^2-MAX(N298,($N$4*1/10))^2)-($N$4*1/10)*(O298-MAX(N298,($N$4*1/10)))),0))*1000,0)</f>
        <v>0</v>
      </c>
      <c r="AO298" s="120">
        <f>IF(AND(V298="OK",ISNUMBER($N$5),$N$5&gt;0,ISNUMBER($N$3),$N$3&gt;0),R298/(6*$N$3*1000000*$N$5)*(IF(N298&lt;($N$4*2/10),($N$4*2/10)*(MIN(O298,($N$4*2/10))^3-N298^3)-(MIN(O298,($N$4*2/10))^4-N298^4)/4,0)+IF(O298&gt;($N$4*2/10),($N$4*2/10)^2*(1.5*(O298^2-MAX(N298,($N$4*2/10))^2)-($N$4*2/10)*(O298-MAX(N298,($N$4*2/10)))),0))*1000,0)</f>
        <v>0</v>
      </c>
      <c r="AP298" s="120">
        <f>IF(AND(V298="OK",ISNUMBER($N$5),$N$5&gt;0,ISNUMBER($N$3),$N$3&gt;0),R298/(6*$N$3*1000000*$N$5)*(IF(N298&lt;($N$4*3/10),($N$4*3/10)*(MIN(O298,($N$4*3/10))^3-N298^3)-(MIN(O298,($N$4*3/10))^4-N298^4)/4,0)+IF(O298&gt;($N$4*3/10),($N$4*3/10)^2*(1.5*(O298^2-MAX(N298,($N$4*3/10))^2)-($N$4*3/10)*(O298-MAX(N298,($N$4*3/10)))),0))*1000,0)</f>
        <v>0</v>
      </c>
      <c r="AQ298" s="120">
        <f>IF(AND(V298="OK",ISNUMBER($N$5),$N$5&gt;0,ISNUMBER($N$3),$N$3&gt;0),R298/(6*$N$3*1000000*$N$5)*(IF(N298&lt;($N$4*4/10),($N$4*4/10)*(MIN(O298,($N$4*4/10))^3-N298^3)-(MIN(O298,($N$4*4/10))^4-N298^4)/4,0)+IF(O298&gt;($N$4*4/10),($N$4*4/10)^2*(1.5*(O298^2-MAX(N298,($N$4*4/10))^2)-($N$4*4/10)*(O298-MAX(N298,($N$4*4/10)))),0))*1000,0)</f>
        <v>0</v>
      </c>
      <c r="AR298" s="120">
        <f>IF(AND(V298="OK",ISNUMBER($N$5),$N$5&gt;0,ISNUMBER($N$3),$N$3&gt;0),R298/(6*$N$3*1000000*$N$5)*(IF(N298&lt;($N$4*5/10),($N$4*5/10)*(MIN(O298,($N$4*5/10))^3-N298^3)-(MIN(O298,($N$4*5/10))^4-N298^4)/4,0)+IF(O298&gt;($N$4*5/10),($N$4*5/10)^2*(1.5*(O298^2-MAX(N298,($N$4*5/10))^2)-($N$4*5/10)*(O298-MAX(N298,($N$4*5/10)))),0))*1000,0)</f>
        <v>0</v>
      </c>
      <c r="AS298" s="120">
        <f>IF(AND(V298="OK",ISNUMBER($N$5),$N$5&gt;0,ISNUMBER($N$3),$N$3&gt;0),R298/(6*$N$3*1000000*$N$5)*(IF(N298&lt;($N$4*6/10),($N$4*6/10)*(MIN(O298,($N$4*6/10))^3-N298^3)-(MIN(O298,($N$4*6/10))^4-N298^4)/4,0)+IF(O298&gt;($N$4*6/10),($N$4*6/10)^2*(1.5*(O298^2-MAX(N298,($N$4*6/10))^2)-($N$4*6/10)*(O298-MAX(N298,($N$4*6/10)))),0))*1000,0)</f>
        <v>0</v>
      </c>
      <c r="AT298" s="120">
        <f>IF(AND(V298="OK",ISNUMBER($N$5),$N$5&gt;0,ISNUMBER($N$3),$N$3&gt;0),R298/(6*$N$3*1000000*$N$5)*(IF(N298&lt;($N$4*7/10),($N$4*7/10)*(MIN(O298,($N$4*7/10))^3-N298^3)-(MIN(O298,($N$4*7/10))^4-N298^4)/4,0)+IF(O298&gt;($N$4*7/10),($N$4*7/10)^2*(1.5*(O298^2-MAX(N298,($N$4*7/10))^2)-($N$4*7/10)*(O298-MAX(N298,($N$4*7/10)))),0))*1000,0)</f>
        <v>0</v>
      </c>
      <c r="AU298" s="120">
        <f>IF(AND(V298="OK",ISNUMBER($N$5),$N$5&gt;0,ISNUMBER($N$3),$N$3&gt;0),R298/(6*$N$3*1000000*$N$5)*(IF(N298&lt;($N$4*8/10),($N$4*8/10)*(MIN(O298,($N$4*8/10))^3-N298^3)-(MIN(O298,($N$4*8/10))^4-N298^4)/4,0)+IF(O298&gt;($N$4*8/10),($N$4*8/10)^2*(1.5*(O298^2-MAX(N298,($N$4*8/10))^2)-($N$4*8/10)*(O298-MAX(N298,($N$4*8/10)))),0))*1000,0)</f>
        <v>0</v>
      </c>
      <c r="AV298" s="120">
        <f>IF(AND(V298="OK",ISNUMBER($N$5),$N$5&gt;0,ISNUMBER($N$3),$N$3&gt;0),R298/(6*$N$3*1000000*$N$5)*(IF(N298&lt;($N$4*9/10),($N$4*9/10)*(MIN(O298,($N$4*9/10))^3-N298^3)-(MIN(O298,($N$4*9/10))^4-N298^4)/4,0)+IF(O298&gt;($N$4*9/10),($N$4*9/10)^2*(1.5*(O298^2-MAX(N298,($N$4*9/10))^2)-($N$4*9/10)*(O298-MAX(N298,($N$4*9/10)))),0))*1000,0)</f>
        <v>0</v>
      </c>
      <c r="AW298" s="120">
        <f>IF(AND(V298="OK",ISNUMBER($N$5),$N$5&gt;0,ISNUMBER($N$3),$N$3&gt;0),R298/(6*$N$3*1000000*$N$5)*(IF(N298&lt;($N$4*10/10),($N$4*10/10)*(MIN(O298,($N$4*10/10))^3-N298^3)-(MIN(O298,($N$4*10/10))^4-N298^4)/4,0)+IF(O298&gt;($N$4*10/10),($N$4*10/10)^2*(1.5*(O298^2-MAX(N298,($N$4*10/10))^2)-($N$4*10/10)*(O298-MAX(N298,($N$4*10/10)))),0))*1000,0)</f>
        <v>0</v>
      </c>
    </row>
    <row r="299" spans="1:49">
      <c r="A299" s="124"/>
      <c r="B299" s="125"/>
      <c r="C299" s="125"/>
      <c r="D299" s="125"/>
      <c r="E299" s="125"/>
      <c r="F299" s="126" t="str">
        <f>IF(J299="OK",D299*E299,"")</f>
        <v/>
      </c>
      <c r="G299" s="126" t="str">
        <f>IF(J299="OK",F299*(C299-B299),"")</f>
        <v/>
      </c>
      <c r="H299" s="126" t="str">
        <f>IF(J299="OK",G299*(C299+B299)/2,"")</f>
        <v/>
      </c>
      <c r="I299" s="126" t="str">
        <f>IF(AND(J299="OK",ISNUMBER($B$5),$B$5&gt;0,ISNUMBER($B$3),$B$3&gt;0),F299*(4*$B$4*(C299^3-B299^3)-(C299^4-B299^4))/(24*$B$3*1000000*$B$5)*1000,"")</f>
        <v/>
      </c>
      <c r="J299" s="120" t="str">
        <f>IF(COUNTA(A299:E299)=0,"",IF(AND(COUNT(B299:E299)=4,B299&gt;=0,C299&gt;B299,C299&lt;=$B$4,D299&gt;=0,E299&gt;0),IF(COUNTIFS($B$13:$B$298,"&lt;"&amp;C299,$C$13:$C$298,"&gt;"&amp;B299)&gt;0,"OVERLAP","OK"),"CHECK INPUTS"))</f>
        <v/>
      </c>
      <c r="M299" s="124"/>
      <c r="N299" s="125"/>
      <c r="O299" s="125"/>
      <c r="P299" s="125"/>
      <c r="Q299" s="125"/>
      <c r="R299" s="126" t="str">
        <f>IF(V299="OK",P299*Q299,"")</f>
        <v/>
      </c>
      <c r="S299" s="126" t="str">
        <f>IF(V299="OK",R299*(O299-N299),"")</f>
        <v/>
      </c>
      <c r="T299" s="126" t="str">
        <f>IF(V299="OK",S299*(O299+N299)/2,"")</f>
        <v/>
      </c>
      <c r="U299" s="126" t="str">
        <f>IF(AND(V299="OK",ISNUMBER($N$5),$N$5&gt;0,ISNUMBER($N$3),$N$3&gt;0),R299*(4*$N$4*(O299^3-N299^3)-(O299^4-N299^4))/(24*$N$3*1000000*$N$5)*1000,"")</f>
        <v/>
      </c>
      <c r="V299" s="120" t="str">
        <f>IF(COUNTA(M299:Q299)=0,"",IF(AND(COUNT(N299:Q299)=4,N299&gt;=0,O299&gt;N299,O299&lt;=$N$4,P299&gt;=0,Q299&gt;0),IF(COUNTIFS($N$13:$N$298,"&lt;"&amp;O299,$O$13:$O$298,"&gt;"&amp;N299)&gt;0,"OVERLAP","OK"),"CHECK INPUTS"))</f>
        <v/>
      </c>
      <c r="AA299" s="120">
        <f>IF(AND(J299="OK",ISNUMBER($B$5),$B$5&gt;0,ISNUMBER($B$3),$B$3&gt;0),F299/(6*$B$3*1000000*$B$5)*(IF(B299&lt;($B$4*0/10),($B$4*0/10)*(MIN(C299,($B$4*0/10))^3-B299^3)-(MIN(C299,($B$4*0/10))^4-B299^4)/4,0)+IF(C299&gt;($B$4*0/10),($B$4*0/10)^2*(1.5*(C299^2-MAX(B299,($B$4*0/10))^2)-($B$4*0/10)*(C299-MAX(B299,($B$4*0/10)))),0))*1000,0)</f>
        <v>0</v>
      </c>
      <c r="AB299" s="120">
        <f>IF(AND(J299="OK",ISNUMBER($B$5),$B$5&gt;0,ISNUMBER($B$3),$B$3&gt;0),F299/(6*$B$3*1000000*$B$5)*(IF(B299&lt;($B$4*1/10),($B$4*1/10)*(MIN(C299,($B$4*1/10))^3-B299^3)-(MIN(C299,($B$4*1/10))^4-B299^4)/4,0)+IF(C299&gt;($B$4*1/10),($B$4*1/10)^2*(1.5*(C299^2-MAX(B299,($B$4*1/10))^2)-($B$4*1/10)*(C299-MAX(B299,($B$4*1/10)))),0))*1000,0)</f>
        <v>0</v>
      </c>
      <c r="AC299" s="120">
        <f>IF(AND(J299="OK",ISNUMBER($B$5),$B$5&gt;0,ISNUMBER($B$3),$B$3&gt;0),F299/(6*$B$3*1000000*$B$5)*(IF(B299&lt;($B$4*2/10),($B$4*2/10)*(MIN(C299,($B$4*2/10))^3-B299^3)-(MIN(C299,($B$4*2/10))^4-B299^4)/4,0)+IF(C299&gt;($B$4*2/10),($B$4*2/10)^2*(1.5*(C299^2-MAX(B299,($B$4*2/10))^2)-($B$4*2/10)*(C299-MAX(B299,($B$4*2/10)))),0))*1000,0)</f>
        <v>0</v>
      </c>
      <c r="AD299" s="120">
        <f>IF(AND(J299="OK",ISNUMBER($B$5),$B$5&gt;0,ISNUMBER($B$3),$B$3&gt;0),F299/(6*$B$3*1000000*$B$5)*(IF(B299&lt;($B$4*3/10),($B$4*3/10)*(MIN(C299,($B$4*3/10))^3-B299^3)-(MIN(C299,($B$4*3/10))^4-B299^4)/4,0)+IF(C299&gt;($B$4*3/10),($B$4*3/10)^2*(1.5*(C299^2-MAX(B299,($B$4*3/10))^2)-($B$4*3/10)*(C299-MAX(B299,($B$4*3/10)))),0))*1000,0)</f>
        <v>0</v>
      </c>
      <c r="AE299" s="120">
        <f>IF(AND(J299="OK",ISNUMBER($B$5),$B$5&gt;0,ISNUMBER($B$3),$B$3&gt;0),F299/(6*$B$3*1000000*$B$5)*(IF(B299&lt;($B$4*4/10),($B$4*4/10)*(MIN(C299,($B$4*4/10))^3-B299^3)-(MIN(C299,($B$4*4/10))^4-B299^4)/4,0)+IF(C299&gt;($B$4*4/10),($B$4*4/10)^2*(1.5*(C299^2-MAX(B299,($B$4*4/10))^2)-($B$4*4/10)*(C299-MAX(B299,($B$4*4/10)))),0))*1000,0)</f>
        <v>0</v>
      </c>
      <c r="AF299" s="120">
        <f>IF(AND(J299="OK",ISNUMBER($B$5),$B$5&gt;0,ISNUMBER($B$3),$B$3&gt;0),F299/(6*$B$3*1000000*$B$5)*(IF(B299&lt;($B$4*5/10),($B$4*5/10)*(MIN(C299,($B$4*5/10))^3-B299^3)-(MIN(C299,($B$4*5/10))^4-B299^4)/4,0)+IF(C299&gt;($B$4*5/10),($B$4*5/10)^2*(1.5*(C299^2-MAX(B299,($B$4*5/10))^2)-($B$4*5/10)*(C299-MAX(B299,($B$4*5/10)))),0))*1000,0)</f>
        <v>0</v>
      </c>
      <c r="AG299" s="120">
        <f>IF(AND(J299="OK",ISNUMBER($B$5),$B$5&gt;0,ISNUMBER($B$3),$B$3&gt;0),F299/(6*$B$3*1000000*$B$5)*(IF(B299&lt;($B$4*6/10),($B$4*6/10)*(MIN(C299,($B$4*6/10))^3-B299^3)-(MIN(C299,($B$4*6/10))^4-B299^4)/4,0)+IF(C299&gt;($B$4*6/10),($B$4*6/10)^2*(1.5*(C299^2-MAX(B299,($B$4*6/10))^2)-($B$4*6/10)*(C299-MAX(B299,($B$4*6/10)))),0))*1000,0)</f>
        <v>0</v>
      </c>
      <c r="AH299" s="120">
        <f>IF(AND(J299="OK",ISNUMBER($B$5),$B$5&gt;0,ISNUMBER($B$3),$B$3&gt;0),F299/(6*$B$3*1000000*$B$5)*(IF(B299&lt;($B$4*7/10),($B$4*7/10)*(MIN(C299,($B$4*7/10))^3-B299^3)-(MIN(C299,($B$4*7/10))^4-B299^4)/4,0)+IF(C299&gt;($B$4*7/10),($B$4*7/10)^2*(1.5*(C299^2-MAX(B299,($B$4*7/10))^2)-($B$4*7/10)*(C299-MAX(B299,($B$4*7/10)))),0))*1000,0)</f>
        <v>0</v>
      </c>
      <c r="AI299" s="120">
        <f>IF(AND(J299="OK",ISNUMBER($B$5),$B$5&gt;0,ISNUMBER($B$3),$B$3&gt;0),F299/(6*$B$3*1000000*$B$5)*(IF(B299&lt;($B$4*8/10),($B$4*8/10)*(MIN(C299,($B$4*8/10))^3-B299^3)-(MIN(C299,($B$4*8/10))^4-B299^4)/4,0)+IF(C299&gt;($B$4*8/10),($B$4*8/10)^2*(1.5*(C299^2-MAX(B299,($B$4*8/10))^2)-($B$4*8/10)*(C299-MAX(B299,($B$4*8/10)))),0))*1000,0)</f>
        <v>0</v>
      </c>
      <c r="AJ299" s="120">
        <f>IF(AND(J299="OK",ISNUMBER($B$5),$B$5&gt;0,ISNUMBER($B$3),$B$3&gt;0),F299/(6*$B$3*1000000*$B$5)*(IF(B299&lt;($B$4*9/10),($B$4*9/10)*(MIN(C299,($B$4*9/10))^3-B299^3)-(MIN(C299,($B$4*9/10))^4-B299^4)/4,0)+IF(C299&gt;($B$4*9/10),($B$4*9/10)^2*(1.5*(C299^2-MAX(B299,($B$4*9/10))^2)-($B$4*9/10)*(C299-MAX(B299,($B$4*9/10)))),0))*1000,0)</f>
        <v>0</v>
      </c>
      <c r="AK299" s="120">
        <f>IF(AND(J299="OK",ISNUMBER($B$5),$B$5&gt;0,ISNUMBER($B$3),$B$3&gt;0),F299/(6*$B$3*1000000*$B$5)*(IF(B299&lt;($B$4*10/10),($B$4*10/10)*(MIN(C299,($B$4*10/10))^3-B299^3)-(MIN(C299,($B$4*10/10))^4-B299^4)/4,0)+IF(C299&gt;($B$4*10/10),($B$4*10/10)^2*(1.5*(C299^2-MAX(B299,($B$4*10/10))^2)-($B$4*10/10)*(C299-MAX(B299,($B$4*10/10)))),0))*1000,0)</f>
        <v>0</v>
      </c>
      <c r="AM299" s="120">
        <f>IF(AND(V299="OK",ISNUMBER($N$5),$N$5&gt;0,ISNUMBER($N$3),$N$3&gt;0),R299/(6*$N$3*1000000*$N$5)*(IF(N299&lt;($N$4*0/10),($N$4*0/10)*(MIN(O299,($N$4*0/10))^3-N299^3)-(MIN(O299,($N$4*0/10))^4-N299^4)/4,0)+IF(O299&gt;($N$4*0/10),($N$4*0/10)^2*(1.5*(O299^2-MAX(N299,($N$4*0/10))^2)-($N$4*0/10)*(O299-MAX(N299,($N$4*0/10)))),0))*1000,0)</f>
        <v>0</v>
      </c>
      <c r="AN299" s="120">
        <f>IF(AND(V299="OK",ISNUMBER($N$5),$N$5&gt;0,ISNUMBER($N$3),$N$3&gt;0),R299/(6*$N$3*1000000*$N$5)*(IF(N299&lt;($N$4*1/10),($N$4*1/10)*(MIN(O299,($N$4*1/10))^3-N299^3)-(MIN(O299,($N$4*1/10))^4-N299^4)/4,0)+IF(O299&gt;($N$4*1/10),($N$4*1/10)^2*(1.5*(O299^2-MAX(N299,($N$4*1/10))^2)-($N$4*1/10)*(O299-MAX(N299,($N$4*1/10)))),0))*1000,0)</f>
        <v>0</v>
      </c>
      <c r="AO299" s="120">
        <f>IF(AND(V299="OK",ISNUMBER($N$5),$N$5&gt;0,ISNUMBER($N$3),$N$3&gt;0),R299/(6*$N$3*1000000*$N$5)*(IF(N299&lt;($N$4*2/10),($N$4*2/10)*(MIN(O299,($N$4*2/10))^3-N299^3)-(MIN(O299,($N$4*2/10))^4-N299^4)/4,0)+IF(O299&gt;($N$4*2/10),($N$4*2/10)^2*(1.5*(O299^2-MAX(N299,($N$4*2/10))^2)-($N$4*2/10)*(O299-MAX(N299,($N$4*2/10)))),0))*1000,0)</f>
        <v>0</v>
      </c>
      <c r="AP299" s="120">
        <f>IF(AND(V299="OK",ISNUMBER($N$5),$N$5&gt;0,ISNUMBER($N$3),$N$3&gt;0),R299/(6*$N$3*1000000*$N$5)*(IF(N299&lt;($N$4*3/10),($N$4*3/10)*(MIN(O299,($N$4*3/10))^3-N299^3)-(MIN(O299,($N$4*3/10))^4-N299^4)/4,0)+IF(O299&gt;($N$4*3/10),($N$4*3/10)^2*(1.5*(O299^2-MAX(N299,($N$4*3/10))^2)-($N$4*3/10)*(O299-MAX(N299,($N$4*3/10)))),0))*1000,0)</f>
        <v>0</v>
      </c>
      <c r="AQ299" s="120">
        <f>IF(AND(V299="OK",ISNUMBER($N$5),$N$5&gt;0,ISNUMBER($N$3),$N$3&gt;0),R299/(6*$N$3*1000000*$N$5)*(IF(N299&lt;($N$4*4/10),($N$4*4/10)*(MIN(O299,($N$4*4/10))^3-N299^3)-(MIN(O299,($N$4*4/10))^4-N299^4)/4,0)+IF(O299&gt;($N$4*4/10),($N$4*4/10)^2*(1.5*(O299^2-MAX(N299,($N$4*4/10))^2)-($N$4*4/10)*(O299-MAX(N299,($N$4*4/10)))),0))*1000,0)</f>
        <v>0</v>
      </c>
      <c r="AR299" s="120">
        <f>IF(AND(V299="OK",ISNUMBER($N$5),$N$5&gt;0,ISNUMBER($N$3),$N$3&gt;0),R299/(6*$N$3*1000000*$N$5)*(IF(N299&lt;($N$4*5/10),($N$4*5/10)*(MIN(O299,($N$4*5/10))^3-N299^3)-(MIN(O299,($N$4*5/10))^4-N299^4)/4,0)+IF(O299&gt;($N$4*5/10),($N$4*5/10)^2*(1.5*(O299^2-MAX(N299,($N$4*5/10))^2)-($N$4*5/10)*(O299-MAX(N299,($N$4*5/10)))),0))*1000,0)</f>
        <v>0</v>
      </c>
      <c r="AS299" s="120">
        <f>IF(AND(V299="OK",ISNUMBER($N$5),$N$5&gt;0,ISNUMBER($N$3),$N$3&gt;0),R299/(6*$N$3*1000000*$N$5)*(IF(N299&lt;($N$4*6/10),($N$4*6/10)*(MIN(O299,($N$4*6/10))^3-N299^3)-(MIN(O299,($N$4*6/10))^4-N299^4)/4,0)+IF(O299&gt;($N$4*6/10),($N$4*6/10)^2*(1.5*(O299^2-MAX(N299,($N$4*6/10))^2)-($N$4*6/10)*(O299-MAX(N299,($N$4*6/10)))),0))*1000,0)</f>
        <v>0</v>
      </c>
      <c r="AT299" s="120">
        <f>IF(AND(V299="OK",ISNUMBER($N$5),$N$5&gt;0,ISNUMBER($N$3),$N$3&gt;0),R299/(6*$N$3*1000000*$N$5)*(IF(N299&lt;($N$4*7/10),($N$4*7/10)*(MIN(O299,($N$4*7/10))^3-N299^3)-(MIN(O299,($N$4*7/10))^4-N299^4)/4,0)+IF(O299&gt;($N$4*7/10),($N$4*7/10)^2*(1.5*(O299^2-MAX(N299,($N$4*7/10))^2)-($N$4*7/10)*(O299-MAX(N299,($N$4*7/10)))),0))*1000,0)</f>
        <v>0</v>
      </c>
      <c r="AU299" s="120">
        <f>IF(AND(V299="OK",ISNUMBER($N$5),$N$5&gt;0,ISNUMBER($N$3),$N$3&gt;0),R299/(6*$N$3*1000000*$N$5)*(IF(N299&lt;($N$4*8/10),($N$4*8/10)*(MIN(O299,($N$4*8/10))^3-N299^3)-(MIN(O299,($N$4*8/10))^4-N299^4)/4,0)+IF(O299&gt;($N$4*8/10),($N$4*8/10)^2*(1.5*(O299^2-MAX(N299,($N$4*8/10))^2)-($N$4*8/10)*(O299-MAX(N299,($N$4*8/10)))),0))*1000,0)</f>
        <v>0</v>
      </c>
      <c r="AV299" s="120">
        <f>IF(AND(V299="OK",ISNUMBER($N$5),$N$5&gt;0,ISNUMBER($N$3),$N$3&gt;0),R299/(6*$N$3*1000000*$N$5)*(IF(N299&lt;($N$4*9/10),($N$4*9/10)*(MIN(O299,($N$4*9/10))^3-N299^3)-(MIN(O299,($N$4*9/10))^4-N299^4)/4,0)+IF(O299&gt;($N$4*9/10),($N$4*9/10)^2*(1.5*(O299^2-MAX(N299,($N$4*9/10))^2)-($N$4*9/10)*(O299-MAX(N299,($N$4*9/10)))),0))*1000,0)</f>
        <v>0</v>
      </c>
      <c r="AW299" s="120">
        <f>IF(AND(V299="OK",ISNUMBER($N$5),$N$5&gt;0,ISNUMBER($N$3),$N$3&gt;0),R299/(6*$N$3*1000000*$N$5)*(IF(N299&lt;($N$4*10/10),($N$4*10/10)*(MIN(O299,($N$4*10/10))^3-N299^3)-(MIN(O299,($N$4*10/10))^4-N299^4)/4,0)+IF(O299&gt;($N$4*10/10),($N$4*10/10)^2*(1.5*(O299^2-MAX(N299,($N$4*10/10))^2)-($N$4*10/10)*(O299-MAX(N299,($N$4*10/10)))),0))*1000,0)</f>
        <v>0</v>
      </c>
    </row>
    <row r="300" spans="1:49">
      <c r="A300" s="124"/>
      <c r="B300" s="125"/>
      <c r="C300" s="125"/>
      <c r="D300" s="125"/>
      <c r="E300" s="125"/>
      <c r="F300" s="126" t="str">
        <f>IF(J300="OK",D300*E300,"")</f>
        <v/>
      </c>
      <c r="G300" s="126" t="str">
        <f>IF(J300="OK",F300*(C300-B300),"")</f>
        <v/>
      </c>
      <c r="H300" s="126" t="str">
        <f>IF(J300="OK",G300*(C300+B300)/2,"")</f>
        <v/>
      </c>
      <c r="I300" s="126" t="str">
        <f>IF(AND(J300="OK",ISNUMBER($B$5),$B$5&gt;0,ISNUMBER($B$3),$B$3&gt;0),F300*(4*$B$4*(C300^3-B300^3)-(C300^4-B300^4))/(24*$B$3*1000000*$B$5)*1000,"")</f>
        <v/>
      </c>
      <c r="J300" s="120" t="str">
        <f>IF(COUNTA(A300:E300)=0,"",IF(AND(COUNT(B300:E300)=4,B300&gt;=0,C300&gt;B300,C300&lt;=$B$4,D300&gt;=0,E300&gt;0),IF(COUNTIFS($B$13:$B$299,"&lt;"&amp;C300,$C$13:$C$299,"&gt;"&amp;B300)&gt;0,"OVERLAP","OK"),"CHECK INPUTS"))</f>
        <v/>
      </c>
      <c r="M300" s="124"/>
      <c r="N300" s="125"/>
      <c r="O300" s="125"/>
      <c r="P300" s="125"/>
      <c r="Q300" s="125"/>
      <c r="R300" s="126" t="str">
        <f>IF(V300="OK",P300*Q300,"")</f>
        <v/>
      </c>
      <c r="S300" s="126" t="str">
        <f>IF(V300="OK",R300*(O300-N300),"")</f>
        <v/>
      </c>
      <c r="T300" s="126" t="str">
        <f>IF(V300="OK",S300*(O300+N300)/2,"")</f>
        <v/>
      </c>
      <c r="U300" s="126" t="str">
        <f>IF(AND(V300="OK",ISNUMBER($N$5),$N$5&gt;0,ISNUMBER($N$3),$N$3&gt;0),R300*(4*$N$4*(O300^3-N300^3)-(O300^4-N300^4))/(24*$N$3*1000000*$N$5)*1000,"")</f>
        <v/>
      </c>
      <c r="V300" s="120" t="str">
        <f>IF(COUNTA(M300:Q300)=0,"",IF(AND(COUNT(N300:Q300)=4,N300&gt;=0,O300&gt;N300,O300&lt;=$N$4,P300&gt;=0,Q300&gt;0),IF(COUNTIFS($N$13:$N$299,"&lt;"&amp;O300,$O$13:$O$299,"&gt;"&amp;N300)&gt;0,"OVERLAP","OK"),"CHECK INPUTS"))</f>
        <v/>
      </c>
      <c r="AA300" s="120">
        <f>IF(AND(J300="OK",ISNUMBER($B$5),$B$5&gt;0,ISNUMBER($B$3),$B$3&gt;0),F300/(6*$B$3*1000000*$B$5)*(IF(B300&lt;($B$4*0/10),($B$4*0/10)*(MIN(C300,($B$4*0/10))^3-B300^3)-(MIN(C300,($B$4*0/10))^4-B300^4)/4,0)+IF(C300&gt;($B$4*0/10),($B$4*0/10)^2*(1.5*(C300^2-MAX(B300,($B$4*0/10))^2)-($B$4*0/10)*(C300-MAX(B300,($B$4*0/10)))),0))*1000,0)</f>
        <v>0</v>
      </c>
      <c r="AB300" s="120">
        <f>IF(AND(J300="OK",ISNUMBER($B$5),$B$5&gt;0,ISNUMBER($B$3),$B$3&gt;0),F300/(6*$B$3*1000000*$B$5)*(IF(B300&lt;($B$4*1/10),($B$4*1/10)*(MIN(C300,($B$4*1/10))^3-B300^3)-(MIN(C300,($B$4*1/10))^4-B300^4)/4,0)+IF(C300&gt;($B$4*1/10),($B$4*1/10)^2*(1.5*(C300^2-MAX(B300,($B$4*1/10))^2)-($B$4*1/10)*(C300-MAX(B300,($B$4*1/10)))),0))*1000,0)</f>
        <v>0</v>
      </c>
      <c r="AC300" s="120">
        <f>IF(AND(J300="OK",ISNUMBER($B$5),$B$5&gt;0,ISNUMBER($B$3),$B$3&gt;0),F300/(6*$B$3*1000000*$B$5)*(IF(B300&lt;($B$4*2/10),($B$4*2/10)*(MIN(C300,($B$4*2/10))^3-B300^3)-(MIN(C300,($B$4*2/10))^4-B300^4)/4,0)+IF(C300&gt;($B$4*2/10),($B$4*2/10)^2*(1.5*(C300^2-MAX(B300,($B$4*2/10))^2)-($B$4*2/10)*(C300-MAX(B300,($B$4*2/10)))),0))*1000,0)</f>
        <v>0</v>
      </c>
      <c r="AD300" s="120">
        <f>IF(AND(J300="OK",ISNUMBER($B$5),$B$5&gt;0,ISNUMBER($B$3),$B$3&gt;0),F300/(6*$B$3*1000000*$B$5)*(IF(B300&lt;($B$4*3/10),($B$4*3/10)*(MIN(C300,($B$4*3/10))^3-B300^3)-(MIN(C300,($B$4*3/10))^4-B300^4)/4,0)+IF(C300&gt;($B$4*3/10),($B$4*3/10)^2*(1.5*(C300^2-MAX(B300,($B$4*3/10))^2)-($B$4*3/10)*(C300-MAX(B300,($B$4*3/10)))),0))*1000,0)</f>
        <v>0</v>
      </c>
      <c r="AE300" s="120">
        <f>IF(AND(J300="OK",ISNUMBER($B$5),$B$5&gt;0,ISNUMBER($B$3),$B$3&gt;0),F300/(6*$B$3*1000000*$B$5)*(IF(B300&lt;($B$4*4/10),($B$4*4/10)*(MIN(C300,($B$4*4/10))^3-B300^3)-(MIN(C300,($B$4*4/10))^4-B300^4)/4,0)+IF(C300&gt;($B$4*4/10),($B$4*4/10)^2*(1.5*(C300^2-MAX(B300,($B$4*4/10))^2)-($B$4*4/10)*(C300-MAX(B300,($B$4*4/10)))),0))*1000,0)</f>
        <v>0</v>
      </c>
      <c r="AF300" s="120">
        <f>IF(AND(J300="OK",ISNUMBER($B$5),$B$5&gt;0,ISNUMBER($B$3),$B$3&gt;0),F300/(6*$B$3*1000000*$B$5)*(IF(B300&lt;($B$4*5/10),($B$4*5/10)*(MIN(C300,($B$4*5/10))^3-B300^3)-(MIN(C300,($B$4*5/10))^4-B300^4)/4,0)+IF(C300&gt;($B$4*5/10),($B$4*5/10)^2*(1.5*(C300^2-MAX(B300,($B$4*5/10))^2)-($B$4*5/10)*(C300-MAX(B300,($B$4*5/10)))),0))*1000,0)</f>
        <v>0</v>
      </c>
      <c r="AG300" s="120">
        <f>IF(AND(J300="OK",ISNUMBER($B$5),$B$5&gt;0,ISNUMBER($B$3),$B$3&gt;0),F300/(6*$B$3*1000000*$B$5)*(IF(B300&lt;($B$4*6/10),($B$4*6/10)*(MIN(C300,($B$4*6/10))^3-B300^3)-(MIN(C300,($B$4*6/10))^4-B300^4)/4,0)+IF(C300&gt;($B$4*6/10),($B$4*6/10)^2*(1.5*(C300^2-MAX(B300,($B$4*6/10))^2)-($B$4*6/10)*(C300-MAX(B300,($B$4*6/10)))),0))*1000,0)</f>
        <v>0</v>
      </c>
      <c r="AH300" s="120">
        <f>IF(AND(J300="OK",ISNUMBER($B$5),$B$5&gt;0,ISNUMBER($B$3),$B$3&gt;0),F300/(6*$B$3*1000000*$B$5)*(IF(B300&lt;($B$4*7/10),($B$4*7/10)*(MIN(C300,($B$4*7/10))^3-B300^3)-(MIN(C300,($B$4*7/10))^4-B300^4)/4,0)+IF(C300&gt;($B$4*7/10),($B$4*7/10)^2*(1.5*(C300^2-MAX(B300,($B$4*7/10))^2)-($B$4*7/10)*(C300-MAX(B300,($B$4*7/10)))),0))*1000,0)</f>
        <v>0</v>
      </c>
      <c r="AI300" s="120">
        <f>IF(AND(J300="OK",ISNUMBER($B$5),$B$5&gt;0,ISNUMBER($B$3),$B$3&gt;0),F300/(6*$B$3*1000000*$B$5)*(IF(B300&lt;($B$4*8/10),($B$4*8/10)*(MIN(C300,($B$4*8/10))^3-B300^3)-(MIN(C300,($B$4*8/10))^4-B300^4)/4,0)+IF(C300&gt;($B$4*8/10),($B$4*8/10)^2*(1.5*(C300^2-MAX(B300,($B$4*8/10))^2)-($B$4*8/10)*(C300-MAX(B300,($B$4*8/10)))),0))*1000,0)</f>
        <v>0</v>
      </c>
      <c r="AJ300" s="120">
        <f>IF(AND(J300="OK",ISNUMBER($B$5),$B$5&gt;0,ISNUMBER($B$3),$B$3&gt;0),F300/(6*$B$3*1000000*$B$5)*(IF(B300&lt;($B$4*9/10),($B$4*9/10)*(MIN(C300,($B$4*9/10))^3-B300^3)-(MIN(C300,($B$4*9/10))^4-B300^4)/4,0)+IF(C300&gt;($B$4*9/10),($B$4*9/10)^2*(1.5*(C300^2-MAX(B300,($B$4*9/10))^2)-($B$4*9/10)*(C300-MAX(B300,($B$4*9/10)))),0))*1000,0)</f>
        <v>0</v>
      </c>
      <c r="AK300" s="120">
        <f>IF(AND(J300="OK",ISNUMBER($B$5),$B$5&gt;0,ISNUMBER($B$3),$B$3&gt;0),F300/(6*$B$3*1000000*$B$5)*(IF(B300&lt;($B$4*10/10),($B$4*10/10)*(MIN(C300,($B$4*10/10))^3-B300^3)-(MIN(C300,($B$4*10/10))^4-B300^4)/4,0)+IF(C300&gt;($B$4*10/10),($B$4*10/10)^2*(1.5*(C300^2-MAX(B300,($B$4*10/10))^2)-($B$4*10/10)*(C300-MAX(B300,($B$4*10/10)))),0))*1000,0)</f>
        <v>0</v>
      </c>
      <c r="AM300" s="120">
        <f>IF(AND(V300="OK",ISNUMBER($N$5),$N$5&gt;0,ISNUMBER($N$3),$N$3&gt;0),R300/(6*$N$3*1000000*$N$5)*(IF(N300&lt;($N$4*0/10),($N$4*0/10)*(MIN(O300,($N$4*0/10))^3-N300^3)-(MIN(O300,($N$4*0/10))^4-N300^4)/4,0)+IF(O300&gt;($N$4*0/10),($N$4*0/10)^2*(1.5*(O300^2-MAX(N300,($N$4*0/10))^2)-($N$4*0/10)*(O300-MAX(N300,($N$4*0/10)))),0))*1000,0)</f>
        <v>0</v>
      </c>
      <c r="AN300" s="120">
        <f>IF(AND(V300="OK",ISNUMBER($N$5),$N$5&gt;0,ISNUMBER($N$3),$N$3&gt;0),R300/(6*$N$3*1000000*$N$5)*(IF(N300&lt;($N$4*1/10),($N$4*1/10)*(MIN(O300,($N$4*1/10))^3-N300^3)-(MIN(O300,($N$4*1/10))^4-N300^4)/4,0)+IF(O300&gt;($N$4*1/10),($N$4*1/10)^2*(1.5*(O300^2-MAX(N300,($N$4*1/10))^2)-($N$4*1/10)*(O300-MAX(N300,($N$4*1/10)))),0))*1000,0)</f>
        <v>0</v>
      </c>
      <c r="AO300" s="120">
        <f>IF(AND(V300="OK",ISNUMBER($N$5),$N$5&gt;0,ISNUMBER($N$3),$N$3&gt;0),R300/(6*$N$3*1000000*$N$5)*(IF(N300&lt;($N$4*2/10),($N$4*2/10)*(MIN(O300,($N$4*2/10))^3-N300^3)-(MIN(O300,($N$4*2/10))^4-N300^4)/4,0)+IF(O300&gt;($N$4*2/10),($N$4*2/10)^2*(1.5*(O300^2-MAX(N300,($N$4*2/10))^2)-($N$4*2/10)*(O300-MAX(N300,($N$4*2/10)))),0))*1000,0)</f>
        <v>0</v>
      </c>
      <c r="AP300" s="120">
        <f>IF(AND(V300="OK",ISNUMBER($N$5),$N$5&gt;0,ISNUMBER($N$3),$N$3&gt;0),R300/(6*$N$3*1000000*$N$5)*(IF(N300&lt;($N$4*3/10),($N$4*3/10)*(MIN(O300,($N$4*3/10))^3-N300^3)-(MIN(O300,($N$4*3/10))^4-N300^4)/4,0)+IF(O300&gt;($N$4*3/10),($N$4*3/10)^2*(1.5*(O300^2-MAX(N300,($N$4*3/10))^2)-($N$4*3/10)*(O300-MAX(N300,($N$4*3/10)))),0))*1000,0)</f>
        <v>0</v>
      </c>
      <c r="AQ300" s="120">
        <f>IF(AND(V300="OK",ISNUMBER($N$5),$N$5&gt;0,ISNUMBER($N$3),$N$3&gt;0),R300/(6*$N$3*1000000*$N$5)*(IF(N300&lt;($N$4*4/10),($N$4*4/10)*(MIN(O300,($N$4*4/10))^3-N300^3)-(MIN(O300,($N$4*4/10))^4-N300^4)/4,0)+IF(O300&gt;($N$4*4/10),($N$4*4/10)^2*(1.5*(O300^2-MAX(N300,($N$4*4/10))^2)-($N$4*4/10)*(O300-MAX(N300,($N$4*4/10)))),0))*1000,0)</f>
        <v>0</v>
      </c>
      <c r="AR300" s="120">
        <f>IF(AND(V300="OK",ISNUMBER($N$5),$N$5&gt;0,ISNUMBER($N$3),$N$3&gt;0),R300/(6*$N$3*1000000*$N$5)*(IF(N300&lt;($N$4*5/10),($N$4*5/10)*(MIN(O300,($N$4*5/10))^3-N300^3)-(MIN(O300,($N$4*5/10))^4-N300^4)/4,0)+IF(O300&gt;($N$4*5/10),($N$4*5/10)^2*(1.5*(O300^2-MAX(N300,($N$4*5/10))^2)-($N$4*5/10)*(O300-MAX(N300,($N$4*5/10)))),0))*1000,0)</f>
        <v>0</v>
      </c>
      <c r="AS300" s="120">
        <f>IF(AND(V300="OK",ISNUMBER($N$5),$N$5&gt;0,ISNUMBER($N$3),$N$3&gt;0),R300/(6*$N$3*1000000*$N$5)*(IF(N300&lt;($N$4*6/10),($N$4*6/10)*(MIN(O300,($N$4*6/10))^3-N300^3)-(MIN(O300,($N$4*6/10))^4-N300^4)/4,0)+IF(O300&gt;($N$4*6/10),($N$4*6/10)^2*(1.5*(O300^2-MAX(N300,($N$4*6/10))^2)-($N$4*6/10)*(O300-MAX(N300,($N$4*6/10)))),0))*1000,0)</f>
        <v>0</v>
      </c>
      <c r="AT300" s="120">
        <f>IF(AND(V300="OK",ISNUMBER($N$5),$N$5&gt;0,ISNUMBER($N$3),$N$3&gt;0),R300/(6*$N$3*1000000*$N$5)*(IF(N300&lt;($N$4*7/10),($N$4*7/10)*(MIN(O300,($N$4*7/10))^3-N300^3)-(MIN(O300,($N$4*7/10))^4-N300^4)/4,0)+IF(O300&gt;($N$4*7/10),($N$4*7/10)^2*(1.5*(O300^2-MAX(N300,($N$4*7/10))^2)-($N$4*7/10)*(O300-MAX(N300,($N$4*7/10)))),0))*1000,0)</f>
        <v>0</v>
      </c>
      <c r="AU300" s="120">
        <f>IF(AND(V300="OK",ISNUMBER($N$5),$N$5&gt;0,ISNUMBER($N$3),$N$3&gt;0),R300/(6*$N$3*1000000*$N$5)*(IF(N300&lt;($N$4*8/10),($N$4*8/10)*(MIN(O300,($N$4*8/10))^3-N300^3)-(MIN(O300,($N$4*8/10))^4-N300^4)/4,0)+IF(O300&gt;($N$4*8/10),($N$4*8/10)^2*(1.5*(O300^2-MAX(N300,($N$4*8/10))^2)-($N$4*8/10)*(O300-MAX(N300,($N$4*8/10)))),0))*1000,0)</f>
        <v>0</v>
      </c>
      <c r="AV300" s="120">
        <f>IF(AND(V300="OK",ISNUMBER($N$5),$N$5&gt;0,ISNUMBER($N$3),$N$3&gt;0),R300/(6*$N$3*1000000*$N$5)*(IF(N300&lt;($N$4*9/10),($N$4*9/10)*(MIN(O300,($N$4*9/10))^3-N300^3)-(MIN(O300,($N$4*9/10))^4-N300^4)/4,0)+IF(O300&gt;($N$4*9/10),($N$4*9/10)^2*(1.5*(O300^2-MAX(N300,($N$4*9/10))^2)-($N$4*9/10)*(O300-MAX(N300,($N$4*9/10)))),0))*1000,0)</f>
        <v>0</v>
      </c>
      <c r="AW300" s="120">
        <f>IF(AND(V300="OK",ISNUMBER($N$5),$N$5&gt;0,ISNUMBER($N$3),$N$3&gt;0),R300/(6*$N$3*1000000*$N$5)*(IF(N300&lt;($N$4*10/10),($N$4*10/10)*(MIN(O300,($N$4*10/10))^3-N300^3)-(MIN(O300,($N$4*10/10))^4-N300^4)/4,0)+IF(O300&gt;($N$4*10/10),($N$4*10/10)^2*(1.5*(O300^2-MAX(N300,($N$4*10/10))^2)-($N$4*10/10)*(O300-MAX(N300,($N$4*10/10)))),0))*1000,0)</f>
        <v>0</v>
      </c>
    </row>
    <row r="301" spans="1:49">
      <c r="A301" s="124"/>
      <c r="B301" s="125"/>
      <c r="C301" s="125"/>
      <c r="D301" s="125"/>
      <c r="E301" s="125"/>
      <c r="F301" s="126" t="str">
        <f>IF(J301="OK",D301*E301,"")</f>
        <v/>
      </c>
      <c r="G301" s="126" t="str">
        <f>IF(J301="OK",F301*(C301-B301),"")</f>
        <v/>
      </c>
      <c r="H301" s="126" t="str">
        <f>IF(J301="OK",G301*(C301+B301)/2,"")</f>
        <v/>
      </c>
      <c r="I301" s="126" t="str">
        <f>IF(AND(J301="OK",ISNUMBER($B$5),$B$5&gt;0,ISNUMBER($B$3),$B$3&gt;0),F301*(4*$B$4*(C301^3-B301^3)-(C301^4-B301^4))/(24*$B$3*1000000*$B$5)*1000,"")</f>
        <v/>
      </c>
      <c r="J301" s="120" t="str">
        <f>IF(COUNTA(A301:E301)=0,"",IF(AND(COUNT(B301:E301)=4,B301&gt;=0,C301&gt;B301,C301&lt;=$B$4,D301&gt;=0,E301&gt;0),IF(COUNTIFS($B$13:$B$300,"&lt;"&amp;C301,$C$13:$C$300,"&gt;"&amp;B301)&gt;0,"OVERLAP","OK"),"CHECK INPUTS"))</f>
        <v/>
      </c>
      <c r="M301" s="124"/>
      <c r="N301" s="125"/>
      <c r="O301" s="125"/>
      <c r="P301" s="125"/>
      <c r="Q301" s="125"/>
      <c r="R301" s="126" t="str">
        <f>IF(V301="OK",P301*Q301,"")</f>
        <v/>
      </c>
      <c r="S301" s="126" t="str">
        <f>IF(V301="OK",R301*(O301-N301),"")</f>
        <v/>
      </c>
      <c r="T301" s="126" t="str">
        <f>IF(V301="OK",S301*(O301+N301)/2,"")</f>
        <v/>
      </c>
      <c r="U301" s="126" t="str">
        <f>IF(AND(V301="OK",ISNUMBER($N$5),$N$5&gt;0,ISNUMBER($N$3),$N$3&gt;0),R301*(4*$N$4*(O301^3-N301^3)-(O301^4-N301^4))/(24*$N$3*1000000*$N$5)*1000,"")</f>
        <v/>
      </c>
      <c r="V301" s="120" t="str">
        <f>IF(COUNTA(M301:Q301)=0,"",IF(AND(COUNT(N301:Q301)=4,N301&gt;=0,O301&gt;N301,O301&lt;=$N$4,P301&gt;=0,Q301&gt;0),IF(COUNTIFS($N$13:$N$300,"&lt;"&amp;O301,$O$13:$O$300,"&gt;"&amp;N301)&gt;0,"OVERLAP","OK"),"CHECK INPUTS"))</f>
        <v/>
      </c>
      <c r="AA301" s="120">
        <f>IF(AND(J301="OK",ISNUMBER($B$5),$B$5&gt;0,ISNUMBER($B$3),$B$3&gt;0),F301/(6*$B$3*1000000*$B$5)*(IF(B301&lt;($B$4*0/10),($B$4*0/10)*(MIN(C301,($B$4*0/10))^3-B301^3)-(MIN(C301,($B$4*0/10))^4-B301^4)/4,0)+IF(C301&gt;($B$4*0/10),($B$4*0/10)^2*(1.5*(C301^2-MAX(B301,($B$4*0/10))^2)-($B$4*0/10)*(C301-MAX(B301,($B$4*0/10)))),0))*1000,0)</f>
        <v>0</v>
      </c>
      <c r="AB301" s="120">
        <f>IF(AND(J301="OK",ISNUMBER($B$5),$B$5&gt;0,ISNUMBER($B$3),$B$3&gt;0),F301/(6*$B$3*1000000*$B$5)*(IF(B301&lt;($B$4*1/10),($B$4*1/10)*(MIN(C301,($B$4*1/10))^3-B301^3)-(MIN(C301,($B$4*1/10))^4-B301^4)/4,0)+IF(C301&gt;($B$4*1/10),($B$4*1/10)^2*(1.5*(C301^2-MAX(B301,($B$4*1/10))^2)-($B$4*1/10)*(C301-MAX(B301,($B$4*1/10)))),0))*1000,0)</f>
        <v>0</v>
      </c>
      <c r="AC301" s="120">
        <f>IF(AND(J301="OK",ISNUMBER($B$5),$B$5&gt;0,ISNUMBER($B$3),$B$3&gt;0),F301/(6*$B$3*1000000*$B$5)*(IF(B301&lt;($B$4*2/10),($B$4*2/10)*(MIN(C301,($B$4*2/10))^3-B301^3)-(MIN(C301,($B$4*2/10))^4-B301^4)/4,0)+IF(C301&gt;($B$4*2/10),($B$4*2/10)^2*(1.5*(C301^2-MAX(B301,($B$4*2/10))^2)-($B$4*2/10)*(C301-MAX(B301,($B$4*2/10)))),0))*1000,0)</f>
        <v>0</v>
      </c>
      <c r="AD301" s="120">
        <f>IF(AND(J301="OK",ISNUMBER($B$5),$B$5&gt;0,ISNUMBER($B$3),$B$3&gt;0),F301/(6*$B$3*1000000*$B$5)*(IF(B301&lt;($B$4*3/10),($B$4*3/10)*(MIN(C301,($B$4*3/10))^3-B301^3)-(MIN(C301,($B$4*3/10))^4-B301^4)/4,0)+IF(C301&gt;($B$4*3/10),($B$4*3/10)^2*(1.5*(C301^2-MAX(B301,($B$4*3/10))^2)-($B$4*3/10)*(C301-MAX(B301,($B$4*3/10)))),0))*1000,0)</f>
        <v>0</v>
      </c>
      <c r="AE301" s="120">
        <f>IF(AND(J301="OK",ISNUMBER($B$5),$B$5&gt;0,ISNUMBER($B$3),$B$3&gt;0),F301/(6*$B$3*1000000*$B$5)*(IF(B301&lt;($B$4*4/10),($B$4*4/10)*(MIN(C301,($B$4*4/10))^3-B301^3)-(MIN(C301,($B$4*4/10))^4-B301^4)/4,0)+IF(C301&gt;($B$4*4/10),($B$4*4/10)^2*(1.5*(C301^2-MAX(B301,($B$4*4/10))^2)-($B$4*4/10)*(C301-MAX(B301,($B$4*4/10)))),0))*1000,0)</f>
        <v>0</v>
      </c>
      <c r="AF301" s="120">
        <f>IF(AND(J301="OK",ISNUMBER($B$5),$B$5&gt;0,ISNUMBER($B$3),$B$3&gt;0),F301/(6*$B$3*1000000*$B$5)*(IF(B301&lt;($B$4*5/10),($B$4*5/10)*(MIN(C301,($B$4*5/10))^3-B301^3)-(MIN(C301,($B$4*5/10))^4-B301^4)/4,0)+IF(C301&gt;($B$4*5/10),($B$4*5/10)^2*(1.5*(C301^2-MAX(B301,($B$4*5/10))^2)-($B$4*5/10)*(C301-MAX(B301,($B$4*5/10)))),0))*1000,0)</f>
        <v>0</v>
      </c>
      <c r="AG301" s="120">
        <f>IF(AND(J301="OK",ISNUMBER($B$5),$B$5&gt;0,ISNUMBER($B$3),$B$3&gt;0),F301/(6*$B$3*1000000*$B$5)*(IF(B301&lt;($B$4*6/10),($B$4*6/10)*(MIN(C301,($B$4*6/10))^3-B301^3)-(MIN(C301,($B$4*6/10))^4-B301^4)/4,0)+IF(C301&gt;($B$4*6/10),($B$4*6/10)^2*(1.5*(C301^2-MAX(B301,($B$4*6/10))^2)-($B$4*6/10)*(C301-MAX(B301,($B$4*6/10)))),0))*1000,0)</f>
        <v>0</v>
      </c>
      <c r="AH301" s="120">
        <f>IF(AND(J301="OK",ISNUMBER($B$5),$B$5&gt;0,ISNUMBER($B$3),$B$3&gt;0),F301/(6*$B$3*1000000*$B$5)*(IF(B301&lt;($B$4*7/10),($B$4*7/10)*(MIN(C301,($B$4*7/10))^3-B301^3)-(MIN(C301,($B$4*7/10))^4-B301^4)/4,0)+IF(C301&gt;($B$4*7/10),($B$4*7/10)^2*(1.5*(C301^2-MAX(B301,($B$4*7/10))^2)-($B$4*7/10)*(C301-MAX(B301,($B$4*7/10)))),0))*1000,0)</f>
        <v>0</v>
      </c>
      <c r="AI301" s="120">
        <f>IF(AND(J301="OK",ISNUMBER($B$5),$B$5&gt;0,ISNUMBER($B$3),$B$3&gt;0),F301/(6*$B$3*1000000*$B$5)*(IF(B301&lt;($B$4*8/10),($B$4*8/10)*(MIN(C301,($B$4*8/10))^3-B301^3)-(MIN(C301,($B$4*8/10))^4-B301^4)/4,0)+IF(C301&gt;($B$4*8/10),($B$4*8/10)^2*(1.5*(C301^2-MAX(B301,($B$4*8/10))^2)-($B$4*8/10)*(C301-MAX(B301,($B$4*8/10)))),0))*1000,0)</f>
        <v>0</v>
      </c>
      <c r="AJ301" s="120">
        <f>IF(AND(J301="OK",ISNUMBER($B$5),$B$5&gt;0,ISNUMBER($B$3),$B$3&gt;0),F301/(6*$B$3*1000000*$B$5)*(IF(B301&lt;($B$4*9/10),($B$4*9/10)*(MIN(C301,($B$4*9/10))^3-B301^3)-(MIN(C301,($B$4*9/10))^4-B301^4)/4,0)+IF(C301&gt;($B$4*9/10),($B$4*9/10)^2*(1.5*(C301^2-MAX(B301,($B$4*9/10))^2)-($B$4*9/10)*(C301-MAX(B301,($B$4*9/10)))),0))*1000,0)</f>
        <v>0</v>
      </c>
      <c r="AK301" s="120">
        <f>IF(AND(J301="OK",ISNUMBER($B$5),$B$5&gt;0,ISNUMBER($B$3),$B$3&gt;0),F301/(6*$B$3*1000000*$B$5)*(IF(B301&lt;($B$4*10/10),($B$4*10/10)*(MIN(C301,($B$4*10/10))^3-B301^3)-(MIN(C301,($B$4*10/10))^4-B301^4)/4,0)+IF(C301&gt;($B$4*10/10),($B$4*10/10)^2*(1.5*(C301^2-MAX(B301,($B$4*10/10))^2)-($B$4*10/10)*(C301-MAX(B301,($B$4*10/10)))),0))*1000,0)</f>
        <v>0</v>
      </c>
      <c r="AM301" s="120">
        <f>IF(AND(V301="OK",ISNUMBER($N$5),$N$5&gt;0,ISNUMBER($N$3),$N$3&gt;0),R301/(6*$N$3*1000000*$N$5)*(IF(N301&lt;($N$4*0/10),($N$4*0/10)*(MIN(O301,($N$4*0/10))^3-N301^3)-(MIN(O301,($N$4*0/10))^4-N301^4)/4,0)+IF(O301&gt;($N$4*0/10),($N$4*0/10)^2*(1.5*(O301^2-MAX(N301,($N$4*0/10))^2)-($N$4*0/10)*(O301-MAX(N301,($N$4*0/10)))),0))*1000,0)</f>
        <v>0</v>
      </c>
      <c r="AN301" s="120">
        <f>IF(AND(V301="OK",ISNUMBER($N$5),$N$5&gt;0,ISNUMBER($N$3),$N$3&gt;0),R301/(6*$N$3*1000000*$N$5)*(IF(N301&lt;($N$4*1/10),($N$4*1/10)*(MIN(O301,($N$4*1/10))^3-N301^3)-(MIN(O301,($N$4*1/10))^4-N301^4)/4,0)+IF(O301&gt;($N$4*1/10),($N$4*1/10)^2*(1.5*(O301^2-MAX(N301,($N$4*1/10))^2)-($N$4*1/10)*(O301-MAX(N301,($N$4*1/10)))),0))*1000,0)</f>
        <v>0</v>
      </c>
      <c r="AO301" s="120">
        <f>IF(AND(V301="OK",ISNUMBER($N$5),$N$5&gt;0,ISNUMBER($N$3),$N$3&gt;0),R301/(6*$N$3*1000000*$N$5)*(IF(N301&lt;($N$4*2/10),($N$4*2/10)*(MIN(O301,($N$4*2/10))^3-N301^3)-(MIN(O301,($N$4*2/10))^4-N301^4)/4,0)+IF(O301&gt;($N$4*2/10),($N$4*2/10)^2*(1.5*(O301^2-MAX(N301,($N$4*2/10))^2)-($N$4*2/10)*(O301-MAX(N301,($N$4*2/10)))),0))*1000,0)</f>
        <v>0</v>
      </c>
      <c r="AP301" s="120">
        <f>IF(AND(V301="OK",ISNUMBER($N$5),$N$5&gt;0,ISNUMBER($N$3),$N$3&gt;0),R301/(6*$N$3*1000000*$N$5)*(IF(N301&lt;($N$4*3/10),($N$4*3/10)*(MIN(O301,($N$4*3/10))^3-N301^3)-(MIN(O301,($N$4*3/10))^4-N301^4)/4,0)+IF(O301&gt;($N$4*3/10),($N$4*3/10)^2*(1.5*(O301^2-MAX(N301,($N$4*3/10))^2)-($N$4*3/10)*(O301-MAX(N301,($N$4*3/10)))),0))*1000,0)</f>
        <v>0</v>
      </c>
      <c r="AQ301" s="120">
        <f>IF(AND(V301="OK",ISNUMBER($N$5),$N$5&gt;0,ISNUMBER($N$3),$N$3&gt;0),R301/(6*$N$3*1000000*$N$5)*(IF(N301&lt;($N$4*4/10),($N$4*4/10)*(MIN(O301,($N$4*4/10))^3-N301^3)-(MIN(O301,($N$4*4/10))^4-N301^4)/4,0)+IF(O301&gt;($N$4*4/10),($N$4*4/10)^2*(1.5*(O301^2-MAX(N301,($N$4*4/10))^2)-($N$4*4/10)*(O301-MAX(N301,($N$4*4/10)))),0))*1000,0)</f>
        <v>0</v>
      </c>
      <c r="AR301" s="120">
        <f>IF(AND(V301="OK",ISNUMBER($N$5),$N$5&gt;0,ISNUMBER($N$3),$N$3&gt;0),R301/(6*$N$3*1000000*$N$5)*(IF(N301&lt;($N$4*5/10),($N$4*5/10)*(MIN(O301,($N$4*5/10))^3-N301^3)-(MIN(O301,($N$4*5/10))^4-N301^4)/4,0)+IF(O301&gt;($N$4*5/10),($N$4*5/10)^2*(1.5*(O301^2-MAX(N301,($N$4*5/10))^2)-($N$4*5/10)*(O301-MAX(N301,($N$4*5/10)))),0))*1000,0)</f>
        <v>0</v>
      </c>
      <c r="AS301" s="120">
        <f>IF(AND(V301="OK",ISNUMBER($N$5),$N$5&gt;0,ISNUMBER($N$3),$N$3&gt;0),R301/(6*$N$3*1000000*$N$5)*(IF(N301&lt;($N$4*6/10),($N$4*6/10)*(MIN(O301,($N$4*6/10))^3-N301^3)-(MIN(O301,($N$4*6/10))^4-N301^4)/4,0)+IF(O301&gt;($N$4*6/10),($N$4*6/10)^2*(1.5*(O301^2-MAX(N301,($N$4*6/10))^2)-($N$4*6/10)*(O301-MAX(N301,($N$4*6/10)))),0))*1000,0)</f>
        <v>0</v>
      </c>
      <c r="AT301" s="120">
        <f>IF(AND(V301="OK",ISNUMBER($N$5),$N$5&gt;0,ISNUMBER($N$3),$N$3&gt;0),R301/(6*$N$3*1000000*$N$5)*(IF(N301&lt;($N$4*7/10),($N$4*7/10)*(MIN(O301,($N$4*7/10))^3-N301^3)-(MIN(O301,($N$4*7/10))^4-N301^4)/4,0)+IF(O301&gt;($N$4*7/10),($N$4*7/10)^2*(1.5*(O301^2-MAX(N301,($N$4*7/10))^2)-($N$4*7/10)*(O301-MAX(N301,($N$4*7/10)))),0))*1000,0)</f>
        <v>0</v>
      </c>
      <c r="AU301" s="120">
        <f>IF(AND(V301="OK",ISNUMBER($N$5),$N$5&gt;0,ISNUMBER($N$3),$N$3&gt;0),R301/(6*$N$3*1000000*$N$5)*(IF(N301&lt;($N$4*8/10),($N$4*8/10)*(MIN(O301,($N$4*8/10))^3-N301^3)-(MIN(O301,($N$4*8/10))^4-N301^4)/4,0)+IF(O301&gt;($N$4*8/10),($N$4*8/10)^2*(1.5*(O301^2-MAX(N301,($N$4*8/10))^2)-($N$4*8/10)*(O301-MAX(N301,($N$4*8/10)))),0))*1000,0)</f>
        <v>0</v>
      </c>
      <c r="AV301" s="120">
        <f>IF(AND(V301="OK",ISNUMBER($N$5),$N$5&gt;0,ISNUMBER($N$3),$N$3&gt;0),R301/(6*$N$3*1000000*$N$5)*(IF(N301&lt;($N$4*9/10),($N$4*9/10)*(MIN(O301,($N$4*9/10))^3-N301^3)-(MIN(O301,($N$4*9/10))^4-N301^4)/4,0)+IF(O301&gt;($N$4*9/10),($N$4*9/10)^2*(1.5*(O301^2-MAX(N301,($N$4*9/10))^2)-($N$4*9/10)*(O301-MAX(N301,($N$4*9/10)))),0))*1000,0)</f>
        <v>0</v>
      </c>
      <c r="AW301" s="120">
        <f>IF(AND(V301="OK",ISNUMBER($N$5),$N$5&gt;0,ISNUMBER($N$3),$N$3&gt;0),R301/(6*$N$3*1000000*$N$5)*(IF(N301&lt;($N$4*10/10),($N$4*10/10)*(MIN(O301,($N$4*10/10))^3-N301^3)-(MIN(O301,($N$4*10/10))^4-N301^4)/4,0)+IF(O301&gt;($N$4*10/10),($N$4*10/10)^2*(1.5*(O301^2-MAX(N301,($N$4*10/10))^2)-($N$4*10/10)*(O301-MAX(N301,($N$4*10/10)))),0))*1000,0)</f>
        <v>0</v>
      </c>
    </row>
    <row r="302" spans="1:49">
      <c r="A302" s="124"/>
      <c r="B302" s="125"/>
      <c r="C302" s="125"/>
      <c r="D302" s="125"/>
      <c r="E302" s="125"/>
      <c r="F302" s="126" t="str">
        <f>IF(J302="OK",D302*E302,"")</f>
        <v/>
      </c>
      <c r="G302" s="126" t="str">
        <f>IF(J302="OK",F302*(C302-B302),"")</f>
        <v/>
      </c>
      <c r="H302" s="126" t="str">
        <f>IF(J302="OK",G302*(C302+B302)/2,"")</f>
        <v/>
      </c>
      <c r="I302" s="126" t="str">
        <f>IF(AND(J302="OK",ISNUMBER($B$5),$B$5&gt;0,ISNUMBER($B$3),$B$3&gt;0),F302*(4*$B$4*(C302^3-B302^3)-(C302^4-B302^4))/(24*$B$3*1000000*$B$5)*1000,"")</f>
        <v/>
      </c>
      <c r="J302" s="120" t="str">
        <f>IF(COUNTA(A302:E302)=0,"",IF(AND(COUNT(B302:E302)=4,B302&gt;=0,C302&gt;B302,C302&lt;=$B$4,D302&gt;=0,E302&gt;0),IF(COUNTIFS($B$13:$B$301,"&lt;"&amp;C302,$C$13:$C$301,"&gt;"&amp;B302)&gt;0,"OVERLAP","OK"),"CHECK INPUTS"))</f>
        <v/>
      </c>
      <c r="M302" s="124"/>
      <c r="N302" s="125"/>
      <c r="O302" s="125"/>
      <c r="P302" s="125"/>
      <c r="Q302" s="125"/>
      <c r="R302" s="126" t="str">
        <f>IF(V302="OK",P302*Q302,"")</f>
        <v/>
      </c>
      <c r="S302" s="126" t="str">
        <f>IF(V302="OK",R302*(O302-N302),"")</f>
        <v/>
      </c>
      <c r="T302" s="126" t="str">
        <f>IF(V302="OK",S302*(O302+N302)/2,"")</f>
        <v/>
      </c>
      <c r="U302" s="126" t="str">
        <f>IF(AND(V302="OK",ISNUMBER($N$5),$N$5&gt;0,ISNUMBER($N$3),$N$3&gt;0),R302*(4*$N$4*(O302^3-N302^3)-(O302^4-N302^4))/(24*$N$3*1000000*$N$5)*1000,"")</f>
        <v/>
      </c>
      <c r="V302" s="120" t="str">
        <f>IF(COUNTA(M302:Q302)=0,"",IF(AND(COUNT(N302:Q302)=4,N302&gt;=0,O302&gt;N302,O302&lt;=$N$4,P302&gt;=0,Q302&gt;0),IF(COUNTIFS($N$13:$N$301,"&lt;"&amp;O302,$O$13:$O$301,"&gt;"&amp;N302)&gt;0,"OVERLAP","OK"),"CHECK INPUTS"))</f>
        <v/>
      </c>
      <c r="AA302" s="120">
        <f>IF(AND(J302="OK",ISNUMBER($B$5),$B$5&gt;0,ISNUMBER($B$3),$B$3&gt;0),F302/(6*$B$3*1000000*$B$5)*(IF(B302&lt;($B$4*0/10),($B$4*0/10)*(MIN(C302,($B$4*0/10))^3-B302^3)-(MIN(C302,($B$4*0/10))^4-B302^4)/4,0)+IF(C302&gt;($B$4*0/10),($B$4*0/10)^2*(1.5*(C302^2-MAX(B302,($B$4*0/10))^2)-($B$4*0/10)*(C302-MAX(B302,($B$4*0/10)))),0))*1000,0)</f>
        <v>0</v>
      </c>
      <c r="AB302" s="120">
        <f>IF(AND(J302="OK",ISNUMBER($B$5),$B$5&gt;0,ISNUMBER($B$3),$B$3&gt;0),F302/(6*$B$3*1000000*$B$5)*(IF(B302&lt;($B$4*1/10),($B$4*1/10)*(MIN(C302,($B$4*1/10))^3-B302^3)-(MIN(C302,($B$4*1/10))^4-B302^4)/4,0)+IF(C302&gt;($B$4*1/10),($B$4*1/10)^2*(1.5*(C302^2-MAX(B302,($B$4*1/10))^2)-($B$4*1/10)*(C302-MAX(B302,($B$4*1/10)))),0))*1000,0)</f>
        <v>0</v>
      </c>
      <c r="AC302" s="120">
        <f>IF(AND(J302="OK",ISNUMBER($B$5),$B$5&gt;0,ISNUMBER($B$3),$B$3&gt;0),F302/(6*$B$3*1000000*$B$5)*(IF(B302&lt;($B$4*2/10),($B$4*2/10)*(MIN(C302,($B$4*2/10))^3-B302^3)-(MIN(C302,($B$4*2/10))^4-B302^4)/4,0)+IF(C302&gt;($B$4*2/10),($B$4*2/10)^2*(1.5*(C302^2-MAX(B302,($B$4*2/10))^2)-($B$4*2/10)*(C302-MAX(B302,($B$4*2/10)))),0))*1000,0)</f>
        <v>0</v>
      </c>
      <c r="AD302" s="120">
        <f>IF(AND(J302="OK",ISNUMBER($B$5),$B$5&gt;0,ISNUMBER($B$3),$B$3&gt;0),F302/(6*$B$3*1000000*$B$5)*(IF(B302&lt;($B$4*3/10),($B$4*3/10)*(MIN(C302,($B$4*3/10))^3-B302^3)-(MIN(C302,($B$4*3/10))^4-B302^4)/4,0)+IF(C302&gt;($B$4*3/10),($B$4*3/10)^2*(1.5*(C302^2-MAX(B302,($B$4*3/10))^2)-($B$4*3/10)*(C302-MAX(B302,($B$4*3/10)))),0))*1000,0)</f>
        <v>0</v>
      </c>
      <c r="AE302" s="120">
        <f>IF(AND(J302="OK",ISNUMBER($B$5),$B$5&gt;0,ISNUMBER($B$3),$B$3&gt;0),F302/(6*$B$3*1000000*$B$5)*(IF(B302&lt;($B$4*4/10),($B$4*4/10)*(MIN(C302,($B$4*4/10))^3-B302^3)-(MIN(C302,($B$4*4/10))^4-B302^4)/4,0)+IF(C302&gt;($B$4*4/10),($B$4*4/10)^2*(1.5*(C302^2-MAX(B302,($B$4*4/10))^2)-($B$4*4/10)*(C302-MAX(B302,($B$4*4/10)))),0))*1000,0)</f>
        <v>0</v>
      </c>
      <c r="AF302" s="120">
        <f>IF(AND(J302="OK",ISNUMBER($B$5),$B$5&gt;0,ISNUMBER($B$3),$B$3&gt;0),F302/(6*$B$3*1000000*$B$5)*(IF(B302&lt;($B$4*5/10),($B$4*5/10)*(MIN(C302,($B$4*5/10))^3-B302^3)-(MIN(C302,($B$4*5/10))^4-B302^4)/4,0)+IF(C302&gt;($B$4*5/10),($B$4*5/10)^2*(1.5*(C302^2-MAX(B302,($B$4*5/10))^2)-($B$4*5/10)*(C302-MAX(B302,($B$4*5/10)))),0))*1000,0)</f>
        <v>0</v>
      </c>
      <c r="AG302" s="120">
        <f>IF(AND(J302="OK",ISNUMBER($B$5),$B$5&gt;0,ISNUMBER($B$3),$B$3&gt;0),F302/(6*$B$3*1000000*$B$5)*(IF(B302&lt;($B$4*6/10),($B$4*6/10)*(MIN(C302,($B$4*6/10))^3-B302^3)-(MIN(C302,($B$4*6/10))^4-B302^4)/4,0)+IF(C302&gt;($B$4*6/10),($B$4*6/10)^2*(1.5*(C302^2-MAX(B302,($B$4*6/10))^2)-($B$4*6/10)*(C302-MAX(B302,($B$4*6/10)))),0))*1000,0)</f>
        <v>0</v>
      </c>
      <c r="AH302" s="120">
        <f>IF(AND(J302="OK",ISNUMBER($B$5),$B$5&gt;0,ISNUMBER($B$3),$B$3&gt;0),F302/(6*$B$3*1000000*$B$5)*(IF(B302&lt;($B$4*7/10),($B$4*7/10)*(MIN(C302,($B$4*7/10))^3-B302^3)-(MIN(C302,($B$4*7/10))^4-B302^4)/4,0)+IF(C302&gt;($B$4*7/10),($B$4*7/10)^2*(1.5*(C302^2-MAX(B302,($B$4*7/10))^2)-($B$4*7/10)*(C302-MAX(B302,($B$4*7/10)))),0))*1000,0)</f>
        <v>0</v>
      </c>
      <c r="AI302" s="120">
        <f>IF(AND(J302="OK",ISNUMBER($B$5),$B$5&gt;0,ISNUMBER($B$3),$B$3&gt;0),F302/(6*$B$3*1000000*$B$5)*(IF(B302&lt;($B$4*8/10),($B$4*8/10)*(MIN(C302,($B$4*8/10))^3-B302^3)-(MIN(C302,($B$4*8/10))^4-B302^4)/4,0)+IF(C302&gt;($B$4*8/10),($B$4*8/10)^2*(1.5*(C302^2-MAX(B302,($B$4*8/10))^2)-($B$4*8/10)*(C302-MAX(B302,($B$4*8/10)))),0))*1000,0)</f>
        <v>0</v>
      </c>
      <c r="AJ302" s="120">
        <f>IF(AND(J302="OK",ISNUMBER($B$5),$B$5&gt;0,ISNUMBER($B$3),$B$3&gt;0),F302/(6*$B$3*1000000*$B$5)*(IF(B302&lt;($B$4*9/10),($B$4*9/10)*(MIN(C302,($B$4*9/10))^3-B302^3)-(MIN(C302,($B$4*9/10))^4-B302^4)/4,0)+IF(C302&gt;($B$4*9/10),($B$4*9/10)^2*(1.5*(C302^2-MAX(B302,($B$4*9/10))^2)-($B$4*9/10)*(C302-MAX(B302,($B$4*9/10)))),0))*1000,0)</f>
        <v>0</v>
      </c>
      <c r="AK302" s="120">
        <f>IF(AND(J302="OK",ISNUMBER($B$5),$B$5&gt;0,ISNUMBER($B$3),$B$3&gt;0),F302/(6*$B$3*1000000*$B$5)*(IF(B302&lt;($B$4*10/10),($B$4*10/10)*(MIN(C302,($B$4*10/10))^3-B302^3)-(MIN(C302,($B$4*10/10))^4-B302^4)/4,0)+IF(C302&gt;($B$4*10/10),($B$4*10/10)^2*(1.5*(C302^2-MAX(B302,($B$4*10/10))^2)-($B$4*10/10)*(C302-MAX(B302,($B$4*10/10)))),0))*1000,0)</f>
        <v>0</v>
      </c>
      <c r="AM302" s="120">
        <f>IF(AND(V302="OK",ISNUMBER($N$5),$N$5&gt;0,ISNUMBER($N$3),$N$3&gt;0),R302/(6*$N$3*1000000*$N$5)*(IF(N302&lt;($N$4*0/10),($N$4*0/10)*(MIN(O302,($N$4*0/10))^3-N302^3)-(MIN(O302,($N$4*0/10))^4-N302^4)/4,0)+IF(O302&gt;($N$4*0/10),($N$4*0/10)^2*(1.5*(O302^2-MAX(N302,($N$4*0/10))^2)-($N$4*0/10)*(O302-MAX(N302,($N$4*0/10)))),0))*1000,0)</f>
        <v>0</v>
      </c>
      <c r="AN302" s="120">
        <f>IF(AND(V302="OK",ISNUMBER($N$5),$N$5&gt;0,ISNUMBER($N$3),$N$3&gt;0),R302/(6*$N$3*1000000*$N$5)*(IF(N302&lt;($N$4*1/10),($N$4*1/10)*(MIN(O302,($N$4*1/10))^3-N302^3)-(MIN(O302,($N$4*1/10))^4-N302^4)/4,0)+IF(O302&gt;($N$4*1/10),($N$4*1/10)^2*(1.5*(O302^2-MAX(N302,($N$4*1/10))^2)-($N$4*1/10)*(O302-MAX(N302,($N$4*1/10)))),0))*1000,0)</f>
        <v>0</v>
      </c>
      <c r="AO302" s="120">
        <f>IF(AND(V302="OK",ISNUMBER($N$5),$N$5&gt;0,ISNUMBER($N$3),$N$3&gt;0),R302/(6*$N$3*1000000*$N$5)*(IF(N302&lt;($N$4*2/10),($N$4*2/10)*(MIN(O302,($N$4*2/10))^3-N302^3)-(MIN(O302,($N$4*2/10))^4-N302^4)/4,0)+IF(O302&gt;($N$4*2/10),($N$4*2/10)^2*(1.5*(O302^2-MAX(N302,($N$4*2/10))^2)-($N$4*2/10)*(O302-MAX(N302,($N$4*2/10)))),0))*1000,0)</f>
        <v>0</v>
      </c>
      <c r="AP302" s="120">
        <f>IF(AND(V302="OK",ISNUMBER($N$5),$N$5&gt;0,ISNUMBER($N$3),$N$3&gt;0),R302/(6*$N$3*1000000*$N$5)*(IF(N302&lt;($N$4*3/10),($N$4*3/10)*(MIN(O302,($N$4*3/10))^3-N302^3)-(MIN(O302,($N$4*3/10))^4-N302^4)/4,0)+IF(O302&gt;($N$4*3/10),($N$4*3/10)^2*(1.5*(O302^2-MAX(N302,($N$4*3/10))^2)-($N$4*3/10)*(O302-MAX(N302,($N$4*3/10)))),0))*1000,0)</f>
        <v>0</v>
      </c>
      <c r="AQ302" s="120">
        <f>IF(AND(V302="OK",ISNUMBER($N$5),$N$5&gt;0,ISNUMBER($N$3),$N$3&gt;0),R302/(6*$N$3*1000000*$N$5)*(IF(N302&lt;($N$4*4/10),($N$4*4/10)*(MIN(O302,($N$4*4/10))^3-N302^3)-(MIN(O302,($N$4*4/10))^4-N302^4)/4,0)+IF(O302&gt;($N$4*4/10),($N$4*4/10)^2*(1.5*(O302^2-MAX(N302,($N$4*4/10))^2)-($N$4*4/10)*(O302-MAX(N302,($N$4*4/10)))),0))*1000,0)</f>
        <v>0</v>
      </c>
      <c r="AR302" s="120">
        <f>IF(AND(V302="OK",ISNUMBER($N$5),$N$5&gt;0,ISNUMBER($N$3),$N$3&gt;0),R302/(6*$N$3*1000000*$N$5)*(IF(N302&lt;($N$4*5/10),($N$4*5/10)*(MIN(O302,($N$4*5/10))^3-N302^3)-(MIN(O302,($N$4*5/10))^4-N302^4)/4,0)+IF(O302&gt;($N$4*5/10),($N$4*5/10)^2*(1.5*(O302^2-MAX(N302,($N$4*5/10))^2)-($N$4*5/10)*(O302-MAX(N302,($N$4*5/10)))),0))*1000,0)</f>
        <v>0</v>
      </c>
      <c r="AS302" s="120">
        <f>IF(AND(V302="OK",ISNUMBER($N$5),$N$5&gt;0,ISNUMBER($N$3),$N$3&gt;0),R302/(6*$N$3*1000000*$N$5)*(IF(N302&lt;($N$4*6/10),($N$4*6/10)*(MIN(O302,($N$4*6/10))^3-N302^3)-(MIN(O302,($N$4*6/10))^4-N302^4)/4,0)+IF(O302&gt;($N$4*6/10),($N$4*6/10)^2*(1.5*(O302^2-MAX(N302,($N$4*6/10))^2)-($N$4*6/10)*(O302-MAX(N302,($N$4*6/10)))),0))*1000,0)</f>
        <v>0</v>
      </c>
      <c r="AT302" s="120">
        <f>IF(AND(V302="OK",ISNUMBER($N$5),$N$5&gt;0,ISNUMBER($N$3),$N$3&gt;0),R302/(6*$N$3*1000000*$N$5)*(IF(N302&lt;($N$4*7/10),($N$4*7/10)*(MIN(O302,($N$4*7/10))^3-N302^3)-(MIN(O302,($N$4*7/10))^4-N302^4)/4,0)+IF(O302&gt;($N$4*7/10),($N$4*7/10)^2*(1.5*(O302^2-MAX(N302,($N$4*7/10))^2)-($N$4*7/10)*(O302-MAX(N302,($N$4*7/10)))),0))*1000,0)</f>
        <v>0</v>
      </c>
      <c r="AU302" s="120">
        <f>IF(AND(V302="OK",ISNUMBER($N$5),$N$5&gt;0,ISNUMBER($N$3),$N$3&gt;0),R302/(6*$N$3*1000000*$N$5)*(IF(N302&lt;($N$4*8/10),($N$4*8/10)*(MIN(O302,($N$4*8/10))^3-N302^3)-(MIN(O302,($N$4*8/10))^4-N302^4)/4,0)+IF(O302&gt;($N$4*8/10),($N$4*8/10)^2*(1.5*(O302^2-MAX(N302,($N$4*8/10))^2)-($N$4*8/10)*(O302-MAX(N302,($N$4*8/10)))),0))*1000,0)</f>
        <v>0</v>
      </c>
      <c r="AV302" s="120">
        <f>IF(AND(V302="OK",ISNUMBER($N$5),$N$5&gt;0,ISNUMBER($N$3),$N$3&gt;0),R302/(6*$N$3*1000000*$N$5)*(IF(N302&lt;($N$4*9/10),($N$4*9/10)*(MIN(O302,($N$4*9/10))^3-N302^3)-(MIN(O302,($N$4*9/10))^4-N302^4)/4,0)+IF(O302&gt;($N$4*9/10),($N$4*9/10)^2*(1.5*(O302^2-MAX(N302,($N$4*9/10))^2)-($N$4*9/10)*(O302-MAX(N302,($N$4*9/10)))),0))*1000,0)</f>
        <v>0</v>
      </c>
      <c r="AW302" s="120">
        <f>IF(AND(V302="OK",ISNUMBER($N$5),$N$5&gt;0,ISNUMBER($N$3),$N$3&gt;0),R302/(6*$N$3*1000000*$N$5)*(IF(N302&lt;($N$4*10/10),($N$4*10/10)*(MIN(O302,($N$4*10/10))^3-N302^3)-(MIN(O302,($N$4*10/10))^4-N302^4)/4,0)+IF(O302&gt;($N$4*10/10),($N$4*10/10)^2*(1.5*(O302^2-MAX(N302,($N$4*10/10))^2)-($N$4*10/10)*(O302-MAX(N302,($N$4*10/10)))),0))*1000,0)</f>
        <v>0</v>
      </c>
    </row>
    <row r="303" spans="1:49">
      <c r="A303" s="124"/>
      <c r="B303" s="125"/>
      <c r="C303" s="125"/>
      <c r="D303" s="125"/>
      <c r="E303" s="125"/>
      <c r="F303" s="126" t="str">
        <f>IF(J303="OK",D303*E303,"")</f>
        <v/>
      </c>
      <c r="G303" s="126" t="str">
        <f>IF(J303="OK",F303*(C303-B303),"")</f>
        <v/>
      </c>
      <c r="H303" s="126" t="str">
        <f>IF(J303="OK",G303*(C303+B303)/2,"")</f>
        <v/>
      </c>
      <c r="I303" s="126" t="str">
        <f>IF(AND(J303="OK",ISNUMBER($B$5),$B$5&gt;0,ISNUMBER($B$3),$B$3&gt;0),F303*(4*$B$4*(C303^3-B303^3)-(C303^4-B303^4))/(24*$B$3*1000000*$B$5)*1000,"")</f>
        <v/>
      </c>
      <c r="J303" s="120" t="str">
        <f>IF(COUNTA(A303:E303)=0,"",IF(AND(COUNT(B303:E303)=4,B303&gt;=0,C303&gt;B303,C303&lt;=$B$4,D303&gt;=0,E303&gt;0),IF(COUNTIFS($B$13:$B$302,"&lt;"&amp;C303,$C$13:$C$302,"&gt;"&amp;B303)&gt;0,"OVERLAP","OK"),"CHECK INPUTS"))</f>
        <v/>
      </c>
      <c r="M303" s="124"/>
      <c r="N303" s="125"/>
      <c r="O303" s="125"/>
      <c r="P303" s="125"/>
      <c r="Q303" s="125"/>
      <c r="R303" s="126" t="str">
        <f>IF(V303="OK",P303*Q303,"")</f>
        <v/>
      </c>
      <c r="S303" s="126" t="str">
        <f>IF(V303="OK",R303*(O303-N303),"")</f>
        <v/>
      </c>
      <c r="T303" s="126" t="str">
        <f>IF(V303="OK",S303*(O303+N303)/2,"")</f>
        <v/>
      </c>
      <c r="U303" s="126" t="str">
        <f>IF(AND(V303="OK",ISNUMBER($N$5),$N$5&gt;0,ISNUMBER($N$3),$N$3&gt;0),R303*(4*$N$4*(O303^3-N303^3)-(O303^4-N303^4))/(24*$N$3*1000000*$N$5)*1000,"")</f>
        <v/>
      </c>
      <c r="V303" s="120" t="str">
        <f>IF(COUNTA(M303:Q303)=0,"",IF(AND(COUNT(N303:Q303)=4,N303&gt;=0,O303&gt;N303,O303&lt;=$N$4,P303&gt;=0,Q303&gt;0),IF(COUNTIFS($N$13:$N$302,"&lt;"&amp;O303,$O$13:$O$302,"&gt;"&amp;N303)&gt;0,"OVERLAP","OK"),"CHECK INPUTS"))</f>
        <v/>
      </c>
      <c r="AA303" s="120">
        <f>IF(AND(J303="OK",ISNUMBER($B$5),$B$5&gt;0,ISNUMBER($B$3),$B$3&gt;0),F303/(6*$B$3*1000000*$B$5)*(IF(B303&lt;($B$4*0/10),($B$4*0/10)*(MIN(C303,($B$4*0/10))^3-B303^3)-(MIN(C303,($B$4*0/10))^4-B303^4)/4,0)+IF(C303&gt;($B$4*0/10),($B$4*0/10)^2*(1.5*(C303^2-MAX(B303,($B$4*0/10))^2)-($B$4*0/10)*(C303-MAX(B303,($B$4*0/10)))),0))*1000,0)</f>
        <v>0</v>
      </c>
      <c r="AB303" s="120">
        <f>IF(AND(J303="OK",ISNUMBER($B$5),$B$5&gt;0,ISNUMBER($B$3),$B$3&gt;0),F303/(6*$B$3*1000000*$B$5)*(IF(B303&lt;($B$4*1/10),($B$4*1/10)*(MIN(C303,($B$4*1/10))^3-B303^3)-(MIN(C303,($B$4*1/10))^4-B303^4)/4,0)+IF(C303&gt;($B$4*1/10),($B$4*1/10)^2*(1.5*(C303^2-MAX(B303,($B$4*1/10))^2)-($B$4*1/10)*(C303-MAX(B303,($B$4*1/10)))),0))*1000,0)</f>
        <v>0</v>
      </c>
      <c r="AC303" s="120">
        <f>IF(AND(J303="OK",ISNUMBER($B$5),$B$5&gt;0,ISNUMBER($B$3),$B$3&gt;0),F303/(6*$B$3*1000000*$B$5)*(IF(B303&lt;($B$4*2/10),($B$4*2/10)*(MIN(C303,($B$4*2/10))^3-B303^3)-(MIN(C303,($B$4*2/10))^4-B303^4)/4,0)+IF(C303&gt;($B$4*2/10),($B$4*2/10)^2*(1.5*(C303^2-MAX(B303,($B$4*2/10))^2)-($B$4*2/10)*(C303-MAX(B303,($B$4*2/10)))),0))*1000,0)</f>
        <v>0</v>
      </c>
      <c r="AD303" s="120">
        <f>IF(AND(J303="OK",ISNUMBER($B$5),$B$5&gt;0,ISNUMBER($B$3),$B$3&gt;0),F303/(6*$B$3*1000000*$B$5)*(IF(B303&lt;($B$4*3/10),($B$4*3/10)*(MIN(C303,($B$4*3/10))^3-B303^3)-(MIN(C303,($B$4*3/10))^4-B303^4)/4,0)+IF(C303&gt;($B$4*3/10),($B$4*3/10)^2*(1.5*(C303^2-MAX(B303,($B$4*3/10))^2)-($B$4*3/10)*(C303-MAX(B303,($B$4*3/10)))),0))*1000,0)</f>
        <v>0</v>
      </c>
      <c r="AE303" s="120">
        <f>IF(AND(J303="OK",ISNUMBER($B$5),$B$5&gt;0,ISNUMBER($B$3),$B$3&gt;0),F303/(6*$B$3*1000000*$B$5)*(IF(B303&lt;($B$4*4/10),($B$4*4/10)*(MIN(C303,($B$4*4/10))^3-B303^3)-(MIN(C303,($B$4*4/10))^4-B303^4)/4,0)+IF(C303&gt;($B$4*4/10),($B$4*4/10)^2*(1.5*(C303^2-MAX(B303,($B$4*4/10))^2)-($B$4*4/10)*(C303-MAX(B303,($B$4*4/10)))),0))*1000,0)</f>
        <v>0</v>
      </c>
      <c r="AF303" s="120">
        <f>IF(AND(J303="OK",ISNUMBER($B$5),$B$5&gt;0,ISNUMBER($B$3),$B$3&gt;0),F303/(6*$B$3*1000000*$B$5)*(IF(B303&lt;($B$4*5/10),($B$4*5/10)*(MIN(C303,($B$4*5/10))^3-B303^3)-(MIN(C303,($B$4*5/10))^4-B303^4)/4,0)+IF(C303&gt;($B$4*5/10),($B$4*5/10)^2*(1.5*(C303^2-MAX(B303,($B$4*5/10))^2)-($B$4*5/10)*(C303-MAX(B303,($B$4*5/10)))),0))*1000,0)</f>
        <v>0</v>
      </c>
      <c r="AG303" s="120">
        <f>IF(AND(J303="OK",ISNUMBER($B$5),$B$5&gt;0,ISNUMBER($B$3),$B$3&gt;0),F303/(6*$B$3*1000000*$B$5)*(IF(B303&lt;($B$4*6/10),($B$4*6/10)*(MIN(C303,($B$4*6/10))^3-B303^3)-(MIN(C303,($B$4*6/10))^4-B303^4)/4,0)+IF(C303&gt;($B$4*6/10),($B$4*6/10)^2*(1.5*(C303^2-MAX(B303,($B$4*6/10))^2)-($B$4*6/10)*(C303-MAX(B303,($B$4*6/10)))),0))*1000,0)</f>
        <v>0</v>
      </c>
      <c r="AH303" s="120">
        <f>IF(AND(J303="OK",ISNUMBER($B$5),$B$5&gt;0,ISNUMBER($B$3),$B$3&gt;0),F303/(6*$B$3*1000000*$B$5)*(IF(B303&lt;($B$4*7/10),($B$4*7/10)*(MIN(C303,($B$4*7/10))^3-B303^3)-(MIN(C303,($B$4*7/10))^4-B303^4)/4,0)+IF(C303&gt;($B$4*7/10),($B$4*7/10)^2*(1.5*(C303^2-MAX(B303,($B$4*7/10))^2)-($B$4*7/10)*(C303-MAX(B303,($B$4*7/10)))),0))*1000,0)</f>
        <v>0</v>
      </c>
      <c r="AI303" s="120">
        <f>IF(AND(J303="OK",ISNUMBER($B$5),$B$5&gt;0,ISNUMBER($B$3),$B$3&gt;0),F303/(6*$B$3*1000000*$B$5)*(IF(B303&lt;($B$4*8/10),($B$4*8/10)*(MIN(C303,($B$4*8/10))^3-B303^3)-(MIN(C303,($B$4*8/10))^4-B303^4)/4,0)+IF(C303&gt;($B$4*8/10),($B$4*8/10)^2*(1.5*(C303^2-MAX(B303,($B$4*8/10))^2)-($B$4*8/10)*(C303-MAX(B303,($B$4*8/10)))),0))*1000,0)</f>
        <v>0</v>
      </c>
      <c r="AJ303" s="120">
        <f>IF(AND(J303="OK",ISNUMBER($B$5),$B$5&gt;0,ISNUMBER($B$3),$B$3&gt;0),F303/(6*$B$3*1000000*$B$5)*(IF(B303&lt;($B$4*9/10),($B$4*9/10)*(MIN(C303,($B$4*9/10))^3-B303^3)-(MIN(C303,($B$4*9/10))^4-B303^4)/4,0)+IF(C303&gt;($B$4*9/10),($B$4*9/10)^2*(1.5*(C303^2-MAX(B303,($B$4*9/10))^2)-($B$4*9/10)*(C303-MAX(B303,($B$4*9/10)))),0))*1000,0)</f>
        <v>0</v>
      </c>
      <c r="AK303" s="120">
        <f>IF(AND(J303="OK",ISNUMBER($B$5),$B$5&gt;0,ISNUMBER($B$3),$B$3&gt;0),F303/(6*$B$3*1000000*$B$5)*(IF(B303&lt;($B$4*10/10),($B$4*10/10)*(MIN(C303,($B$4*10/10))^3-B303^3)-(MIN(C303,($B$4*10/10))^4-B303^4)/4,0)+IF(C303&gt;($B$4*10/10),($B$4*10/10)^2*(1.5*(C303^2-MAX(B303,($B$4*10/10))^2)-($B$4*10/10)*(C303-MAX(B303,($B$4*10/10)))),0))*1000,0)</f>
        <v>0</v>
      </c>
      <c r="AM303" s="120">
        <f>IF(AND(V303="OK",ISNUMBER($N$5),$N$5&gt;0,ISNUMBER($N$3),$N$3&gt;0),R303/(6*$N$3*1000000*$N$5)*(IF(N303&lt;($N$4*0/10),($N$4*0/10)*(MIN(O303,($N$4*0/10))^3-N303^3)-(MIN(O303,($N$4*0/10))^4-N303^4)/4,0)+IF(O303&gt;($N$4*0/10),($N$4*0/10)^2*(1.5*(O303^2-MAX(N303,($N$4*0/10))^2)-($N$4*0/10)*(O303-MAX(N303,($N$4*0/10)))),0))*1000,0)</f>
        <v>0</v>
      </c>
      <c r="AN303" s="120">
        <f>IF(AND(V303="OK",ISNUMBER($N$5),$N$5&gt;0,ISNUMBER($N$3),$N$3&gt;0),R303/(6*$N$3*1000000*$N$5)*(IF(N303&lt;($N$4*1/10),($N$4*1/10)*(MIN(O303,($N$4*1/10))^3-N303^3)-(MIN(O303,($N$4*1/10))^4-N303^4)/4,0)+IF(O303&gt;($N$4*1/10),($N$4*1/10)^2*(1.5*(O303^2-MAX(N303,($N$4*1/10))^2)-($N$4*1/10)*(O303-MAX(N303,($N$4*1/10)))),0))*1000,0)</f>
        <v>0</v>
      </c>
      <c r="AO303" s="120">
        <f>IF(AND(V303="OK",ISNUMBER($N$5),$N$5&gt;0,ISNUMBER($N$3),$N$3&gt;0),R303/(6*$N$3*1000000*$N$5)*(IF(N303&lt;($N$4*2/10),($N$4*2/10)*(MIN(O303,($N$4*2/10))^3-N303^3)-(MIN(O303,($N$4*2/10))^4-N303^4)/4,0)+IF(O303&gt;($N$4*2/10),($N$4*2/10)^2*(1.5*(O303^2-MAX(N303,($N$4*2/10))^2)-($N$4*2/10)*(O303-MAX(N303,($N$4*2/10)))),0))*1000,0)</f>
        <v>0</v>
      </c>
      <c r="AP303" s="120">
        <f>IF(AND(V303="OK",ISNUMBER($N$5),$N$5&gt;0,ISNUMBER($N$3),$N$3&gt;0),R303/(6*$N$3*1000000*$N$5)*(IF(N303&lt;($N$4*3/10),($N$4*3/10)*(MIN(O303,($N$4*3/10))^3-N303^3)-(MIN(O303,($N$4*3/10))^4-N303^4)/4,0)+IF(O303&gt;($N$4*3/10),($N$4*3/10)^2*(1.5*(O303^2-MAX(N303,($N$4*3/10))^2)-($N$4*3/10)*(O303-MAX(N303,($N$4*3/10)))),0))*1000,0)</f>
        <v>0</v>
      </c>
      <c r="AQ303" s="120">
        <f>IF(AND(V303="OK",ISNUMBER($N$5),$N$5&gt;0,ISNUMBER($N$3),$N$3&gt;0),R303/(6*$N$3*1000000*$N$5)*(IF(N303&lt;($N$4*4/10),($N$4*4/10)*(MIN(O303,($N$4*4/10))^3-N303^3)-(MIN(O303,($N$4*4/10))^4-N303^4)/4,0)+IF(O303&gt;($N$4*4/10),($N$4*4/10)^2*(1.5*(O303^2-MAX(N303,($N$4*4/10))^2)-($N$4*4/10)*(O303-MAX(N303,($N$4*4/10)))),0))*1000,0)</f>
        <v>0</v>
      </c>
      <c r="AR303" s="120">
        <f>IF(AND(V303="OK",ISNUMBER($N$5),$N$5&gt;0,ISNUMBER($N$3),$N$3&gt;0),R303/(6*$N$3*1000000*$N$5)*(IF(N303&lt;($N$4*5/10),($N$4*5/10)*(MIN(O303,($N$4*5/10))^3-N303^3)-(MIN(O303,($N$4*5/10))^4-N303^4)/4,0)+IF(O303&gt;($N$4*5/10),($N$4*5/10)^2*(1.5*(O303^2-MAX(N303,($N$4*5/10))^2)-($N$4*5/10)*(O303-MAX(N303,($N$4*5/10)))),0))*1000,0)</f>
        <v>0</v>
      </c>
      <c r="AS303" s="120">
        <f>IF(AND(V303="OK",ISNUMBER($N$5),$N$5&gt;0,ISNUMBER($N$3),$N$3&gt;0),R303/(6*$N$3*1000000*$N$5)*(IF(N303&lt;($N$4*6/10),($N$4*6/10)*(MIN(O303,($N$4*6/10))^3-N303^3)-(MIN(O303,($N$4*6/10))^4-N303^4)/4,0)+IF(O303&gt;($N$4*6/10),($N$4*6/10)^2*(1.5*(O303^2-MAX(N303,($N$4*6/10))^2)-($N$4*6/10)*(O303-MAX(N303,($N$4*6/10)))),0))*1000,0)</f>
        <v>0</v>
      </c>
      <c r="AT303" s="120">
        <f>IF(AND(V303="OK",ISNUMBER($N$5),$N$5&gt;0,ISNUMBER($N$3),$N$3&gt;0),R303/(6*$N$3*1000000*$N$5)*(IF(N303&lt;($N$4*7/10),($N$4*7/10)*(MIN(O303,($N$4*7/10))^3-N303^3)-(MIN(O303,($N$4*7/10))^4-N303^4)/4,0)+IF(O303&gt;($N$4*7/10),($N$4*7/10)^2*(1.5*(O303^2-MAX(N303,($N$4*7/10))^2)-($N$4*7/10)*(O303-MAX(N303,($N$4*7/10)))),0))*1000,0)</f>
        <v>0</v>
      </c>
      <c r="AU303" s="120">
        <f>IF(AND(V303="OK",ISNUMBER($N$5),$N$5&gt;0,ISNUMBER($N$3),$N$3&gt;0),R303/(6*$N$3*1000000*$N$5)*(IF(N303&lt;($N$4*8/10),($N$4*8/10)*(MIN(O303,($N$4*8/10))^3-N303^3)-(MIN(O303,($N$4*8/10))^4-N303^4)/4,0)+IF(O303&gt;($N$4*8/10),($N$4*8/10)^2*(1.5*(O303^2-MAX(N303,($N$4*8/10))^2)-($N$4*8/10)*(O303-MAX(N303,($N$4*8/10)))),0))*1000,0)</f>
        <v>0</v>
      </c>
      <c r="AV303" s="120">
        <f>IF(AND(V303="OK",ISNUMBER($N$5),$N$5&gt;0,ISNUMBER($N$3),$N$3&gt;0),R303/(6*$N$3*1000000*$N$5)*(IF(N303&lt;($N$4*9/10),($N$4*9/10)*(MIN(O303,($N$4*9/10))^3-N303^3)-(MIN(O303,($N$4*9/10))^4-N303^4)/4,0)+IF(O303&gt;($N$4*9/10),($N$4*9/10)^2*(1.5*(O303^2-MAX(N303,($N$4*9/10))^2)-($N$4*9/10)*(O303-MAX(N303,($N$4*9/10)))),0))*1000,0)</f>
        <v>0</v>
      </c>
      <c r="AW303" s="120">
        <f>IF(AND(V303="OK",ISNUMBER($N$5),$N$5&gt;0,ISNUMBER($N$3),$N$3&gt;0),R303/(6*$N$3*1000000*$N$5)*(IF(N303&lt;($N$4*10/10),($N$4*10/10)*(MIN(O303,($N$4*10/10))^3-N303^3)-(MIN(O303,($N$4*10/10))^4-N303^4)/4,0)+IF(O303&gt;($N$4*10/10),($N$4*10/10)^2*(1.5*(O303^2-MAX(N303,($N$4*10/10))^2)-($N$4*10/10)*(O303-MAX(N303,($N$4*10/10)))),0))*1000,0)</f>
        <v>0</v>
      </c>
    </row>
    <row r="304" spans="1:49">
      <c r="A304" s="124"/>
      <c r="B304" s="125"/>
      <c r="C304" s="125"/>
      <c r="D304" s="125"/>
      <c r="E304" s="125"/>
      <c r="F304" s="126" t="str">
        <f>IF(J304="OK",D304*E304,"")</f>
        <v/>
      </c>
      <c r="G304" s="126" t="str">
        <f>IF(J304="OK",F304*(C304-B304),"")</f>
        <v/>
      </c>
      <c r="H304" s="126" t="str">
        <f>IF(J304="OK",G304*(C304+B304)/2,"")</f>
        <v/>
      </c>
      <c r="I304" s="126" t="str">
        <f>IF(AND(J304="OK",ISNUMBER($B$5),$B$5&gt;0,ISNUMBER($B$3),$B$3&gt;0),F304*(4*$B$4*(C304^3-B304^3)-(C304^4-B304^4))/(24*$B$3*1000000*$B$5)*1000,"")</f>
        <v/>
      </c>
      <c r="J304" s="120" t="str">
        <f>IF(COUNTA(A304:E304)=0,"",IF(AND(COUNT(B304:E304)=4,B304&gt;=0,C304&gt;B304,C304&lt;=$B$4,D304&gt;=0,E304&gt;0),IF(COUNTIFS($B$13:$B$303,"&lt;"&amp;C304,$C$13:$C$303,"&gt;"&amp;B304)&gt;0,"OVERLAP","OK"),"CHECK INPUTS"))</f>
        <v/>
      </c>
      <c r="M304" s="124"/>
      <c r="N304" s="125"/>
      <c r="O304" s="125"/>
      <c r="P304" s="125"/>
      <c r="Q304" s="125"/>
      <c r="R304" s="126" t="str">
        <f>IF(V304="OK",P304*Q304,"")</f>
        <v/>
      </c>
      <c r="S304" s="126" t="str">
        <f>IF(V304="OK",R304*(O304-N304),"")</f>
        <v/>
      </c>
      <c r="T304" s="126" t="str">
        <f>IF(V304="OK",S304*(O304+N304)/2,"")</f>
        <v/>
      </c>
      <c r="U304" s="126" t="str">
        <f>IF(AND(V304="OK",ISNUMBER($N$5),$N$5&gt;0,ISNUMBER($N$3),$N$3&gt;0),R304*(4*$N$4*(O304^3-N304^3)-(O304^4-N304^4))/(24*$N$3*1000000*$N$5)*1000,"")</f>
        <v/>
      </c>
      <c r="V304" s="120" t="str">
        <f>IF(COUNTA(M304:Q304)=0,"",IF(AND(COUNT(N304:Q304)=4,N304&gt;=0,O304&gt;N304,O304&lt;=$N$4,P304&gt;=0,Q304&gt;0),IF(COUNTIFS($N$13:$N$303,"&lt;"&amp;O304,$O$13:$O$303,"&gt;"&amp;N304)&gt;0,"OVERLAP","OK"),"CHECK INPUTS"))</f>
        <v/>
      </c>
      <c r="AA304" s="120">
        <f>IF(AND(J304="OK",ISNUMBER($B$5),$B$5&gt;0,ISNUMBER($B$3),$B$3&gt;0),F304/(6*$B$3*1000000*$B$5)*(IF(B304&lt;($B$4*0/10),($B$4*0/10)*(MIN(C304,($B$4*0/10))^3-B304^3)-(MIN(C304,($B$4*0/10))^4-B304^4)/4,0)+IF(C304&gt;($B$4*0/10),($B$4*0/10)^2*(1.5*(C304^2-MAX(B304,($B$4*0/10))^2)-($B$4*0/10)*(C304-MAX(B304,($B$4*0/10)))),0))*1000,0)</f>
        <v>0</v>
      </c>
      <c r="AB304" s="120">
        <f>IF(AND(J304="OK",ISNUMBER($B$5),$B$5&gt;0,ISNUMBER($B$3),$B$3&gt;0),F304/(6*$B$3*1000000*$B$5)*(IF(B304&lt;($B$4*1/10),($B$4*1/10)*(MIN(C304,($B$4*1/10))^3-B304^3)-(MIN(C304,($B$4*1/10))^4-B304^4)/4,0)+IF(C304&gt;($B$4*1/10),($B$4*1/10)^2*(1.5*(C304^2-MAX(B304,($B$4*1/10))^2)-($B$4*1/10)*(C304-MAX(B304,($B$4*1/10)))),0))*1000,0)</f>
        <v>0</v>
      </c>
      <c r="AC304" s="120">
        <f>IF(AND(J304="OK",ISNUMBER($B$5),$B$5&gt;0,ISNUMBER($B$3),$B$3&gt;0),F304/(6*$B$3*1000000*$B$5)*(IF(B304&lt;($B$4*2/10),($B$4*2/10)*(MIN(C304,($B$4*2/10))^3-B304^3)-(MIN(C304,($B$4*2/10))^4-B304^4)/4,0)+IF(C304&gt;($B$4*2/10),($B$4*2/10)^2*(1.5*(C304^2-MAX(B304,($B$4*2/10))^2)-($B$4*2/10)*(C304-MAX(B304,($B$4*2/10)))),0))*1000,0)</f>
        <v>0</v>
      </c>
      <c r="AD304" s="120">
        <f>IF(AND(J304="OK",ISNUMBER($B$5),$B$5&gt;0,ISNUMBER($B$3),$B$3&gt;0),F304/(6*$B$3*1000000*$B$5)*(IF(B304&lt;($B$4*3/10),($B$4*3/10)*(MIN(C304,($B$4*3/10))^3-B304^3)-(MIN(C304,($B$4*3/10))^4-B304^4)/4,0)+IF(C304&gt;($B$4*3/10),($B$4*3/10)^2*(1.5*(C304^2-MAX(B304,($B$4*3/10))^2)-($B$4*3/10)*(C304-MAX(B304,($B$4*3/10)))),0))*1000,0)</f>
        <v>0</v>
      </c>
      <c r="AE304" s="120">
        <f>IF(AND(J304="OK",ISNUMBER($B$5),$B$5&gt;0,ISNUMBER($B$3),$B$3&gt;0),F304/(6*$B$3*1000000*$B$5)*(IF(B304&lt;($B$4*4/10),($B$4*4/10)*(MIN(C304,($B$4*4/10))^3-B304^3)-(MIN(C304,($B$4*4/10))^4-B304^4)/4,0)+IF(C304&gt;($B$4*4/10),($B$4*4/10)^2*(1.5*(C304^2-MAX(B304,($B$4*4/10))^2)-($B$4*4/10)*(C304-MAX(B304,($B$4*4/10)))),0))*1000,0)</f>
        <v>0</v>
      </c>
      <c r="AF304" s="120">
        <f>IF(AND(J304="OK",ISNUMBER($B$5),$B$5&gt;0,ISNUMBER($B$3),$B$3&gt;0),F304/(6*$B$3*1000000*$B$5)*(IF(B304&lt;($B$4*5/10),($B$4*5/10)*(MIN(C304,($B$4*5/10))^3-B304^3)-(MIN(C304,($B$4*5/10))^4-B304^4)/4,0)+IF(C304&gt;($B$4*5/10),($B$4*5/10)^2*(1.5*(C304^2-MAX(B304,($B$4*5/10))^2)-($B$4*5/10)*(C304-MAX(B304,($B$4*5/10)))),0))*1000,0)</f>
        <v>0</v>
      </c>
      <c r="AG304" s="120">
        <f>IF(AND(J304="OK",ISNUMBER($B$5),$B$5&gt;0,ISNUMBER($B$3),$B$3&gt;0),F304/(6*$B$3*1000000*$B$5)*(IF(B304&lt;($B$4*6/10),($B$4*6/10)*(MIN(C304,($B$4*6/10))^3-B304^3)-(MIN(C304,($B$4*6/10))^4-B304^4)/4,0)+IF(C304&gt;($B$4*6/10),($B$4*6/10)^2*(1.5*(C304^2-MAX(B304,($B$4*6/10))^2)-($B$4*6/10)*(C304-MAX(B304,($B$4*6/10)))),0))*1000,0)</f>
        <v>0</v>
      </c>
      <c r="AH304" s="120">
        <f>IF(AND(J304="OK",ISNUMBER($B$5),$B$5&gt;0,ISNUMBER($B$3),$B$3&gt;0),F304/(6*$B$3*1000000*$B$5)*(IF(B304&lt;($B$4*7/10),($B$4*7/10)*(MIN(C304,($B$4*7/10))^3-B304^3)-(MIN(C304,($B$4*7/10))^4-B304^4)/4,0)+IF(C304&gt;($B$4*7/10),($B$4*7/10)^2*(1.5*(C304^2-MAX(B304,($B$4*7/10))^2)-($B$4*7/10)*(C304-MAX(B304,($B$4*7/10)))),0))*1000,0)</f>
        <v>0</v>
      </c>
      <c r="AI304" s="120">
        <f>IF(AND(J304="OK",ISNUMBER($B$5),$B$5&gt;0,ISNUMBER($B$3),$B$3&gt;0),F304/(6*$B$3*1000000*$B$5)*(IF(B304&lt;($B$4*8/10),($B$4*8/10)*(MIN(C304,($B$4*8/10))^3-B304^3)-(MIN(C304,($B$4*8/10))^4-B304^4)/4,0)+IF(C304&gt;($B$4*8/10),($B$4*8/10)^2*(1.5*(C304^2-MAX(B304,($B$4*8/10))^2)-($B$4*8/10)*(C304-MAX(B304,($B$4*8/10)))),0))*1000,0)</f>
        <v>0</v>
      </c>
      <c r="AJ304" s="120">
        <f>IF(AND(J304="OK",ISNUMBER($B$5),$B$5&gt;0,ISNUMBER($B$3),$B$3&gt;0),F304/(6*$B$3*1000000*$B$5)*(IF(B304&lt;($B$4*9/10),($B$4*9/10)*(MIN(C304,($B$4*9/10))^3-B304^3)-(MIN(C304,($B$4*9/10))^4-B304^4)/4,0)+IF(C304&gt;($B$4*9/10),($B$4*9/10)^2*(1.5*(C304^2-MAX(B304,($B$4*9/10))^2)-($B$4*9/10)*(C304-MAX(B304,($B$4*9/10)))),0))*1000,0)</f>
        <v>0</v>
      </c>
      <c r="AK304" s="120">
        <f>IF(AND(J304="OK",ISNUMBER($B$5),$B$5&gt;0,ISNUMBER($B$3),$B$3&gt;0),F304/(6*$B$3*1000000*$B$5)*(IF(B304&lt;($B$4*10/10),($B$4*10/10)*(MIN(C304,($B$4*10/10))^3-B304^3)-(MIN(C304,($B$4*10/10))^4-B304^4)/4,0)+IF(C304&gt;($B$4*10/10),($B$4*10/10)^2*(1.5*(C304^2-MAX(B304,($B$4*10/10))^2)-($B$4*10/10)*(C304-MAX(B304,($B$4*10/10)))),0))*1000,0)</f>
        <v>0</v>
      </c>
      <c r="AM304" s="120">
        <f>IF(AND(V304="OK",ISNUMBER($N$5),$N$5&gt;0,ISNUMBER($N$3),$N$3&gt;0),R304/(6*$N$3*1000000*$N$5)*(IF(N304&lt;($N$4*0/10),($N$4*0/10)*(MIN(O304,($N$4*0/10))^3-N304^3)-(MIN(O304,($N$4*0/10))^4-N304^4)/4,0)+IF(O304&gt;($N$4*0/10),($N$4*0/10)^2*(1.5*(O304^2-MAX(N304,($N$4*0/10))^2)-($N$4*0/10)*(O304-MAX(N304,($N$4*0/10)))),0))*1000,0)</f>
        <v>0</v>
      </c>
      <c r="AN304" s="120">
        <f>IF(AND(V304="OK",ISNUMBER($N$5),$N$5&gt;0,ISNUMBER($N$3),$N$3&gt;0),R304/(6*$N$3*1000000*$N$5)*(IF(N304&lt;($N$4*1/10),($N$4*1/10)*(MIN(O304,($N$4*1/10))^3-N304^3)-(MIN(O304,($N$4*1/10))^4-N304^4)/4,0)+IF(O304&gt;($N$4*1/10),($N$4*1/10)^2*(1.5*(O304^2-MAX(N304,($N$4*1/10))^2)-($N$4*1/10)*(O304-MAX(N304,($N$4*1/10)))),0))*1000,0)</f>
        <v>0</v>
      </c>
      <c r="AO304" s="120">
        <f>IF(AND(V304="OK",ISNUMBER($N$5),$N$5&gt;0,ISNUMBER($N$3),$N$3&gt;0),R304/(6*$N$3*1000000*$N$5)*(IF(N304&lt;($N$4*2/10),($N$4*2/10)*(MIN(O304,($N$4*2/10))^3-N304^3)-(MIN(O304,($N$4*2/10))^4-N304^4)/4,0)+IF(O304&gt;($N$4*2/10),($N$4*2/10)^2*(1.5*(O304^2-MAX(N304,($N$4*2/10))^2)-($N$4*2/10)*(O304-MAX(N304,($N$4*2/10)))),0))*1000,0)</f>
        <v>0</v>
      </c>
      <c r="AP304" s="120">
        <f>IF(AND(V304="OK",ISNUMBER($N$5),$N$5&gt;0,ISNUMBER($N$3),$N$3&gt;0),R304/(6*$N$3*1000000*$N$5)*(IF(N304&lt;($N$4*3/10),($N$4*3/10)*(MIN(O304,($N$4*3/10))^3-N304^3)-(MIN(O304,($N$4*3/10))^4-N304^4)/4,0)+IF(O304&gt;($N$4*3/10),($N$4*3/10)^2*(1.5*(O304^2-MAX(N304,($N$4*3/10))^2)-($N$4*3/10)*(O304-MAX(N304,($N$4*3/10)))),0))*1000,0)</f>
        <v>0</v>
      </c>
      <c r="AQ304" s="120">
        <f>IF(AND(V304="OK",ISNUMBER($N$5),$N$5&gt;0,ISNUMBER($N$3),$N$3&gt;0),R304/(6*$N$3*1000000*$N$5)*(IF(N304&lt;($N$4*4/10),($N$4*4/10)*(MIN(O304,($N$4*4/10))^3-N304^3)-(MIN(O304,($N$4*4/10))^4-N304^4)/4,0)+IF(O304&gt;($N$4*4/10),($N$4*4/10)^2*(1.5*(O304^2-MAX(N304,($N$4*4/10))^2)-($N$4*4/10)*(O304-MAX(N304,($N$4*4/10)))),0))*1000,0)</f>
        <v>0</v>
      </c>
      <c r="AR304" s="120">
        <f>IF(AND(V304="OK",ISNUMBER($N$5),$N$5&gt;0,ISNUMBER($N$3),$N$3&gt;0),R304/(6*$N$3*1000000*$N$5)*(IF(N304&lt;($N$4*5/10),($N$4*5/10)*(MIN(O304,($N$4*5/10))^3-N304^3)-(MIN(O304,($N$4*5/10))^4-N304^4)/4,0)+IF(O304&gt;($N$4*5/10),($N$4*5/10)^2*(1.5*(O304^2-MAX(N304,($N$4*5/10))^2)-($N$4*5/10)*(O304-MAX(N304,($N$4*5/10)))),0))*1000,0)</f>
        <v>0</v>
      </c>
      <c r="AS304" s="120">
        <f>IF(AND(V304="OK",ISNUMBER($N$5),$N$5&gt;0,ISNUMBER($N$3),$N$3&gt;0),R304/(6*$N$3*1000000*$N$5)*(IF(N304&lt;($N$4*6/10),($N$4*6/10)*(MIN(O304,($N$4*6/10))^3-N304^3)-(MIN(O304,($N$4*6/10))^4-N304^4)/4,0)+IF(O304&gt;($N$4*6/10),($N$4*6/10)^2*(1.5*(O304^2-MAX(N304,($N$4*6/10))^2)-($N$4*6/10)*(O304-MAX(N304,($N$4*6/10)))),0))*1000,0)</f>
        <v>0</v>
      </c>
      <c r="AT304" s="120">
        <f>IF(AND(V304="OK",ISNUMBER($N$5),$N$5&gt;0,ISNUMBER($N$3),$N$3&gt;0),R304/(6*$N$3*1000000*$N$5)*(IF(N304&lt;($N$4*7/10),($N$4*7/10)*(MIN(O304,($N$4*7/10))^3-N304^3)-(MIN(O304,($N$4*7/10))^4-N304^4)/4,0)+IF(O304&gt;($N$4*7/10),($N$4*7/10)^2*(1.5*(O304^2-MAX(N304,($N$4*7/10))^2)-($N$4*7/10)*(O304-MAX(N304,($N$4*7/10)))),0))*1000,0)</f>
        <v>0</v>
      </c>
      <c r="AU304" s="120">
        <f>IF(AND(V304="OK",ISNUMBER($N$5),$N$5&gt;0,ISNUMBER($N$3),$N$3&gt;0),R304/(6*$N$3*1000000*$N$5)*(IF(N304&lt;($N$4*8/10),($N$4*8/10)*(MIN(O304,($N$4*8/10))^3-N304^3)-(MIN(O304,($N$4*8/10))^4-N304^4)/4,0)+IF(O304&gt;($N$4*8/10),($N$4*8/10)^2*(1.5*(O304^2-MAX(N304,($N$4*8/10))^2)-($N$4*8/10)*(O304-MAX(N304,($N$4*8/10)))),0))*1000,0)</f>
        <v>0</v>
      </c>
      <c r="AV304" s="120">
        <f>IF(AND(V304="OK",ISNUMBER($N$5),$N$5&gt;0,ISNUMBER($N$3),$N$3&gt;0),R304/(6*$N$3*1000000*$N$5)*(IF(N304&lt;($N$4*9/10),($N$4*9/10)*(MIN(O304,($N$4*9/10))^3-N304^3)-(MIN(O304,($N$4*9/10))^4-N304^4)/4,0)+IF(O304&gt;($N$4*9/10),($N$4*9/10)^2*(1.5*(O304^2-MAX(N304,($N$4*9/10))^2)-($N$4*9/10)*(O304-MAX(N304,($N$4*9/10)))),0))*1000,0)</f>
        <v>0</v>
      </c>
      <c r="AW304" s="120">
        <f>IF(AND(V304="OK",ISNUMBER($N$5),$N$5&gt;0,ISNUMBER($N$3),$N$3&gt;0),R304/(6*$N$3*1000000*$N$5)*(IF(N304&lt;($N$4*10/10),($N$4*10/10)*(MIN(O304,($N$4*10/10))^3-N304^3)-(MIN(O304,($N$4*10/10))^4-N304^4)/4,0)+IF(O304&gt;($N$4*10/10),($N$4*10/10)^2*(1.5*(O304^2-MAX(N304,($N$4*10/10))^2)-($N$4*10/10)*(O304-MAX(N304,($N$4*10/10)))),0))*1000,0)</f>
        <v>0</v>
      </c>
    </row>
    <row r="305" spans="1:49">
      <c r="A305" s="124"/>
      <c r="B305" s="125"/>
      <c r="C305" s="125"/>
      <c r="D305" s="125"/>
      <c r="E305" s="125"/>
      <c r="F305" s="126" t="str">
        <f>IF(J305="OK",D305*E305,"")</f>
        <v/>
      </c>
      <c r="G305" s="126" t="str">
        <f>IF(J305="OK",F305*(C305-B305),"")</f>
        <v/>
      </c>
      <c r="H305" s="126" t="str">
        <f>IF(J305="OK",G305*(C305+B305)/2,"")</f>
        <v/>
      </c>
      <c r="I305" s="126" t="str">
        <f>IF(AND(J305="OK",ISNUMBER($B$5),$B$5&gt;0,ISNUMBER($B$3),$B$3&gt;0),F305*(4*$B$4*(C305^3-B305^3)-(C305^4-B305^4))/(24*$B$3*1000000*$B$5)*1000,"")</f>
        <v/>
      </c>
      <c r="J305" s="120" t="str">
        <f>IF(COUNTA(A305:E305)=0,"",IF(AND(COUNT(B305:E305)=4,B305&gt;=0,C305&gt;B305,C305&lt;=$B$4,D305&gt;=0,E305&gt;0),IF(COUNTIFS($B$13:$B$304,"&lt;"&amp;C305,$C$13:$C$304,"&gt;"&amp;B305)&gt;0,"OVERLAP","OK"),"CHECK INPUTS"))</f>
        <v/>
      </c>
      <c r="M305" s="124"/>
      <c r="N305" s="125"/>
      <c r="O305" s="125"/>
      <c r="P305" s="125"/>
      <c r="Q305" s="125"/>
      <c r="R305" s="126" t="str">
        <f>IF(V305="OK",P305*Q305,"")</f>
        <v/>
      </c>
      <c r="S305" s="126" t="str">
        <f>IF(V305="OK",R305*(O305-N305),"")</f>
        <v/>
      </c>
      <c r="T305" s="126" t="str">
        <f>IF(V305="OK",S305*(O305+N305)/2,"")</f>
        <v/>
      </c>
      <c r="U305" s="126" t="str">
        <f>IF(AND(V305="OK",ISNUMBER($N$5),$N$5&gt;0,ISNUMBER($N$3),$N$3&gt;0),R305*(4*$N$4*(O305^3-N305^3)-(O305^4-N305^4))/(24*$N$3*1000000*$N$5)*1000,"")</f>
        <v/>
      </c>
      <c r="V305" s="120" t="str">
        <f>IF(COUNTA(M305:Q305)=0,"",IF(AND(COUNT(N305:Q305)=4,N305&gt;=0,O305&gt;N305,O305&lt;=$N$4,P305&gt;=0,Q305&gt;0),IF(COUNTIFS($N$13:$N$304,"&lt;"&amp;O305,$O$13:$O$304,"&gt;"&amp;N305)&gt;0,"OVERLAP","OK"),"CHECK INPUTS"))</f>
        <v/>
      </c>
      <c r="AA305" s="120">
        <f>IF(AND(J305="OK",ISNUMBER($B$5),$B$5&gt;0,ISNUMBER($B$3),$B$3&gt;0),F305/(6*$B$3*1000000*$B$5)*(IF(B305&lt;($B$4*0/10),($B$4*0/10)*(MIN(C305,($B$4*0/10))^3-B305^3)-(MIN(C305,($B$4*0/10))^4-B305^4)/4,0)+IF(C305&gt;($B$4*0/10),($B$4*0/10)^2*(1.5*(C305^2-MAX(B305,($B$4*0/10))^2)-($B$4*0/10)*(C305-MAX(B305,($B$4*0/10)))),0))*1000,0)</f>
        <v>0</v>
      </c>
      <c r="AB305" s="120">
        <f>IF(AND(J305="OK",ISNUMBER($B$5),$B$5&gt;0,ISNUMBER($B$3),$B$3&gt;0),F305/(6*$B$3*1000000*$B$5)*(IF(B305&lt;($B$4*1/10),($B$4*1/10)*(MIN(C305,($B$4*1/10))^3-B305^3)-(MIN(C305,($B$4*1/10))^4-B305^4)/4,0)+IF(C305&gt;($B$4*1/10),($B$4*1/10)^2*(1.5*(C305^2-MAX(B305,($B$4*1/10))^2)-($B$4*1/10)*(C305-MAX(B305,($B$4*1/10)))),0))*1000,0)</f>
        <v>0</v>
      </c>
      <c r="AC305" s="120">
        <f>IF(AND(J305="OK",ISNUMBER($B$5),$B$5&gt;0,ISNUMBER($B$3),$B$3&gt;0),F305/(6*$B$3*1000000*$B$5)*(IF(B305&lt;($B$4*2/10),($B$4*2/10)*(MIN(C305,($B$4*2/10))^3-B305^3)-(MIN(C305,($B$4*2/10))^4-B305^4)/4,0)+IF(C305&gt;($B$4*2/10),($B$4*2/10)^2*(1.5*(C305^2-MAX(B305,($B$4*2/10))^2)-($B$4*2/10)*(C305-MAX(B305,($B$4*2/10)))),0))*1000,0)</f>
        <v>0</v>
      </c>
      <c r="AD305" s="120">
        <f>IF(AND(J305="OK",ISNUMBER($B$5),$B$5&gt;0,ISNUMBER($B$3),$B$3&gt;0),F305/(6*$B$3*1000000*$B$5)*(IF(B305&lt;($B$4*3/10),($B$4*3/10)*(MIN(C305,($B$4*3/10))^3-B305^3)-(MIN(C305,($B$4*3/10))^4-B305^4)/4,0)+IF(C305&gt;($B$4*3/10),($B$4*3/10)^2*(1.5*(C305^2-MAX(B305,($B$4*3/10))^2)-($B$4*3/10)*(C305-MAX(B305,($B$4*3/10)))),0))*1000,0)</f>
        <v>0</v>
      </c>
      <c r="AE305" s="120">
        <f>IF(AND(J305="OK",ISNUMBER($B$5),$B$5&gt;0,ISNUMBER($B$3),$B$3&gt;0),F305/(6*$B$3*1000000*$B$5)*(IF(B305&lt;($B$4*4/10),($B$4*4/10)*(MIN(C305,($B$4*4/10))^3-B305^3)-(MIN(C305,($B$4*4/10))^4-B305^4)/4,0)+IF(C305&gt;($B$4*4/10),($B$4*4/10)^2*(1.5*(C305^2-MAX(B305,($B$4*4/10))^2)-($B$4*4/10)*(C305-MAX(B305,($B$4*4/10)))),0))*1000,0)</f>
        <v>0</v>
      </c>
      <c r="AF305" s="120">
        <f>IF(AND(J305="OK",ISNUMBER($B$5),$B$5&gt;0,ISNUMBER($B$3),$B$3&gt;0),F305/(6*$B$3*1000000*$B$5)*(IF(B305&lt;($B$4*5/10),($B$4*5/10)*(MIN(C305,($B$4*5/10))^3-B305^3)-(MIN(C305,($B$4*5/10))^4-B305^4)/4,0)+IF(C305&gt;($B$4*5/10),($B$4*5/10)^2*(1.5*(C305^2-MAX(B305,($B$4*5/10))^2)-($B$4*5/10)*(C305-MAX(B305,($B$4*5/10)))),0))*1000,0)</f>
        <v>0</v>
      </c>
      <c r="AG305" s="120">
        <f>IF(AND(J305="OK",ISNUMBER($B$5),$B$5&gt;0,ISNUMBER($B$3),$B$3&gt;0),F305/(6*$B$3*1000000*$B$5)*(IF(B305&lt;($B$4*6/10),($B$4*6/10)*(MIN(C305,($B$4*6/10))^3-B305^3)-(MIN(C305,($B$4*6/10))^4-B305^4)/4,0)+IF(C305&gt;($B$4*6/10),($B$4*6/10)^2*(1.5*(C305^2-MAX(B305,($B$4*6/10))^2)-($B$4*6/10)*(C305-MAX(B305,($B$4*6/10)))),0))*1000,0)</f>
        <v>0</v>
      </c>
      <c r="AH305" s="120">
        <f>IF(AND(J305="OK",ISNUMBER($B$5),$B$5&gt;0,ISNUMBER($B$3),$B$3&gt;0),F305/(6*$B$3*1000000*$B$5)*(IF(B305&lt;($B$4*7/10),($B$4*7/10)*(MIN(C305,($B$4*7/10))^3-B305^3)-(MIN(C305,($B$4*7/10))^4-B305^4)/4,0)+IF(C305&gt;($B$4*7/10),($B$4*7/10)^2*(1.5*(C305^2-MAX(B305,($B$4*7/10))^2)-($B$4*7/10)*(C305-MAX(B305,($B$4*7/10)))),0))*1000,0)</f>
        <v>0</v>
      </c>
      <c r="AI305" s="120">
        <f>IF(AND(J305="OK",ISNUMBER($B$5),$B$5&gt;0,ISNUMBER($B$3),$B$3&gt;0),F305/(6*$B$3*1000000*$B$5)*(IF(B305&lt;($B$4*8/10),($B$4*8/10)*(MIN(C305,($B$4*8/10))^3-B305^3)-(MIN(C305,($B$4*8/10))^4-B305^4)/4,0)+IF(C305&gt;($B$4*8/10),($B$4*8/10)^2*(1.5*(C305^2-MAX(B305,($B$4*8/10))^2)-($B$4*8/10)*(C305-MAX(B305,($B$4*8/10)))),0))*1000,0)</f>
        <v>0</v>
      </c>
      <c r="AJ305" s="120">
        <f>IF(AND(J305="OK",ISNUMBER($B$5),$B$5&gt;0,ISNUMBER($B$3),$B$3&gt;0),F305/(6*$B$3*1000000*$B$5)*(IF(B305&lt;($B$4*9/10),($B$4*9/10)*(MIN(C305,($B$4*9/10))^3-B305^3)-(MIN(C305,($B$4*9/10))^4-B305^4)/4,0)+IF(C305&gt;($B$4*9/10),($B$4*9/10)^2*(1.5*(C305^2-MAX(B305,($B$4*9/10))^2)-($B$4*9/10)*(C305-MAX(B305,($B$4*9/10)))),0))*1000,0)</f>
        <v>0</v>
      </c>
      <c r="AK305" s="120">
        <f>IF(AND(J305="OK",ISNUMBER($B$5),$B$5&gt;0,ISNUMBER($B$3),$B$3&gt;0),F305/(6*$B$3*1000000*$B$5)*(IF(B305&lt;($B$4*10/10),($B$4*10/10)*(MIN(C305,($B$4*10/10))^3-B305^3)-(MIN(C305,($B$4*10/10))^4-B305^4)/4,0)+IF(C305&gt;($B$4*10/10),($B$4*10/10)^2*(1.5*(C305^2-MAX(B305,($B$4*10/10))^2)-($B$4*10/10)*(C305-MAX(B305,($B$4*10/10)))),0))*1000,0)</f>
        <v>0</v>
      </c>
      <c r="AM305" s="120">
        <f>IF(AND(V305="OK",ISNUMBER($N$5),$N$5&gt;0,ISNUMBER($N$3),$N$3&gt;0),R305/(6*$N$3*1000000*$N$5)*(IF(N305&lt;($N$4*0/10),($N$4*0/10)*(MIN(O305,($N$4*0/10))^3-N305^3)-(MIN(O305,($N$4*0/10))^4-N305^4)/4,0)+IF(O305&gt;($N$4*0/10),($N$4*0/10)^2*(1.5*(O305^2-MAX(N305,($N$4*0/10))^2)-($N$4*0/10)*(O305-MAX(N305,($N$4*0/10)))),0))*1000,0)</f>
        <v>0</v>
      </c>
      <c r="AN305" s="120">
        <f>IF(AND(V305="OK",ISNUMBER($N$5),$N$5&gt;0,ISNUMBER($N$3),$N$3&gt;0),R305/(6*$N$3*1000000*$N$5)*(IF(N305&lt;($N$4*1/10),($N$4*1/10)*(MIN(O305,($N$4*1/10))^3-N305^3)-(MIN(O305,($N$4*1/10))^4-N305^4)/4,0)+IF(O305&gt;($N$4*1/10),($N$4*1/10)^2*(1.5*(O305^2-MAX(N305,($N$4*1/10))^2)-($N$4*1/10)*(O305-MAX(N305,($N$4*1/10)))),0))*1000,0)</f>
        <v>0</v>
      </c>
      <c r="AO305" s="120">
        <f>IF(AND(V305="OK",ISNUMBER($N$5),$N$5&gt;0,ISNUMBER($N$3),$N$3&gt;0),R305/(6*$N$3*1000000*$N$5)*(IF(N305&lt;($N$4*2/10),($N$4*2/10)*(MIN(O305,($N$4*2/10))^3-N305^3)-(MIN(O305,($N$4*2/10))^4-N305^4)/4,0)+IF(O305&gt;($N$4*2/10),($N$4*2/10)^2*(1.5*(O305^2-MAX(N305,($N$4*2/10))^2)-($N$4*2/10)*(O305-MAX(N305,($N$4*2/10)))),0))*1000,0)</f>
        <v>0</v>
      </c>
      <c r="AP305" s="120">
        <f>IF(AND(V305="OK",ISNUMBER($N$5),$N$5&gt;0,ISNUMBER($N$3),$N$3&gt;0),R305/(6*$N$3*1000000*$N$5)*(IF(N305&lt;($N$4*3/10),($N$4*3/10)*(MIN(O305,($N$4*3/10))^3-N305^3)-(MIN(O305,($N$4*3/10))^4-N305^4)/4,0)+IF(O305&gt;($N$4*3/10),($N$4*3/10)^2*(1.5*(O305^2-MAX(N305,($N$4*3/10))^2)-($N$4*3/10)*(O305-MAX(N305,($N$4*3/10)))),0))*1000,0)</f>
        <v>0</v>
      </c>
      <c r="AQ305" s="120">
        <f>IF(AND(V305="OK",ISNUMBER($N$5),$N$5&gt;0,ISNUMBER($N$3),$N$3&gt;0),R305/(6*$N$3*1000000*$N$5)*(IF(N305&lt;($N$4*4/10),($N$4*4/10)*(MIN(O305,($N$4*4/10))^3-N305^3)-(MIN(O305,($N$4*4/10))^4-N305^4)/4,0)+IF(O305&gt;($N$4*4/10),($N$4*4/10)^2*(1.5*(O305^2-MAX(N305,($N$4*4/10))^2)-($N$4*4/10)*(O305-MAX(N305,($N$4*4/10)))),0))*1000,0)</f>
        <v>0</v>
      </c>
      <c r="AR305" s="120">
        <f>IF(AND(V305="OK",ISNUMBER($N$5),$N$5&gt;0,ISNUMBER($N$3),$N$3&gt;0),R305/(6*$N$3*1000000*$N$5)*(IF(N305&lt;($N$4*5/10),($N$4*5/10)*(MIN(O305,($N$4*5/10))^3-N305^3)-(MIN(O305,($N$4*5/10))^4-N305^4)/4,0)+IF(O305&gt;($N$4*5/10),($N$4*5/10)^2*(1.5*(O305^2-MAX(N305,($N$4*5/10))^2)-($N$4*5/10)*(O305-MAX(N305,($N$4*5/10)))),0))*1000,0)</f>
        <v>0</v>
      </c>
      <c r="AS305" s="120">
        <f>IF(AND(V305="OK",ISNUMBER($N$5),$N$5&gt;0,ISNUMBER($N$3),$N$3&gt;0),R305/(6*$N$3*1000000*$N$5)*(IF(N305&lt;($N$4*6/10),($N$4*6/10)*(MIN(O305,($N$4*6/10))^3-N305^3)-(MIN(O305,($N$4*6/10))^4-N305^4)/4,0)+IF(O305&gt;($N$4*6/10),($N$4*6/10)^2*(1.5*(O305^2-MAX(N305,($N$4*6/10))^2)-($N$4*6/10)*(O305-MAX(N305,($N$4*6/10)))),0))*1000,0)</f>
        <v>0</v>
      </c>
      <c r="AT305" s="120">
        <f>IF(AND(V305="OK",ISNUMBER($N$5),$N$5&gt;0,ISNUMBER($N$3),$N$3&gt;0),R305/(6*$N$3*1000000*$N$5)*(IF(N305&lt;($N$4*7/10),($N$4*7/10)*(MIN(O305,($N$4*7/10))^3-N305^3)-(MIN(O305,($N$4*7/10))^4-N305^4)/4,0)+IF(O305&gt;($N$4*7/10),($N$4*7/10)^2*(1.5*(O305^2-MAX(N305,($N$4*7/10))^2)-($N$4*7/10)*(O305-MAX(N305,($N$4*7/10)))),0))*1000,0)</f>
        <v>0</v>
      </c>
      <c r="AU305" s="120">
        <f>IF(AND(V305="OK",ISNUMBER($N$5),$N$5&gt;0,ISNUMBER($N$3),$N$3&gt;0),R305/(6*$N$3*1000000*$N$5)*(IF(N305&lt;($N$4*8/10),($N$4*8/10)*(MIN(O305,($N$4*8/10))^3-N305^3)-(MIN(O305,($N$4*8/10))^4-N305^4)/4,0)+IF(O305&gt;($N$4*8/10),($N$4*8/10)^2*(1.5*(O305^2-MAX(N305,($N$4*8/10))^2)-($N$4*8/10)*(O305-MAX(N305,($N$4*8/10)))),0))*1000,0)</f>
        <v>0</v>
      </c>
      <c r="AV305" s="120">
        <f>IF(AND(V305="OK",ISNUMBER($N$5),$N$5&gt;0,ISNUMBER($N$3),$N$3&gt;0),R305/(6*$N$3*1000000*$N$5)*(IF(N305&lt;($N$4*9/10),($N$4*9/10)*(MIN(O305,($N$4*9/10))^3-N305^3)-(MIN(O305,($N$4*9/10))^4-N305^4)/4,0)+IF(O305&gt;($N$4*9/10),($N$4*9/10)^2*(1.5*(O305^2-MAX(N305,($N$4*9/10))^2)-($N$4*9/10)*(O305-MAX(N305,($N$4*9/10)))),0))*1000,0)</f>
        <v>0</v>
      </c>
      <c r="AW305" s="120">
        <f>IF(AND(V305="OK",ISNUMBER($N$5),$N$5&gt;0,ISNUMBER($N$3),$N$3&gt;0),R305/(6*$N$3*1000000*$N$5)*(IF(N305&lt;($N$4*10/10),($N$4*10/10)*(MIN(O305,($N$4*10/10))^3-N305^3)-(MIN(O305,($N$4*10/10))^4-N305^4)/4,0)+IF(O305&gt;($N$4*10/10),($N$4*10/10)^2*(1.5*(O305^2-MAX(N305,($N$4*10/10))^2)-($N$4*10/10)*(O305-MAX(N305,($N$4*10/10)))),0))*1000,0)</f>
        <v>0</v>
      </c>
    </row>
    <row r="306" spans="1:49">
      <c r="A306" s="124"/>
      <c r="B306" s="125"/>
      <c r="C306" s="125"/>
      <c r="D306" s="125"/>
      <c r="E306" s="125"/>
      <c r="F306" s="126" t="str">
        <f>IF(J306="OK",D306*E306,"")</f>
        <v/>
      </c>
      <c r="G306" s="126" t="str">
        <f>IF(J306="OK",F306*(C306-B306),"")</f>
        <v/>
      </c>
      <c r="H306" s="126" t="str">
        <f>IF(J306="OK",G306*(C306+B306)/2,"")</f>
        <v/>
      </c>
      <c r="I306" s="126" t="str">
        <f>IF(AND(J306="OK",ISNUMBER($B$5),$B$5&gt;0,ISNUMBER($B$3),$B$3&gt;0),F306*(4*$B$4*(C306^3-B306^3)-(C306^4-B306^4))/(24*$B$3*1000000*$B$5)*1000,"")</f>
        <v/>
      </c>
      <c r="J306" s="120" t="str">
        <f>IF(COUNTA(A306:E306)=0,"",IF(AND(COUNT(B306:E306)=4,B306&gt;=0,C306&gt;B306,C306&lt;=$B$4,D306&gt;=0,E306&gt;0),IF(COUNTIFS($B$13:$B$305,"&lt;"&amp;C306,$C$13:$C$305,"&gt;"&amp;B306)&gt;0,"OVERLAP","OK"),"CHECK INPUTS"))</f>
        <v/>
      </c>
      <c r="M306" s="124"/>
      <c r="N306" s="125"/>
      <c r="O306" s="125"/>
      <c r="P306" s="125"/>
      <c r="Q306" s="125"/>
      <c r="R306" s="126" t="str">
        <f>IF(V306="OK",P306*Q306,"")</f>
        <v/>
      </c>
      <c r="S306" s="126" t="str">
        <f>IF(V306="OK",R306*(O306-N306),"")</f>
        <v/>
      </c>
      <c r="T306" s="126" t="str">
        <f>IF(V306="OK",S306*(O306+N306)/2,"")</f>
        <v/>
      </c>
      <c r="U306" s="126" t="str">
        <f>IF(AND(V306="OK",ISNUMBER($N$5),$N$5&gt;0,ISNUMBER($N$3),$N$3&gt;0),R306*(4*$N$4*(O306^3-N306^3)-(O306^4-N306^4))/(24*$N$3*1000000*$N$5)*1000,"")</f>
        <v/>
      </c>
      <c r="V306" s="120" t="str">
        <f>IF(COUNTA(M306:Q306)=0,"",IF(AND(COUNT(N306:Q306)=4,N306&gt;=0,O306&gt;N306,O306&lt;=$N$4,P306&gt;=0,Q306&gt;0),IF(COUNTIFS($N$13:$N$305,"&lt;"&amp;O306,$O$13:$O$305,"&gt;"&amp;N306)&gt;0,"OVERLAP","OK"),"CHECK INPUTS"))</f>
        <v/>
      </c>
      <c r="AA306" s="120">
        <f>IF(AND(J306="OK",ISNUMBER($B$5),$B$5&gt;0,ISNUMBER($B$3),$B$3&gt;0),F306/(6*$B$3*1000000*$B$5)*(IF(B306&lt;($B$4*0/10),($B$4*0/10)*(MIN(C306,($B$4*0/10))^3-B306^3)-(MIN(C306,($B$4*0/10))^4-B306^4)/4,0)+IF(C306&gt;($B$4*0/10),($B$4*0/10)^2*(1.5*(C306^2-MAX(B306,($B$4*0/10))^2)-($B$4*0/10)*(C306-MAX(B306,($B$4*0/10)))),0))*1000,0)</f>
        <v>0</v>
      </c>
      <c r="AB306" s="120">
        <f>IF(AND(J306="OK",ISNUMBER($B$5),$B$5&gt;0,ISNUMBER($B$3),$B$3&gt;0),F306/(6*$B$3*1000000*$B$5)*(IF(B306&lt;($B$4*1/10),($B$4*1/10)*(MIN(C306,($B$4*1/10))^3-B306^3)-(MIN(C306,($B$4*1/10))^4-B306^4)/4,0)+IF(C306&gt;($B$4*1/10),($B$4*1/10)^2*(1.5*(C306^2-MAX(B306,($B$4*1/10))^2)-($B$4*1/10)*(C306-MAX(B306,($B$4*1/10)))),0))*1000,0)</f>
        <v>0</v>
      </c>
      <c r="AC306" s="120">
        <f>IF(AND(J306="OK",ISNUMBER($B$5),$B$5&gt;0,ISNUMBER($B$3),$B$3&gt;0),F306/(6*$B$3*1000000*$B$5)*(IF(B306&lt;($B$4*2/10),($B$4*2/10)*(MIN(C306,($B$4*2/10))^3-B306^3)-(MIN(C306,($B$4*2/10))^4-B306^4)/4,0)+IF(C306&gt;($B$4*2/10),($B$4*2/10)^2*(1.5*(C306^2-MAX(B306,($B$4*2/10))^2)-($B$4*2/10)*(C306-MAX(B306,($B$4*2/10)))),0))*1000,0)</f>
        <v>0</v>
      </c>
      <c r="AD306" s="120">
        <f>IF(AND(J306="OK",ISNUMBER($B$5),$B$5&gt;0,ISNUMBER($B$3),$B$3&gt;0),F306/(6*$B$3*1000000*$B$5)*(IF(B306&lt;($B$4*3/10),($B$4*3/10)*(MIN(C306,($B$4*3/10))^3-B306^3)-(MIN(C306,($B$4*3/10))^4-B306^4)/4,0)+IF(C306&gt;($B$4*3/10),($B$4*3/10)^2*(1.5*(C306^2-MAX(B306,($B$4*3/10))^2)-($B$4*3/10)*(C306-MAX(B306,($B$4*3/10)))),0))*1000,0)</f>
        <v>0</v>
      </c>
      <c r="AE306" s="120">
        <f>IF(AND(J306="OK",ISNUMBER($B$5),$B$5&gt;0,ISNUMBER($B$3),$B$3&gt;0),F306/(6*$B$3*1000000*$B$5)*(IF(B306&lt;($B$4*4/10),($B$4*4/10)*(MIN(C306,($B$4*4/10))^3-B306^3)-(MIN(C306,($B$4*4/10))^4-B306^4)/4,0)+IF(C306&gt;($B$4*4/10),($B$4*4/10)^2*(1.5*(C306^2-MAX(B306,($B$4*4/10))^2)-($B$4*4/10)*(C306-MAX(B306,($B$4*4/10)))),0))*1000,0)</f>
        <v>0</v>
      </c>
      <c r="AF306" s="120">
        <f>IF(AND(J306="OK",ISNUMBER($B$5),$B$5&gt;0,ISNUMBER($B$3),$B$3&gt;0),F306/(6*$B$3*1000000*$B$5)*(IF(B306&lt;($B$4*5/10),($B$4*5/10)*(MIN(C306,($B$4*5/10))^3-B306^3)-(MIN(C306,($B$4*5/10))^4-B306^4)/4,0)+IF(C306&gt;($B$4*5/10),($B$4*5/10)^2*(1.5*(C306^2-MAX(B306,($B$4*5/10))^2)-($B$4*5/10)*(C306-MAX(B306,($B$4*5/10)))),0))*1000,0)</f>
        <v>0</v>
      </c>
      <c r="AG306" s="120">
        <f>IF(AND(J306="OK",ISNUMBER($B$5),$B$5&gt;0,ISNUMBER($B$3),$B$3&gt;0),F306/(6*$B$3*1000000*$B$5)*(IF(B306&lt;($B$4*6/10),($B$4*6/10)*(MIN(C306,($B$4*6/10))^3-B306^3)-(MIN(C306,($B$4*6/10))^4-B306^4)/4,0)+IF(C306&gt;($B$4*6/10),($B$4*6/10)^2*(1.5*(C306^2-MAX(B306,($B$4*6/10))^2)-($B$4*6/10)*(C306-MAX(B306,($B$4*6/10)))),0))*1000,0)</f>
        <v>0</v>
      </c>
      <c r="AH306" s="120">
        <f>IF(AND(J306="OK",ISNUMBER($B$5),$B$5&gt;0,ISNUMBER($B$3),$B$3&gt;0),F306/(6*$B$3*1000000*$B$5)*(IF(B306&lt;($B$4*7/10),($B$4*7/10)*(MIN(C306,($B$4*7/10))^3-B306^3)-(MIN(C306,($B$4*7/10))^4-B306^4)/4,0)+IF(C306&gt;($B$4*7/10),($B$4*7/10)^2*(1.5*(C306^2-MAX(B306,($B$4*7/10))^2)-($B$4*7/10)*(C306-MAX(B306,($B$4*7/10)))),0))*1000,0)</f>
        <v>0</v>
      </c>
      <c r="AI306" s="120">
        <f>IF(AND(J306="OK",ISNUMBER($B$5),$B$5&gt;0,ISNUMBER($B$3),$B$3&gt;0),F306/(6*$B$3*1000000*$B$5)*(IF(B306&lt;($B$4*8/10),($B$4*8/10)*(MIN(C306,($B$4*8/10))^3-B306^3)-(MIN(C306,($B$4*8/10))^4-B306^4)/4,0)+IF(C306&gt;($B$4*8/10),($B$4*8/10)^2*(1.5*(C306^2-MAX(B306,($B$4*8/10))^2)-($B$4*8/10)*(C306-MAX(B306,($B$4*8/10)))),0))*1000,0)</f>
        <v>0</v>
      </c>
      <c r="AJ306" s="120">
        <f>IF(AND(J306="OK",ISNUMBER($B$5),$B$5&gt;0,ISNUMBER($B$3),$B$3&gt;0),F306/(6*$B$3*1000000*$B$5)*(IF(B306&lt;($B$4*9/10),($B$4*9/10)*(MIN(C306,($B$4*9/10))^3-B306^3)-(MIN(C306,($B$4*9/10))^4-B306^4)/4,0)+IF(C306&gt;($B$4*9/10),($B$4*9/10)^2*(1.5*(C306^2-MAX(B306,($B$4*9/10))^2)-($B$4*9/10)*(C306-MAX(B306,($B$4*9/10)))),0))*1000,0)</f>
        <v>0</v>
      </c>
      <c r="AK306" s="120">
        <f>IF(AND(J306="OK",ISNUMBER($B$5),$B$5&gt;0,ISNUMBER($B$3),$B$3&gt;0),F306/(6*$B$3*1000000*$B$5)*(IF(B306&lt;($B$4*10/10),($B$4*10/10)*(MIN(C306,($B$4*10/10))^3-B306^3)-(MIN(C306,($B$4*10/10))^4-B306^4)/4,0)+IF(C306&gt;($B$4*10/10),($B$4*10/10)^2*(1.5*(C306^2-MAX(B306,($B$4*10/10))^2)-($B$4*10/10)*(C306-MAX(B306,($B$4*10/10)))),0))*1000,0)</f>
        <v>0</v>
      </c>
      <c r="AM306" s="120">
        <f>IF(AND(V306="OK",ISNUMBER($N$5),$N$5&gt;0,ISNUMBER($N$3),$N$3&gt;0),R306/(6*$N$3*1000000*$N$5)*(IF(N306&lt;($N$4*0/10),($N$4*0/10)*(MIN(O306,($N$4*0/10))^3-N306^3)-(MIN(O306,($N$4*0/10))^4-N306^4)/4,0)+IF(O306&gt;($N$4*0/10),($N$4*0/10)^2*(1.5*(O306^2-MAX(N306,($N$4*0/10))^2)-($N$4*0/10)*(O306-MAX(N306,($N$4*0/10)))),0))*1000,0)</f>
        <v>0</v>
      </c>
      <c r="AN306" s="120">
        <f>IF(AND(V306="OK",ISNUMBER($N$5),$N$5&gt;0,ISNUMBER($N$3),$N$3&gt;0),R306/(6*$N$3*1000000*$N$5)*(IF(N306&lt;($N$4*1/10),($N$4*1/10)*(MIN(O306,($N$4*1/10))^3-N306^3)-(MIN(O306,($N$4*1/10))^4-N306^4)/4,0)+IF(O306&gt;($N$4*1/10),($N$4*1/10)^2*(1.5*(O306^2-MAX(N306,($N$4*1/10))^2)-($N$4*1/10)*(O306-MAX(N306,($N$4*1/10)))),0))*1000,0)</f>
        <v>0</v>
      </c>
      <c r="AO306" s="120">
        <f>IF(AND(V306="OK",ISNUMBER($N$5),$N$5&gt;0,ISNUMBER($N$3),$N$3&gt;0),R306/(6*$N$3*1000000*$N$5)*(IF(N306&lt;($N$4*2/10),($N$4*2/10)*(MIN(O306,($N$4*2/10))^3-N306^3)-(MIN(O306,($N$4*2/10))^4-N306^4)/4,0)+IF(O306&gt;($N$4*2/10),($N$4*2/10)^2*(1.5*(O306^2-MAX(N306,($N$4*2/10))^2)-($N$4*2/10)*(O306-MAX(N306,($N$4*2/10)))),0))*1000,0)</f>
        <v>0</v>
      </c>
      <c r="AP306" s="120">
        <f>IF(AND(V306="OK",ISNUMBER($N$5),$N$5&gt;0,ISNUMBER($N$3),$N$3&gt;0),R306/(6*$N$3*1000000*$N$5)*(IF(N306&lt;($N$4*3/10),($N$4*3/10)*(MIN(O306,($N$4*3/10))^3-N306^3)-(MIN(O306,($N$4*3/10))^4-N306^4)/4,0)+IF(O306&gt;($N$4*3/10),($N$4*3/10)^2*(1.5*(O306^2-MAX(N306,($N$4*3/10))^2)-($N$4*3/10)*(O306-MAX(N306,($N$4*3/10)))),0))*1000,0)</f>
        <v>0</v>
      </c>
      <c r="AQ306" s="120">
        <f>IF(AND(V306="OK",ISNUMBER($N$5),$N$5&gt;0,ISNUMBER($N$3),$N$3&gt;0),R306/(6*$N$3*1000000*$N$5)*(IF(N306&lt;($N$4*4/10),($N$4*4/10)*(MIN(O306,($N$4*4/10))^3-N306^3)-(MIN(O306,($N$4*4/10))^4-N306^4)/4,0)+IF(O306&gt;($N$4*4/10),($N$4*4/10)^2*(1.5*(O306^2-MAX(N306,($N$4*4/10))^2)-($N$4*4/10)*(O306-MAX(N306,($N$4*4/10)))),0))*1000,0)</f>
        <v>0</v>
      </c>
      <c r="AR306" s="120">
        <f>IF(AND(V306="OK",ISNUMBER($N$5),$N$5&gt;0,ISNUMBER($N$3),$N$3&gt;0),R306/(6*$N$3*1000000*$N$5)*(IF(N306&lt;($N$4*5/10),($N$4*5/10)*(MIN(O306,($N$4*5/10))^3-N306^3)-(MIN(O306,($N$4*5/10))^4-N306^4)/4,0)+IF(O306&gt;($N$4*5/10),($N$4*5/10)^2*(1.5*(O306^2-MAX(N306,($N$4*5/10))^2)-($N$4*5/10)*(O306-MAX(N306,($N$4*5/10)))),0))*1000,0)</f>
        <v>0</v>
      </c>
      <c r="AS306" s="120">
        <f>IF(AND(V306="OK",ISNUMBER($N$5),$N$5&gt;0,ISNUMBER($N$3),$N$3&gt;0),R306/(6*$N$3*1000000*$N$5)*(IF(N306&lt;($N$4*6/10),($N$4*6/10)*(MIN(O306,($N$4*6/10))^3-N306^3)-(MIN(O306,($N$4*6/10))^4-N306^4)/4,0)+IF(O306&gt;($N$4*6/10),($N$4*6/10)^2*(1.5*(O306^2-MAX(N306,($N$4*6/10))^2)-($N$4*6/10)*(O306-MAX(N306,($N$4*6/10)))),0))*1000,0)</f>
        <v>0</v>
      </c>
      <c r="AT306" s="120">
        <f>IF(AND(V306="OK",ISNUMBER($N$5),$N$5&gt;0,ISNUMBER($N$3),$N$3&gt;0),R306/(6*$N$3*1000000*$N$5)*(IF(N306&lt;($N$4*7/10),($N$4*7/10)*(MIN(O306,($N$4*7/10))^3-N306^3)-(MIN(O306,($N$4*7/10))^4-N306^4)/4,0)+IF(O306&gt;($N$4*7/10),($N$4*7/10)^2*(1.5*(O306^2-MAX(N306,($N$4*7/10))^2)-($N$4*7/10)*(O306-MAX(N306,($N$4*7/10)))),0))*1000,0)</f>
        <v>0</v>
      </c>
      <c r="AU306" s="120">
        <f>IF(AND(V306="OK",ISNUMBER($N$5),$N$5&gt;0,ISNUMBER($N$3),$N$3&gt;0),R306/(6*$N$3*1000000*$N$5)*(IF(N306&lt;($N$4*8/10),($N$4*8/10)*(MIN(O306,($N$4*8/10))^3-N306^3)-(MIN(O306,($N$4*8/10))^4-N306^4)/4,0)+IF(O306&gt;($N$4*8/10),($N$4*8/10)^2*(1.5*(O306^2-MAX(N306,($N$4*8/10))^2)-($N$4*8/10)*(O306-MAX(N306,($N$4*8/10)))),0))*1000,0)</f>
        <v>0</v>
      </c>
      <c r="AV306" s="120">
        <f>IF(AND(V306="OK",ISNUMBER($N$5),$N$5&gt;0,ISNUMBER($N$3),$N$3&gt;0),R306/(6*$N$3*1000000*$N$5)*(IF(N306&lt;($N$4*9/10),($N$4*9/10)*(MIN(O306,($N$4*9/10))^3-N306^3)-(MIN(O306,($N$4*9/10))^4-N306^4)/4,0)+IF(O306&gt;($N$4*9/10),($N$4*9/10)^2*(1.5*(O306^2-MAX(N306,($N$4*9/10))^2)-($N$4*9/10)*(O306-MAX(N306,($N$4*9/10)))),0))*1000,0)</f>
        <v>0</v>
      </c>
      <c r="AW306" s="120">
        <f>IF(AND(V306="OK",ISNUMBER($N$5),$N$5&gt;0,ISNUMBER($N$3),$N$3&gt;0),R306/(6*$N$3*1000000*$N$5)*(IF(N306&lt;($N$4*10/10),($N$4*10/10)*(MIN(O306,($N$4*10/10))^3-N306^3)-(MIN(O306,($N$4*10/10))^4-N306^4)/4,0)+IF(O306&gt;($N$4*10/10),($N$4*10/10)^2*(1.5*(O306^2-MAX(N306,($N$4*10/10))^2)-($N$4*10/10)*(O306-MAX(N306,($N$4*10/10)))),0))*1000,0)</f>
        <v>0</v>
      </c>
    </row>
    <row r="307" spans="1:49">
      <c r="A307" s="124"/>
      <c r="B307" s="125"/>
      <c r="C307" s="125"/>
      <c r="D307" s="125"/>
      <c r="E307" s="125"/>
      <c r="F307" s="126" t="str">
        <f>IF(J307="OK",D307*E307,"")</f>
        <v/>
      </c>
      <c r="G307" s="126" t="str">
        <f>IF(J307="OK",F307*(C307-B307),"")</f>
        <v/>
      </c>
      <c r="H307" s="126" t="str">
        <f>IF(J307="OK",G307*(C307+B307)/2,"")</f>
        <v/>
      </c>
      <c r="I307" s="126" t="str">
        <f>IF(AND(J307="OK",ISNUMBER($B$5),$B$5&gt;0,ISNUMBER($B$3),$B$3&gt;0),F307*(4*$B$4*(C307^3-B307^3)-(C307^4-B307^4))/(24*$B$3*1000000*$B$5)*1000,"")</f>
        <v/>
      </c>
      <c r="J307" s="120" t="str">
        <f>IF(COUNTA(A307:E307)=0,"",IF(AND(COUNT(B307:E307)=4,B307&gt;=0,C307&gt;B307,C307&lt;=$B$4,D307&gt;=0,E307&gt;0),IF(COUNTIFS($B$13:$B$306,"&lt;"&amp;C307,$C$13:$C$306,"&gt;"&amp;B307)&gt;0,"OVERLAP","OK"),"CHECK INPUTS"))</f>
        <v/>
      </c>
      <c r="M307" s="124"/>
      <c r="N307" s="125"/>
      <c r="O307" s="125"/>
      <c r="P307" s="125"/>
      <c r="Q307" s="125"/>
      <c r="R307" s="126" t="str">
        <f>IF(V307="OK",P307*Q307,"")</f>
        <v/>
      </c>
      <c r="S307" s="126" t="str">
        <f>IF(V307="OK",R307*(O307-N307),"")</f>
        <v/>
      </c>
      <c r="T307" s="126" t="str">
        <f>IF(V307="OK",S307*(O307+N307)/2,"")</f>
        <v/>
      </c>
      <c r="U307" s="126" t="str">
        <f>IF(AND(V307="OK",ISNUMBER($N$5),$N$5&gt;0,ISNUMBER($N$3),$N$3&gt;0),R307*(4*$N$4*(O307^3-N307^3)-(O307^4-N307^4))/(24*$N$3*1000000*$N$5)*1000,"")</f>
        <v/>
      </c>
      <c r="V307" s="120" t="str">
        <f>IF(COUNTA(M307:Q307)=0,"",IF(AND(COUNT(N307:Q307)=4,N307&gt;=0,O307&gt;N307,O307&lt;=$N$4,P307&gt;=0,Q307&gt;0),IF(COUNTIFS($N$13:$N$306,"&lt;"&amp;O307,$O$13:$O$306,"&gt;"&amp;N307)&gt;0,"OVERLAP","OK"),"CHECK INPUTS"))</f>
        <v/>
      </c>
      <c r="AA307" s="120">
        <f>IF(AND(J307="OK",ISNUMBER($B$5),$B$5&gt;0,ISNUMBER($B$3),$B$3&gt;0),F307/(6*$B$3*1000000*$B$5)*(IF(B307&lt;($B$4*0/10),($B$4*0/10)*(MIN(C307,($B$4*0/10))^3-B307^3)-(MIN(C307,($B$4*0/10))^4-B307^4)/4,0)+IF(C307&gt;($B$4*0/10),($B$4*0/10)^2*(1.5*(C307^2-MAX(B307,($B$4*0/10))^2)-($B$4*0/10)*(C307-MAX(B307,($B$4*0/10)))),0))*1000,0)</f>
        <v>0</v>
      </c>
      <c r="AB307" s="120">
        <f>IF(AND(J307="OK",ISNUMBER($B$5),$B$5&gt;0,ISNUMBER($B$3),$B$3&gt;0),F307/(6*$B$3*1000000*$B$5)*(IF(B307&lt;($B$4*1/10),($B$4*1/10)*(MIN(C307,($B$4*1/10))^3-B307^3)-(MIN(C307,($B$4*1/10))^4-B307^4)/4,0)+IF(C307&gt;($B$4*1/10),($B$4*1/10)^2*(1.5*(C307^2-MAX(B307,($B$4*1/10))^2)-($B$4*1/10)*(C307-MAX(B307,($B$4*1/10)))),0))*1000,0)</f>
        <v>0</v>
      </c>
      <c r="AC307" s="120">
        <f>IF(AND(J307="OK",ISNUMBER($B$5),$B$5&gt;0,ISNUMBER($B$3),$B$3&gt;0),F307/(6*$B$3*1000000*$B$5)*(IF(B307&lt;($B$4*2/10),($B$4*2/10)*(MIN(C307,($B$4*2/10))^3-B307^3)-(MIN(C307,($B$4*2/10))^4-B307^4)/4,0)+IF(C307&gt;($B$4*2/10),($B$4*2/10)^2*(1.5*(C307^2-MAX(B307,($B$4*2/10))^2)-($B$4*2/10)*(C307-MAX(B307,($B$4*2/10)))),0))*1000,0)</f>
        <v>0</v>
      </c>
      <c r="AD307" s="120">
        <f>IF(AND(J307="OK",ISNUMBER($B$5),$B$5&gt;0,ISNUMBER($B$3),$B$3&gt;0),F307/(6*$B$3*1000000*$B$5)*(IF(B307&lt;($B$4*3/10),($B$4*3/10)*(MIN(C307,($B$4*3/10))^3-B307^3)-(MIN(C307,($B$4*3/10))^4-B307^4)/4,0)+IF(C307&gt;($B$4*3/10),($B$4*3/10)^2*(1.5*(C307^2-MAX(B307,($B$4*3/10))^2)-($B$4*3/10)*(C307-MAX(B307,($B$4*3/10)))),0))*1000,0)</f>
        <v>0</v>
      </c>
      <c r="AE307" s="120">
        <f>IF(AND(J307="OK",ISNUMBER($B$5),$B$5&gt;0,ISNUMBER($B$3),$B$3&gt;0),F307/(6*$B$3*1000000*$B$5)*(IF(B307&lt;($B$4*4/10),($B$4*4/10)*(MIN(C307,($B$4*4/10))^3-B307^3)-(MIN(C307,($B$4*4/10))^4-B307^4)/4,0)+IF(C307&gt;($B$4*4/10),($B$4*4/10)^2*(1.5*(C307^2-MAX(B307,($B$4*4/10))^2)-($B$4*4/10)*(C307-MAX(B307,($B$4*4/10)))),0))*1000,0)</f>
        <v>0</v>
      </c>
      <c r="AF307" s="120">
        <f>IF(AND(J307="OK",ISNUMBER($B$5),$B$5&gt;0,ISNUMBER($B$3),$B$3&gt;0),F307/(6*$B$3*1000000*$B$5)*(IF(B307&lt;($B$4*5/10),($B$4*5/10)*(MIN(C307,($B$4*5/10))^3-B307^3)-(MIN(C307,($B$4*5/10))^4-B307^4)/4,0)+IF(C307&gt;($B$4*5/10),($B$4*5/10)^2*(1.5*(C307^2-MAX(B307,($B$4*5/10))^2)-($B$4*5/10)*(C307-MAX(B307,($B$4*5/10)))),0))*1000,0)</f>
        <v>0</v>
      </c>
      <c r="AG307" s="120">
        <f>IF(AND(J307="OK",ISNUMBER($B$5),$B$5&gt;0,ISNUMBER($B$3),$B$3&gt;0),F307/(6*$B$3*1000000*$B$5)*(IF(B307&lt;($B$4*6/10),($B$4*6/10)*(MIN(C307,($B$4*6/10))^3-B307^3)-(MIN(C307,($B$4*6/10))^4-B307^4)/4,0)+IF(C307&gt;($B$4*6/10),($B$4*6/10)^2*(1.5*(C307^2-MAX(B307,($B$4*6/10))^2)-($B$4*6/10)*(C307-MAX(B307,($B$4*6/10)))),0))*1000,0)</f>
        <v>0</v>
      </c>
      <c r="AH307" s="120">
        <f>IF(AND(J307="OK",ISNUMBER($B$5),$B$5&gt;0,ISNUMBER($B$3),$B$3&gt;0),F307/(6*$B$3*1000000*$B$5)*(IF(B307&lt;($B$4*7/10),($B$4*7/10)*(MIN(C307,($B$4*7/10))^3-B307^3)-(MIN(C307,($B$4*7/10))^4-B307^4)/4,0)+IF(C307&gt;($B$4*7/10),($B$4*7/10)^2*(1.5*(C307^2-MAX(B307,($B$4*7/10))^2)-($B$4*7/10)*(C307-MAX(B307,($B$4*7/10)))),0))*1000,0)</f>
        <v>0</v>
      </c>
      <c r="AI307" s="120">
        <f>IF(AND(J307="OK",ISNUMBER($B$5),$B$5&gt;0,ISNUMBER($B$3),$B$3&gt;0),F307/(6*$B$3*1000000*$B$5)*(IF(B307&lt;($B$4*8/10),($B$4*8/10)*(MIN(C307,($B$4*8/10))^3-B307^3)-(MIN(C307,($B$4*8/10))^4-B307^4)/4,0)+IF(C307&gt;($B$4*8/10),($B$4*8/10)^2*(1.5*(C307^2-MAX(B307,($B$4*8/10))^2)-($B$4*8/10)*(C307-MAX(B307,($B$4*8/10)))),0))*1000,0)</f>
        <v>0</v>
      </c>
      <c r="AJ307" s="120">
        <f>IF(AND(J307="OK",ISNUMBER($B$5),$B$5&gt;0,ISNUMBER($B$3),$B$3&gt;0),F307/(6*$B$3*1000000*$B$5)*(IF(B307&lt;($B$4*9/10),($B$4*9/10)*(MIN(C307,($B$4*9/10))^3-B307^3)-(MIN(C307,($B$4*9/10))^4-B307^4)/4,0)+IF(C307&gt;($B$4*9/10),($B$4*9/10)^2*(1.5*(C307^2-MAX(B307,($B$4*9/10))^2)-($B$4*9/10)*(C307-MAX(B307,($B$4*9/10)))),0))*1000,0)</f>
        <v>0</v>
      </c>
      <c r="AK307" s="120">
        <f>IF(AND(J307="OK",ISNUMBER($B$5),$B$5&gt;0,ISNUMBER($B$3),$B$3&gt;0),F307/(6*$B$3*1000000*$B$5)*(IF(B307&lt;($B$4*10/10),($B$4*10/10)*(MIN(C307,($B$4*10/10))^3-B307^3)-(MIN(C307,($B$4*10/10))^4-B307^4)/4,0)+IF(C307&gt;($B$4*10/10),($B$4*10/10)^2*(1.5*(C307^2-MAX(B307,($B$4*10/10))^2)-($B$4*10/10)*(C307-MAX(B307,($B$4*10/10)))),0))*1000,0)</f>
        <v>0</v>
      </c>
      <c r="AM307" s="120">
        <f>IF(AND(V307="OK",ISNUMBER($N$5),$N$5&gt;0,ISNUMBER($N$3),$N$3&gt;0),R307/(6*$N$3*1000000*$N$5)*(IF(N307&lt;($N$4*0/10),($N$4*0/10)*(MIN(O307,($N$4*0/10))^3-N307^3)-(MIN(O307,($N$4*0/10))^4-N307^4)/4,0)+IF(O307&gt;($N$4*0/10),($N$4*0/10)^2*(1.5*(O307^2-MAX(N307,($N$4*0/10))^2)-($N$4*0/10)*(O307-MAX(N307,($N$4*0/10)))),0))*1000,0)</f>
        <v>0</v>
      </c>
      <c r="AN307" s="120">
        <f>IF(AND(V307="OK",ISNUMBER($N$5),$N$5&gt;0,ISNUMBER($N$3),$N$3&gt;0),R307/(6*$N$3*1000000*$N$5)*(IF(N307&lt;($N$4*1/10),($N$4*1/10)*(MIN(O307,($N$4*1/10))^3-N307^3)-(MIN(O307,($N$4*1/10))^4-N307^4)/4,0)+IF(O307&gt;($N$4*1/10),($N$4*1/10)^2*(1.5*(O307^2-MAX(N307,($N$4*1/10))^2)-($N$4*1/10)*(O307-MAX(N307,($N$4*1/10)))),0))*1000,0)</f>
        <v>0</v>
      </c>
      <c r="AO307" s="120">
        <f>IF(AND(V307="OK",ISNUMBER($N$5),$N$5&gt;0,ISNUMBER($N$3),$N$3&gt;0),R307/(6*$N$3*1000000*$N$5)*(IF(N307&lt;($N$4*2/10),($N$4*2/10)*(MIN(O307,($N$4*2/10))^3-N307^3)-(MIN(O307,($N$4*2/10))^4-N307^4)/4,0)+IF(O307&gt;($N$4*2/10),($N$4*2/10)^2*(1.5*(O307^2-MAX(N307,($N$4*2/10))^2)-($N$4*2/10)*(O307-MAX(N307,($N$4*2/10)))),0))*1000,0)</f>
        <v>0</v>
      </c>
      <c r="AP307" s="120">
        <f>IF(AND(V307="OK",ISNUMBER($N$5),$N$5&gt;0,ISNUMBER($N$3),$N$3&gt;0),R307/(6*$N$3*1000000*$N$5)*(IF(N307&lt;($N$4*3/10),($N$4*3/10)*(MIN(O307,($N$4*3/10))^3-N307^3)-(MIN(O307,($N$4*3/10))^4-N307^4)/4,0)+IF(O307&gt;($N$4*3/10),($N$4*3/10)^2*(1.5*(O307^2-MAX(N307,($N$4*3/10))^2)-($N$4*3/10)*(O307-MAX(N307,($N$4*3/10)))),0))*1000,0)</f>
        <v>0</v>
      </c>
      <c r="AQ307" s="120">
        <f>IF(AND(V307="OK",ISNUMBER($N$5),$N$5&gt;0,ISNUMBER($N$3),$N$3&gt;0),R307/(6*$N$3*1000000*$N$5)*(IF(N307&lt;($N$4*4/10),($N$4*4/10)*(MIN(O307,($N$4*4/10))^3-N307^3)-(MIN(O307,($N$4*4/10))^4-N307^4)/4,0)+IF(O307&gt;($N$4*4/10),($N$4*4/10)^2*(1.5*(O307^2-MAX(N307,($N$4*4/10))^2)-($N$4*4/10)*(O307-MAX(N307,($N$4*4/10)))),0))*1000,0)</f>
        <v>0</v>
      </c>
      <c r="AR307" s="120">
        <f>IF(AND(V307="OK",ISNUMBER($N$5),$N$5&gt;0,ISNUMBER($N$3),$N$3&gt;0),R307/(6*$N$3*1000000*$N$5)*(IF(N307&lt;($N$4*5/10),($N$4*5/10)*(MIN(O307,($N$4*5/10))^3-N307^3)-(MIN(O307,($N$4*5/10))^4-N307^4)/4,0)+IF(O307&gt;($N$4*5/10),($N$4*5/10)^2*(1.5*(O307^2-MAX(N307,($N$4*5/10))^2)-($N$4*5/10)*(O307-MAX(N307,($N$4*5/10)))),0))*1000,0)</f>
        <v>0</v>
      </c>
      <c r="AS307" s="120">
        <f>IF(AND(V307="OK",ISNUMBER($N$5),$N$5&gt;0,ISNUMBER($N$3),$N$3&gt;0),R307/(6*$N$3*1000000*$N$5)*(IF(N307&lt;($N$4*6/10),($N$4*6/10)*(MIN(O307,($N$4*6/10))^3-N307^3)-(MIN(O307,($N$4*6/10))^4-N307^4)/4,0)+IF(O307&gt;($N$4*6/10),($N$4*6/10)^2*(1.5*(O307^2-MAX(N307,($N$4*6/10))^2)-($N$4*6/10)*(O307-MAX(N307,($N$4*6/10)))),0))*1000,0)</f>
        <v>0</v>
      </c>
      <c r="AT307" s="120">
        <f>IF(AND(V307="OK",ISNUMBER($N$5),$N$5&gt;0,ISNUMBER($N$3),$N$3&gt;0),R307/(6*$N$3*1000000*$N$5)*(IF(N307&lt;($N$4*7/10),($N$4*7/10)*(MIN(O307,($N$4*7/10))^3-N307^3)-(MIN(O307,($N$4*7/10))^4-N307^4)/4,0)+IF(O307&gt;($N$4*7/10),($N$4*7/10)^2*(1.5*(O307^2-MAX(N307,($N$4*7/10))^2)-($N$4*7/10)*(O307-MAX(N307,($N$4*7/10)))),0))*1000,0)</f>
        <v>0</v>
      </c>
      <c r="AU307" s="120">
        <f>IF(AND(V307="OK",ISNUMBER($N$5),$N$5&gt;0,ISNUMBER($N$3),$N$3&gt;0),R307/(6*$N$3*1000000*$N$5)*(IF(N307&lt;($N$4*8/10),($N$4*8/10)*(MIN(O307,($N$4*8/10))^3-N307^3)-(MIN(O307,($N$4*8/10))^4-N307^4)/4,0)+IF(O307&gt;($N$4*8/10),($N$4*8/10)^2*(1.5*(O307^2-MAX(N307,($N$4*8/10))^2)-($N$4*8/10)*(O307-MAX(N307,($N$4*8/10)))),0))*1000,0)</f>
        <v>0</v>
      </c>
      <c r="AV307" s="120">
        <f>IF(AND(V307="OK",ISNUMBER($N$5),$N$5&gt;0,ISNUMBER($N$3),$N$3&gt;0),R307/(6*$N$3*1000000*$N$5)*(IF(N307&lt;($N$4*9/10),($N$4*9/10)*(MIN(O307,($N$4*9/10))^3-N307^3)-(MIN(O307,($N$4*9/10))^4-N307^4)/4,0)+IF(O307&gt;($N$4*9/10),($N$4*9/10)^2*(1.5*(O307^2-MAX(N307,($N$4*9/10))^2)-($N$4*9/10)*(O307-MAX(N307,($N$4*9/10)))),0))*1000,0)</f>
        <v>0</v>
      </c>
      <c r="AW307" s="120">
        <f>IF(AND(V307="OK",ISNUMBER($N$5),$N$5&gt;0,ISNUMBER($N$3),$N$3&gt;0),R307/(6*$N$3*1000000*$N$5)*(IF(N307&lt;($N$4*10/10),($N$4*10/10)*(MIN(O307,($N$4*10/10))^3-N307^3)-(MIN(O307,($N$4*10/10))^4-N307^4)/4,0)+IF(O307&gt;($N$4*10/10),($N$4*10/10)^2*(1.5*(O307^2-MAX(N307,($N$4*10/10))^2)-($N$4*10/10)*(O307-MAX(N307,($N$4*10/10)))),0))*1000,0)</f>
        <v>0</v>
      </c>
    </row>
    <row r="308" spans="1:49">
      <c r="A308" s="124"/>
      <c r="B308" s="125"/>
      <c r="C308" s="125"/>
      <c r="D308" s="125"/>
      <c r="E308" s="125"/>
      <c r="F308" s="126" t="str">
        <f>IF(J308="OK",D308*E308,"")</f>
        <v/>
      </c>
      <c r="G308" s="126" t="str">
        <f>IF(J308="OK",F308*(C308-B308),"")</f>
        <v/>
      </c>
      <c r="H308" s="126" t="str">
        <f>IF(J308="OK",G308*(C308+B308)/2,"")</f>
        <v/>
      </c>
      <c r="I308" s="126" t="str">
        <f>IF(AND(J308="OK",ISNUMBER($B$5),$B$5&gt;0,ISNUMBER($B$3),$B$3&gt;0),F308*(4*$B$4*(C308^3-B308^3)-(C308^4-B308^4))/(24*$B$3*1000000*$B$5)*1000,"")</f>
        <v/>
      </c>
      <c r="J308" s="120" t="str">
        <f>IF(COUNTA(A308:E308)=0,"",IF(AND(COUNT(B308:E308)=4,B308&gt;=0,C308&gt;B308,C308&lt;=$B$4,D308&gt;=0,E308&gt;0),IF(COUNTIFS($B$13:$B$307,"&lt;"&amp;C308,$C$13:$C$307,"&gt;"&amp;B308)&gt;0,"OVERLAP","OK"),"CHECK INPUTS"))</f>
        <v/>
      </c>
      <c r="M308" s="124"/>
      <c r="N308" s="125"/>
      <c r="O308" s="125"/>
      <c r="P308" s="125"/>
      <c r="Q308" s="125"/>
      <c r="R308" s="126" t="str">
        <f>IF(V308="OK",P308*Q308,"")</f>
        <v/>
      </c>
      <c r="S308" s="126" t="str">
        <f>IF(V308="OK",R308*(O308-N308),"")</f>
        <v/>
      </c>
      <c r="T308" s="126" t="str">
        <f>IF(V308="OK",S308*(O308+N308)/2,"")</f>
        <v/>
      </c>
      <c r="U308" s="126" t="str">
        <f>IF(AND(V308="OK",ISNUMBER($N$5),$N$5&gt;0,ISNUMBER($N$3),$N$3&gt;0),R308*(4*$N$4*(O308^3-N308^3)-(O308^4-N308^4))/(24*$N$3*1000000*$N$5)*1000,"")</f>
        <v/>
      </c>
      <c r="V308" s="120" t="str">
        <f>IF(COUNTA(M308:Q308)=0,"",IF(AND(COUNT(N308:Q308)=4,N308&gt;=0,O308&gt;N308,O308&lt;=$N$4,P308&gt;=0,Q308&gt;0),IF(COUNTIFS($N$13:$N$307,"&lt;"&amp;O308,$O$13:$O$307,"&gt;"&amp;N308)&gt;0,"OVERLAP","OK"),"CHECK INPUTS"))</f>
        <v/>
      </c>
      <c r="AA308" s="120">
        <f>IF(AND(J308="OK",ISNUMBER($B$5),$B$5&gt;0,ISNUMBER($B$3),$B$3&gt;0),F308/(6*$B$3*1000000*$B$5)*(IF(B308&lt;($B$4*0/10),($B$4*0/10)*(MIN(C308,($B$4*0/10))^3-B308^3)-(MIN(C308,($B$4*0/10))^4-B308^4)/4,0)+IF(C308&gt;($B$4*0/10),($B$4*0/10)^2*(1.5*(C308^2-MAX(B308,($B$4*0/10))^2)-($B$4*0/10)*(C308-MAX(B308,($B$4*0/10)))),0))*1000,0)</f>
        <v>0</v>
      </c>
      <c r="AB308" s="120">
        <f>IF(AND(J308="OK",ISNUMBER($B$5),$B$5&gt;0,ISNUMBER($B$3),$B$3&gt;0),F308/(6*$B$3*1000000*$B$5)*(IF(B308&lt;($B$4*1/10),($B$4*1/10)*(MIN(C308,($B$4*1/10))^3-B308^3)-(MIN(C308,($B$4*1/10))^4-B308^4)/4,0)+IF(C308&gt;($B$4*1/10),($B$4*1/10)^2*(1.5*(C308^2-MAX(B308,($B$4*1/10))^2)-($B$4*1/10)*(C308-MAX(B308,($B$4*1/10)))),0))*1000,0)</f>
        <v>0</v>
      </c>
      <c r="AC308" s="120">
        <f>IF(AND(J308="OK",ISNUMBER($B$5),$B$5&gt;0,ISNUMBER($B$3),$B$3&gt;0),F308/(6*$B$3*1000000*$B$5)*(IF(B308&lt;($B$4*2/10),($B$4*2/10)*(MIN(C308,($B$4*2/10))^3-B308^3)-(MIN(C308,($B$4*2/10))^4-B308^4)/4,0)+IF(C308&gt;($B$4*2/10),($B$4*2/10)^2*(1.5*(C308^2-MAX(B308,($B$4*2/10))^2)-($B$4*2/10)*(C308-MAX(B308,($B$4*2/10)))),0))*1000,0)</f>
        <v>0</v>
      </c>
      <c r="AD308" s="120">
        <f>IF(AND(J308="OK",ISNUMBER($B$5),$B$5&gt;0,ISNUMBER($B$3),$B$3&gt;0),F308/(6*$B$3*1000000*$B$5)*(IF(B308&lt;($B$4*3/10),($B$4*3/10)*(MIN(C308,($B$4*3/10))^3-B308^3)-(MIN(C308,($B$4*3/10))^4-B308^4)/4,0)+IF(C308&gt;($B$4*3/10),($B$4*3/10)^2*(1.5*(C308^2-MAX(B308,($B$4*3/10))^2)-($B$4*3/10)*(C308-MAX(B308,($B$4*3/10)))),0))*1000,0)</f>
        <v>0</v>
      </c>
      <c r="AE308" s="120">
        <f>IF(AND(J308="OK",ISNUMBER($B$5),$B$5&gt;0,ISNUMBER($B$3),$B$3&gt;0),F308/(6*$B$3*1000000*$B$5)*(IF(B308&lt;($B$4*4/10),($B$4*4/10)*(MIN(C308,($B$4*4/10))^3-B308^3)-(MIN(C308,($B$4*4/10))^4-B308^4)/4,0)+IF(C308&gt;($B$4*4/10),($B$4*4/10)^2*(1.5*(C308^2-MAX(B308,($B$4*4/10))^2)-($B$4*4/10)*(C308-MAX(B308,($B$4*4/10)))),0))*1000,0)</f>
        <v>0</v>
      </c>
      <c r="AF308" s="120">
        <f>IF(AND(J308="OK",ISNUMBER($B$5),$B$5&gt;0,ISNUMBER($B$3),$B$3&gt;0),F308/(6*$B$3*1000000*$B$5)*(IF(B308&lt;($B$4*5/10),($B$4*5/10)*(MIN(C308,($B$4*5/10))^3-B308^3)-(MIN(C308,($B$4*5/10))^4-B308^4)/4,0)+IF(C308&gt;($B$4*5/10),($B$4*5/10)^2*(1.5*(C308^2-MAX(B308,($B$4*5/10))^2)-($B$4*5/10)*(C308-MAX(B308,($B$4*5/10)))),0))*1000,0)</f>
        <v>0</v>
      </c>
      <c r="AG308" s="120">
        <f>IF(AND(J308="OK",ISNUMBER($B$5),$B$5&gt;0,ISNUMBER($B$3),$B$3&gt;0),F308/(6*$B$3*1000000*$B$5)*(IF(B308&lt;($B$4*6/10),($B$4*6/10)*(MIN(C308,($B$4*6/10))^3-B308^3)-(MIN(C308,($B$4*6/10))^4-B308^4)/4,0)+IF(C308&gt;($B$4*6/10),($B$4*6/10)^2*(1.5*(C308^2-MAX(B308,($B$4*6/10))^2)-($B$4*6/10)*(C308-MAX(B308,($B$4*6/10)))),0))*1000,0)</f>
        <v>0</v>
      </c>
      <c r="AH308" s="120">
        <f>IF(AND(J308="OK",ISNUMBER($B$5),$B$5&gt;0,ISNUMBER($B$3),$B$3&gt;0),F308/(6*$B$3*1000000*$B$5)*(IF(B308&lt;($B$4*7/10),($B$4*7/10)*(MIN(C308,($B$4*7/10))^3-B308^3)-(MIN(C308,($B$4*7/10))^4-B308^4)/4,0)+IF(C308&gt;($B$4*7/10),($B$4*7/10)^2*(1.5*(C308^2-MAX(B308,($B$4*7/10))^2)-($B$4*7/10)*(C308-MAX(B308,($B$4*7/10)))),0))*1000,0)</f>
        <v>0</v>
      </c>
      <c r="AI308" s="120">
        <f>IF(AND(J308="OK",ISNUMBER($B$5),$B$5&gt;0,ISNUMBER($B$3),$B$3&gt;0),F308/(6*$B$3*1000000*$B$5)*(IF(B308&lt;($B$4*8/10),($B$4*8/10)*(MIN(C308,($B$4*8/10))^3-B308^3)-(MIN(C308,($B$4*8/10))^4-B308^4)/4,0)+IF(C308&gt;($B$4*8/10),($B$4*8/10)^2*(1.5*(C308^2-MAX(B308,($B$4*8/10))^2)-($B$4*8/10)*(C308-MAX(B308,($B$4*8/10)))),0))*1000,0)</f>
        <v>0</v>
      </c>
      <c r="AJ308" s="120">
        <f>IF(AND(J308="OK",ISNUMBER($B$5),$B$5&gt;0,ISNUMBER($B$3),$B$3&gt;0),F308/(6*$B$3*1000000*$B$5)*(IF(B308&lt;($B$4*9/10),($B$4*9/10)*(MIN(C308,($B$4*9/10))^3-B308^3)-(MIN(C308,($B$4*9/10))^4-B308^4)/4,0)+IF(C308&gt;($B$4*9/10),($B$4*9/10)^2*(1.5*(C308^2-MAX(B308,($B$4*9/10))^2)-($B$4*9/10)*(C308-MAX(B308,($B$4*9/10)))),0))*1000,0)</f>
        <v>0</v>
      </c>
      <c r="AK308" s="120">
        <f>IF(AND(J308="OK",ISNUMBER($B$5),$B$5&gt;0,ISNUMBER($B$3),$B$3&gt;0),F308/(6*$B$3*1000000*$B$5)*(IF(B308&lt;($B$4*10/10),($B$4*10/10)*(MIN(C308,($B$4*10/10))^3-B308^3)-(MIN(C308,($B$4*10/10))^4-B308^4)/4,0)+IF(C308&gt;($B$4*10/10),($B$4*10/10)^2*(1.5*(C308^2-MAX(B308,($B$4*10/10))^2)-($B$4*10/10)*(C308-MAX(B308,($B$4*10/10)))),0))*1000,0)</f>
        <v>0</v>
      </c>
      <c r="AM308" s="120">
        <f>IF(AND(V308="OK",ISNUMBER($N$5),$N$5&gt;0,ISNUMBER($N$3),$N$3&gt;0),R308/(6*$N$3*1000000*$N$5)*(IF(N308&lt;($N$4*0/10),($N$4*0/10)*(MIN(O308,($N$4*0/10))^3-N308^3)-(MIN(O308,($N$4*0/10))^4-N308^4)/4,0)+IF(O308&gt;($N$4*0/10),($N$4*0/10)^2*(1.5*(O308^2-MAX(N308,($N$4*0/10))^2)-($N$4*0/10)*(O308-MAX(N308,($N$4*0/10)))),0))*1000,0)</f>
        <v>0</v>
      </c>
      <c r="AN308" s="120">
        <f>IF(AND(V308="OK",ISNUMBER($N$5),$N$5&gt;0,ISNUMBER($N$3),$N$3&gt;0),R308/(6*$N$3*1000000*$N$5)*(IF(N308&lt;($N$4*1/10),($N$4*1/10)*(MIN(O308,($N$4*1/10))^3-N308^3)-(MIN(O308,($N$4*1/10))^4-N308^4)/4,0)+IF(O308&gt;($N$4*1/10),($N$4*1/10)^2*(1.5*(O308^2-MAX(N308,($N$4*1/10))^2)-($N$4*1/10)*(O308-MAX(N308,($N$4*1/10)))),0))*1000,0)</f>
        <v>0</v>
      </c>
      <c r="AO308" s="120">
        <f>IF(AND(V308="OK",ISNUMBER($N$5),$N$5&gt;0,ISNUMBER($N$3),$N$3&gt;0),R308/(6*$N$3*1000000*$N$5)*(IF(N308&lt;($N$4*2/10),($N$4*2/10)*(MIN(O308,($N$4*2/10))^3-N308^3)-(MIN(O308,($N$4*2/10))^4-N308^4)/4,0)+IF(O308&gt;($N$4*2/10),($N$4*2/10)^2*(1.5*(O308^2-MAX(N308,($N$4*2/10))^2)-($N$4*2/10)*(O308-MAX(N308,($N$4*2/10)))),0))*1000,0)</f>
        <v>0</v>
      </c>
      <c r="AP308" s="120">
        <f>IF(AND(V308="OK",ISNUMBER($N$5),$N$5&gt;0,ISNUMBER($N$3),$N$3&gt;0),R308/(6*$N$3*1000000*$N$5)*(IF(N308&lt;($N$4*3/10),($N$4*3/10)*(MIN(O308,($N$4*3/10))^3-N308^3)-(MIN(O308,($N$4*3/10))^4-N308^4)/4,0)+IF(O308&gt;($N$4*3/10),($N$4*3/10)^2*(1.5*(O308^2-MAX(N308,($N$4*3/10))^2)-($N$4*3/10)*(O308-MAX(N308,($N$4*3/10)))),0))*1000,0)</f>
        <v>0</v>
      </c>
      <c r="AQ308" s="120">
        <f>IF(AND(V308="OK",ISNUMBER($N$5),$N$5&gt;0,ISNUMBER($N$3),$N$3&gt;0),R308/(6*$N$3*1000000*$N$5)*(IF(N308&lt;($N$4*4/10),($N$4*4/10)*(MIN(O308,($N$4*4/10))^3-N308^3)-(MIN(O308,($N$4*4/10))^4-N308^4)/4,0)+IF(O308&gt;($N$4*4/10),($N$4*4/10)^2*(1.5*(O308^2-MAX(N308,($N$4*4/10))^2)-($N$4*4/10)*(O308-MAX(N308,($N$4*4/10)))),0))*1000,0)</f>
        <v>0</v>
      </c>
      <c r="AR308" s="120">
        <f>IF(AND(V308="OK",ISNUMBER($N$5),$N$5&gt;0,ISNUMBER($N$3),$N$3&gt;0),R308/(6*$N$3*1000000*$N$5)*(IF(N308&lt;($N$4*5/10),($N$4*5/10)*(MIN(O308,($N$4*5/10))^3-N308^3)-(MIN(O308,($N$4*5/10))^4-N308^4)/4,0)+IF(O308&gt;($N$4*5/10),($N$4*5/10)^2*(1.5*(O308^2-MAX(N308,($N$4*5/10))^2)-($N$4*5/10)*(O308-MAX(N308,($N$4*5/10)))),0))*1000,0)</f>
        <v>0</v>
      </c>
      <c r="AS308" s="120">
        <f>IF(AND(V308="OK",ISNUMBER($N$5),$N$5&gt;0,ISNUMBER($N$3),$N$3&gt;0),R308/(6*$N$3*1000000*$N$5)*(IF(N308&lt;($N$4*6/10),($N$4*6/10)*(MIN(O308,($N$4*6/10))^3-N308^3)-(MIN(O308,($N$4*6/10))^4-N308^4)/4,0)+IF(O308&gt;($N$4*6/10),($N$4*6/10)^2*(1.5*(O308^2-MAX(N308,($N$4*6/10))^2)-($N$4*6/10)*(O308-MAX(N308,($N$4*6/10)))),0))*1000,0)</f>
        <v>0</v>
      </c>
      <c r="AT308" s="120">
        <f>IF(AND(V308="OK",ISNUMBER($N$5),$N$5&gt;0,ISNUMBER($N$3),$N$3&gt;0),R308/(6*$N$3*1000000*$N$5)*(IF(N308&lt;($N$4*7/10),($N$4*7/10)*(MIN(O308,($N$4*7/10))^3-N308^3)-(MIN(O308,($N$4*7/10))^4-N308^4)/4,0)+IF(O308&gt;($N$4*7/10),($N$4*7/10)^2*(1.5*(O308^2-MAX(N308,($N$4*7/10))^2)-($N$4*7/10)*(O308-MAX(N308,($N$4*7/10)))),0))*1000,0)</f>
        <v>0</v>
      </c>
      <c r="AU308" s="120">
        <f>IF(AND(V308="OK",ISNUMBER($N$5),$N$5&gt;0,ISNUMBER($N$3),$N$3&gt;0),R308/(6*$N$3*1000000*$N$5)*(IF(N308&lt;($N$4*8/10),($N$4*8/10)*(MIN(O308,($N$4*8/10))^3-N308^3)-(MIN(O308,($N$4*8/10))^4-N308^4)/4,0)+IF(O308&gt;($N$4*8/10),($N$4*8/10)^2*(1.5*(O308^2-MAX(N308,($N$4*8/10))^2)-($N$4*8/10)*(O308-MAX(N308,($N$4*8/10)))),0))*1000,0)</f>
        <v>0</v>
      </c>
      <c r="AV308" s="120">
        <f>IF(AND(V308="OK",ISNUMBER($N$5),$N$5&gt;0,ISNUMBER($N$3),$N$3&gt;0),R308/(6*$N$3*1000000*$N$5)*(IF(N308&lt;($N$4*9/10),($N$4*9/10)*(MIN(O308,($N$4*9/10))^3-N308^3)-(MIN(O308,($N$4*9/10))^4-N308^4)/4,0)+IF(O308&gt;($N$4*9/10),($N$4*9/10)^2*(1.5*(O308^2-MAX(N308,($N$4*9/10))^2)-($N$4*9/10)*(O308-MAX(N308,($N$4*9/10)))),0))*1000,0)</f>
        <v>0</v>
      </c>
      <c r="AW308" s="120">
        <f>IF(AND(V308="OK",ISNUMBER($N$5),$N$5&gt;0,ISNUMBER($N$3),$N$3&gt;0),R308/(6*$N$3*1000000*$N$5)*(IF(N308&lt;($N$4*10/10),($N$4*10/10)*(MIN(O308,($N$4*10/10))^3-N308^3)-(MIN(O308,($N$4*10/10))^4-N308^4)/4,0)+IF(O308&gt;($N$4*10/10),($N$4*10/10)^2*(1.5*(O308^2-MAX(N308,($N$4*10/10))^2)-($N$4*10/10)*(O308-MAX(N308,($N$4*10/10)))),0))*1000,0)</f>
        <v>0</v>
      </c>
    </row>
    <row r="309" spans="1:49">
      <c r="A309" s="124"/>
      <c r="B309" s="125"/>
      <c r="C309" s="125"/>
      <c r="D309" s="125"/>
      <c r="E309" s="125"/>
      <c r="F309" s="126" t="str">
        <f>IF(J309="OK",D309*E309,"")</f>
        <v/>
      </c>
      <c r="G309" s="126" t="str">
        <f>IF(J309="OK",F309*(C309-B309),"")</f>
        <v/>
      </c>
      <c r="H309" s="126" t="str">
        <f>IF(J309="OK",G309*(C309+B309)/2,"")</f>
        <v/>
      </c>
      <c r="I309" s="126" t="str">
        <f>IF(AND(J309="OK",ISNUMBER($B$5),$B$5&gt;0,ISNUMBER($B$3),$B$3&gt;0),F309*(4*$B$4*(C309^3-B309^3)-(C309^4-B309^4))/(24*$B$3*1000000*$B$5)*1000,"")</f>
        <v/>
      </c>
      <c r="J309" s="120" t="str">
        <f>IF(COUNTA(A309:E309)=0,"",IF(AND(COUNT(B309:E309)=4,B309&gt;=0,C309&gt;B309,C309&lt;=$B$4,D309&gt;=0,E309&gt;0),IF(COUNTIFS($B$13:$B$308,"&lt;"&amp;C309,$C$13:$C$308,"&gt;"&amp;B309)&gt;0,"OVERLAP","OK"),"CHECK INPUTS"))</f>
        <v/>
      </c>
      <c r="M309" s="124"/>
      <c r="N309" s="125"/>
      <c r="O309" s="125"/>
      <c r="P309" s="125"/>
      <c r="Q309" s="125"/>
      <c r="R309" s="126" t="str">
        <f>IF(V309="OK",P309*Q309,"")</f>
        <v/>
      </c>
      <c r="S309" s="126" t="str">
        <f>IF(V309="OK",R309*(O309-N309),"")</f>
        <v/>
      </c>
      <c r="T309" s="126" t="str">
        <f>IF(V309="OK",S309*(O309+N309)/2,"")</f>
        <v/>
      </c>
      <c r="U309" s="126" t="str">
        <f>IF(AND(V309="OK",ISNUMBER($N$5),$N$5&gt;0,ISNUMBER($N$3),$N$3&gt;0),R309*(4*$N$4*(O309^3-N309^3)-(O309^4-N309^4))/(24*$N$3*1000000*$N$5)*1000,"")</f>
        <v/>
      </c>
      <c r="V309" s="120" t="str">
        <f>IF(COUNTA(M309:Q309)=0,"",IF(AND(COUNT(N309:Q309)=4,N309&gt;=0,O309&gt;N309,O309&lt;=$N$4,P309&gt;=0,Q309&gt;0),IF(COUNTIFS($N$13:$N$308,"&lt;"&amp;O309,$O$13:$O$308,"&gt;"&amp;N309)&gt;0,"OVERLAP","OK"),"CHECK INPUTS"))</f>
        <v/>
      </c>
      <c r="AA309" s="120">
        <f>IF(AND(J309="OK",ISNUMBER($B$5),$B$5&gt;0,ISNUMBER($B$3),$B$3&gt;0),F309/(6*$B$3*1000000*$B$5)*(IF(B309&lt;($B$4*0/10),($B$4*0/10)*(MIN(C309,($B$4*0/10))^3-B309^3)-(MIN(C309,($B$4*0/10))^4-B309^4)/4,0)+IF(C309&gt;($B$4*0/10),($B$4*0/10)^2*(1.5*(C309^2-MAX(B309,($B$4*0/10))^2)-($B$4*0/10)*(C309-MAX(B309,($B$4*0/10)))),0))*1000,0)</f>
        <v>0</v>
      </c>
      <c r="AB309" s="120">
        <f>IF(AND(J309="OK",ISNUMBER($B$5),$B$5&gt;0,ISNUMBER($B$3),$B$3&gt;0),F309/(6*$B$3*1000000*$B$5)*(IF(B309&lt;($B$4*1/10),($B$4*1/10)*(MIN(C309,($B$4*1/10))^3-B309^3)-(MIN(C309,($B$4*1/10))^4-B309^4)/4,0)+IF(C309&gt;($B$4*1/10),($B$4*1/10)^2*(1.5*(C309^2-MAX(B309,($B$4*1/10))^2)-($B$4*1/10)*(C309-MAX(B309,($B$4*1/10)))),0))*1000,0)</f>
        <v>0</v>
      </c>
      <c r="AC309" s="120">
        <f>IF(AND(J309="OK",ISNUMBER($B$5),$B$5&gt;0,ISNUMBER($B$3),$B$3&gt;0),F309/(6*$B$3*1000000*$B$5)*(IF(B309&lt;($B$4*2/10),($B$4*2/10)*(MIN(C309,($B$4*2/10))^3-B309^3)-(MIN(C309,($B$4*2/10))^4-B309^4)/4,0)+IF(C309&gt;($B$4*2/10),($B$4*2/10)^2*(1.5*(C309^2-MAX(B309,($B$4*2/10))^2)-($B$4*2/10)*(C309-MAX(B309,($B$4*2/10)))),0))*1000,0)</f>
        <v>0</v>
      </c>
      <c r="AD309" s="120">
        <f>IF(AND(J309="OK",ISNUMBER($B$5),$B$5&gt;0,ISNUMBER($B$3),$B$3&gt;0),F309/(6*$B$3*1000000*$B$5)*(IF(B309&lt;($B$4*3/10),($B$4*3/10)*(MIN(C309,($B$4*3/10))^3-B309^3)-(MIN(C309,($B$4*3/10))^4-B309^4)/4,0)+IF(C309&gt;($B$4*3/10),($B$4*3/10)^2*(1.5*(C309^2-MAX(B309,($B$4*3/10))^2)-($B$4*3/10)*(C309-MAX(B309,($B$4*3/10)))),0))*1000,0)</f>
        <v>0</v>
      </c>
      <c r="AE309" s="120">
        <f>IF(AND(J309="OK",ISNUMBER($B$5),$B$5&gt;0,ISNUMBER($B$3),$B$3&gt;0),F309/(6*$B$3*1000000*$B$5)*(IF(B309&lt;($B$4*4/10),($B$4*4/10)*(MIN(C309,($B$4*4/10))^3-B309^3)-(MIN(C309,($B$4*4/10))^4-B309^4)/4,0)+IF(C309&gt;($B$4*4/10),($B$4*4/10)^2*(1.5*(C309^2-MAX(B309,($B$4*4/10))^2)-($B$4*4/10)*(C309-MAX(B309,($B$4*4/10)))),0))*1000,0)</f>
        <v>0</v>
      </c>
      <c r="AF309" s="120">
        <f>IF(AND(J309="OK",ISNUMBER($B$5),$B$5&gt;0,ISNUMBER($B$3),$B$3&gt;0),F309/(6*$B$3*1000000*$B$5)*(IF(B309&lt;($B$4*5/10),($B$4*5/10)*(MIN(C309,($B$4*5/10))^3-B309^3)-(MIN(C309,($B$4*5/10))^4-B309^4)/4,0)+IF(C309&gt;($B$4*5/10),($B$4*5/10)^2*(1.5*(C309^2-MAX(B309,($B$4*5/10))^2)-($B$4*5/10)*(C309-MAX(B309,($B$4*5/10)))),0))*1000,0)</f>
        <v>0</v>
      </c>
      <c r="AG309" s="120">
        <f>IF(AND(J309="OK",ISNUMBER($B$5),$B$5&gt;0,ISNUMBER($B$3),$B$3&gt;0),F309/(6*$B$3*1000000*$B$5)*(IF(B309&lt;($B$4*6/10),($B$4*6/10)*(MIN(C309,($B$4*6/10))^3-B309^3)-(MIN(C309,($B$4*6/10))^4-B309^4)/4,0)+IF(C309&gt;($B$4*6/10),($B$4*6/10)^2*(1.5*(C309^2-MAX(B309,($B$4*6/10))^2)-($B$4*6/10)*(C309-MAX(B309,($B$4*6/10)))),0))*1000,0)</f>
        <v>0</v>
      </c>
      <c r="AH309" s="120">
        <f>IF(AND(J309="OK",ISNUMBER($B$5),$B$5&gt;0,ISNUMBER($B$3),$B$3&gt;0),F309/(6*$B$3*1000000*$B$5)*(IF(B309&lt;($B$4*7/10),($B$4*7/10)*(MIN(C309,($B$4*7/10))^3-B309^3)-(MIN(C309,($B$4*7/10))^4-B309^4)/4,0)+IF(C309&gt;($B$4*7/10),($B$4*7/10)^2*(1.5*(C309^2-MAX(B309,($B$4*7/10))^2)-($B$4*7/10)*(C309-MAX(B309,($B$4*7/10)))),0))*1000,0)</f>
        <v>0</v>
      </c>
      <c r="AI309" s="120">
        <f>IF(AND(J309="OK",ISNUMBER($B$5),$B$5&gt;0,ISNUMBER($B$3),$B$3&gt;0),F309/(6*$B$3*1000000*$B$5)*(IF(B309&lt;($B$4*8/10),($B$4*8/10)*(MIN(C309,($B$4*8/10))^3-B309^3)-(MIN(C309,($B$4*8/10))^4-B309^4)/4,0)+IF(C309&gt;($B$4*8/10),($B$4*8/10)^2*(1.5*(C309^2-MAX(B309,($B$4*8/10))^2)-($B$4*8/10)*(C309-MAX(B309,($B$4*8/10)))),0))*1000,0)</f>
        <v>0</v>
      </c>
      <c r="AJ309" s="120">
        <f>IF(AND(J309="OK",ISNUMBER($B$5),$B$5&gt;0,ISNUMBER($B$3),$B$3&gt;0),F309/(6*$B$3*1000000*$B$5)*(IF(B309&lt;($B$4*9/10),($B$4*9/10)*(MIN(C309,($B$4*9/10))^3-B309^3)-(MIN(C309,($B$4*9/10))^4-B309^4)/4,0)+IF(C309&gt;($B$4*9/10),($B$4*9/10)^2*(1.5*(C309^2-MAX(B309,($B$4*9/10))^2)-($B$4*9/10)*(C309-MAX(B309,($B$4*9/10)))),0))*1000,0)</f>
        <v>0</v>
      </c>
      <c r="AK309" s="120">
        <f>IF(AND(J309="OK",ISNUMBER($B$5),$B$5&gt;0,ISNUMBER($B$3),$B$3&gt;0),F309/(6*$B$3*1000000*$B$5)*(IF(B309&lt;($B$4*10/10),($B$4*10/10)*(MIN(C309,($B$4*10/10))^3-B309^3)-(MIN(C309,($B$4*10/10))^4-B309^4)/4,0)+IF(C309&gt;($B$4*10/10),($B$4*10/10)^2*(1.5*(C309^2-MAX(B309,($B$4*10/10))^2)-($B$4*10/10)*(C309-MAX(B309,($B$4*10/10)))),0))*1000,0)</f>
        <v>0</v>
      </c>
      <c r="AM309" s="120">
        <f>IF(AND(V309="OK",ISNUMBER($N$5),$N$5&gt;0,ISNUMBER($N$3),$N$3&gt;0),R309/(6*$N$3*1000000*$N$5)*(IF(N309&lt;($N$4*0/10),($N$4*0/10)*(MIN(O309,($N$4*0/10))^3-N309^3)-(MIN(O309,($N$4*0/10))^4-N309^4)/4,0)+IF(O309&gt;($N$4*0/10),($N$4*0/10)^2*(1.5*(O309^2-MAX(N309,($N$4*0/10))^2)-($N$4*0/10)*(O309-MAX(N309,($N$4*0/10)))),0))*1000,0)</f>
        <v>0</v>
      </c>
      <c r="AN309" s="120">
        <f>IF(AND(V309="OK",ISNUMBER($N$5),$N$5&gt;0,ISNUMBER($N$3),$N$3&gt;0),R309/(6*$N$3*1000000*$N$5)*(IF(N309&lt;($N$4*1/10),($N$4*1/10)*(MIN(O309,($N$4*1/10))^3-N309^3)-(MIN(O309,($N$4*1/10))^4-N309^4)/4,0)+IF(O309&gt;($N$4*1/10),($N$4*1/10)^2*(1.5*(O309^2-MAX(N309,($N$4*1/10))^2)-($N$4*1/10)*(O309-MAX(N309,($N$4*1/10)))),0))*1000,0)</f>
        <v>0</v>
      </c>
      <c r="AO309" s="120">
        <f>IF(AND(V309="OK",ISNUMBER($N$5),$N$5&gt;0,ISNUMBER($N$3),$N$3&gt;0),R309/(6*$N$3*1000000*$N$5)*(IF(N309&lt;($N$4*2/10),($N$4*2/10)*(MIN(O309,($N$4*2/10))^3-N309^3)-(MIN(O309,($N$4*2/10))^4-N309^4)/4,0)+IF(O309&gt;($N$4*2/10),($N$4*2/10)^2*(1.5*(O309^2-MAX(N309,($N$4*2/10))^2)-($N$4*2/10)*(O309-MAX(N309,($N$4*2/10)))),0))*1000,0)</f>
        <v>0</v>
      </c>
      <c r="AP309" s="120">
        <f>IF(AND(V309="OK",ISNUMBER($N$5),$N$5&gt;0,ISNUMBER($N$3),$N$3&gt;0),R309/(6*$N$3*1000000*$N$5)*(IF(N309&lt;($N$4*3/10),($N$4*3/10)*(MIN(O309,($N$4*3/10))^3-N309^3)-(MIN(O309,($N$4*3/10))^4-N309^4)/4,0)+IF(O309&gt;($N$4*3/10),($N$4*3/10)^2*(1.5*(O309^2-MAX(N309,($N$4*3/10))^2)-($N$4*3/10)*(O309-MAX(N309,($N$4*3/10)))),0))*1000,0)</f>
        <v>0</v>
      </c>
      <c r="AQ309" s="120">
        <f>IF(AND(V309="OK",ISNUMBER($N$5),$N$5&gt;0,ISNUMBER($N$3),$N$3&gt;0),R309/(6*$N$3*1000000*$N$5)*(IF(N309&lt;($N$4*4/10),($N$4*4/10)*(MIN(O309,($N$4*4/10))^3-N309^3)-(MIN(O309,($N$4*4/10))^4-N309^4)/4,0)+IF(O309&gt;($N$4*4/10),($N$4*4/10)^2*(1.5*(O309^2-MAX(N309,($N$4*4/10))^2)-($N$4*4/10)*(O309-MAX(N309,($N$4*4/10)))),0))*1000,0)</f>
        <v>0</v>
      </c>
      <c r="AR309" s="120">
        <f>IF(AND(V309="OK",ISNUMBER($N$5),$N$5&gt;0,ISNUMBER($N$3),$N$3&gt;0),R309/(6*$N$3*1000000*$N$5)*(IF(N309&lt;($N$4*5/10),($N$4*5/10)*(MIN(O309,($N$4*5/10))^3-N309^3)-(MIN(O309,($N$4*5/10))^4-N309^4)/4,0)+IF(O309&gt;($N$4*5/10),($N$4*5/10)^2*(1.5*(O309^2-MAX(N309,($N$4*5/10))^2)-($N$4*5/10)*(O309-MAX(N309,($N$4*5/10)))),0))*1000,0)</f>
        <v>0</v>
      </c>
      <c r="AS309" s="120">
        <f>IF(AND(V309="OK",ISNUMBER($N$5),$N$5&gt;0,ISNUMBER($N$3),$N$3&gt;0),R309/(6*$N$3*1000000*$N$5)*(IF(N309&lt;($N$4*6/10),($N$4*6/10)*(MIN(O309,($N$4*6/10))^3-N309^3)-(MIN(O309,($N$4*6/10))^4-N309^4)/4,0)+IF(O309&gt;($N$4*6/10),($N$4*6/10)^2*(1.5*(O309^2-MAX(N309,($N$4*6/10))^2)-($N$4*6/10)*(O309-MAX(N309,($N$4*6/10)))),0))*1000,0)</f>
        <v>0</v>
      </c>
      <c r="AT309" s="120">
        <f>IF(AND(V309="OK",ISNUMBER($N$5),$N$5&gt;0,ISNUMBER($N$3),$N$3&gt;0),R309/(6*$N$3*1000000*$N$5)*(IF(N309&lt;($N$4*7/10),($N$4*7/10)*(MIN(O309,($N$4*7/10))^3-N309^3)-(MIN(O309,($N$4*7/10))^4-N309^4)/4,0)+IF(O309&gt;($N$4*7/10),($N$4*7/10)^2*(1.5*(O309^2-MAX(N309,($N$4*7/10))^2)-($N$4*7/10)*(O309-MAX(N309,($N$4*7/10)))),0))*1000,0)</f>
        <v>0</v>
      </c>
      <c r="AU309" s="120">
        <f>IF(AND(V309="OK",ISNUMBER($N$5),$N$5&gt;0,ISNUMBER($N$3),$N$3&gt;0),R309/(6*$N$3*1000000*$N$5)*(IF(N309&lt;($N$4*8/10),($N$4*8/10)*(MIN(O309,($N$4*8/10))^3-N309^3)-(MIN(O309,($N$4*8/10))^4-N309^4)/4,0)+IF(O309&gt;($N$4*8/10),($N$4*8/10)^2*(1.5*(O309^2-MAX(N309,($N$4*8/10))^2)-($N$4*8/10)*(O309-MAX(N309,($N$4*8/10)))),0))*1000,0)</f>
        <v>0</v>
      </c>
      <c r="AV309" s="120">
        <f>IF(AND(V309="OK",ISNUMBER($N$5),$N$5&gt;0,ISNUMBER($N$3),$N$3&gt;0),R309/(6*$N$3*1000000*$N$5)*(IF(N309&lt;($N$4*9/10),($N$4*9/10)*(MIN(O309,($N$4*9/10))^3-N309^3)-(MIN(O309,($N$4*9/10))^4-N309^4)/4,0)+IF(O309&gt;($N$4*9/10),($N$4*9/10)^2*(1.5*(O309^2-MAX(N309,($N$4*9/10))^2)-($N$4*9/10)*(O309-MAX(N309,($N$4*9/10)))),0))*1000,0)</f>
        <v>0</v>
      </c>
      <c r="AW309" s="120">
        <f>IF(AND(V309="OK",ISNUMBER($N$5),$N$5&gt;0,ISNUMBER($N$3),$N$3&gt;0),R309/(6*$N$3*1000000*$N$5)*(IF(N309&lt;($N$4*10/10),($N$4*10/10)*(MIN(O309,($N$4*10/10))^3-N309^3)-(MIN(O309,($N$4*10/10))^4-N309^4)/4,0)+IF(O309&gt;($N$4*10/10),($N$4*10/10)^2*(1.5*(O309^2-MAX(N309,($N$4*10/10))^2)-($N$4*10/10)*(O309-MAX(N309,($N$4*10/10)))),0))*1000,0)</f>
        <v>0</v>
      </c>
    </row>
    <row r="310" spans="1:49">
      <c r="A310" s="124"/>
      <c r="B310" s="125"/>
      <c r="C310" s="125"/>
      <c r="D310" s="125"/>
      <c r="E310" s="125"/>
      <c r="F310" s="126" t="str">
        <f>IF(J310="OK",D310*E310,"")</f>
        <v/>
      </c>
      <c r="G310" s="126" t="str">
        <f>IF(J310="OK",F310*(C310-B310),"")</f>
        <v/>
      </c>
      <c r="H310" s="126" t="str">
        <f>IF(J310="OK",G310*(C310+B310)/2,"")</f>
        <v/>
      </c>
      <c r="I310" s="126" t="str">
        <f>IF(AND(J310="OK",ISNUMBER($B$5),$B$5&gt;0,ISNUMBER($B$3),$B$3&gt;0),F310*(4*$B$4*(C310^3-B310^3)-(C310^4-B310^4))/(24*$B$3*1000000*$B$5)*1000,"")</f>
        <v/>
      </c>
      <c r="J310" s="120" t="str">
        <f>IF(COUNTA(A310:E310)=0,"",IF(AND(COUNT(B310:E310)=4,B310&gt;=0,C310&gt;B310,C310&lt;=$B$4,D310&gt;=0,E310&gt;0),IF(COUNTIFS($B$13:$B$309,"&lt;"&amp;C310,$C$13:$C$309,"&gt;"&amp;B310)&gt;0,"OVERLAP","OK"),"CHECK INPUTS"))</f>
        <v/>
      </c>
      <c r="M310" s="124"/>
      <c r="N310" s="125"/>
      <c r="O310" s="125"/>
      <c r="P310" s="125"/>
      <c r="Q310" s="125"/>
      <c r="R310" s="126" t="str">
        <f>IF(V310="OK",P310*Q310,"")</f>
        <v/>
      </c>
      <c r="S310" s="126" t="str">
        <f>IF(V310="OK",R310*(O310-N310),"")</f>
        <v/>
      </c>
      <c r="T310" s="126" t="str">
        <f>IF(V310="OK",S310*(O310+N310)/2,"")</f>
        <v/>
      </c>
      <c r="U310" s="126" t="str">
        <f>IF(AND(V310="OK",ISNUMBER($N$5),$N$5&gt;0,ISNUMBER($N$3),$N$3&gt;0),R310*(4*$N$4*(O310^3-N310^3)-(O310^4-N310^4))/(24*$N$3*1000000*$N$5)*1000,"")</f>
        <v/>
      </c>
      <c r="V310" s="120" t="str">
        <f>IF(COUNTA(M310:Q310)=0,"",IF(AND(COUNT(N310:Q310)=4,N310&gt;=0,O310&gt;N310,O310&lt;=$N$4,P310&gt;=0,Q310&gt;0),IF(COUNTIFS($N$13:$N$309,"&lt;"&amp;O310,$O$13:$O$309,"&gt;"&amp;N310)&gt;0,"OVERLAP","OK"),"CHECK INPUTS"))</f>
        <v/>
      </c>
      <c r="AA310" s="120">
        <f>IF(AND(J310="OK",ISNUMBER($B$5),$B$5&gt;0,ISNUMBER($B$3),$B$3&gt;0),F310/(6*$B$3*1000000*$B$5)*(IF(B310&lt;($B$4*0/10),($B$4*0/10)*(MIN(C310,($B$4*0/10))^3-B310^3)-(MIN(C310,($B$4*0/10))^4-B310^4)/4,0)+IF(C310&gt;($B$4*0/10),($B$4*0/10)^2*(1.5*(C310^2-MAX(B310,($B$4*0/10))^2)-($B$4*0/10)*(C310-MAX(B310,($B$4*0/10)))),0))*1000,0)</f>
        <v>0</v>
      </c>
      <c r="AB310" s="120">
        <f>IF(AND(J310="OK",ISNUMBER($B$5),$B$5&gt;0,ISNUMBER($B$3),$B$3&gt;0),F310/(6*$B$3*1000000*$B$5)*(IF(B310&lt;($B$4*1/10),($B$4*1/10)*(MIN(C310,($B$4*1/10))^3-B310^3)-(MIN(C310,($B$4*1/10))^4-B310^4)/4,0)+IF(C310&gt;($B$4*1/10),($B$4*1/10)^2*(1.5*(C310^2-MAX(B310,($B$4*1/10))^2)-($B$4*1/10)*(C310-MAX(B310,($B$4*1/10)))),0))*1000,0)</f>
        <v>0</v>
      </c>
      <c r="AC310" s="120">
        <f>IF(AND(J310="OK",ISNUMBER($B$5),$B$5&gt;0,ISNUMBER($B$3),$B$3&gt;0),F310/(6*$B$3*1000000*$B$5)*(IF(B310&lt;($B$4*2/10),($B$4*2/10)*(MIN(C310,($B$4*2/10))^3-B310^3)-(MIN(C310,($B$4*2/10))^4-B310^4)/4,0)+IF(C310&gt;($B$4*2/10),($B$4*2/10)^2*(1.5*(C310^2-MAX(B310,($B$4*2/10))^2)-($B$4*2/10)*(C310-MAX(B310,($B$4*2/10)))),0))*1000,0)</f>
        <v>0</v>
      </c>
      <c r="AD310" s="120">
        <f>IF(AND(J310="OK",ISNUMBER($B$5),$B$5&gt;0,ISNUMBER($B$3),$B$3&gt;0),F310/(6*$B$3*1000000*$B$5)*(IF(B310&lt;($B$4*3/10),($B$4*3/10)*(MIN(C310,($B$4*3/10))^3-B310^3)-(MIN(C310,($B$4*3/10))^4-B310^4)/4,0)+IF(C310&gt;($B$4*3/10),($B$4*3/10)^2*(1.5*(C310^2-MAX(B310,($B$4*3/10))^2)-($B$4*3/10)*(C310-MAX(B310,($B$4*3/10)))),0))*1000,0)</f>
        <v>0</v>
      </c>
      <c r="AE310" s="120">
        <f>IF(AND(J310="OK",ISNUMBER($B$5),$B$5&gt;0,ISNUMBER($B$3),$B$3&gt;0),F310/(6*$B$3*1000000*$B$5)*(IF(B310&lt;($B$4*4/10),($B$4*4/10)*(MIN(C310,($B$4*4/10))^3-B310^3)-(MIN(C310,($B$4*4/10))^4-B310^4)/4,0)+IF(C310&gt;($B$4*4/10),($B$4*4/10)^2*(1.5*(C310^2-MAX(B310,($B$4*4/10))^2)-($B$4*4/10)*(C310-MAX(B310,($B$4*4/10)))),0))*1000,0)</f>
        <v>0</v>
      </c>
      <c r="AF310" s="120">
        <f>IF(AND(J310="OK",ISNUMBER($B$5),$B$5&gt;0,ISNUMBER($B$3),$B$3&gt;0),F310/(6*$B$3*1000000*$B$5)*(IF(B310&lt;($B$4*5/10),($B$4*5/10)*(MIN(C310,($B$4*5/10))^3-B310^3)-(MIN(C310,($B$4*5/10))^4-B310^4)/4,0)+IF(C310&gt;($B$4*5/10),($B$4*5/10)^2*(1.5*(C310^2-MAX(B310,($B$4*5/10))^2)-($B$4*5/10)*(C310-MAX(B310,($B$4*5/10)))),0))*1000,0)</f>
        <v>0</v>
      </c>
      <c r="AG310" s="120">
        <f>IF(AND(J310="OK",ISNUMBER($B$5),$B$5&gt;0,ISNUMBER($B$3),$B$3&gt;0),F310/(6*$B$3*1000000*$B$5)*(IF(B310&lt;($B$4*6/10),($B$4*6/10)*(MIN(C310,($B$4*6/10))^3-B310^3)-(MIN(C310,($B$4*6/10))^4-B310^4)/4,0)+IF(C310&gt;($B$4*6/10),($B$4*6/10)^2*(1.5*(C310^2-MAX(B310,($B$4*6/10))^2)-($B$4*6/10)*(C310-MAX(B310,($B$4*6/10)))),0))*1000,0)</f>
        <v>0</v>
      </c>
      <c r="AH310" s="120">
        <f>IF(AND(J310="OK",ISNUMBER($B$5),$B$5&gt;0,ISNUMBER($B$3),$B$3&gt;0),F310/(6*$B$3*1000000*$B$5)*(IF(B310&lt;($B$4*7/10),($B$4*7/10)*(MIN(C310,($B$4*7/10))^3-B310^3)-(MIN(C310,($B$4*7/10))^4-B310^4)/4,0)+IF(C310&gt;($B$4*7/10),($B$4*7/10)^2*(1.5*(C310^2-MAX(B310,($B$4*7/10))^2)-($B$4*7/10)*(C310-MAX(B310,($B$4*7/10)))),0))*1000,0)</f>
        <v>0</v>
      </c>
      <c r="AI310" s="120">
        <f>IF(AND(J310="OK",ISNUMBER($B$5),$B$5&gt;0,ISNUMBER($B$3),$B$3&gt;0),F310/(6*$B$3*1000000*$B$5)*(IF(B310&lt;($B$4*8/10),($B$4*8/10)*(MIN(C310,($B$4*8/10))^3-B310^3)-(MIN(C310,($B$4*8/10))^4-B310^4)/4,0)+IF(C310&gt;($B$4*8/10),($B$4*8/10)^2*(1.5*(C310^2-MAX(B310,($B$4*8/10))^2)-($B$4*8/10)*(C310-MAX(B310,($B$4*8/10)))),0))*1000,0)</f>
        <v>0</v>
      </c>
      <c r="AJ310" s="120">
        <f>IF(AND(J310="OK",ISNUMBER($B$5),$B$5&gt;0,ISNUMBER($B$3),$B$3&gt;0),F310/(6*$B$3*1000000*$B$5)*(IF(B310&lt;($B$4*9/10),($B$4*9/10)*(MIN(C310,($B$4*9/10))^3-B310^3)-(MIN(C310,($B$4*9/10))^4-B310^4)/4,0)+IF(C310&gt;($B$4*9/10),($B$4*9/10)^2*(1.5*(C310^2-MAX(B310,($B$4*9/10))^2)-($B$4*9/10)*(C310-MAX(B310,($B$4*9/10)))),0))*1000,0)</f>
        <v>0</v>
      </c>
      <c r="AK310" s="120">
        <f>IF(AND(J310="OK",ISNUMBER($B$5),$B$5&gt;0,ISNUMBER($B$3),$B$3&gt;0),F310/(6*$B$3*1000000*$B$5)*(IF(B310&lt;($B$4*10/10),($B$4*10/10)*(MIN(C310,($B$4*10/10))^3-B310^3)-(MIN(C310,($B$4*10/10))^4-B310^4)/4,0)+IF(C310&gt;($B$4*10/10),($B$4*10/10)^2*(1.5*(C310^2-MAX(B310,($B$4*10/10))^2)-($B$4*10/10)*(C310-MAX(B310,($B$4*10/10)))),0))*1000,0)</f>
        <v>0</v>
      </c>
      <c r="AM310" s="120">
        <f>IF(AND(V310="OK",ISNUMBER($N$5),$N$5&gt;0,ISNUMBER($N$3),$N$3&gt;0),R310/(6*$N$3*1000000*$N$5)*(IF(N310&lt;($N$4*0/10),($N$4*0/10)*(MIN(O310,($N$4*0/10))^3-N310^3)-(MIN(O310,($N$4*0/10))^4-N310^4)/4,0)+IF(O310&gt;($N$4*0/10),($N$4*0/10)^2*(1.5*(O310^2-MAX(N310,($N$4*0/10))^2)-($N$4*0/10)*(O310-MAX(N310,($N$4*0/10)))),0))*1000,0)</f>
        <v>0</v>
      </c>
      <c r="AN310" s="120">
        <f>IF(AND(V310="OK",ISNUMBER($N$5),$N$5&gt;0,ISNUMBER($N$3),$N$3&gt;0),R310/(6*$N$3*1000000*$N$5)*(IF(N310&lt;($N$4*1/10),($N$4*1/10)*(MIN(O310,($N$4*1/10))^3-N310^3)-(MIN(O310,($N$4*1/10))^4-N310^4)/4,0)+IF(O310&gt;($N$4*1/10),($N$4*1/10)^2*(1.5*(O310^2-MAX(N310,($N$4*1/10))^2)-($N$4*1/10)*(O310-MAX(N310,($N$4*1/10)))),0))*1000,0)</f>
        <v>0</v>
      </c>
      <c r="AO310" s="120">
        <f>IF(AND(V310="OK",ISNUMBER($N$5),$N$5&gt;0,ISNUMBER($N$3),$N$3&gt;0),R310/(6*$N$3*1000000*$N$5)*(IF(N310&lt;($N$4*2/10),($N$4*2/10)*(MIN(O310,($N$4*2/10))^3-N310^3)-(MIN(O310,($N$4*2/10))^4-N310^4)/4,0)+IF(O310&gt;($N$4*2/10),($N$4*2/10)^2*(1.5*(O310^2-MAX(N310,($N$4*2/10))^2)-($N$4*2/10)*(O310-MAX(N310,($N$4*2/10)))),0))*1000,0)</f>
        <v>0</v>
      </c>
      <c r="AP310" s="120">
        <f>IF(AND(V310="OK",ISNUMBER($N$5),$N$5&gt;0,ISNUMBER($N$3),$N$3&gt;0),R310/(6*$N$3*1000000*$N$5)*(IF(N310&lt;($N$4*3/10),($N$4*3/10)*(MIN(O310,($N$4*3/10))^3-N310^3)-(MIN(O310,($N$4*3/10))^4-N310^4)/4,0)+IF(O310&gt;($N$4*3/10),($N$4*3/10)^2*(1.5*(O310^2-MAX(N310,($N$4*3/10))^2)-($N$4*3/10)*(O310-MAX(N310,($N$4*3/10)))),0))*1000,0)</f>
        <v>0</v>
      </c>
      <c r="AQ310" s="120">
        <f>IF(AND(V310="OK",ISNUMBER($N$5),$N$5&gt;0,ISNUMBER($N$3),$N$3&gt;0),R310/(6*$N$3*1000000*$N$5)*(IF(N310&lt;($N$4*4/10),($N$4*4/10)*(MIN(O310,($N$4*4/10))^3-N310^3)-(MIN(O310,($N$4*4/10))^4-N310^4)/4,0)+IF(O310&gt;($N$4*4/10),($N$4*4/10)^2*(1.5*(O310^2-MAX(N310,($N$4*4/10))^2)-($N$4*4/10)*(O310-MAX(N310,($N$4*4/10)))),0))*1000,0)</f>
        <v>0</v>
      </c>
      <c r="AR310" s="120">
        <f>IF(AND(V310="OK",ISNUMBER($N$5),$N$5&gt;0,ISNUMBER($N$3),$N$3&gt;0),R310/(6*$N$3*1000000*$N$5)*(IF(N310&lt;($N$4*5/10),($N$4*5/10)*(MIN(O310,($N$4*5/10))^3-N310^3)-(MIN(O310,($N$4*5/10))^4-N310^4)/4,0)+IF(O310&gt;($N$4*5/10),($N$4*5/10)^2*(1.5*(O310^2-MAX(N310,($N$4*5/10))^2)-($N$4*5/10)*(O310-MAX(N310,($N$4*5/10)))),0))*1000,0)</f>
        <v>0</v>
      </c>
      <c r="AS310" s="120">
        <f>IF(AND(V310="OK",ISNUMBER($N$5),$N$5&gt;0,ISNUMBER($N$3),$N$3&gt;0),R310/(6*$N$3*1000000*$N$5)*(IF(N310&lt;($N$4*6/10),($N$4*6/10)*(MIN(O310,($N$4*6/10))^3-N310^3)-(MIN(O310,($N$4*6/10))^4-N310^4)/4,0)+IF(O310&gt;($N$4*6/10),($N$4*6/10)^2*(1.5*(O310^2-MAX(N310,($N$4*6/10))^2)-($N$4*6/10)*(O310-MAX(N310,($N$4*6/10)))),0))*1000,0)</f>
        <v>0</v>
      </c>
      <c r="AT310" s="120">
        <f>IF(AND(V310="OK",ISNUMBER($N$5),$N$5&gt;0,ISNUMBER($N$3),$N$3&gt;0),R310/(6*$N$3*1000000*$N$5)*(IF(N310&lt;($N$4*7/10),($N$4*7/10)*(MIN(O310,($N$4*7/10))^3-N310^3)-(MIN(O310,($N$4*7/10))^4-N310^4)/4,0)+IF(O310&gt;($N$4*7/10),($N$4*7/10)^2*(1.5*(O310^2-MAX(N310,($N$4*7/10))^2)-($N$4*7/10)*(O310-MAX(N310,($N$4*7/10)))),0))*1000,0)</f>
        <v>0</v>
      </c>
      <c r="AU310" s="120">
        <f>IF(AND(V310="OK",ISNUMBER($N$5),$N$5&gt;0,ISNUMBER($N$3),$N$3&gt;0),R310/(6*$N$3*1000000*$N$5)*(IF(N310&lt;($N$4*8/10),($N$4*8/10)*(MIN(O310,($N$4*8/10))^3-N310^3)-(MIN(O310,($N$4*8/10))^4-N310^4)/4,0)+IF(O310&gt;($N$4*8/10),($N$4*8/10)^2*(1.5*(O310^2-MAX(N310,($N$4*8/10))^2)-($N$4*8/10)*(O310-MAX(N310,($N$4*8/10)))),0))*1000,0)</f>
        <v>0</v>
      </c>
      <c r="AV310" s="120">
        <f>IF(AND(V310="OK",ISNUMBER($N$5),$N$5&gt;0,ISNUMBER($N$3),$N$3&gt;0),R310/(6*$N$3*1000000*$N$5)*(IF(N310&lt;($N$4*9/10),($N$4*9/10)*(MIN(O310,($N$4*9/10))^3-N310^3)-(MIN(O310,($N$4*9/10))^4-N310^4)/4,0)+IF(O310&gt;($N$4*9/10),($N$4*9/10)^2*(1.5*(O310^2-MAX(N310,($N$4*9/10))^2)-($N$4*9/10)*(O310-MAX(N310,($N$4*9/10)))),0))*1000,0)</f>
        <v>0</v>
      </c>
      <c r="AW310" s="120">
        <f>IF(AND(V310="OK",ISNUMBER($N$5),$N$5&gt;0,ISNUMBER($N$3),$N$3&gt;0),R310/(6*$N$3*1000000*$N$5)*(IF(N310&lt;($N$4*10/10),($N$4*10/10)*(MIN(O310,($N$4*10/10))^3-N310^3)-(MIN(O310,($N$4*10/10))^4-N310^4)/4,0)+IF(O310&gt;($N$4*10/10),($N$4*10/10)^2*(1.5*(O310^2-MAX(N310,($N$4*10/10))^2)-($N$4*10/10)*(O310-MAX(N310,($N$4*10/10)))),0))*1000,0)</f>
        <v>0</v>
      </c>
    </row>
    <row r="311" spans="1:49">
      <c r="A311" s="124"/>
      <c r="B311" s="125"/>
      <c r="C311" s="125"/>
      <c r="D311" s="125"/>
      <c r="E311" s="125"/>
      <c r="F311" s="126" t="str">
        <f>IF(J311="OK",D311*E311,"")</f>
        <v/>
      </c>
      <c r="G311" s="126" t="str">
        <f>IF(J311="OK",F311*(C311-B311),"")</f>
        <v/>
      </c>
      <c r="H311" s="126" t="str">
        <f>IF(J311="OK",G311*(C311+B311)/2,"")</f>
        <v/>
      </c>
      <c r="I311" s="126" t="str">
        <f>IF(AND(J311="OK",ISNUMBER($B$5),$B$5&gt;0,ISNUMBER($B$3),$B$3&gt;0),F311*(4*$B$4*(C311^3-B311^3)-(C311^4-B311^4))/(24*$B$3*1000000*$B$5)*1000,"")</f>
        <v/>
      </c>
      <c r="J311" s="120" t="str">
        <f>IF(COUNTA(A311:E311)=0,"",IF(AND(COUNT(B311:E311)=4,B311&gt;=0,C311&gt;B311,C311&lt;=$B$4,D311&gt;=0,E311&gt;0),IF(COUNTIFS($B$13:$B$310,"&lt;"&amp;C311,$C$13:$C$310,"&gt;"&amp;B311)&gt;0,"OVERLAP","OK"),"CHECK INPUTS"))</f>
        <v/>
      </c>
      <c r="M311" s="124"/>
      <c r="N311" s="125"/>
      <c r="O311" s="125"/>
      <c r="P311" s="125"/>
      <c r="Q311" s="125"/>
      <c r="R311" s="126" t="str">
        <f>IF(V311="OK",P311*Q311,"")</f>
        <v/>
      </c>
      <c r="S311" s="126" t="str">
        <f>IF(V311="OK",R311*(O311-N311),"")</f>
        <v/>
      </c>
      <c r="T311" s="126" t="str">
        <f>IF(V311="OK",S311*(O311+N311)/2,"")</f>
        <v/>
      </c>
      <c r="U311" s="126" t="str">
        <f>IF(AND(V311="OK",ISNUMBER($N$5),$N$5&gt;0,ISNUMBER($N$3),$N$3&gt;0),R311*(4*$N$4*(O311^3-N311^3)-(O311^4-N311^4))/(24*$N$3*1000000*$N$5)*1000,"")</f>
        <v/>
      </c>
      <c r="V311" s="120" t="str">
        <f>IF(COUNTA(M311:Q311)=0,"",IF(AND(COUNT(N311:Q311)=4,N311&gt;=0,O311&gt;N311,O311&lt;=$N$4,P311&gt;=0,Q311&gt;0),IF(COUNTIFS($N$13:$N$310,"&lt;"&amp;O311,$O$13:$O$310,"&gt;"&amp;N311)&gt;0,"OVERLAP","OK"),"CHECK INPUTS"))</f>
        <v/>
      </c>
      <c r="AA311" s="120">
        <f>IF(AND(J311="OK",ISNUMBER($B$5),$B$5&gt;0,ISNUMBER($B$3),$B$3&gt;0),F311/(6*$B$3*1000000*$B$5)*(IF(B311&lt;($B$4*0/10),($B$4*0/10)*(MIN(C311,($B$4*0/10))^3-B311^3)-(MIN(C311,($B$4*0/10))^4-B311^4)/4,0)+IF(C311&gt;($B$4*0/10),($B$4*0/10)^2*(1.5*(C311^2-MAX(B311,($B$4*0/10))^2)-($B$4*0/10)*(C311-MAX(B311,($B$4*0/10)))),0))*1000,0)</f>
        <v>0</v>
      </c>
      <c r="AB311" s="120">
        <f>IF(AND(J311="OK",ISNUMBER($B$5),$B$5&gt;0,ISNUMBER($B$3),$B$3&gt;0),F311/(6*$B$3*1000000*$B$5)*(IF(B311&lt;($B$4*1/10),($B$4*1/10)*(MIN(C311,($B$4*1/10))^3-B311^3)-(MIN(C311,($B$4*1/10))^4-B311^4)/4,0)+IF(C311&gt;($B$4*1/10),($B$4*1/10)^2*(1.5*(C311^2-MAX(B311,($B$4*1/10))^2)-($B$4*1/10)*(C311-MAX(B311,($B$4*1/10)))),0))*1000,0)</f>
        <v>0</v>
      </c>
      <c r="AC311" s="120">
        <f>IF(AND(J311="OK",ISNUMBER($B$5),$B$5&gt;0,ISNUMBER($B$3),$B$3&gt;0),F311/(6*$B$3*1000000*$B$5)*(IF(B311&lt;($B$4*2/10),($B$4*2/10)*(MIN(C311,($B$4*2/10))^3-B311^3)-(MIN(C311,($B$4*2/10))^4-B311^4)/4,0)+IF(C311&gt;($B$4*2/10),($B$4*2/10)^2*(1.5*(C311^2-MAX(B311,($B$4*2/10))^2)-($B$4*2/10)*(C311-MAX(B311,($B$4*2/10)))),0))*1000,0)</f>
        <v>0</v>
      </c>
      <c r="AD311" s="120">
        <f>IF(AND(J311="OK",ISNUMBER($B$5),$B$5&gt;0,ISNUMBER($B$3),$B$3&gt;0),F311/(6*$B$3*1000000*$B$5)*(IF(B311&lt;($B$4*3/10),($B$4*3/10)*(MIN(C311,($B$4*3/10))^3-B311^3)-(MIN(C311,($B$4*3/10))^4-B311^4)/4,0)+IF(C311&gt;($B$4*3/10),($B$4*3/10)^2*(1.5*(C311^2-MAX(B311,($B$4*3/10))^2)-($B$4*3/10)*(C311-MAX(B311,($B$4*3/10)))),0))*1000,0)</f>
        <v>0</v>
      </c>
      <c r="AE311" s="120">
        <f>IF(AND(J311="OK",ISNUMBER($B$5),$B$5&gt;0,ISNUMBER($B$3),$B$3&gt;0),F311/(6*$B$3*1000000*$B$5)*(IF(B311&lt;($B$4*4/10),($B$4*4/10)*(MIN(C311,($B$4*4/10))^3-B311^3)-(MIN(C311,($B$4*4/10))^4-B311^4)/4,0)+IF(C311&gt;($B$4*4/10),($B$4*4/10)^2*(1.5*(C311^2-MAX(B311,($B$4*4/10))^2)-($B$4*4/10)*(C311-MAX(B311,($B$4*4/10)))),0))*1000,0)</f>
        <v>0</v>
      </c>
      <c r="AF311" s="120">
        <f>IF(AND(J311="OK",ISNUMBER($B$5),$B$5&gt;0,ISNUMBER($B$3),$B$3&gt;0),F311/(6*$B$3*1000000*$B$5)*(IF(B311&lt;($B$4*5/10),($B$4*5/10)*(MIN(C311,($B$4*5/10))^3-B311^3)-(MIN(C311,($B$4*5/10))^4-B311^4)/4,0)+IF(C311&gt;($B$4*5/10),($B$4*5/10)^2*(1.5*(C311^2-MAX(B311,($B$4*5/10))^2)-($B$4*5/10)*(C311-MAX(B311,($B$4*5/10)))),0))*1000,0)</f>
        <v>0</v>
      </c>
      <c r="AG311" s="120">
        <f>IF(AND(J311="OK",ISNUMBER($B$5),$B$5&gt;0,ISNUMBER($B$3),$B$3&gt;0),F311/(6*$B$3*1000000*$B$5)*(IF(B311&lt;($B$4*6/10),($B$4*6/10)*(MIN(C311,($B$4*6/10))^3-B311^3)-(MIN(C311,($B$4*6/10))^4-B311^4)/4,0)+IF(C311&gt;($B$4*6/10),($B$4*6/10)^2*(1.5*(C311^2-MAX(B311,($B$4*6/10))^2)-($B$4*6/10)*(C311-MAX(B311,($B$4*6/10)))),0))*1000,0)</f>
        <v>0</v>
      </c>
      <c r="AH311" s="120">
        <f>IF(AND(J311="OK",ISNUMBER($B$5),$B$5&gt;0,ISNUMBER($B$3),$B$3&gt;0),F311/(6*$B$3*1000000*$B$5)*(IF(B311&lt;($B$4*7/10),($B$4*7/10)*(MIN(C311,($B$4*7/10))^3-B311^3)-(MIN(C311,($B$4*7/10))^4-B311^4)/4,0)+IF(C311&gt;($B$4*7/10),($B$4*7/10)^2*(1.5*(C311^2-MAX(B311,($B$4*7/10))^2)-($B$4*7/10)*(C311-MAX(B311,($B$4*7/10)))),0))*1000,0)</f>
        <v>0</v>
      </c>
      <c r="AI311" s="120">
        <f>IF(AND(J311="OK",ISNUMBER($B$5),$B$5&gt;0,ISNUMBER($B$3),$B$3&gt;0),F311/(6*$B$3*1000000*$B$5)*(IF(B311&lt;($B$4*8/10),($B$4*8/10)*(MIN(C311,($B$4*8/10))^3-B311^3)-(MIN(C311,($B$4*8/10))^4-B311^4)/4,0)+IF(C311&gt;($B$4*8/10),($B$4*8/10)^2*(1.5*(C311^2-MAX(B311,($B$4*8/10))^2)-($B$4*8/10)*(C311-MAX(B311,($B$4*8/10)))),0))*1000,0)</f>
        <v>0</v>
      </c>
      <c r="AJ311" s="120">
        <f>IF(AND(J311="OK",ISNUMBER($B$5),$B$5&gt;0,ISNUMBER($B$3),$B$3&gt;0),F311/(6*$B$3*1000000*$B$5)*(IF(B311&lt;($B$4*9/10),($B$4*9/10)*(MIN(C311,($B$4*9/10))^3-B311^3)-(MIN(C311,($B$4*9/10))^4-B311^4)/4,0)+IF(C311&gt;($B$4*9/10),($B$4*9/10)^2*(1.5*(C311^2-MAX(B311,($B$4*9/10))^2)-($B$4*9/10)*(C311-MAX(B311,($B$4*9/10)))),0))*1000,0)</f>
        <v>0</v>
      </c>
      <c r="AK311" s="120">
        <f>IF(AND(J311="OK",ISNUMBER($B$5),$B$5&gt;0,ISNUMBER($B$3),$B$3&gt;0),F311/(6*$B$3*1000000*$B$5)*(IF(B311&lt;($B$4*10/10),($B$4*10/10)*(MIN(C311,($B$4*10/10))^3-B311^3)-(MIN(C311,($B$4*10/10))^4-B311^4)/4,0)+IF(C311&gt;($B$4*10/10),($B$4*10/10)^2*(1.5*(C311^2-MAX(B311,($B$4*10/10))^2)-($B$4*10/10)*(C311-MAX(B311,($B$4*10/10)))),0))*1000,0)</f>
        <v>0</v>
      </c>
      <c r="AM311" s="120">
        <f>IF(AND(V311="OK",ISNUMBER($N$5),$N$5&gt;0,ISNUMBER($N$3),$N$3&gt;0),R311/(6*$N$3*1000000*$N$5)*(IF(N311&lt;($N$4*0/10),($N$4*0/10)*(MIN(O311,($N$4*0/10))^3-N311^3)-(MIN(O311,($N$4*0/10))^4-N311^4)/4,0)+IF(O311&gt;($N$4*0/10),($N$4*0/10)^2*(1.5*(O311^2-MAX(N311,($N$4*0/10))^2)-($N$4*0/10)*(O311-MAX(N311,($N$4*0/10)))),0))*1000,0)</f>
        <v>0</v>
      </c>
      <c r="AN311" s="120">
        <f>IF(AND(V311="OK",ISNUMBER($N$5),$N$5&gt;0,ISNUMBER($N$3),$N$3&gt;0),R311/(6*$N$3*1000000*$N$5)*(IF(N311&lt;($N$4*1/10),($N$4*1/10)*(MIN(O311,($N$4*1/10))^3-N311^3)-(MIN(O311,($N$4*1/10))^4-N311^4)/4,0)+IF(O311&gt;($N$4*1/10),($N$4*1/10)^2*(1.5*(O311^2-MAX(N311,($N$4*1/10))^2)-($N$4*1/10)*(O311-MAX(N311,($N$4*1/10)))),0))*1000,0)</f>
        <v>0</v>
      </c>
      <c r="AO311" s="120">
        <f>IF(AND(V311="OK",ISNUMBER($N$5),$N$5&gt;0,ISNUMBER($N$3),$N$3&gt;0),R311/(6*$N$3*1000000*$N$5)*(IF(N311&lt;($N$4*2/10),($N$4*2/10)*(MIN(O311,($N$4*2/10))^3-N311^3)-(MIN(O311,($N$4*2/10))^4-N311^4)/4,0)+IF(O311&gt;($N$4*2/10),($N$4*2/10)^2*(1.5*(O311^2-MAX(N311,($N$4*2/10))^2)-($N$4*2/10)*(O311-MAX(N311,($N$4*2/10)))),0))*1000,0)</f>
        <v>0</v>
      </c>
      <c r="AP311" s="120">
        <f>IF(AND(V311="OK",ISNUMBER($N$5),$N$5&gt;0,ISNUMBER($N$3),$N$3&gt;0),R311/(6*$N$3*1000000*$N$5)*(IF(N311&lt;($N$4*3/10),($N$4*3/10)*(MIN(O311,($N$4*3/10))^3-N311^3)-(MIN(O311,($N$4*3/10))^4-N311^4)/4,0)+IF(O311&gt;($N$4*3/10),($N$4*3/10)^2*(1.5*(O311^2-MAX(N311,($N$4*3/10))^2)-($N$4*3/10)*(O311-MAX(N311,($N$4*3/10)))),0))*1000,0)</f>
        <v>0</v>
      </c>
      <c r="AQ311" s="120">
        <f>IF(AND(V311="OK",ISNUMBER($N$5),$N$5&gt;0,ISNUMBER($N$3),$N$3&gt;0),R311/(6*$N$3*1000000*$N$5)*(IF(N311&lt;($N$4*4/10),($N$4*4/10)*(MIN(O311,($N$4*4/10))^3-N311^3)-(MIN(O311,($N$4*4/10))^4-N311^4)/4,0)+IF(O311&gt;($N$4*4/10),($N$4*4/10)^2*(1.5*(O311^2-MAX(N311,($N$4*4/10))^2)-($N$4*4/10)*(O311-MAX(N311,($N$4*4/10)))),0))*1000,0)</f>
        <v>0</v>
      </c>
      <c r="AR311" s="120">
        <f>IF(AND(V311="OK",ISNUMBER($N$5),$N$5&gt;0,ISNUMBER($N$3),$N$3&gt;0),R311/(6*$N$3*1000000*$N$5)*(IF(N311&lt;($N$4*5/10),($N$4*5/10)*(MIN(O311,($N$4*5/10))^3-N311^3)-(MIN(O311,($N$4*5/10))^4-N311^4)/4,0)+IF(O311&gt;($N$4*5/10),($N$4*5/10)^2*(1.5*(O311^2-MAX(N311,($N$4*5/10))^2)-($N$4*5/10)*(O311-MAX(N311,($N$4*5/10)))),0))*1000,0)</f>
        <v>0</v>
      </c>
      <c r="AS311" s="120">
        <f>IF(AND(V311="OK",ISNUMBER($N$5),$N$5&gt;0,ISNUMBER($N$3),$N$3&gt;0),R311/(6*$N$3*1000000*$N$5)*(IF(N311&lt;($N$4*6/10),($N$4*6/10)*(MIN(O311,($N$4*6/10))^3-N311^3)-(MIN(O311,($N$4*6/10))^4-N311^4)/4,0)+IF(O311&gt;($N$4*6/10),($N$4*6/10)^2*(1.5*(O311^2-MAX(N311,($N$4*6/10))^2)-($N$4*6/10)*(O311-MAX(N311,($N$4*6/10)))),0))*1000,0)</f>
        <v>0</v>
      </c>
      <c r="AT311" s="120">
        <f>IF(AND(V311="OK",ISNUMBER($N$5),$N$5&gt;0,ISNUMBER($N$3),$N$3&gt;0),R311/(6*$N$3*1000000*$N$5)*(IF(N311&lt;($N$4*7/10),($N$4*7/10)*(MIN(O311,($N$4*7/10))^3-N311^3)-(MIN(O311,($N$4*7/10))^4-N311^4)/4,0)+IF(O311&gt;($N$4*7/10),($N$4*7/10)^2*(1.5*(O311^2-MAX(N311,($N$4*7/10))^2)-($N$4*7/10)*(O311-MAX(N311,($N$4*7/10)))),0))*1000,0)</f>
        <v>0</v>
      </c>
      <c r="AU311" s="120">
        <f>IF(AND(V311="OK",ISNUMBER($N$5),$N$5&gt;0,ISNUMBER($N$3),$N$3&gt;0),R311/(6*$N$3*1000000*$N$5)*(IF(N311&lt;($N$4*8/10),($N$4*8/10)*(MIN(O311,($N$4*8/10))^3-N311^3)-(MIN(O311,($N$4*8/10))^4-N311^4)/4,0)+IF(O311&gt;($N$4*8/10),($N$4*8/10)^2*(1.5*(O311^2-MAX(N311,($N$4*8/10))^2)-($N$4*8/10)*(O311-MAX(N311,($N$4*8/10)))),0))*1000,0)</f>
        <v>0</v>
      </c>
      <c r="AV311" s="120">
        <f>IF(AND(V311="OK",ISNUMBER($N$5),$N$5&gt;0,ISNUMBER($N$3),$N$3&gt;0),R311/(6*$N$3*1000000*$N$5)*(IF(N311&lt;($N$4*9/10),($N$4*9/10)*(MIN(O311,($N$4*9/10))^3-N311^3)-(MIN(O311,($N$4*9/10))^4-N311^4)/4,0)+IF(O311&gt;($N$4*9/10),($N$4*9/10)^2*(1.5*(O311^2-MAX(N311,($N$4*9/10))^2)-($N$4*9/10)*(O311-MAX(N311,($N$4*9/10)))),0))*1000,0)</f>
        <v>0</v>
      </c>
      <c r="AW311" s="120">
        <f>IF(AND(V311="OK",ISNUMBER($N$5),$N$5&gt;0,ISNUMBER($N$3),$N$3&gt;0),R311/(6*$N$3*1000000*$N$5)*(IF(N311&lt;($N$4*10/10),($N$4*10/10)*(MIN(O311,($N$4*10/10))^3-N311^3)-(MIN(O311,($N$4*10/10))^4-N311^4)/4,0)+IF(O311&gt;($N$4*10/10),($N$4*10/10)^2*(1.5*(O311^2-MAX(N311,($N$4*10/10))^2)-($N$4*10/10)*(O311-MAX(N311,($N$4*10/10)))),0))*1000,0)</f>
        <v>0</v>
      </c>
    </row>
    <row r="312" spans="1:49">
      <c r="A312" s="124"/>
      <c r="B312" s="125"/>
      <c r="C312" s="125"/>
      <c r="D312" s="125"/>
      <c r="E312" s="125"/>
      <c r="F312" s="126" t="str">
        <f>IF(J312="OK",D312*E312,"")</f>
        <v/>
      </c>
      <c r="G312" s="126" t="str">
        <f>IF(J312="OK",F312*(C312-B312),"")</f>
        <v/>
      </c>
      <c r="H312" s="126" t="str">
        <f>IF(J312="OK",G312*(C312+B312)/2,"")</f>
        <v/>
      </c>
      <c r="I312" s="126" t="str">
        <f>IF(AND(J312="OK",ISNUMBER($B$5),$B$5&gt;0,ISNUMBER($B$3),$B$3&gt;0),F312*(4*$B$4*(C312^3-B312^3)-(C312^4-B312^4))/(24*$B$3*1000000*$B$5)*1000,"")</f>
        <v/>
      </c>
      <c r="J312" s="120" t="str">
        <f>IF(COUNTA(A312:E312)=0,"",IF(AND(COUNT(B312:E312)=4,B312&gt;=0,C312&gt;B312,C312&lt;=$B$4,D312&gt;=0,E312&gt;0),IF(COUNTIFS($B$13:$B$311,"&lt;"&amp;C312,$C$13:$C$311,"&gt;"&amp;B312)&gt;0,"OVERLAP","OK"),"CHECK INPUTS"))</f>
        <v/>
      </c>
      <c r="M312" s="124"/>
      <c r="N312" s="125"/>
      <c r="O312" s="125"/>
      <c r="P312" s="125"/>
      <c r="Q312" s="125"/>
      <c r="R312" s="126" t="str">
        <f>IF(V312="OK",P312*Q312,"")</f>
        <v/>
      </c>
      <c r="S312" s="126" t="str">
        <f>IF(V312="OK",R312*(O312-N312),"")</f>
        <v/>
      </c>
      <c r="T312" s="126" t="str">
        <f>IF(V312="OK",S312*(O312+N312)/2,"")</f>
        <v/>
      </c>
      <c r="U312" s="126" t="str">
        <f>IF(AND(V312="OK",ISNUMBER($N$5),$N$5&gt;0,ISNUMBER($N$3),$N$3&gt;0),R312*(4*$N$4*(O312^3-N312^3)-(O312^4-N312^4))/(24*$N$3*1000000*$N$5)*1000,"")</f>
        <v/>
      </c>
      <c r="V312" s="120" t="str">
        <f>IF(COUNTA(M312:Q312)=0,"",IF(AND(COUNT(N312:Q312)=4,N312&gt;=0,O312&gt;N312,O312&lt;=$N$4,P312&gt;=0,Q312&gt;0),IF(COUNTIFS($N$13:$N$311,"&lt;"&amp;O312,$O$13:$O$311,"&gt;"&amp;N312)&gt;0,"OVERLAP","OK"),"CHECK INPUTS"))</f>
        <v/>
      </c>
      <c r="AA312" s="120">
        <f>IF(AND(J312="OK",ISNUMBER($B$5),$B$5&gt;0,ISNUMBER($B$3),$B$3&gt;0),F312/(6*$B$3*1000000*$B$5)*(IF(B312&lt;($B$4*0/10),($B$4*0/10)*(MIN(C312,($B$4*0/10))^3-B312^3)-(MIN(C312,($B$4*0/10))^4-B312^4)/4,0)+IF(C312&gt;($B$4*0/10),($B$4*0/10)^2*(1.5*(C312^2-MAX(B312,($B$4*0/10))^2)-($B$4*0/10)*(C312-MAX(B312,($B$4*0/10)))),0))*1000,0)</f>
        <v>0</v>
      </c>
      <c r="AB312" s="120">
        <f>IF(AND(J312="OK",ISNUMBER($B$5),$B$5&gt;0,ISNUMBER($B$3),$B$3&gt;0),F312/(6*$B$3*1000000*$B$5)*(IF(B312&lt;($B$4*1/10),($B$4*1/10)*(MIN(C312,($B$4*1/10))^3-B312^3)-(MIN(C312,($B$4*1/10))^4-B312^4)/4,0)+IF(C312&gt;($B$4*1/10),($B$4*1/10)^2*(1.5*(C312^2-MAX(B312,($B$4*1/10))^2)-($B$4*1/10)*(C312-MAX(B312,($B$4*1/10)))),0))*1000,0)</f>
        <v>0</v>
      </c>
      <c r="AC312" s="120">
        <f>IF(AND(J312="OK",ISNUMBER($B$5),$B$5&gt;0,ISNUMBER($B$3),$B$3&gt;0),F312/(6*$B$3*1000000*$B$5)*(IF(B312&lt;($B$4*2/10),($B$4*2/10)*(MIN(C312,($B$4*2/10))^3-B312^3)-(MIN(C312,($B$4*2/10))^4-B312^4)/4,0)+IF(C312&gt;($B$4*2/10),($B$4*2/10)^2*(1.5*(C312^2-MAX(B312,($B$4*2/10))^2)-($B$4*2/10)*(C312-MAX(B312,($B$4*2/10)))),0))*1000,0)</f>
        <v>0</v>
      </c>
      <c r="AD312" s="120">
        <f>IF(AND(J312="OK",ISNUMBER($B$5),$B$5&gt;0,ISNUMBER($B$3),$B$3&gt;0),F312/(6*$B$3*1000000*$B$5)*(IF(B312&lt;($B$4*3/10),($B$4*3/10)*(MIN(C312,($B$4*3/10))^3-B312^3)-(MIN(C312,($B$4*3/10))^4-B312^4)/4,0)+IF(C312&gt;($B$4*3/10),($B$4*3/10)^2*(1.5*(C312^2-MAX(B312,($B$4*3/10))^2)-($B$4*3/10)*(C312-MAX(B312,($B$4*3/10)))),0))*1000,0)</f>
        <v>0</v>
      </c>
      <c r="AE312" s="120">
        <f>IF(AND(J312="OK",ISNUMBER($B$5),$B$5&gt;0,ISNUMBER($B$3),$B$3&gt;0),F312/(6*$B$3*1000000*$B$5)*(IF(B312&lt;($B$4*4/10),($B$4*4/10)*(MIN(C312,($B$4*4/10))^3-B312^3)-(MIN(C312,($B$4*4/10))^4-B312^4)/4,0)+IF(C312&gt;($B$4*4/10),($B$4*4/10)^2*(1.5*(C312^2-MAX(B312,($B$4*4/10))^2)-($B$4*4/10)*(C312-MAX(B312,($B$4*4/10)))),0))*1000,0)</f>
        <v>0</v>
      </c>
      <c r="AF312" s="120">
        <f>IF(AND(J312="OK",ISNUMBER($B$5),$B$5&gt;0,ISNUMBER($B$3),$B$3&gt;0),F312/(6*$B$3*1000000*$B$5)*(IF(B312&lt;($B$4*5/10),($B$4*5/10)*(MIN(C312,($B$4*5/10))^3-B312^3)-(MIN(C312,($B$4*5/10))^4-B312^4)/4,0)+IF(C312&gt;($B$4*5/10),($B$4*5/10)^2*(1.5*(C312^2-MAX(B312,($B$4*5/10))^2)-($B$4*5/10)*(C312-MAX(B312,($B$4*5/10)))),0))*1000,0)</f>
        <v>0</v>
      </c>
      <c r="AG312" s="120">
        <f>IF(AND(J312="OK",ISNUMBER($B$5),$B$5&gt;0,ISNUMBER($B$3),$B$3&gt;0),F312/(6*$B$3*1000000*$B$5)*(IF(B312&lt;($B$4*6/10),($B$4*6/10)*(MIN(C312,($B$4*6/10))^3-B312^3)-(MIN(C312,($B$4*6/10))^4-B312^4)/4,0)+IF(C312&gt;($B$4*6/10),($B$4*6/10)^2*(1.5*(C312^2-MAX(B312,($B$4*6/10))^2)-($B$4*6/10)*(C312-MAX(B312,($B$4*6/10)))),0))*1000,0)</f>
        <v>0</v>
      </c>
      <c r="AH312" s="120">
        <f>IF(AND(J312="OK",ISNUMBER($B$5),$B$5&gt;0,ISNUMBER($B$3),$B$3&gt;0),F312/(6*$B$3*1000000*$B$5)*(IF(B312&lt;($B$4*7/10),($B$4*7/10)*(MIN(C312,($B$4*7/10))^3-B312^3)-(MIN(C312,($B$4*7/10))^4-B312^4)/4,0)+IF(C312&gt;($B$4*7/10),($B$4*7/10)^2*(1.5*(C312^2-MAX(B312,($B$4*7/10))^2)-($B$4*7/10)*(C312-MAX(B312,($B$4*7/10)))),0))*1000,0)</f>
        <v>0</v>
      </c>
      <c r="AI312" s="120">
        <f>IF(AND(J312="OK",ISNUMBER($B$5),$B$5&gt;0,ISNUMBER($B$3),$B$3&gt;0),F312/(6*$B$3*1000000*$B$5)*(IF(B312&lt;($B$4*8/10),($B$4*8/10)*(MIN(C312,($B$4*8/10))^3-B312^3)-(MIN(C312,($B$4*8/10))^4-B312^4)/4,0)+IF(C312&gt;($B$4*8/10),($B$4*8/10)^2*(1.5*(C312^2-MAX(B312,($B$4*8/10))^2)-($B$4*8/10)*(C312-MAX(B312,($B$4*8/10)))),0))*1000,0)</f>
        <v>0</v>
      </c>
      <c r="AJ312" s="120">
        <f>IF(AND(J312="OK",ISNUMBER($B$5),$B$5&gt;0,ISNUMBER($B$3),$B$3&gt;0),F312/(6*$B$3*1000000*$B$5)*(IF(B312&lt;($B$4*9/10),($B$4*9/10)*(MIN(C312,($B$4*9/10))^3-B312^3)-(MIN(C312,($B$4*9/10))^4-B312^4)/4,0)+IF(C312&gt;($B$4*9/10),($B$4*9/10)^2*(1.5*(C312^2-MAX(B312,($B$4*9/10))^2)-($B$4*9/10)*(C312-MAX(B312,($B$4*9/10)))),0))*1000,0)</f>
        <v>0</v>
      </c>
      <c r="AK312" s="120">
        <f>IF(AND(J312="OK",ISNUMBER($B$5),$B$5&gt;0,ISNUMBER($B$3),$B$3&gt;0),F312/(6*$B$3*1000000*$B$5)*(IF(B312&lt;($B$4*10/10),($B$4*10/10)*(MIN(C312,($B$4*10/10))^3-B312^3)-(MIN(C312,($B$4*10/10))^4-B312^4)/4,0)+IF(C312&gt;($B$4*10/10),($B$4*10/10)^2*(1.5*(C312^2-MAX(B312,($B$4*10/10))^2)-($B$4*10/10)*(C312-MAX(B312,($B$4*10/10)))),0))*1000,0)</f>
        <v>0</v>
      </c>
      <c r="AM312" s="120">
        <f>IF(AND(V312="OK",ISNUMBER($N$5),$N$5&gt;0,ISNUMBER($N$3),$N$3&gt;0),R312/(6*$N$3*1000000*$N$5)*(IF(N312&lt;($N$4*0/10),($N$4*0/10)*(MIN(O312,($N$4*0/10))^3-N312^3)-(MIN(O312,($N$4*0/10))^4-N312^4)/4,0)+IF(O312&gt;($N$4*0/10),($N$4*0/10)^2*(1.5*(O312^2-MAX(N312,($N$4*0/10))^2)-($N$4*0/10)*(O312-MAX(N312,($N$4*0/10)))),0))*1000,0)</f>
        <v>0</v>
      </c>
      <c r="AN312" s="120">
        <f>IF(AND(V312="OK",ISNUMBER($N$5),$N$5&gt;0,ISNUMBER($N$3),$N$3&gt;0),R312/(6*$N$3*1000000*$N$5)*(IF(N312&lt;($N$4*1/10),($N$4*1/10)*(MIN(O312,($N$4*1/10))^3-N312^3)-(MIN(O312,($N$4*1/10))^4-N312^4)/4,0)+IF(O312&gt;($N$4*1/10),($N$4*1/10)^2*(1.5*(O312^2-MAX(N312,($N$4*1/10))^2)-($N$4*1/10)*(O312-MAX(N312,($N$4*1/10)))),0))*1000,0)</f>
        <v>0</v>
      </c>
      <c r="AO312" s="120">
        <f>IF(AND(V312="OK",ISNUMBER($N$5),$N$5&gt;0,ISNUMBER($N$3),$N$3&gt;0),R312/(6*$N$3*1000000*$N$5)*(IF(N312&lt;($N$4*2/10),($N$4*2/10)*(MIN(O312,($N$4*2/10))^3-N312^3)-(MIN(O312,($N$4*2/10))^4-N312^4)/4,0)+IF(O312&gt;($N$4*2/10),($N$4*2/10)^2*(1.5*(O312^2-MAX(N312,($N$4*2/10))^2)-($N$4*2/10)*(O312-MAX(N312,($N$4*2/10)))),0))*1000,0)</f>
        <v>0</v>
      </c>
      <c r="AP312" s="120">
        <f>IF(AND(V312="OK",ISNUMBER($N$5),$N$5&gt;0,ISNUMBER($N$3),$N$3&gt;0),R312/(6*$N$3*1000000*$N$5)*(IF(N312&lt;($N$4*3/10),($N$4*3/10)*(MIN(O312,($N$4*3/10))^3-N312^3)-(MIN(O312,($N$4*3/10))^4-N312^4)/4,0)+IF(O312&gt;($N$4*3/10),($N$4*3/10)^2*(1.5*(O312^2-MAX(N312,($N$4*3/10))^2)-($N$4*3/10)*(O312-MAX(N312,($N$4*3/10)))),0))*1000,0)</f>
        <v>0</v>
      </c>
      <c r="AQ312" s="120">
        <f>IF(AND(V312="OK",ISNUMBER($N$5),$N$5&gt;0,ISNUMBER($N$3),$N$3&gt;0),R312/(6*$N$3*1000000*$N$5)*(IF(N312&lt;($N$4*4/10),($N$4*4/10)*(MIN(O312,($N$4*4/10))^3-N312^3)-(MIN(O312,($N$4*4/10))^4-N312^4)/4,0)+IF(O312&gt;($N$4*4/10),($N$4*4/10)^2*(1.5*(O312^2-MAX(N312,($N$4*4/10))^2)-($N$4*4/10)*(O312-MAX(N312,($N$4*4/10)))),0))*1000,0)</f>
        <v>0</v>
      </c>
      <c r="AR312" s="120">
        <f>IF(AND(V312="OK",ISNUMBER($N$5),$N$5&gt;0,ISNUMBER($N$3),$N$3&gt;0),R312/(6*$N$3*1000000*$N$5)*(IF(N312&lt;($N$4*5/10),($N$4*5/10)*(MIN(O312,($N$4*5/10))^3-N312^3)-(MIN(O312,($N$4*5/10))^4-N312^4)/4,0)+IF(O312&gt;($N$4*5/10),($N$4*5/10)^2*(1.5*(O312^2-MAX(N312,($N$4*5/10))^2)-($N$4*5/10)*(O312-MAX(N312,($N$4*5/10)))),0))*1000,0)</f>
        <v>0</v>
      </c>
      <c r="AS312" s="120">
        <f>IF(AND(V312="OK",ISNUMBER($N$5),$N$5&gt;0,ISNUMBER($N$3),$N$3&gt;0),R312/(6*$N$3*1000000*$N$5)*(IF(N312&lt;($N$4*6/10),($N$4*6/10)*(MIN(O312,($N$4*6/10))^3-N312^3)-(MIN(O312,($N$4*6/10))^4-N312^4)/4,0)+IF(O312&gt;($N$4*6/10),($N$4*6/10)^2*(1.5*(O312^2-MAX(N312,($N$4*6/10))^2)-($N$4*6/10)*(O312-MAX(N312,($N$4*6/10)))),0))*1000,0)</f>
        <v>0</v>
      </c>
      <c r="AT312" s="120">
        <f>IF(AND(V312="OK",ISNUMBER($N$5),$N$5&gt;0,ISNUMBER($N$3),$N$3&gt;0),R312/(6*$N$3*1000000*$N$5)*(IF(N312&lt;($N$4*7/10),($N$4*7/10)*(MIN(O312,($N$4*7/10))^3-N312^3)-(MIN(O312,($N$4*7/10))^4-N312^4)/4,0)+IF(O312&gt;($N$4*7/10),($N$4*7/10)^2*(1.5*(O312^2-MAX(N312,($N$4*7/10))^2)-($N$4*7/10)*(O312-MAX(N312,($N$4*7/10)))),0))*1000,0)</f>
        <v>0</v>
      </c>
      <c r="AU312" s="120">
        <f>IF(AND(V312="OK",ISNUMBER($N$5),$N$5&gt;0,ISNUMBER($N$3),$N$3&gt;0),R312/(6*$N$3*1000000*$N$5)*(IF(N312&lt;($N$4*8/10),($N$4*8/10)*(MIN(O312,($N$4*8/10))^3-N312^3)-(MIN(O312,($N$4*8/10))^4-N312^4)/4,0)+IF(O312&gt;($N$4*8/10),($N$4*8/10)^2*(1.5*(O312^2-MAX(N312,($N$4*8/10))^2)-($N$4*8/10)*(O312-MAX(N312,($N$4*8/10)))),0))*1000,0)</f>
        <v>0</v>
      </c>
      <c r="AV312" s="120">
        <f>IF(AND(V312="OK",ISNUMBER($N$5),$N$5&gt;0,ISNUMBER($N$3),$N$3&gt;0),R312/(6*$N$3*1000000*$N$5)*(IF(N312&lt;($N$4*9/10),($N$4*9/10)*(MIN(O312,($N$4*9/10))^3-N312^3)-(MIN(O312,($N$4*9/10))^4-N312^4)/4,0)+IF(O312&gt;($N$4*9/10),($N$4*9/10)^2*(1.5*(O312^2-MAX(N312,($N$4*9/10))^2)-($N$4*9/10)*(O312-MAX(N312,($N$4*9/10)))),0))*1000,0)</f>
        <v>0</v>
      </c>
      <c r="AW312" s="120">
        <f>IF(AND(V312="OK",ISNUMBER($N$5),$N$5&gt;0,ISNUMBER($N$3),$N$3&gt;0),R312/(6*$N$3*1000000*$N$5)*(IF(N312&lt;($N$4*10/10),($N$4*10/10)*(MIN(O312,($N$4*10/10))^3-N312^3)-(MIN(O312,($N$4*10/10))^4-N312^4)/4,0)+IF(O312&gt;($N$4*10/10),($N$4*10/10)^2*(1.5*(O312^2-MAX(N312,($N$4*10/10))^2)-($N$4*10/10)*(O312-MAX(N312,($N$4*10/10)))),0))*1000,0)</f>
        <v>0</v>
      </c>
    </row>
    <row r="313" spans="1:49">
      <c r="A313" s="124"/>
      <c r="B313" s="125"/>
      <c r="C313" s="125"/>
      <c r="D313" s="125"/>
      <c r="E313" s="125"/>
      <c r="F313" s="126" t="str">
        <f>IF(J313="OK",D313*E313,"")</f>
        <v/>
      </c>
      <c r="G313" s="126" t="str">
        <f>IF(J313="OK",F313*(C313-B313),"")</f>
        <v/>
      </c>
      <c r="H313" s="126" t="str">
        <f>IF(J313="OK",G313*(C313+B313)/2,"")</f>
        <v/>
      </c>
      <c r="I313" s="126" t="str">
        <f>IF(AND(J313="OK",ISNUMBER($B$5),$B$5&gt;0,ISNUMBER($B$3),$B$3&gt;0),F313*(4*$B$4*(C313^3-B313^3)-(C313^4-B313^4))/(24*$B$3*1000000*$B$5)*1000,"")</f>
        <v/>
      </c>
      <c r="J313" s="120" t="str">
        <f>IF(COUNTA(A313:E313)=0,"",IF(AND(COUNT(B313:E313)=4,B313&gt;=0,C313&gt;B313,C313&lt;=$B$4,D313&gt;=0,E313&gt;0),IF(COUNTIFS($B$13:$B$312,"&lt;"&amp;C313,$C$13:$C$312,"&gt;"&amp;B313)&gt;0,"OVERLAP","OK"),"CHECK INPUTS"))</f>
        <v/>
      </c>
      <c r="M313" s="124"/>
      <c r="N313" s="125"/>
      <c r="O313" s="125"/>
      <c r="P313" s="125"/>
      <c r="Q313" s="125"/>
      <c r="R313" s="126" t="str">
        <f>IF(V313="OK",P313*Q313,"")</f>
        <v/>
      </c>
      <c r="S313" s="126" t="str">
        <f>IF(V313="OK",R313*(O313-N313),"")</f>
        <v/>
      </c>
      <c r="T313" s="126" t="str">
        <f>IF(V313="OK",S313*(O313+N313)/2,"")</f>
        <v/>
      </c>
      <c r="U313" s="126" t="str">
        <f>IF(AND(V313="OK",ISNUMBER($N$5),$N$5&gt;0,ISNUMBER($N$3),$N$3&gt;0),R313*(4*$N$4*(O313^3-N313^3)-(O313^4-N313^4))/(24*$N$3*1000000*$N$5)*1000,"")</f>
        <v/>
      </c>
      <c r="V313" s="120" t="str">
        <f>IF(COUNTA(M313:Q313)=0,"",IF(AND(COUNT(N313:Q313)=4,N313&gt;=0,O313&gt;N313,O313&lt;=$N$4,P313&gt;=0,Q313&gt;0),IF(COUNTIFS($N$13:$N$312,"&lt;"&amp;O313,$O$13:$O$312,"&gt;"&amp;N313)&gt;0,"OVERLAP","OK"),"CHECK INPUTS"))</f>
        <v/>
      </c>
      <c r="AA313" s="120">
        <f>IF(AND(J313="OK",ISNUMBER($B$5),$B$5&gt;0,ISNUMBER($B$3),$B$3&gt;0),F313/(6*$B$3*1000000*$B$5)*(IF(B313&lt;($B$4*0/10),($B$4*0/10)*(MIN(C313,($B$4*0/10))^3-B313^3)-(MIN(C313,($B$4*0/10))^4-B313^4)/4,0)+IF(C313&gt;($B$4*0/10),($B$4*0/10)^2*(1.5*(C313^2-MAX(B313,($B$4*0/10))^2)-($B$4*0/10)*(C313-MAX(B313,($B$4*0/10)))),0))*1000,0)</f>
        <v>0</v>
      </c>
      <c r="AB313" s="120">
        <f>IF(AND(J313="OK",ISNUMBER($B$5),$B$5&gt;0,ISNUMBER($B$3),$B$3&gt;0),F313/(6*$B$3*1000000*$B$5)*(IF(B313&lt;($B$4*1/10),($B$4*1/10)*(MIN(C313,($B$4*1/10))^3-B313^3)-(MIN(C313,($B$4*1/10))^4-B313^4)/4,0)+IF(C313&gt;($B$4*1/10),($B$4*1/10)^2*(1.5*(C313^2-MAX(B313,($B$4*1/10))^2)-($B$4*1/10)*(C313-MAX(B313,($B$4*1/10)))),0))*1000,0)</f>
        <v>0</v>
      </c>
      <c r="AC313" s="120">
        <f>IF(AND(J313="OK",ISNUMBER($B$5),$B$5&gt;0,ISNUMBER($B$3),$B$3&gt;0),F313/(6*$B$3*1000000*$B$5)*(IF(B313&lt;($B$4*2/10),($B$4*2/10)*(MIN(C313,($B$4*2/10))^3-B313^3)-(MIN(C313,($B$4*2/10))^4-B313^4)/4,0)+IF(C313&gt;($B$4*2/10),($B$4*2/10)^2*(1.5*(C313^2-MAX(B313,($B$4*2/10))^2)-($B$4*2/10)*(C313-MAX(B313,($B$4*2/10)))),0))*1000,0)</f>
        <v>0</v>
      </c>
      <c r="AD313" s="120">
        <f>IF(AND(J313="OK",ISNUMBER($B$5),$B$5&gt;0,ISNUMBER($B$3),$B$3&gt;0),F313/(6*$B$3*1000000*$B$5)*(IF(B313&lt;($B$4*3/10),($B$4*3/10)*(MIN(C313,($B$4*3/10))^3-B313^3)-(MIN(C313,($B$4*3/10))^4-B313^4)/4,0)+IF(C313&gt;($B$4*3/10),($B$4*3/10)^2*(1.5*(C313^2-MAX(B313,($B$4*3/10))^2)-($B$4*3/10)*(C313-MAX(B313,($B$4*3/10)))),0))*1000,0)</f>
        <v>0</v>
      </c>
      <c r="AE313" s="120">
        <f>IF(AND(J313="OK",ISNUMBER($B$5),$B$5&gt;0,ISNUMBER($B$3),$B$3&gt;0),F313/(6*$B$3*1000000*$B$5)*(IF(B313&lt;($B$4*4/10),($B$4*4/10)*(MIN(C313,($B$4*4/10))^3-B313^3)-(MIN(C313,($B$4*4/10))^4-B313^4)/4,0)+IF(C313&gt;($B$4*4/10),($B$4*4/10)^2*(1.5*(C313^2-MAX(B313,($B$4*4/10))^2)-($B$4*4/10)*(C313-MAX(B313,($B$4*4/10)))),0))*1000,0)</f>
        <v>0</v>
      </c>
      <c r="AF313" s="120">
        <f>IF(AND(J313="OK",ISNUMBER($B$5),$B$5&gt;0,ISNUMBER($B$3),$B$3&gt;0),F313/(6*$B$3*1000000*$B$5)*(IF(B313&lt;($B$4*5/10),($B$4*5/10)*(MIN(C313,($B$4*5/10))^3-B313^3)-(MIN(C313,($B$4*5/10))^4-B313^4)/4,0)+IF(C313&gt;($B$4*5/10),($B$4*5/10)^2*(1.5*(C313^2-MAX(B313,($B$4*5/10))^2)-($B$4*5/10)*(C313-MAX(B313,($B$4*5/10)))),0))*1000,0)</f>
        <v>0</v>
      </c>
      <c r="AG313" s="120">
        <f>IF(AND(J313="OK",ISNUMBER($B$5),$B$5&gt;0,ISNUMBER($B$3),$B$3&gt;0),F313/(6*$B$3*1000000*$B$5)*(IF(B313&lt;($B$4*6/10),($B$4*6/10)*(MIN(C313,($B$4*6/10))^3-B313^3)-(MIN(C313,($B$4*6/10))^4-B313^4)/4,0)+IF(C313&gt;($B$4*6/10),($B$4*6/10)^2*(1.5*(C313^2-MAX(B313,($B$4*6/10))^2)-($B$4*6/10)*(C313-MAX(B313,($B$4*6/10)))),0))*1000,0)</f>
        <v>0</v>
      </c>
      <c r="AH313" s="120">
        <f>IF(AND(J313="OK",ISNUMBER($B$5),$B$5&gt;0,ISNUMBER($B$3),$B$3&gt;0),F313/(6*$B$3*1000000*$B$5)*(IF(B313&lt;($B$4*7/10),($B$4*7/10)*(MIN(C313,($B$4*7/10))^3-B313^3)-(MIN(C313,($B$4*7/10))^4-B313^4)/4,0)+IF(C313&gt;($B$4*7/10),($B$4*7/10)^2*(1.5*(C313^2-MAX(B313,($B$4*7/10))^2)-($B$4*7/10)*(C313-MAX(B313,($B$4*7/10)))),0))*1000,0)</f>
        <v>0</v>
      </c>
      <c r="AI313" s="120">
        <f>IF(AND(J313="OK",ISNUMBER($B$5),$B$5&gt;0,ISNUMBER($B$3),$B$3&gt;0),F313/(6*$B$3*1000000*$B$5)*(IF(B313&lt;($B$4*8/10),($B$4*8/10)*(MIN(C313,($B$4*8/10))^3-B313^3)-(MIN(C313,($B$4*8/10))^4-B313^4)/4,0)+IF(C313&gt;($B$4*8/10),($B$4*8/10)^2*(1.5*(C313^2-MAX(B313,($B$4*8/10))^2)-($B$4*8/10)*(C313-MAX(B313,($B$4*8/10)))),0))*1000,0)</f>
        <v>0</v>
      </c>
      <c r="AJ313" s="120">
        <f>IF(AND(J313="OK",ISNUMBER($B$5),$B$5&gt;0,ISNUMBER($B$3),$B$3&gt;0),F313/(6*$B$3*1000000*$B$5)*(IF(B313&lt;($B$4*9/10),($B$4*9/10)*(MIN(C313,($B$4*9/10))^3-B313^3)-(MIN(C313,($B$4*9/10))^4-B313^4)/4,0)+IF(C313&gt;($B$4*9/10),($B$4*9/10)^2*(1.5*(C313^2-MAX(B313,($B$4*9/10))^2)-($B$4*9/10)*(C313-MAX(B313,($B$4*9/10)))),0))*1000,0)</f>
        <v>0</v>
      </c>
      <c r="AK313" s="120">
        <f>IF(AND(J313="OK",ISNUMBER($B$5),$B$5&gt;0,ISNUMBER($B$3),$B$3&gt;0),F313/(6*$B$3*1000000*$B$5)*(IF(B313&lt;($B$4*10/10),($B$4*10/10)*(MIN(C313,($B$4*10/10))^3-B313^3)-(MIN(C313,($B$4*10/10))^4-B313^4)/4,0)+IF(C313&gt;($B$4*10/10),($B$4*10/10)^2*(1.5*(C313^2-MAX(B313,($B$4*10/10))^2)-($B$4*10/10)*(C313-MAX(B313,($B$4*10/10)))),0))*1000,0)</f>
        <v>0</v>
      </c>
      <c r="AM313" s="120">
        <f>IF(AND(V313="OK",ISNUMBER($N$5),$N$5&gt;0,ISNUMBER($N$3),$N$3&gt;0),R313/(6*$N$3*1000000*$N$5)*(IF(N313&lt;($N$4*0/10),($N$4*0/10)*(MIN(O313,($N$4*0/10))^3-N313^3)-(MIN(O313,($N$4*0/10))^4-N313^4)/4,0)+IF(O313&gt;($N$4*0/10),($N$4*0/10)^2*(1.5*(O313^2-MAX(N313,($N$4*0/10))^2)-($N$4*0/10)*(O313-MAX(N313,($N$4*0/10)))),0))*1000,0)</f>
        <v>0</v>
      </c>
      <c r="AN313" s="120">
        <f>IF(AND(V313="OK",ISNUMBER($N$5),$N$5&gt;0,ISNUMBER($N$3),$N$3&gt;0),R313/(6*$N$3*1000000*$N$5)*(IF(N313&lt;($N$4*1/10),($N$4*1/10)*(MIN(O313,($N$4*1/10))^3-N313^3)-(MIN(O313,($N$4*1/10))^4-N313^4)/4,0)+IF(O313&gt;($N$4*1/10),($N$4*1/10)^2*(1.5*(O313^2-MAX(N313,($N$4*1/10))^2)-($N$4*1/10)*(O313-MAX(N313,($N$4*1/10)))),0))*1000,0)</f>
        <v>0</v>
      </c>
      <c r="AO313" s="120">
        <f>IF(AND(V313="OK",ISNUMBER($N$5),$N$5&gt;0,ISNUMBER($N$3),$N$3&gt;0),R313/(6*$N$3*1000000*$N$5)*(IF(N313&lt;($N$4*2/10),($N$4*2/10)*(MIN(O313,($N$4*2/10))^3-N313^3)-(MIN(O313,($N$4*2/10))^4-N313^4)/4,0)+IF(O313&gt;($N$4*2/10),($N$4*2/10)^2*(1.5*(O313^2-MAX(N313,($N$4*2/10))^2)-($N$4*2/10)*(O313-MAX(N313,($N$4*2/10)))),0))*1000,0)</f>
        <v>0</v>
      </c>
      <c r="AP313" s="120">
        <f>IF(AND(V313="OK",ISNUMBER($N$5),$N$5&gt;0,ISNUMBER($N$3),$N$3&gt;0),R313/(6*$N$3*1000000*$N$5)*(IF(N313&lt;($N$4*3/10),($N$4*3/10)*(MIN(O313,($N$4*3/10))^3-N313^3)-(MIN(O313,($N$4*3/10))^4-N313^4)/4,0)+IF(O313&gt;($N$4*3/10),($N$4*3/10)^2*(1.5*(O313^2-MAX(N313,($N$4*3/10))^2)-($N$4*3/10)*(O313-MAX(N313,($N$4*3/10)))),0))*1000,0)</f>
        <v>0</v>
      </c>
      <c r="AQ313" s="120">
        <f>IF(AND(V313="OK",ISNUMBER($N$5),$N$5&gt;0,ISNUMBER($N$3),$N$3&gt;0),R313/(6*$N$3*1000000*$N$5)*(IF(N313&lt;($N$4*4/10),($N$4*4/10)*(MIN(O313,($N$4*4/10))^3-N313^3)-(MIN(O313,($N$4*4/10))^4-N313^4)/4,0)+IF(O313&gt;($N$4*4/10),($N$4*4/10)^2*(1.5*(O313^2-MAX(N313,($N$4*4/10))^2)-($N$4*4/10)*(O313-MAX(N313,($N$4*4/10)))),0))*1000,0)</f>
        <v>0</v>
      </c>
      <c r="AR313" s="120">
        <f>IF(AND(V313="OK",ISNUMBER($N$5),$N$5&gt;0,ISNUMBER($N$3),$N$3&gt;0),R313/(6*$N$3*1000000*$N$5)*(IF(N313&lt;($N$4*5/10),($N$4*5/10)*(MIN(O313,($N$4*5/10))^3-N313^3)-(MIN(O313,($N$4*5/10))^4-N313^4)/4,0)+IF(O313&gt;($N$4*5/10),($N$4*5/10)^2*(1.5*(O313^2-MAX(N313,($N$4*5/10))^2)-($N$4*5/10)*(O313-MAX(N313,($N$4*5/10)))),0))*1000,0)</f>
        <v>0</v>
      </c>
      <c r="AS313" s="120">
        <f>IF(AND(V313="OK",ISNUMBER($N$5),$N$5&gt;0,ISNUMBER($N$3),$N$3&gt;0),R313/(6*$N$3*1000000*$N$5)*(IF(N313&lt;($N$4*6/10),($N$4*6/10)*(MIN(O313,($N$4*6/10))^3-N313^3)-(MIN(O313,($N$4*6/10))^4-N313^4)/4,0)+IF(O313&gt;($N$4*6/10),($N$4*6/10)^2*(1.5*(O313^2-MAX(N313,($N$4*6/10))^2)-($N$4*6/10)*(O313-MAX(N313,($N$4*6/10)))),0))*1000,0)</f>
        <v>0</v>
      </c>
      <c r="AT313" s="120">
        <f>IF(AND(V313="OK",ISNUMBER($N$5),$N$5&gt;0,ISNUMBER($N$3),$N$3&gt;0),R313/(6*$N$3*1000000*$N$5)*(IF(N313&lt;($N$4*7/10),($N$4*7/10)*(MIN(O313,($N$4*7/10))^3-N313^3)-(MIN(O313,($N$4*7/10))^4-N313^4)/4,0)+IF(O313&gt;($N$4*7/10),($N$4*7/10)^2*(1.5*(O313^2-MAX(N313,($N$4*7/10))^2)-($N$4*7/10)*(O313-MAX(N313,($N$4*7/10)))),0))*1000,0)</f>
        <v>0</v>
      </c>
      <c r="AU313" s="120">
        <f>IF(AND(V313="OK",ISNUMBER($N$5),$N$5&gt;0,ISNUMBER($N$3),$N$3&gt;0),R313/(6*$N$3*1000000*$N$5)*(IF(N313&lt;($N$4*8/10),($N$4*8/10)*(MIN(O313,($N$4*8/10))^3-N313^3)-(MIN(O313,($N$4*8/10))^4-N313^4)/4,0)+IF(O313&gt;($N$4*8/10),($N$4*8/10)^2*(1.5*(O313^2-MAX(N313,($N$4*8/10))^2)-($N$4*8/10)*(O313-MAX(N313,($N$4*8/10)))),0))*1000,0)</f>
        <v>0</v>
      </c>
      <c r="AV313" s="120">
        <f>IF(AND(V313="OK",ISNUMBER($N$5),$N$5&gt;0,ISNUMBER($N$3),$N$3&gt;0),R313/(6*$N$3*1000000*$N$5)*(IF(N313&lt;($N$4*9/10),($N$4*9/10)*(MIN(O313,($N$4*9/10))^3-N313^3)-(MIN(O313,($N$4*9/10))^4-N313^4)/4,0)+IF(O313&gt;($N$4*9/10),($N$4*9/10)^2*(1.5*(O313^2-MAX(N313,($N$4*9/10))^2)-($N$4*9/10)*(O313-MAX(N313,($N$4*9/10)))),0))*1000,0)</f>
        <v>0</v>
      </c>
      <c r="AW313" s="120">
        <f>IF(AND(V313="OK",ISNUMBER($N$5),$N$5&gt;0,ISNUMBER($N$3),$N$3&gt;0),R313/(6*$N$3*1000000*$N$5)*(IF(N313&lt;($N$4*10/10),($N$4*10/10)*(MIN(O313,($N$4*10/10))^3-N313^3)-(MIN(O313,($N$4*10/10))^4-N313^4)/4,0)+IF(O313&gt;($N$4*10/10),($N$4*10/10)^2*(1.5*(O313^2-MAX(N313,($N$4*10/10))^2)-($N$4*10/10)*(O313-MAX(N313,($N$4*10/10)))),0))*1000,0)</f>
        <v>0</v>
      </c>
    </row>
    <row r="314" spans="1:49">
      <c r="A314" s="124"/>
      <c r="B314" s="125"/>
      <c r="C314" s="125"/>
      <c r="D314" s="125"/>
      <c r="E314" s="125"/>
      <c r="F314" s="126" t="str">
        <f>IF(J314="OK",D314*E314,"")</f>
        <v/>
      </c>
      <c r="G314" s="126" t="str">
        <f>IF(J314="OK",F314*(C314-B314),"")</f>
        <v/>
      </c>
      <c r="H314" s="126" t="str">
        <f>IF(J314="OK",G314*(C314+B314)/2,"")</f>
        <v/>
      </c>
      <c r="I314" s="126" t="str">
        <f>IF(AND(J314="OK",ISNUMBER($B$5),$B$5&gt;0,ISNUMBER($B$3),$B$3&gt;0),F314*(4*$B$4*(C314^3-B314^3)-(C314^4-B314^4))/(24*$B$3*1000000*$B$5)*1000,"")</f>
        <v/>
      </c>
      <c r="J314" s="120" t="str">
        <f>IF(COUNTA(A314:E314)=0,"",IF(AND(COUNT(B314:E314)=4,B314&gt;=0,C314&gt;B314,C314&lt;=$B$4,D314&gt;=0,E314&gt;0),IF(COUNTIFS($B$13:$B$313,"&lt;"&amp;C314,$C$13:$C$313,"&gt;"&amp;B314)&gt;0,"OVERLAP","OK"),"CHECK INPUTS"))</f>
        <v/>
      </c>
      <c r="M314" s="124"/>
      <c r="N314" s="125"/>
      <c r="O314" s="125"/>
      <c r="P314" s="125"/>
      <c r="Q314" s="125"/>
      <c r="R314" s="126" t="str">
        <f>IF(V314="OK",P314*Q314,"")</f>
        <v/>
      </c>
      <c r="S314" s="126" t="str">
        <f>IF(V314="OK",R314*(O314-N314),"")</f>
        <v/>
      </c>
      <c r="T314" s="126" t="str">
        <f>IF(V314="OK",S314*(O314+N314)/2,"")</f>
        <v/>
      </c>
      <c r="U314" s="126" t="str">
        <f>IF(AND(V314="OK",ISNUMBER($N$5),$N$5&gt;0,ISNUMBER($N$3),$N$3&gt;0),R314*(4*$N$4*(O314^3-N314^3)-(O314^4-N314^4))/(24*$N$3*1000000*$N$5)*1000,"")</f>
        <v/>
      </c>
      <c r="V314" s="120" t="str">
        <f>IF(COUNTA(M314:Q314)=0,"",IF(AND(COUNT(N314:Q314)=4,N314&gt;=0,O314&gt;N314,O314&lt;=$N$4,P314&gt;=0,Q314&gt;0),IF(COUNTIFS($N$13:$N$313,"&lt;"&amp;O314,$O$13:$O$313,"&gt;"&amp;N314)&gt;0,"OVERLAP","OK"),"CHECK INPUTS"))</f>
        <v/>
      </c>
      <c r="AA314" s="120">
        <f>IF(AND(J314="OK",ISNUMBER($B$5),$B$5&gt;0,ISNUMBER($B$3),$B$3&gt;0),F314/(6*$B$3*1000000*$B$5)*(IF(B314&lt;($B$4*0/10),($B$4*0/10)*(MIN(C314,($B$4*0/10))^3-B314^3)-(MIN(C314,($B$4*0/10))^4-B314^4)/4,0)+IF(C314&gt;($B$4*0/10),($B$4*0/10)^2*(1.5*(C314^2-MAX(B314,($B$4*0/10))^2)-($B$4*0/10)*(C314-MAX(B314,($B$4*0/10)))),0))*1000,0)</f>
        <v>0</v>
      </c>
      <c r="AB314" s="120">
        <f>IF(AND(J314="OK",ISNUMBER($B$5),$B$5&gt;0,ISNUMBER($B$3),$B$3&gt;0),F314/(6*$B$3*1000000*$B$5)*(IF(B314&lt;($B$4*1/10),($B$4*1/10)*(MIN(C314,($B$4*1/10))^3-B314^3)-(MIN(C314,($B$4*1/10))^4-B314^4)/4,0)+IF(C314&gt;($B$4*1/10),($B$4*1/10)^2*(1.5*(C314^2-MAX(B314,($B$4*1/10))^2)-($B$4*1/10)*(C314-MAX(B314,($B$4*1/10)))),0))*1000,0)</f>
        <v>0</v>
      </c>
      <c r="AC314" s="120">
        <f>IF(AND(J314="OK",ISNUMBER($B$5),$B$5&gt;0,ISNUMBER($B$3),$B$3&gt;0),F314/(6*$B$3*1000000*$B$5)*(IF(B314&lt;($B$4*2/10),($B$4*2/10)*(MIN(C314,($B$4*2/10))^3-B314^3)-(MIN(C314,($B$4*2/10))^4-B314^4)/4,0)+IF(C314&gt;($B$4*2/10),($B$4*2/10)^2*(1.5*(C314^2-MAX(B314,($B$4*2/10))^2)-($B$4*2/10)*(C314-MAX(B314,($B$4*2/10)))),0))*1000,0)</f>
        <v>0</v>
      </c>
      <c r="AD314" s="120">
        <f>IF(AND(J314="OK",ISNUMBER($B$5),$B$5&gt;0,ISNUMBER($B$3),$B$3&gt;0),F314/(6*$B$3*1000000*$B$5)*(IF(B314&lt;($B$4*3/10),($B$4*3/10)*(MIN(C314,($B$4*3/10))^3-B314^3)-(MIN(C314,($B$4*3/10))^4-B314^4)/4,0)+IF(C314&gt;($B$4*3/10),($B$4*3/10)^2*(1.5*(C314^2-MAX(B314,($B$4*3/10))^2)-($B$4*3/10)*(C314-MAX(B314,($B$4*3/10)))),0))*1000,0)</f>
        <v>0</v>
      </c>
      <c r="AE314" s="120">
        <f>IF(AND(J314="OK",ISNUMBER($B$5),$B$5&gt;0,ISNUMBER($B$3),$B$3&gt;0),F314/(6*$B$3*1000000*$B$5)*(IF(B314&lt;($B$4*4/10),($B$4*4/10)*(MIN(C314,($B$4*4/10))^3-B314^3)-(MIN(C314,($B$4*4/10))^4-B314^4)/4,0)+IF(C314&gt;($B$4*4/10),($B$4*4/10)^2*(1.5*(C314^2-MAX(B314,($B$4*4/10))^2)-($B$4*4/10)*(C314-MAX(B314,($B$4*4/10)))),0))*1000,0)</f>
        <v>0</v>
      </c>
      <c r="AF314" s="120">
        <f>IF(AND(J314="OK",ISNUMBER($B$5),$B$5&gt;0,ISNUMBER($B$3),$B$3&gt;0),F314/(6*$B$3*1000000*$B$5)*(IF(B314&lt;($B$4*5/10),($B$4*5/10)*(MIN(C314,($B$4*5/10))^3-B314^3)-(MIN(C314,($B$4*5/10))^4-B314^4)/4,0)+IF(C314&gt;($B$4*5/10),($B$4*5/10)^2*(1.5*(C314^2-MAX(B314,($B$4*5/10))^2)-($B$4*5/10)*(C314-MAX(B314,($B$4*5/10)))),0))*1000,0)</f>
        <v>0</v>
      </c>
      <c r="AG314" s="120">
        <f>IF(AND(J314="OK",ISNUMBER($B$5),$B$5&gt;0,ISNUMBER($B$3),$B$3&gt;0),F314/(6*$B$3*1000000*$B$5)*(IF(B314&lt;($B$4*6/10),($B$4*6/10)*(MIN(C314,($B$4*6/10))^3-B314^3)-(MIN(C314,($B$4*6/10))^4-B314^4)/4,0)+IF(C314&gt;($B$4*6/10),($B$4*6/10)^2*(1.5*(C314^2-MAX(B314,($B$4*6/10))^2)-($B$4*6/10)*(C314-MAX(B314,($B$4*6/10)))),0))*1000,0)</f>
        <v>0</v>
      </c>
      <c r="AH314" s="120">
        <f>IF(AND(J314="OK",ISNUMBER($B$5),$B$5&gt;0,ISNUMBER($B$3),$B$3&gt;0),F314/(6*$B$3*1000000*$B$5)*(IF(B314&lt;($B$4*7/10),($B$4*7/10)*(MIN(C314,($B$4*7/10))^3-B314^3)-(MIN(C314,($B$4*7/10))^4-B314^4)/4,0)+IF(C314&gt;($B$4*7/10),($B$4*7/10)^2*(1.5*(C314^2-MAX(B314,($B$4*7/10))^2)-($B$4*7/10)*(C314-MAX(B314,($B$4*7/10)))),0))*1000,0)</f>
        <v>0</v>
      </c>
      <c r="AI314" s="120">
        <f>IF(AND(J314="OK",ISNUMBER($B$5),$B$5&gt;0,ISNUMBER($B$3),$B$3&gt;0),F314/(6*$B$3*1000000*$B$5)*(IF(B314&lt;($B$4*8/10),($B$4*8/10)*(MIN(C314,($B$4*8/10))^3-B314^3)-(MIN(C314,($B$4*8/10))^4-B314^4)/4,0)+IF(C314&gt;($B$4*8/10),($B$4*8/10)^2*(1.5*(C314^2-MAX(B314,($B$4*8/10))^2)-($B$4*8/10)*(C314-MAX(B314,($B$4*8/10)))),0))*1000,0)</f>
        <v>0</v>
      </c>
      <c r="AJ314" s="120">
        <f>IF(AND(J314="OK",ISNUMBER($B$5),$B$5&gt;0,ISNUMBER($B$3),$B$3&gt;0),F314/(6*$B$3*1000000*$B$5)*(IF(B314&lt;($B$4*9/10),($B$4*9/10)*(MIN(C314,($B$4*9/10))^3-B314^3)-(MIN(C314,($B$4*9/10))^4-B314^4)/4,0)+IF(C314&gt;($B$4*9/10),($B$4*9/10)^2*(1.5*(C314^2-MAX(B314,($B$4*9/10))^2)-($B$4*9/10)*(C314-MAX(B314,($B$4*9/10)))),0))*1000,0)</f>
        <v>0</v>
      </c>
      <c r="AK314" s="120">
        <f>IF(AND(J314="OK",ISNUMBER($B$5),$B$5&gt;0,ISNUMBER($B$3),$B$3&gt;0),F314/(6*$B$3*1000000*$B$5)*(IF(B314&lt;($B$4*10/10),($B$4*10/10)*(MIN(C314,($B$4*10/10))^3-B314^3)-(MIN(C314,($B$4*10/10))^4-B314^4)/4,0)+IF(C314&gt;($B$4*10/10),($B$4*10/10)^2*(1.5*(C314^2-MAX(B314,($B$4*10/10))^2)-($B$4*10/10)*(C314-MAX(B314,($B$4*10/10)))),0))*1000,0)</f>
        <v>0</v>
      </c>
      <c r="AM314" s="120">
        <f>IF(AND(V314="OK",ISNUMBER($N$5),$N$5&gt;0,ISNUMBER($N$3),$N$3&gt;0),R314/(6*$N$3*1000000*$N$5)*(IF(N314&lt;($N$4*0/10),($N$4*0/10)*(MIN(O314,($N$4*0/10))^3-N314^3)-(MIN(O314,($N$4*0/10))^4-N314^4)/4,0)+IF(O314&gt;($N$4*0/10),($N$4*0/10)^2*(1.5*(O314^2-MAX(N314,($N$4*0/10))^2)-($N$4*0/10)*(O314-MAX(N314,($N$4*0/10)))),0))*1000,0)</f>
        <v>0</v>
      </c>
      <c r="AN314" s="120">
        <f>IF(AND(V314="OK",ISNUMBER($N$5),$N$5&gt;0,ISNUMBER($N$3),$N$3&gt;0),R314/(6*$N$3*1000000*$N$5)*(IF(N314&lt;($N$4*1/10),($N$4*1/10)*(MIN(O314,($N$4*1/10))^3-N314^3)-(MIN(O314,($N$4*1/10))^4-N314^4)/4,0)+IF(O314&gt;($N$4*1/10),($N$4*1/10)^2*(1.5*(O314^2-MAX(N314,($N$4*1/10))^2)-($N$4*1/10)*(O314-MAX(N314,($N$4*1/10)))),0))*1000,0)</f>
        <v>0</v>
      </c>
      <c r="AO314" s="120">
        <f>IF(AND(V314="OK",ISNUMBER($N$5),$N$5&gt;0,ISNUMBER($N$3),$N$3&gt;0),R314/(6*$N$3*1000000*$N$5)*(IF(N314&lt;($N$4*2/10),($N$4*2/10)*(MIN(O314,($N$4*2/10))^3-N314^3)-(MIN(O314,($N$4*2/10))^4-N314^4)/4,0)+IF(O314&gt;($N$4*2/10),($N$4*2/10)^2*(1.5*(O314^2-MAX(N314,($N$4*2/10))^2)-($N$4*2/10)*(O314-MAX(N314,($N$4*2/10)))),0))*1000,0)</f>
        <v>0</v>
      </c>
      <c r="AP314" s="120">
        <f>IF(AND(V314="OK",ISNUMBER($N$5),$N$5&gt;0,ISNUMBER($N$3),$N$3&gt;0),R314/(6*$N$3*1000000*$N$5)*(IF(N314&lt;($N$4*3/10),($N$4*3/10)*(MIN(O314,($N$4*3/10))^3-N314^3)-(MIN(O314,($N$4*3/10))^4-N314^4)/4,0)+IF(O314&gt;($N$4*3/10),($N$4*3/10)^2*(1.5*(O314^2-MAX(N314,($N$4*3/10))^2)-($N$4*3/10)*(O314-MAX(N314,($N$4*3/10)))),0))*1000,0)</f>
        <v>0</v>
      </c>
      <c r="AQ314" s="120">
        <f>IF(AND(V314="OK",ISNUMBER($N$5),$N$5&gt;0,ISNUMBER($N$3),$N$3&gt;0),R314/(6*$N$3*1000000*$N$5)*(IF(N314&lt;($N$4*4/10),($N$4*4/10)*(MIN(O314,($N$4*4/10))^3-N314^3)-(MIN(O314,($N$4*4/10))^4-N314^4)/4,0)+IF(O314&gt;($N$4*4/10),($N$4*4/10)^2*(1.5*(O314^2-MAX(N314,($N$4*4/10))^2)-($N$4*4/10)*(O314-MAX(N314,($N$4*4/10)))),0))*1000,0)</f>
        <v>0</v>
      </c>
      <c r="AR314" s="120">
        <f>IF(AND(V314="OK",ISNUMBER($N$5),$N$5&gt;0,ISNUMBER($N$3),$N$3&gt;0),R314/(6*$N$3*1000000*$N$5)*(IF(N314&lt;($N$4*5/10),($N$4*5/10)*(MIN(O314,($N$4*5/10))^3-N314^3)-(MIN(O314,($N$4*5/10))^4-N314^4)/4,0)+IF(O314&gt;($N$4*5/10),($N$4*5/10)^2*(1.5*(O314^2-MAX(N314,($N$4*5/10))^2)-($N$4*5/10)*(O314-MAX(N314,($N$4*5/10)))),0))*1000,0)</f>
        <v>0</v>
      </c>
      <c r="AS314" s="120">
        <f>IF(AND(V314="OK",ISNUMBER($N$5),$N$5&gt;0,ISNUMBER($N$3),$N$3&gt;0),R314/(6*$N$3*1000000*$N$5)*(IF(N314&lt;($N$4*6/10),($N$4*6/10)*(MIN(O314,($N$4*6/10))^3-N314^3)-(MIN(O314,($N$4*6/10))^4-N314^4)/4,0)+IF(O314&gt;($N$4*6/10),($N$4*6/10)^2*(1.5*(O314^2-MAX(N314,($N$4*6/10))^2)-($N$4*6/10)*(O314-MAX(N314,($N$4*6/10)))),0))*1000,0)</f>
        <v>0</v>
      </c>
      <c r="AT314" s="120">
        <f>IF(AND(V314="OK",ISNUMBER($N$5),$N$5&gt;0,ISNUMBER($N$3),$N$3&gt;0),R314/(6*$N$3*1000000*$N$5)*(IF(N314&lt;($N$4*7/10),($N$4*7/10)*(MIN(O314,($N$4*7/10))^3-N314^3)-(MIN(O314,($N$4*7/10))^4-N314^4)/4,0)+IF(O314&gt;($N$4*7/10),($N$4*7/10)^2*(1.5*(O314^2-MAX(N314,($N$4*7/10))^2)-($N$4*7/10)*(O314-MAX(N314,($N$4*7/10)))),0))*1000,0)</f>
        <v>0</v>
      </c>
      <c r="AU314" s="120">
        <f>IF(AND(V314="OK",ISNUMBER($N$5),$N$5&gt;0,ISNUMBER($N$3),$N$3&gt;0),R314/(6*$N$3*1000000*$N$5)*(IF(N314&lt;($N$4*8/10),($N$4*8/10)*(MIN(O314,($N$4*8/10))^3-N314^3)-(MIN(O314,($N$4*8/10))^4-N314^4)/4,0)+IF(O314&gt;($N$4*8/10),($N$4*8/10)^2*(1.5*(O314^2-MAX(N314,($N$4*8/10))^2)-($N$4*8/10)*(O314-MAX(N314,($N$4*8/10)))),0))*1000,0)</f>
        <v>0</v>
      </c>
      <c r="AV314" s="120">
        <f>IF(AND(V314="OK",ISNUMBER($N$5),$N$5&gt;0,ISNUMBER($N$3),$N$3&gt;0),R314/(6*$N$3*1000000*$N$5)*(IF(N314&lt;($N$4*9/10),($N$4*9/10)*(MIN(O314,($N$4*9/10))^3-N314^3)-(MIN(O314,($N$4*9/10))^4-N314^4)/4,0)+IF(O314&gt;($N$4*9/10),($N$4*9/10)^2*(1.5*(O314^2-MAX(N314,($N$4*9/10))^2)-($N$4*9/10)*(O314-MAX(N314,($N$4*9/10)))),0))*1000,0)</f>
        <v>0</v>
      </c>
      <c r="AW314" s="120">
        <f>IF(AND(V314="OK",ISNUMBER($N$5),$N$5&gt;0,ISNUMBER($N$3),$N$3&gt;0),R314/(6*$N$3*1000000*$N$5)*(IF(N314&lt;($N$4*10/10),($N$4*10/10)*(MIN(O314,($N$4*10/10))^3-N314^3)-(MIN(O314,($N$4*10/10))^4-N314^4)/4,0)+IF(O314&gt;($N$4*10/10),($N$4*10/10)^2*(1.5*(O314^2-MAX(N314,($N$4*10/10))^2)-($N$4*10/10)*(O314-MAX(N314,($N$4*10/10)))),0))*1000,0)</f>
        <v>0</v>
      </c>
    </row>
    <row r="315" spans="1:49">
      <c r="A315" s="124"/>
      <c r="B315" s="125"/>
      <c r="C315" s="125"/>
      <c r="D315" s="125"/>
      <c r="E315" s="125"/>
      <c r="F315" s="126" t="str">
        <f>IF(J315="OK",D315*E315,"")</f>
        <v/>
      </c>
      <c r="G315" s="126" t="str">
        <f>IF(J315="OK",F315*(C315-B315),"")</f>
        <v/>
      </c>
      <c r="H315" s="126" t="str">
        <f>IF(J315="OK",G315*(C315+B315)/2,"")</f>
        <v/>
      </c>
      <c r="I315" s="126" t="str">
        <f>IF(AND(J315="OK",ISNUMBER($B$5),$B$5&gt;0,ISNUMBER($B$3),$B$3&gt;0),F315*(4*$B$4*(C315^3-B315^3)-(C315^4-B315^4))/(24*$B$3*1000000*$B$5)*1000,"")</f>
        <v/>
      </c>
      <c r="J315" s="120" t="str">
        <f>IF(COUNTA(A315:E315)=0,"",IF(AND(COUNT(B315:E315)=4,B315&gt;=0,C315&gt;B315,C315&lt;=$B$4,D315&gt;=0,E315&gt;0),IF(COUNTIFS($B$13:$B$314,"&lt;"&amp;C315,$C$13:$C$314,"&gt;"&amp;B315)&gt;0,"OVERLAP","OK"),"CHECK INPUTS"))</f>
        <v/>
      </c>
      <c r="M315" s="124"/>
      <c r="N315" s="125"/>
      <c r="O315" s="125"/>
      <c r="P315" s="125"/>
      <c r="Q315" s="125"/>
      <c r="R315" s="126" t="str">
        <f>IF(V315="OK",P315*Q315,"")</f>
        <v/>
      </c>
      <c r="S315" s="126" t="str">
        <f>IF(V315="OK",R315*(O315-N315),"")</f>
        <v/>
      </c>
      <c r="T315" s="126" t="str">
        <f>IF(V315="OK",S315*(O315+N315)/2,"")</f>
        <v/>
      </c>
      <c r="U315" s="126" t="str">
        <f>IF(AND(V315="OK",ISNUMBER($N$5),$N$5&gt;0,ISNUMBER($N$3),$N$3&gt;0),R315*(4*$N$4*(O315^3-N315^3)-(O315^4-N315^4))/(24*$N$3*1000000*$N$5)*1000,"")</f>
        <v/>
      </c>
      <c r="V315" s="120" t="str">
        <f>IF(COUNTA(M315:Q315)=0,"",IF(AND(COUNT(N315:Q315)=4,N315&gt;=0,O315&gt;N315,O315&lt;=$N$4,P315&gt;=0,Q315&gt;0),IF(COUNTIFS($N$13:$N$314,"&lt;"&amp;O315,$O$13:$O$314,"&gt;"&amp;N315)&gt;0,"OVERLAP","OK"),"CHECK INPUTS"))</f>
        <v/>
      </c>
      <c r="AA315" s="120">
        <f>IF(AND(J315="OK",ISNUMBER($B$5),$B$5&gt;0,ISNUMBER($B$3),$B$3&gt;0),F315/(6*$B$3*1000000*$B$5)*(IF(B315&lt;($B$4*0/10),($B$4*0/10)*(MIN(C315,($B$4*0/10))^3-B315^3)-(MIN(C315,($B$4*0/10))^4-B315^4)/4,0)+IF(C315&gt;($B$4*0/10),($B$4*0/10)^2*(1.5*(C315^2-MAX(B315,($B$4*0/10))^2)-($B$4*0/10)*(C315-MAX(B315,($B$4*0/10)))),0))*1000,0)</f>
        <v>0</v>
      </c>
      <c r="AB315" s="120">
        <f>IF(AND(J315="OK",ISNUMBER($B$5),$B$5&gt;0,ISNUMBER($B$3),$B$3&gt;0),F315/(6*$B$3*1000000*$B$5)*(IF(B315&lt;($B$4*1/10),($B$4*1/10)*(MIN(C315,($B$4*1/10))^3-B315^3)-(MIN(C315,($B$4*1/10))^4-B315^4)/4,0)+IF(C315&gt;($B$4*1/10),($B$4*1/10)^2*(1.5*(C315^2-MAX(B315,($B$4*1/10))^2)-($B$4*1/10)*(C315-MAX(B315,($B$4*1/10)))),0))*1000,0)</f>
        <v>0</v>
      </c>
      <c r="AC315" s="120">
        <f>IF(AND(J315="OK",ISNUMBER($B$5),$B$5&gt;0,ISNUMBER($B$3),$B$3&gt;0),F315/(6*$B$3*1000000*$B$5)*(IF(B315&lt;($B$4*2/10),($B$4*2/10)*(MIN(C315,($B$4*2/10))^3-B315^3)-(MIN(C315,($B$4*2/10))^4-B315^4)/4,0)+IF(C315&gt;($B$4*2/10),($B$4*2/10)^2*(1.5*(C315^2-MAX(B315,($B$4*2/10))^2)-($B$4*2/10)*(C315-MAX(B315,($B$4*2/10)))),0))*1000,0)</f>
        <v>0</v>
      </c>
      <c r="AD315" s="120">
        <f>IF(AND(J315="OK",ISNUMBER($B$5),$B$5&gt;0,ISNUMBER($B$3),$B$3&gt;0),F315/(6*$B$3*1000000*$B$5)*(IF(B315&lt;($B$4*3/10),($B$4*3/10)*(MIN(C315,($B$4*3/10))^3-B315^3)-(MIN(C315,($B$4*3/10))^4-B315^4)/4,0)+IF(C315&gt;($B$4*3/10),($B$4*3/10)^2*(1.5*(C315^2-MAX(B315,($B$4*3/10))^2)-($B$4*3/10)*(C315-MAX(B315,($B$4*3/10)))),0))*1000,0)</f>
        <v>0</v>
      </c>
      <c r="AE315" s="120">
        <f>IF(AND(J315="OK",ISNUMBER($B$5),$B$5&gt;0,ISNUMBER($B$3),$B$3&gt;0),F315/(6*$B$3*1000000*$B$5)*(IF(B315&lt;($B$4*4/10),($B$4*4/10)*(MIN(C315,($B$4*4/10))^3-B315^3)-(MIN(C315,($B$4*4/10))^4-B315^4)/4,0)+IF(C315&gt;($B$4*4/10),($B$4*4/10)^2*(1.5*(C315^2-MAX(B315,($B$4*4/10))^2)-($B$4*4/10)*(C315-MAX(B315,($B$4*4/10)))),0))*1000,0)</f>
        <v>0</v>
      </c>
      <c r="AF315" s="120">
        <f>IF(AND(J315="OK",ISNUMBER($B$5),$B$5&gt;0,ISNUMBER($B$3),$B$3&gt;0),F315/(6*$B$3*1000000*$B$5)*(IF(B315&lt;($B$4*5/10),($B$4*5/10)*(MIN(C315,($B$4*5/10))^3-B315^3)-(MIN(C315,($B$4*5/10))^4-B315^4)/4,0)+IF(C315&gt;($B$4*5/10),($B$4*5/10)^2*(1.5*(C315^2-MAX(B315,($B$4*5/10))^2)-($B$4*5/10)*(C315-MAX(B315,($B$4*5/10)))),0))*1000,0)</f>
        <v>0</v>
      </c>
      <c r="AG315" s="120">
        <f>IF(AND(J315="OK",ISNUMBER($B$5),$B$5&gt;0,ISNUMBER($B$3),$B$3&gt;0),F315/(6*$B$3*1000000*$B$5)*(IF(B315&lt;($B$4*6/10),($B$4*6/10)*(MIN(C315,($B$4*6/10))^3-B315^3)-(MIN(C315,($B$4*6/10))^4-B315^4)/4,0)+IF(C315&gt;($B$4*6/10),($B$4*6/10)^2*(1.5*(C315^2-MAX(B315,($B$4*6/10))^2)-($B$4*6/10)*(C315-MAX(B315,($B$4*6/10)))),0))*1000,0)</f>
        <v>0</v>
      </c>
      <c r="AH315" s="120">
        <f>IF(AND(J315="OK",ISNUMBER($B$5),$B$5&gt;0,ISNUMBER($B$3),$B$3&gt;0),F315/(6*$B$3*1000000*$B$5)*(IF(B315&lt;($B$4*7/10),($B$4*7/10)*(MIN(C315,($B$4*7/10))^3-B315^3)-(MIN(C315,($B$4*7/10))^4-B315^4)/4,0)+IF(C315&gt;($B$4*7/10),($B$4*7/10)^2*(1.5*(C315^2-MAX(B315,($B$4*7/10))^2)-($B$4*7/10)*(C315-MAX(B315,($B$4*7/10)))),0))*1000,0)</f>
        <v>0</v>
      </c>
      <c r="AI315" s="120">
        <f>IF(AND(J315="OK",ISNUMBER($B$5),$B$5&gt;0,ISNUMBER($B$3),$B$3&gt;0),F315/(6*$B$3*1000000*$B$5)*(IF(B315&lt;($B$4*8/10),($B$4*8/10)*(MIN(C315,($B$4*8/10))^3-B315^3)-(MIN(C315,($B$4*8/10))^4-B315^4)/4,0)+IF(C315&gt;($B$4*8/10),($B$4*8/10)^2*(1.5*(C315^2-MAX(B315,($B$4*8/10))^2)-($B$4*8/10)*(C315-MAX(B315,($B$4*8/10)))),0))*1000,0)</f>
        <v>0</v>
      </c>
      <c r="AJ315" s="120">
        <f>IF(AND(J315="OK",ISNUMBER($B$5),$B$5&gt;0,ISNUMBER($B$3),$B$3&gt;0),F315/(6*$B$3*1000000*$B$5)*(IF(B315&lt;($B$4*9/10),($B$4*9/10)*(MIN(C315,($B$4*9/10))^3-B315^3)-(MIN(C315,($B$4*9/10))^4-B315^4)/4,0)+IF(C315&gt;($B$4*9/10),($B$4*9/10)^2*(1.5*(C315^2-MAX(B315,($B$4*9/10))^2)-($B$4*9/10)*(C315-MAX(B315,($B$4*9/10)))),0))*1000,0)</f>
        <v>0</v>
      </c>
      <c r="AK315" s="120">
        <f>IF(AND(J315="OK",ISNUMBER($B$5),$B$5&gt;0,ISNUMBER($B$3),$B$3&gt;0),F315/(6*$B$3*1000000*$B$5)*(IF(B315&lt;($B$4*10/10),($B$4*10/10)*(MIN(C315,($B$4*10/10))^3-B315^3)-(MIN(C315,($B$4*10/10))^4-B315^4)/4,0)+IF(C315&gt;($B$4*10/10),($B$4*10/10)^2*(1.5*(C315^2-MAX(B315,($B$4*10/10))^2)-($B$4*10/10)*(C315-MAX(B315,($B$4*10/10)))),0))*1000,0)</f>
        <v>0</v>
      </c>
      <c r="AM315" s="120">
        <f>IF(AND(V315="OK",ISNUMBER($N$5),$N$5&gt;0,ISNUMBER($N$3),$N$3&gt;0),R315/(6*$N$3*1000000*$N$5)*(IF(N315&lt;($N$4*0/10),($N$4*0/10)*(MIN(O315,($N$4*0/10))^3-N315^3)-(MIN(O315,($N$4*0/10))^4-N315^4)/4,0)+IF(O315&gt;($N$4*0/10),($N$4*0/10)^2*(1.5*(O315^2-MAX(N315,($N$4*0/10))^2)-($N$4*0/10)*(O315-MAX(N315,($N$4*0/10)))),0))*1000,0)</f>
        <v>0</v>
      </c>
      <c r="AN315" s="120">
        <f>IF(AND(V315="OK",ISNUMBER($N$5),$N$5&gt;0,ISNUMBER($N$3),$N$3&gt;0),R315/(6*$N$3*1000000*$N$5)*(IF(N315&lt;($N$4*1/10),($N$4*1/10)*(MIN(O315,($N$4*1/10))^3-N315^3)-(MIN(O315,($N$4*1/10))^4-N315^4)/4,0)+IF(O315&gt;($N$4*1/10),($N$4*1/10)^2*(1.5*(O315^2-MAX(N315,($N$4*1/10))^2)-($N$4*1/10)*(O315-MAX(N315,($N$4*1/10)))),0))*1000,0)</f>
        <v>0</v>
      </c>
      <c r="AO315" s="120">
        <f>IF(AND(V315="OK",ISNUMBER($N$5),$N$5&gt;0,ISNUMBER($N$3),$N$3&gt;0),R315/(6*$N$3*1000000*$N$5)*(IF(N315&lt;($N$4*2/10),($N$4*2/10)*(MIN(O315,($N$4*2/10))^3-N315^3)-(MIN(O315,($N$4*2/10))^4-N315^4)/4,0)+IF(O315&gt;($N$4*2/10),($N$4*2/10)^2*(1.5*(O315^2-MAX(N315,($N$4*2/10))^2)-($N$4*2/10)*(O315-MAX(N315,($N$4*2/10)))),0))*1000,0)</f>
        <v>0</v>
      </c>
      <c r="AP315" s="120">
        <f>IF(AND(V315="OK",ISNUMBER($N$5),$N$5&gt;0,ISNUMBER($N$3),$N$3&gt;0),R315/(6*$N$3*1000000*$N$5)*(IF(N315&lt;($N$4*3/10),($N$4*3/10)*(MIN(O315,($N$4*3/10))^3-N315^3)-(MIN(O315,($N$4*3/10))^4-N315^4)/4,0)+IF(O315&gt;($N$4*3/10),($N$4*3/10)^2*(1.5*(O315^2-MAX(N315,($N$4*3/10))^2)-($N$4*3/10)*(O315-MAX(N315,($N$4*3/10)))),0))*1000,0)</f>
        <v>0</v>
      </c>
      <c r="AQ315" s="120">
        <f>IF(AND(V315="OK",ISNUMBER($N$5),$N$5&gt;0,ISNUMBER($N$3),$N$3&gt;0),R315/(6*$N$3*1000000*$N$5)*(IF(N315&lt;($N$4*4/10),($N$4*4/10)*(MIN(O315,($N$4*4/10))^3-N315^3)-(MIN(O315,($N$4*4/10))^4-N315^4)/4,0)+IF(O315&gt;($N$4*4/10),($N$4*4/10)^2*(1.5*(O315^2-MAX(N315,($N$4*4/10))^2)-($N$4*4/10)*(O315-MAX(N315,($N$4*4/10)))),0))*1000,0)</f>
        <v>0</v>
      </c>
      <c r="AR315" s="120">
        <f>IF(AND(V315="OK",ISNUMBER($N$5),$N$5&gt;0,ISNUMBER($N$3),$N$3&gt;0),R315/(6*$N$3*1000000*$N$5)*(IF(N315&lt;($N$4*5/10),($N$4*5/10)*(MIN(O315,($N$4*5/10))^3-N315^3)-(MIN(O315,($N$4*5/10))^4-N315^4)/4,0)+IF(O315&gt;($N$4*5/10),($N$4*5/10)^2*(1.5*(O315^2-MAX(N315,($N$4*5/10))^2)-($N$4*5/10)*(O315-MAX(N315,($N$4*5/10)))),0))*1000,0)</f>
        <v>0</v>
      </c>
      <c r="AS315" s="120">
        <f>IF(AND(V315="OK",ISNUMBER($N$5),$N$5&gt;0,ISNUMBER($N$3),$N$3&gt;0),R315/(6*$N$3*1000000*$N$5)*(IF(N315&lt;($N$4*6/10),($N$4*6/10)*(MIN(O315,($N$4*6/10))^3-N315^3)-(MIN(O315,($N$4*6/10))^4-N315^4)/4,0)+IF(O315&gt;($N$4*6/10),($N$4*6/10)^2*(1.5*(O315^2-MAX(N315,($N$4*6/10))^2)-($N$4*6/10)*(O315-MAX(N315,($N$4*6/10)))),0))*1000,0)</f>
        <v>0</v>
      </c>
      <c r="AT315" s="120">
        <f>IF(AND(V315="OK",ISNUMBER($N$5),$N$5&gt;0,ISNUMBER($N$3),$N$3&gt;0),R315/(6*$N$3*1000000*$N$5)*(IF(N315&lt;($N$4*7/10),($N$4*7/10)*(MIN(O315,($N$4*7/10))^3-N315^3)-(MIN(O315,($N$4*7/10))^4-N315^4)/4,0)+IF(O315&gt;($N$4*7/10),($N$4*7/10)^2*(1.5*(O315^2-MAX(N315,($N$4*7/10))^2)-($N$4*7/10)*(O315-MAX(N315,($N$4*7/10)))),0))*1000,0)</f>
        <v>0</v>
      </c>
      <c r="AU315" s="120">
        <f>IF(AND(V315="OK",ISNUMBER($N$5),$N$5&gt;0,ISNUMBER($N$3),$N$3&gt;0),R315/(6*$N$3*1000000*$N$5)*(IF(N315&lt;($N$4*8/10),($N$4*8/10)*(MIN(O315,($N$4*8/10))^3-N315^3)-(MIN(O315,($N$4*8/10))^4-N315^4)/4,0)+IF(O315&gt;($N$4*8/10),($N$4*8/10)^2*(1.5*(O315^2-MAX(N315,($N$4*8/10))^2)-($N$4*8/10)*(O315-MAX(N315,($N$4*8/10)))),0))*1000,0)</f>
        <v>0</v>
      </c>
      <c r="AV315" s="120">
        <f>IF(AND(V315="OK",ISNUMBER($N$5),$N$5&gt;0,ISNUMBER($N$3),$N$3&gt;0),R315/(6*$N$3*1000000*$N$5)*(IF(N315&lt;($N$4*9/10),($N$4*9/10)*(MIN(O315,($N$4*9/10))^3-N315^3)-(MIN(O315,($N$4*9/10))^4-N315^4)/4,0)+IF(O315&gt;($N$4*9/10),($N$4*9/10)^2*(1.5*(O315^2-MAX(N315,($N$4*9/10))^2)-($N$4*9/10)*(O315-MAX(N315,($N$4*9/10)))),0))*1000,0)</f>
        <v>0</v>
      </c>
      <c r="AW315" s="120">
        <f>IF(AND(V315="OK",ISNUMBER($N$5),$N$5&gt;0,ISNUMBER($N$3),$N$3&gt;0),R315/(6*$N$3*1000000*$N$5)*(IF(N315&lt;($N$4*10/10),($N$4*10/10)*(MIN(O315,($N$4*10/10))^3-N315^3)-(MIN(O315,($N$4*10/10))^4-N315^4)/4,0)+IF(O315&gt;($N$4*10/10),($N$4*10/10)^2*(1.5*(O315^2-MAX(N315,($N$4*10/10))^2)-($N$4*10/10)*(O315-MAX(N315,($N$4*10/10)))),0))*1000,0)</f>
        <v>0</v>
      </c>
    </row>
    <row r="316" spans="1:49">
      <c r="A316" s="124"/>
      <c r="B316" s="125"/>
      <c r="C316" s="125"/>
      <c r="D316" s="125"/>
      <c r="E316" s="125"/>
      <c r="F316" s="126" t="str">
        <f>IF(J316="OK",D316*E316,"")</f>
        <v/>
      </c>
      <c r="G316" s="126" t="str">
        <f>IF(J316="OK",F316*(C316-B316),"")</f>
        <v/>
      </c>
      <c r="H316" s="126" t="str">
        <f>IF(J316="OK",G316*(C316+B316)/2,"")</f>
        <v/>
      </c>
      <c r="I316" s="126" t="str">
        <f>IF(AND(J316="OK",ISNUMBER($B$5),$B$5&gt;0,ISNUMBER($B$3),$B$3&gt;0),F316*(4*$B$4*(C316^3-B316^3)-(C316^4-B316^4))/(24*$B$3*1000000*$B$5)*1000,"")</f>
        <v/>
      </c>
      <c r="J316" s="120" t="str">
        <f>IF(COUNTA(A316:E316)=0,"",IF(AND(COUNT(B316:E316)=4,B316&gt;=0,C316&gt;B316,C316&lt;=$B$4,D316&gt;=0,E316&gt;0),IF(COUNTIFS($B$13:$B$315,"&lt;"&amp;C316,$C$13:$C$315,"&gt;"&amp;B316)&gt;0,"OVERLAP","OK"),"CHECK INPUTS"))</f>
        <v/>
      </c>
      <c r="M316" s="124"/>
      <c r="N316" s="125"/>
      <c r="O316" s="125"/>
      <c r="P316" s="125"/>
      <c r="Q316" s="125"/>
      <c r="R316" s="126" t="str">
        <f>IF(V316="OK",P316*Q316,"")</f>
        <v/>
      </c>
      <c r="S316" s="126" t="str">
        <f>IF(V316="OK",R316*(O316-N316),"")</f>
        <v/>
      </c>
      <c r="T316" s="126" t="str">
        <f>IF(V316="OK",S316*(O316+N316)/2,"")</f>
        <v/>
      </c>
      <c r="U316" s="126" t="str">
        <f>IF(AND(V316="OK",ISNUMBER($N$5),$N$5&gt;0,ISNUMBER($N$3),$N$3&gt;0),R316*(4*$N$4*(O316^3-N316^3)-(O316^4-N316^4))/(24*$N$3*1000000*$N$5)*1000,"")</f>
        <v/>
      </c>
      <c r="V316" s="120" t="str">
        <f>IF(COUNTA(M316:Q316)=0,"",IF(AND(COUNT(N316:Q316)=4,N316&gt;=0,O316&gt;N316,O316&lt;=$N$4,P316&gt;=0,Q316&gt;0),IF(COUNTIFS($N$13:$N$315,"&lt;"&amp;O316,$O$13:$O$315,"&gt;"&amp;N316)&gt;0,"OVERLAP","OK"),"CHECK INPUTS"))</f>
        <v/>
      </c>
      <c r="AA316" s="120">
        <f>IF(AND(J316="OK",ISNUMBER($B$5),$B$5&gt;0,ISNUMBER($B$3),$B$3&gt;0),F316/(6*$B$3*1000000*$B$5)*(IF(B316&lt;($B$4*0/10),($B$4*0/10)*(MIN(C316,($B$4*0/10))^3-B316^3)-(MIN(C316,($B$4*0/10))^4-B316^4)/4,0)+IF(C316&gt;($B$4*0/10),($B$4*0/10)^2*(1.5*(C316^2-MAX(B316,($B$4*0/10))^2)-($B$4*0/10)*(C316-MAX(B316,($B$4*0/10)))),0))*1000,0)</f>
        <v>0</v>
      </c>
      <c r="AB316" s="120">
        <f>IF(AND(J316="OK",ISNUMBER($B$5),$B$5&gt;0,ISNUMBER($B$3),$B$3&gt;0),F316/(6*$B$3*1000000*$B$5)*(IF(B316&lt;($B$4*1/10),($B$4*1/10)*(MIN(C316,($B$4*1/10))^3-B316^3)-(MIN(C316,($B$4*1/10))^4-B316^4)/4,0)+IF(C316&gt;($B$4*1/10),($B$4*1/10)^2*(1.5*(C316^2-MAX(B316,($B$4*1/10))^2)-($B$4*1/10)*(C316-MAX(B316,($B$4*1/10)))),0))*1000,0)</f>
        <v>0</v>
      </c>
      <c r="AC316" s="120">
        <f>IF(AND(J316="OK",ISNUMBER($B$5),$B$5&gt;0,ISNUMBER($B$3),$B$3&gt;0),F316/(6*$B$3*1000000*$B$5)*(IF(B316&lt;($B$4*2/10),($B$4*2/10)*(MIN(C316,($B$4*2/10))^3-B316^3)-(MIN(C316,($B$4*2/10))^4-B316^4)/4,0)+IF(C316&gt;($B$4*2/10),($B$4*2/10)^2*(1.5*(C316^2-MAX(B316,($B$4*2/10))^2)-($B$4*2/10)*(C316-MAX(B316,($B$4*2/10)))),0))*1000,0)</f>
        <v>0</v>
      </c>
      <c r="AD316" s="120">
        <f>IF(AND(J316="OK",ISNUMBER($B$5),$B$5&gt;0,ISNUMBER($B$3),$B$3&gt;0),F316/(6*$B$3*1000000*$B$5)*(IF(B316&lt;($B$4*3/10),($B$4*3/10)*(MIN(C316,($B$4*3/10))^3-B316^3)-(MIN(C316,($B$4*3/10))^4-B316^4)/4,0)+IF(C316&gt;($B$4*3/10),($B$4*3/10)^2*(1.5*(C316^2-MAX(B316,($B$4*3/10))^2)-($B$4*3/10)*(C316-MAX(B316,($B$4*3/10)))),0))*1000,0)</f>
        <v>0</v>
      </c>
      <c r="AE316" s="120">
        <f>IF(AND(J316="OK",ISNUMBER($B$5),$B$5&gt;0,ISNUMBER($B$3),$B$3&gt;0),F316/(6*$B$3*1000000*$B$5)*(IF(B316&lt;($B$4*4/10),($B$4*4/10)*(MIN(C316,($B$4*4/10))^3-B316^3)-(MIN(C316,($B$4*4/10))^4-B316^4)/4,0)+IF(C316&gt;($B$4*4/10),($B$4*4/10)^2*(1.5*(C316^2-MAX(B316,($B$4*4/10))^2)-($B$4*4/10)*(C316-MAX(B316,($B$4*4/10)))),0))*1000,0)</f>
        <v>0</v>
      </c>
      <c r="AF316" s="120">
        <f>IF(AND(J316="OK",ISNUMBER($B$5),$B$5&gt;0,ISNUMBER($B$3),$B$3&gt;0),F316/(6*$B$3*1000000*$B$5)*(IF(B316&lt;($B$4*5/10),($B$4*5/10)*(MIN(C316,($B$4*5/10))^3-B316^3)-(MIN(C316,($B$4*5/10))^4-B316^4)/4,0)+IF(C316&gt;($B$4*5/10),($B$4*5/10)^2*(1.5*(C316^2-MAX(B316,($B$4*5/10))^2)-($B$4*5/10)*(C316-MAX(B316,($B$4*5/10)))),0))*1000,0)</f>
        <v>0</v>
      </c>
      <c r="AG316" s="120">
        <f>IF(AND(J316="OK",ISNUMBER($B$5),$B$5&gt;0,ISNUMBER($B$3),$B$3&gt;0),F316/(6*$B$3*1000000*$B$5)*(IF(B316&lt;($B$4*6/10),($B$4*6/10)*(MIN(C316,($B$4*6/10))^3-B316^3)-(MIN(C316,($B$4*6/10))^4-B316^4)/4,0)+IF(C316&gt;($B$4*6/10),($B$4*6/10)^2*(1.5*(C316^2-MAX(B316,($B$4*6/10))^2)-($B$4*6/10)*(C316-MAX(B316,($B$4*6/10)))),0))*1000,0)</f>
        <v>0</v>
      </c>
      <c r="AH316" s="120">
        <f>IF(AND(J316="OK",ISNUMBER($B$5),$B$5&gt;0,ISNUMBER($B$3),$B$3&gt;0),F316/(6*$B$3*1000000*$B$5)*(IF(B316&lt;($B$4*7/10),($B$4*7/10)*(MIN(C316,($B$4*7/10))^3-B316^3)-(MIN(C316,($B$4*7/10))^4-B316^4)/4,0)+IF(C316&gt;($B$4*7/10),($B$4*7/10)^2*(1.5*(C316^2-MAX(B316,($B$4*7/10))^2)-($B$4*7/10)*(C316-MAX(B316,($B$4*7/10)))),0))*1000,0)</f>
        <v>0</v>
      </c>
      <c r="AI316" s="120">
        <f>IF(AND(J316="OK",ISNUMBER($B$5),$B$5&gt;0,ISNUMBER($B$3),$B$3&gt;0),F316/(6*$B$3*1000000*$B$5)*(IF(B316&lt;($B$4*8/10),($B$4*8/10)*(MIN(C316,($B$4*8/10))^3-B316^3)-(MIN(C316,($B$4*8/10))^4-B316^4)/4,0)+IF(C316&gt;($B$4*8/10),($B$4*8/10)^2*(1.5*(C316^2-MAX(B316,($B$4*8/10))^2)-($B$4*8/10)*(C316-MAX(B316,($B$4*8/10)))),0))*1000,0)</f>
        <v>0</v>
      </c>
      <c r="AJ316" s="120">
        <f>IF(AND(J316="OK",ISNUMBER($B$5),$B$5&gt;0,ISNUMBER($B$3),$B$3&gt;0),F316/(6*$B$3*1000000*$B$5)*(IF(B316&lt;($B$4*9/10),($B$4*9/10)*(MIN(C316,($B$4*9/10))^3-B316^3)-(MIN(C316,($B$4*9/10))^4-B316^4)/4,0)+IF(C316&gt;($B$4*9/10),($B$4*9/10)^2*(1.5*(C316^2-MAX(B316,($B$4*9/10))^2)-($B$4*9/10)*(C316-MAX(B316,($B$4*9/10)))),0))*1000,0)</f>
        <v>0</v>
      </c>
      <c r="AK316" s="120">
        <f>IF(AND(J316="OK",ISNUMBER($B$5),$B$5&gt;0,ISNUMBER($B$3),$B$3&gt;0),F316/(6*$B$3*1000000*$B$5)*(IF(B316&lt;($B$4*10/10),($B$4*10/10)*(MIN(C316,($B$4*10/10))^3-B316^3)-(MIN(C316,($B$4*10/10))^4-B316^4)/4,0)+IF(C316&gt;($B$4*10/10),($B$4*10/10)^2*(1.5*(C316^2-MAX(B316,($B$4*10/10))^2)-($B$4*10/10)*(C316-MAX(B316,($B$4*10/10)))),0))*1000,0)</f>
        <v>0</v>
      </c>
      <c r="AM316" s="120">
        <f>IF(AND(V316="OK",ISNUMBER($N$5),$N$5&gt;0,ISNUMBER($N$3),$N$3&gt;0),R316/(6*$N$3*1000000*$N$5)*(IF(N316&lt;($N$4*0/10),($N$4*0/10)*(MIN(O316,($N$4*0/10))^3-N316^3)-(MIN(O316,($N$4*0/10))^4-N316^4)/4,0)+IF(O316&gt;($N$4*0/10),($N$4*0/10)^2*(1.5*(O316^2-MAX(N316,($N$4*0/10))^2)-($N$4*0/10)*(O316-MAX(N316,($N$4*0/10)))),0))*1000,0)</f>
        <v>0</v>
      </c>
      <c r="AN316" s="120">
        <f>IF(AND(V316="OK",ISNUMBER($N$5),$N$5&gt;0,ISNUMBER($N$3),$N$3&gt;0),R316/(6*$N$3*1000000*$N$5)*(IF(N316&lt;($N$4*1/10),($N$4*1/10)*(MIN(O316,($N$4*1/10))^3-N316^3)-(MIN(O316,($N$4*1/10))^4-N316^4)/4,0)+IF(O316&gt;($N$4*1/10),($N$4*1/10)^2*(1.5*(O316^2-MAX(N316,($N$4*1/10))^2)-($N$4*1/10)*(O316-MAX(N316,($N$4*1/10)))),0))*1000,0)</f>
        <v>0</v>
      </c>
      <c r="AO316" s="120">
        <f>IF(AND(V316="OK",ISNUMBER($N$5),$N$5&gt;0,ISNUMBER($N$3),$N$3&gt;0),R316/(6*$N$3*1000000*$N$5)*(IF(N316&lt;($N$4*2/10),($N$4*2/10)*(MIN(O316,($N$4*2/10))^3-N316^3)-(MIN(O316,($N$4*2/10))^4-N316^4)/4,0)+IF(O316&gt;($N$4*2/10),($N$4*2/10)^2*(1.5*(O316^2-MAX(N316,($N$4*2/10))^2)-($N$4*2/10)*(O316-MAX(N316,($N$4*2/10)))),0))*1000,0)</f>
        <v>0</v>
      </c>
      <c r="AP316" s="120">
        <f>IF(AND(V316="OK",ISNUMBER($N$5),$N$5&gt;0,ISNUMBER($N$3),$N$3&gt;0),R316/(6*$N$3*1000000*$N$5)*(IF(N316&lt;($N$4*3/10),($N$4*3/10)*(MIN(O316,($N$4*3/10))^3-N316^3)-(MIN(O316,($N$4*3/10))^4-N316^4)/4,0)+IF(O316&gt;($N$4*3/10),($N$4*3/10)^2*(1.5*(O316^2-MAX(N316,($N$4*3/10))^2)-($N$4*3/10)*(O316-MAX(N316,($N$4*3/10)))),0))*1000,0)</f>
        <v>0</v>
      </c>
      <c r="AQ316" s="120">
        <f>IF(AND(V316="OK",ISNUMBER($N$5),$N$5&gt;0,ISNUMBER($N$3),$N$3&gt;0),R316/(6*$N$3*1000000*$N$5)*(IF(N316&lt;($N$4*4/10),($N$4*4/10)*(MIN(O316,($N$4*4/10))^3-N316^3)-(MIN(O316,($N$4*4/10))^4-N316^4)/4,0)+IF(O316&gt;($N$4*4/10),($N$4*4/10)^2*(1.5*(O316^2-MAX(N316,($N$4*4/10))^2)-($N$4*4/10)*(O316-MAX(N316,($N$4*4/10)))),0))*1000,0)</f>
        <v>0</v>
      </c>
      <c r="AR316" s="120">
        <f>IF(AND(V316="OK",ISNUMBER($N$5),$N$5&gt;0,ISNUMBER($N$3),$N$3&gt;0),R316/(6*$N$3*1000000*$N$5)*(IF(N316&lt;($N$4*5/10),($N$4*5/10)*(MIN(O316,($N$4*5/10))^3-N316^3)-(MIN(O316,($N$4*5/10))^4-N316^4)/4,0)+IF(O316&gt;($N$4*5/10),($N$4*5/10)^2*(1.5*(O316^2-MAX(N316,($N$4*5/10))^2)-($N$4*5/10)*(O316-MAX(N316,($N$4*5/10)))),0))*1000,0)</f>
        <v>0</v>
      </c>
      <c r="AS316" s="120">
        <f>IF(AND(V316="OK",ISNUMBER($N$5),$N$5&gt;0,ISNUMBER($N$3),$N$3&gt;0),R316/(6*$N$3*1000000*$N$5)*(IF(N316&lt;($N$4*6/10),($N$4*6/10)*(MIN(O316,($N$4*6/10))^3-N316^3)-(MIN(O316,($N$4*6/10))^4-N316^4)/4,0)+IF(O316&gt;($N$4*6/10),($N$4*6/10)^2*(1.5*(O316^2-MAX(N316,($N$4*6/10))^2)-($N$4*6/10)*(O316-MAX(N316,($N$4*6/10)))),0))*1000,0)</f>
        <v>0</v>
      </c>
      <c r="AT316" s="120">
        <f>IF(AND(V316="OK",ISNUMBER($N$5),$N$5&gt;0,ISNUMBER($N$3),$N$3&gt;0),R316/(6*$N$3*1000000*$N$5)*(IF(N316&lt;($N$4*7/10),($N$4*7/10)*(MIN(O316,($N$4*7/10))^3-N316^3)-(MIN(O316,($N$4*7/10))^4-N316^4)/4,0)+IF(O316&gt;($N$4*7/10),($N$4*7/10)^2*(1.5*(O316^2-MAX(N316,($N$4*7/10))^2)-($N$4*7/10)*(O316-MAX(N316,($N$4*7/10)))),0))*1000,0)</f>
        <v>0</v>
      </c>
      <c r="AU316" s="120">
        <f>IF(AND(V316="OK",ISNUMBER($N$5),$N$5&gt;0,ISNUMBER($N$3),$N$3&gt;0),R316/(6*$N$3*1000000*$N$5)*(IF(N316&lt;($N$4*8/10),($N$4*8/10)*(MIN(O316,($N$4*8/10))^3-N316^3)-(MIN(O316,($N$4*8/10))^4-N316^4)/4,0)+IF(O316&gt;($N$4*8/10),($N$4*8/10)^2*(1.5*(O316^2-MAX(N316,($N$4*8/10))^2)-($N$4*8/10)*(O316-MAX(N316,($N$4*8/10)))),0))*1000,0)</f>
        <v>0</v>
      </c>
      <c r="AV316" s="120">
        <f>IF(AND(V316="OK",ISNUMBER($N$5),$N$5&gt;0,ISNUMBER($N$3),$N$3&gt;0),R316/(6*$N$3*1000000*$N$5)*(IF(N316&lt;($N$4*9/10),($N$4*9/10)*(MIN(O316,($N$4*9/10))^3-N316^3)-(MIN(O316,($N$4*9/10))^4-N316^4)/4,0)+IF(O316&gt;($N$4*9/10),($N$4*9/10)^2*(1.5*(O316^2-MAX(N316,($N$4*9/10))^2)-($N$4*9/10)*(O316-MAX(N316,($N$4*9/10)))),0))*1000,0)</f>
        <v>0</v>
      </c>
      <c r="AW316" s="120">
        <f>IF(AND(V316="OK",ISNUMBER($N$5),$N$5&gt;0,ISNUMBER($N$3),$N$3&gt;0),R316/(6*$N$3*1000000*$N$5)*(IF(N316&lt;($N$4*10/10),($N$4*10/10)*(MIN(O316,($N$4*10/10))^3-N316^3)-(MIN(O316,($N$4*10/10))^4-N316^4)/4,0)+IF(O316&gt;($N$4*10/10),($N$4*10/10)^2*(1.5*(O316^2-MAX(N316,($N$4*10/10))^2)-($N$4*10/10)*(O316-MAX(N316,($N$4*10/10)))),0))*1000,0)</f>
        <v>0</v>
      </c>
    </row>
    <row r="317" spans="1:49">
      <c r="A317" s="124"/>
      <c r="B317" s="125"/>
      <c r="C317" s="125"/>
      <c r="D317" s="125"/>
      <c r="E317" s="125"/>
      <c r="F317" s="126" t="str">
        <f>IF(J317="OK",D317*E317,"")</f>
        <v/>
      </c>
      <c r="G317" s="126" t="str">
        <f>IF(J317="OK",F317*(C317-B317),"")</f>
        <v/>
      </c>
      <c r="H317" s="126" t="str">
        <f>IF(J317="OK",G317*(C317+B317)/2,"")</f>
        <v/>
      </c>
      <c r="I317" s="126" t="str">
        <f>IF(AND(J317="OK",ISNUMBER($B$5),$B$5&gt;0,ISNUMBER($B$3),$B$3&gt;0),F317*(4*$B$4*(C317^3-B317^3)-(C317^4-B317^4))/(24*$B$3*1000000*$B$5)*1000,"")</f>
        <v/>
      </c>
      <c r="J317" s="120" t="str">
        <f>IF(COUNTA(A317:E317)=0,"",IF(AND(COUNT(B317:E317)=4,B317&gt;=0,C317&gt;B317,C317&lt;=$B$4,D317&gt;=0,E317&gt;0),IF(COUNTIFS($B$13:$B$316,"&lt;"&amp;C317,$C$13:$C$316,"&gt;"&amp;B317)&gt;0,"OVERLAP","OK"),"CHECK INPUTS"))</f>
        <v/>
      </c>
      <c r="M317" s="124"/>
      <c r="N317" s="125"/>
      <c r="O317" s="125"/>
      <c r="P317" s="125"/>
      <c r="Q317" s="125"/>
      <c r="R317" s="126" t="str">
        <f>IF(V317="OK",P317*Q317,"")</f>
        <v/>
      </c>
      <c r="S317" s="126" t="str">
        <f>IF(V317="OK",R317*(O317-N317),"")</f>
        <v/>
      </c>
      <c r="T317" s="126" t="str">
        <f>IF(V317="OK",S317*(O317+N317)/2,"")</f>
        <v/>
      </c>
      <c r="U317" s="126" t="str">
        <f>IF(AND(V317="OK",ISNUMBER($N$5),$N$5&gt;0,ISNUMBER($N$3),$N$3&gt;0),R317*(4*$N$4*(O317^3-N317^3)-(O317^4-N317^4))/(24*$N$3*1000000*$N$5)*1000,"")</f>
        <v/>
      </c>
      <c r="V317" s="120" t="str">
        <f>IF(COUNTA(M317:Q317)=0,"",IF(AND(COUNT(N317:Q317)=4,N317&gt;=0,O317&gt;N317,O317&lt;=$N$4,P317&gt;=0,Q317&gt;0),IF(COUNTIFS($N$13:$N$316,"&lt;"&amp;O317,$O$13:$O$316,"&gt;"&amp;N317)&gt;0,"OVERLAP","OK"),"CHECK INPUTS"))</f>
        <v/>
      </c>
      <c r="AA317" s="120">
        <f>IF(AND(J317="OK",ISNUMBER($B$5),$B$5&gt;0,ISNUMBER($B$3),$B$3&gt;0),F317/(6*$B$3*1000000*$B$5)*(IF(B317&lt;($B$4*0/10),($B$4*0/10)*(MIN(C317,($B$4*0/10))^3-B317^3)-(MIN(C317,($B$4*0/10))^4-B317^4)/4,0)+IF(C317&gt;($B$4*0/10),($B$4*0/10)^2*(1.5*(C317^2-MAX(B317,($B$4*0/10))^2)-($B$4*0/10)*(C317-MAX(B317,($B$4*0/10)))),0))*1000,0)</f>
        <v>0</v>
      </c>
      <c r="AB317" s="120">
        <f>IF(AND(J317="OK",ISNUMBER($B$5),$B$5&gt;0,ISNUMBER($B$3),$B$3&gt;0),F317/(6*$B$3*1000000*$B$5)*(IF(B317&lt;($B$4*1/10),($B$4*1/10)*(MIN(C317,($B$4*1/10))^3-B317^3)-(MIN(C317,($B$4*1/10))^4-B317^4)/4,0)+IF(C317&gt;($B$4*1/10),($B$4*1/10)^2*(1.5*(C317^2-MAX(B317,($B$4*1/10))^2)-($B$4*1/10)*(C317-MAX(B317,($B$4*1/10)))),0))*1000,0)</f>
        <v>0</v>
      </c>
      <c r="AC317" s="120">
        <f>IF(AND(J317="OK",ISNUMBER($B$5),$B$5&gt;0,ISNUMBER($B$3),$B$3&gt;0),F317/(6*$B$3*1000000*$B$5)*(IF(B317&lt;($B$4*2/10),($B$4*2/10)*(MIN(C317,($B$4*2/10))^3-B317^3)-(MIN(C317,($B$4*2/10))^4-B317^4)/4,0)+IF(C317&gt;($B$4*2/10),($B$4*2/10)^2*(1.5*(C317^2-MAX(B317,($B$4*2/10))^2)-($B$4*2/10)*(C317-MAX(B317,($B$4*2/10)))),0))*1000,0)</f>
        <v>0</v>
      </c>
      <c r="AD317" s="120">
        <f>IF(AND(J317="OK",ISNUMBER($B$5),$B$5&gt;0,ISNUMBER($B$3),$B$3&gt;0),F317/(6*$B$3*1000000*$B$5)*(IF(B317&lt;($B$4*3/10),($B$4*3/10)*(MIN(C317,($B$4*3/10))^3-B317^3)-(MIN(C317,($B$4*3/10))^4-B317^4)/4,0)+IF(C317&gt;($B$4*3/10),($B$4*3/10)^2*(1.5*(C317^2-MAX(B317,($B$4*3/10))^2)-($B$4*3/10)*(C317-MAX(B317,($B$4*3/10)))),0))*1000,0)</f>
        <v>0</v>
      </c>
      <c r="AE317" s="120">
        <f>IF(AND(J317="OK",ISNUMBER($B$5),$B$5&gt;0,ISNUMBER($B$3),$B$3&gt;0),F317/(6*$B$3*1000000*$B$5)*(IF(B317&lt;($B$4*4/10),($B$4*4/10)*(MIN(C317,($B$4*4/10))^3-B317^3)-(MIN(C317,($B$4*4/10))^4-B317^4)/4,0)+IF(C317&gt;($B$4*4/10),($B$4*4/10)^2*(1.5*(C317^2-MAX(B317,($B$4*4/10))^2)-($B$4*4/10)*(C317-MAX(B317,($B$4*4/10)))),0))*1000,0)</f>
        <v>0</v>
      </c>
      <c r="AF317" s="120">
        <f>IF(AND(J317="OK",ISNUMBER($B$5),$B$5&gt;0,ISNUMBER($B$3),$B$3&gt;0),F317/(6*$B$3*1000000*$B$5)*(IF(B317&lt;($B$4*5/10),($B$4*5/10)*(MIN(C317,($B$4*5/10))^3-B317^3)-(MIN(C317,($B$4*5/10))^4-B317^4)/4,0)+IF(C317&gt;($B$4*5/10),($B$4*5/10)^2*(1.5*(C317^2-MAX(B317,($B$4*5/10))^2)-($B$4*5/10)*(C317-MAX(B317,($B$4*5/10)))),0))*1000,0)</f>
        <v>0</v>
      </c>
      <c r="AG317" s="120">
        <f>IF(AND(J317="OK",ISNUMBER($B$5),$B$5&gt;0,ISNUMBER($B$3),$B$3&gt;0),F317/(6*$B$3*1000000*$B$5)*(IF(B317&lt;($B$4*6/10),($B$4*6/10)*(MIN(C317,($B$4*6/10))^3-B317^3)-(MIN(C317,($B$4*6/10))^4-B317^4)/4,0)+IF(C317&gt;($B$4*6/10),($B$4*6/10)^2*(1.5*(C317^2-MAX(B317,($B$4*6/10))^2)-($B$4*6/10)*(C317-MAX(B317,($B$4*6/10)))),0))*1000,0)</f>
        <v>0</v>
      </c>
      <c r="AH317" s="120">
        <f>IF(AND(J317="OK",ISNUMBER($B$5),$B$5&gt;0,ISNUMBER($B$3),$B$3&gt;0),F317/(6*$B$3*1000000*$B$5)*(IF(B317&lt;($B$4*7/10),($B$4*7/10)*(MIN(C317,($B$4*7/10))^3-B317^3)-(MIN(C317,($B$4*7/10))^4-B317^4)/4,0)+IF(C317&gt;($B$4*7/10),($B$4*7/10)^2*(1.5*(C317^2-MAX(B317,($B$4*7/10))^2)-($B$4*7/10)*(C317-MAX(B317,($B$4*7/10)))),0))*1000,0)</f>
        <v>0</v>
      </c>
      <c r="AI317" s="120">
        <f>IF(AND(J317="OK",ISNUMBER($B$5),$B$5&gt;0,ISNUMBER($B$3),$B$3&gt;0),F317/(6*$B$3*1000000*$B$5)*(IF(B317&lt;($B$4*8/10),($B$4*8/10)*(MIN(C317,($B$4*8/10))^3-B317^3)-(MIN(C317,($B$4*8/10))^4-B317^4)/4,0)+IF(C317&gt;($B$4*8/10),($B$4*8/10)^2*(1.5*(C317^2-MAX(B317,($B$4*8/10))^2)-($B$4*8/10)*(C317-MAX(B317,($B$4*8/10)))),0))*1000,0)</f>
        <v>0</v>
      </c>
      <c r="AJ317" s="120">
        <f>IF(AND(J317="OK",ISNUMBER($B$5),$B$5&gt;0,ISNUMBER($B$3),$B$3&gt;0),F317/(6*$B$3*1000000*$B$5)*(IF(B317&lt;($B$4*9/10),($B$4*9/10)*(MIN(C317,($B$4*9/10))^3-B317^3)-(MIN(C317,($B$4*9/10))^4-B317^4)/4,0)+IF(C317&gt;($B$4*9/10),($B$4*9/10)^2*(1.5*(C317^2-MAX(B317,($B$4*9/10))^2)-($B$4*9/10)*(C317-MAX(B317,($B$4*9/10)))),0))*1000,0)</f>
        <v>0</v>
      </c>
      <c r="AK317" s="120">
        <f>IF(AND(J317="OK",ISNUMBER($B$5),$B$5&gt;0,ISNUMBER($B$3),$B$3&gt;0),F317/(6*$B$3*1000000*$B$5)*(IF(B317&lt;($B$4*10/10),($B$4*10/10)*(MIN(C317,($B$4*10/10))^3-B317^3)-(MIN(C317,($B$4*10/10))^4-B317^4)/4,0)+IF(C317&gt;($B$4*10/10),($B$4*10/10)^2*(1.5*(C317^2-MAX(B317,($B$4*10/10))^2)-($B$4*10/10)*(C317-MAX(B317,($B$4*10/10)))),0))*1000,0)</f>
        <v>0</v>
      </c>
      <c r="AM317" s="120">
        <f>IF(AND(V317="OK",ISNUMBER($N$5),$N$5&gt;0,ISNUMBER($N$3),$N$3&gt;0),R317/(6*$N$3*1000000*$N$5)*(IF(N317&lt;($N$4*0/10),($N$4*0/10)*(MIN(O317,($N$4*0/10))^3-N317^3)-(MIN(O317,($N$4*0/10))^4-N317^4)/4,0)+IF(O317&gt;($N$4*0/10),($N$4*0/10)^2*(1.5*(O317^2-MAX(N317,($N$4*0/10))^2)-($N$4*0/10)*(O317-MAX(N317,($N$4*0/10)))),0))*1000,0)</f>
        <v>0</v>
      </c>
      <c r="AN317" s="120">
        <f>IF(AND(V317="OK",ISNUMBER($N$5),$N$5&gt;0,ISNUMBER($N$3),$N$3&gt;0),R317/(6*$N$3*1000000*$N$5)*(IF(N317&lt;($N$4*1/10),($N$4*1/10)*(MIN(O317,($N$4*1/10))^3-N317^3)-(MIN(O317,($N$4*1/10))^4-N317^4)/4,0)+IF(O317&gt;($N$4*1/10),($N$4*1/10)^2*(1.5*(O317^2-MAX(N317,($N$4*1/10))^2)-($N$4*1/10)*(O317-MAX(N317,($N$4*1/10)))),0))*1000,0)</f>
        <v>0</v>
      </c>
      <c r="AO317" s="120">
        <f>IF(AND(V317="OK",ISNUMBER($N$5),$N$5&gt;0,ISNUMBER($N$3),$N$3&gt;0),R317/(6*$N$3*1000000*$N$5)*(IF(N317&lt;($N$4*2/10),($N$4*2/10)*(MIN(O317,($N$4*2/10))^3-N317^3)-(MIN(O317,($N$4*2/10))^4-N317^4)/4,0)+IF(O317&gt;($N$4*2/10),($N$4*2/10)^2*(1.5*(O317^2-MAX(N317,($N$4*2/10))^2)-($N$4*2/10)*(O317-MAX(N317,($N$4*2/10)))),0))*1000,0)</f>
        <v>0</v>
      </c>
      <c r="AP317" s="120">
        <f>IF(AND(V317="OK",ISNUMBER($N$5),$N$5&gt;0,ISNUMBER($N$3),$N$3&gt;0),R317/(6*$N$3*1000000*$N$5)*(IF(N317&lt;($N$4*3/10),($N$4*3/10)*(MIN(O317,($N$4*3/10))^3-N317^3)-(MIN(O317,($N$4*3/10))^4-N317^4)/4,0)+IF(O317&gt;($N$4*3/10),($N$4*3/10)^2*(1.5*(O317^2-MAX(N317,($N$4*3/10))^2)-($N$4*3/10)*(O317-MAX(N317,($N$4*3/10)))),0))*1000,0)</f>
        <v>0</v>
      </c>
      <c r="AQ317" s="120">
        <f>IF(AND(V317="OK",ISNUMBER($N$5),$N$5&gt;0,ISNUMBER($N$3),$N$3&gt;0),R317/(6*$N$3*1000000*$N$5)*(IF(N317&lt;($N$4*4/10),($N$4*4/10)*(MIN(O317,($N$4*4/10))^3-N317^3)-(MIN(O317,($N$4*4/10))^4-N317^4)/4,0)+IF(O317&gt;($N$4*4/10),($N$4*4/10)^2*(1.5*(O317^2-MAX(N317,($N$4*4/10))^2)-($N$4*4/10)*(O317-MAX(N317,($N$4*4/10)))),0))*1000,0)</f>
        <v>0</v>
      </c>
      <c r="AR317" s="120">
        <f>IF(AND(V317="OK",ISNUMBER($N$5),$N$5&gt;0,ISNUMBER($N$3),$N$3&gt;0),R317/(6*$N$3*1000000*$N$5)*(IF(N317&lt;($N$4*5/10),($N$4*5/10)*(MIN(O317,($N$4*5/10))^3-N317^3)-(MIN(O317,($N$4*5/10))^4-N317^4)/4,0)+IF(O317&gt;($N$4*5/10),($N$4*5/10)^2*(1.5*(O317^2-MAX(N317,($N$4*5/10))^2)-($N$4*5/10)*(O317-MAX(N317,($N$4*5/10)))),0))*1000,0)</f>
        <v>0</v>
      </c>
      <c r="AS317" s="120">
        <f>IF(AND(V317="OK",ISNUMBER($N$5),$N$5&gt;0,ISNUMBER($N$3),$N$3&gt;0),R317/(6*$N$3*1000000*$N$5)*(IF(N317&lt;($N$4*6/10),($N$4*6/10)*(MIN(O317,($N$4*6/10))^3-N317^3)-(MIN(O317,($N$4*6/10))^4-N317^4)/4,0)+IF(O317&gt;($N$4*6/10),($N$4*6/10)^2*(1.5*(O317^2-MAX(N317,($N$4*6/10))^2)-($N$4*6/10)*(O317-MAX(N317,($N$4*6/10)))),0))*1000,0)</f>
        <v>0</v>
      </c>
      <c r="AT317" s="120">
        <f>IF(AND(V317="OK",ISNUMBER($N$5),$N$5&gt;0,ISNUMBER($N$3),$N$3&gt;0),R317/(6*$N$3*1000000*$N$5)*(IF(N317&lt;($N$4*7/10),($N$4*7/10)*(MIN(O317,($N$4*7/10))^3-N317^3)-(MIN(O317,($N$4*7/10))^4-N317^4)/4,0)+IF(O317&gt;($N$4*7/10),($N$4*7/10)^2*(1.5*(O317^2-MAX(N317,($N$4*7/10))^2)-($N$4*7/10)*(O317-MAX(N317,($N$4*7/10)))),0))*1000,0)</f>
        <v>0</v>
      </c>
      <c r="AU317" s="120">
        <f>IF(AND(V317="OK",ISNUMBER($N$5),$N$5&gt;0,ISNUMBER($N$3),$N$3&gt;0),R317/(6*$N$3*1000000*$N$5)*(IF(N317&lt;($N$4*8/10),($N$4*8/10)*(MIN(O317,($N$4*8/10))^3-N317^3)-(MIN(O317,($N$4*8/10))^4-N317^4)/4,0)+IF(O317&gt;($N$4*8/10),($N$4*8/10)^2*(1.5*(O317^2-MAX(N317,($N$4*8/10))^2)-($N$4*8/10)*(O317-MAX(N317,($N$4*8/10)))),0))*1000,0)</f>
        <v>0</v>
      </c>
      <c r="AV317" s="120">
        <f>IF(AND(V317="OK",ISNUMBER($N$5),$N$5&gt;0,ISNUMBER($N$3),$N$3&gt;0),R317/(6*$N$3*1000000*$N$5)*(IF(N317&lt;($N$4*9/10),($N$4*9/10)*(MIN(O317,($N$4*9/10))^3-N317^3)-(MIN(O317,($N$4*9/10))^4-N317^4)/4,0)+IF(O317&gt;($N$4*9/10),($N$4*9/10)^2*(1.5*(O317^2-MAX(N317,($N$4*9/10))^2)-($N$4*9/10)*(O317-MAX(N317,($N$4*9/10)))),0))*1000,0)</f>
        <v>0</v>
      </c>
      <c r="AW317" s="120">
        <f>IF(AND(V317="OK",ISNUMBER($N$5),$N$5&gt;0,ISNUMBER($N$3),$N$3&gt;0),R317/(6*$N$3*1000000*$N$5)*(IF(N317&lt;($N$4*10/10),($N$4*10/10)*(MIN(O317,($N$4*10/10))^3-N317^3)-(MIN(O317,($N$4*10/10))^4-N317^4)/4,0)+IF(O317&gt;($N$4*10/10),($N$4*10/10)^2*(1.5*(O317^2-MAX(N317,($N$4*10/10))^2)-($N$4*10/10)*(O317-MAX(N317,($N$4*10/10)))),0))*1000,0)</f>
        <v>0</v>
      </c>
    </row>
    <row r="318" spans="1:49">
      <c r="A318" s="124"/>
      <c r="B318" s="125"/>
      <c r="C318" s="125"/>
      <c r="D318" s="125"/>
      <c r="E318" s="125"/>
      <c r="F318" s="126" t="str">
        <f>IF(J318="OK",D318*E318,"")</f>
        <v/>
      </c>
      <c r="G318" s="126" t="str">
        <f>IF(J318="OK",F318*(C318-B318),"")</f>
        <v/>
      </c>
      <c r="H318" s="126" t="str">
        <f>IF(J318="OK",G318*(C318+B318)/2,"")</f>
        <v/>
      </c>
      <c r="I318" s="126" t="str">
        <f>IF(AND(J318="OK",ISNUMBER($B$5),$B$5&gt;0,ISNUMBER($B$3),$B$3&gt;0),F318*(4*$B$4*(C318^3-B318^3)-(C318^4-B318^4))/(24*$B$3*1000000*$B$5)*1000,"")</f>
        <v/>
      </c>
      <c r="J318" s="120" t="str">
        <f>IF(COUNTA(A318:E318)=0,"",IF(AND(COUNT(B318:E318)=4,B318&gt;=0,C318&gt;B318,C318&lt;=$B$4,D318&gt;=0,E318&gt;0),IF(COUNTIFS($B$13:$B$317,"&lt;"&amp;C318,$C$13:$C$317,"&gt;"&amp;B318)&gt;0,"OVERLAP","OK"),"CHECK INPUTS"))</f>
        <v/>
      </c>
      <c r="M318" s="124"/>
      <c r="N318" s="125"/>
      <c r="O318" s="125"/>
      <c r="P318" s="125"/>
      <c r="Q318" s="125"/>
      <c r="R318" s="126" t="str">
        <f>IF(V318="OK",P318*Q318,"")</f>
        <v/>
      </c>
      <c r="S318" s="126" t="str">
        <f>IF(V318="OK",R318*(O318-N318),"")</f>
        <v/>
      </c>
      <c r="T318" s="126" t="str">
        <f>IF(V318="OK",S318*(O318+N318)/2,"")</f>
        <v/>
      </c>
      <c r="U318" s="126" t="str">
        <f>IF(AND(V318="OK",ISNUMBER($N$5),$N$5&gt;0,ISNUMBER($N$3),$N$3&gt;0),R318*(4*$N$4*(O318^3-N318^3)-(O318^4-N318^4))/(24*$N$3*1000000*$N$5)*1000,"")</f>
        <v/>
      </c>
      <c r="V318" s="120" t="str">
        <f>IF(COUNTA(M318:Q318)=0,"",IF(AND(COUNT(N318:Q318)=4,N318&gt;=0,O318&gt;N318,O318&lt;=$N$4,P318&gt;=0,Q318&gt;0),IF(COUNTIFS($N$13:$N$317,"&lt;"&amp;O318,$O$13:$O$317,"&gt;"&amp;N318)&gt;0,"OVERLAP","OK"),"CHECK INPUTS"))</f>
        <v/>
      </c>
      <c r="AA318" s="120">
        <f>IF(AND(J318="OK",ISNUMBER($B$5),$B$5&gt;0,ISNUMBER($B$3),$B$3&gt;0),F318/(6*$B$3*1000000*$B$5)*(IF(B318&lt;($B$4*0/10),($B$4*0/10)*(MIN(C318,($B$4*0/10))^3-B318^3)-(MIN(C318,($B$4*0/10))^4-B318^4)/4,0)+IF(C318&gt;($B$4*0/10),($B$4*0/10)^2*(1.5*(C318^2-MAX(B318,($B$4*0/10))^2)-($B$4*0/10)*(C318-MAX(B318,($B$4*0/10)))),0))*1000,0)</f>
        <v>0</v>
      </c>
      <c r="AB318" s="120">
        <f>IF(AND(J318="OK",ISNUMBER($B$5),$B$5&gt;0,ISNUMBER($B$3),$B$3&gt;0),F318/(6*$B$3*1000000*$B$5)*(IF(B318&lt;($B$4*1/10),($B$4*1/10)*(MIN(C318,($B$4*1/10))^3-B318^3)-(MIN(C318,($B$4*1/10))^4-B318^4)/4,0)+IF(C318&gt;($B$4*1/10),($B$4*1/10)^2*(1.5*(C318^2-MAX(B318,($B$4*1/10))^2)-($B$4*1/10)*(C318-MAX(B318,($B$4*1/10)))),0))*1000,0)</f>
        <v>0</v>
      </c>
      <c r="AC318" s="120">
        <f>IF(AND(J318="OK",ISNUMBER($B$5),$B$5&gt;0,ISNUMBER($B$3),$B$3&gt;0),F318/(6*$B$3*1000000*$B$5)*(IF(B318&lt;($B$4*2/10),($B$4*2/10)*(MIN(C318,($B$4*2/10))^3-B318^3)-(MIN(C318,($B$4*2/10))^4-B318^4)/4,0)+IF(C318&gt;($B$4*2/10),($B$4*2/10)^2*(1.5*(C318^2-MAX(B318,($B$4*2/10))^2)-($B$4*2/10)*(C318-MAX(B318,($B$4*2/10)))),0))*1000,0)</f>
        <v>0</v>
      </c>
      <c r="AD318" s="120">
        <f>IF(AND(J318="OK",ISNUMBER($B$5),$B$5&gt;0,ISNUMBER($B$3),$B$3&gt;0),F318/(6*$B$3*1000000*$B$5)*(IF(B318&lt;($B$4*3/10),($B$4*3/10)*(MIN(C318,($B$4*3/10))^3-B318^3)-(MIN(C318,($B$4*3/10))^4-B318^4)/4,0)+IF(C318&gt;($B$4*3/10),($B$4*3/10)^2*(1.5*(C318^2-MAX(B318,($B$4*3/10))^2)-($B$4*3/10)*(C318-MAX(B318,($B$4*3/10)))),0))*1000,0)</f>
        <v>0</v>
      </c>
      <c r="AE318" s="120">
        <f>IF(AND(J318="OK",ISNUMBER($B$5),$B$5&gt;0,ISNUMBER($B$3),$B$3&gt;0),F318/(6*$B$3*1000000*$B$5)*(IF(B318&lt;($B$4*4/10),($B$4*4/10)*(MIN(C318,($B$4*4/10))^3-B318^3)-(MIN(C318,($B$4*4/10))^4-B318^4)/4,0)+IF(C318&gt;($B$4*4/10),($B$4*4/10)^2*(1.5*(C318^2-MAX(B318,($B$4*4/10))^2)-($B$4*4/10)*(C318-MAX(B318,($B$4*4/10)))),0))*1000,0)</f>
        <v>0</v>
      </c>
      <c r="AF318" s="120">
        <f>IF(AND(J318="OK",ISNUMBER($B$5),$B$5&gt;0,ISNUMBER($B$3),$B$3&gt;0),F318/(6*$B$3*1000000*$B$5)*(IF(B318&lt;($B$4*5/10),($B$4*5/10)*(MIN(C318,($B$4*5/10))^3-B318^3)-(MIN(C318,($B$4*5/10))^4-B318^4)/4,0)+IF(C318&gt;($B$4*5/10),($B$4*5/10)^2*(1.5*(C318^2-MAX(B318,($B$4*5/10))^2)-($B$4*5/10)*(C318-MAX(B318,($B$4*5/10)))),0))*1000,0)</f>
        <v>0</v>
      </c>
      <c r="AG318" s="120">
        <f>IF(AND(J318="OK",ISNUMBER($B$5),$B$5&gt;0,ISNUMBER($B$3),$B$3&gt;0),F318/(6*$B$3*1000000*$B$5)*(IF(B318&lt;($B$4*6/10),($B$4*6/10)*(MIN(C318,($B$4*6/10))^3-B318^3)-(MIN(C318,($B$4*6/10))^4-B318^4)/4,0)+IF(C318&gt;($B$4*6/10),($B$4*6/10)^2*(1.5*(C318^2-MAX(B318,($B$4*6/10))^2)-($B$4*6/10)*(C318-MAX(B318,($B$4*6/10)))),0))*1000,0)</f>
        <v>0</v>
      </c>
      <c r="AH318" s="120">
        <f>IF(AND(J318="OK",ISNUMBER($B$5),$B$5&gt;0,ISNUMBER($B$3),$B$3&gt;0),F318/(6*$B$3*1000000*$B$5)*(IF(B318&lt;($B$4*7/10),($B$4*7/10)*(MIN(C318,($B$4*7/10))^3-B318^3)-(MIN(C318,($B$4*7/10))^4-B318^4)/4,0)+IF(C318&gt;($B$4*7/10),($B$4*7/10)^2*(1.5*(C318^2-MAX(B318,($B$4*7/10))^2)-($B$4*7/10)*(C318-MAX(B318,($B$4*7/10)))),0))*1000,0)</f>
        <v>0</v>
      </c>
      <c r="AI318" s="120">
        <f>IF(AND(J318="OK",ISNUMBER($B$5),$B$5&gt;0,ISNUMBER($B$3),$B$3&gt;0),F318/(6*$B$3*1000000*$B$5)*(IF(B318&lt;($B$4*8/10),($B$4*8/10)*(MIN(C318,($B$4*8/10))^3-B318^3)-(MIN(C318,($B$4*8/10))^4-B318^4)/4,0)+IF(C318&gt;($B$4*8/10),($B$4*8/10)^2*(1.5*(C318^2-MAX(B318,($B$4*8/10))^2)-($B$4*8/10)*(C318-MAX(B318,($B$4*8/10)))),0))*1000,0)</f>
        <v>0</v>
      </c>
      <c r="AJ318" s="120">
        <f>IF(AND(J318="OK",ISNUMBER($B$5),$B$5&gt;0,ISNUMBER($B$3),$B$3&gt;0),F318/(6*$B$3*1000000*$B$5)*(IF(B318&lt;($B$4*9/10),($B$4*9/10)*(MIN(C318,($B$4*9/10))^3-B318^3)-(MIN(C318,($B$4*9/10))^4-B318^4)/4,0)+IF(C318&gt;($B$4*9/10),($B$4*9/10)^2*(1.5*(C318^2-MAX(B318,($B$4*9/10))^2)-($B$4*9/10)*(C318-MAX(B318,($B$4*9/10)))),0))*1000,0)</f>
        <v>0</v>
      </c>
      <c r="AK318" s="120">
        <f>IF(AND(J318="OK",ISNUMBER($B$5),$B$5&gt;0,ISNUMBER($B$3),$B$3&gt;0),F318/(6*$B$3*1000000*$B$5)*(IF(B318&lt;($B$4*10/10),($B$4*10/10)*(MIN(C318,($B$4*10/10))^3-B318^3)-(MIN(C318,($B$4*10/10))^4-B318^4)/4,0)+IF(C318&gt;($B$4*10/10),($B$4*10/10)^2*(1.5*(C318^2-MAX(B318,($B$4*10/10))^2)-($B$4*10/10)*(C318-MAX(B318,($B$4*10/10)))),0))*1000,0)</f>
        <v>0</v>
      </c>
      <c r="AM318" s="120">
        <f>IF(AND(V318="OK",ISNUMBER($N$5),$N$5&gt;0,ISNUMBER($N$3),$N$3&gt;0),R318/(6*$N$3*1000000*$N$5)*(IF(N318&lt;($N$4*0/10),($N$4*0/10)*(MIN(O318,($N$4*0/10))^3-N318^3)-(MIN(O318,($N$4*0/10))^4-N318^4)/4,0)+IF(O318&gt;($N$4*0/10),($N$4*0/10)^2*(1.5*(O318^2-MAX(N318,($N$4*0/10))^2)-($N$4*0/10)*(O318-MAX(N318,($N$4*0/10)))),0))*1000,0)</f>
        <v>0</v>
      </c>
      <c r="AN318" s="120">
        <f>IF(AND(V318="OK",ISNUMBER($N$5),$N$5&gt;0,ISNUMBER($N$3),$N$3&gt;0),R318/(6*$N$3*1000000*$N$5)*(IF(N318&lt;($N$4*1/10),($N$4*1/10)*(MIN(O318,($N$4*1/10))^3-N318^3)-(MIN(O318,($N$4*1/10))^4-N318^4)/4,0)+IF(O318&gt;($N$4*1/10),($N$4*1/10)^2*(1.5*(O318^2-MAX(N318,($N$4*1/10))^2)-($N$4*1/10)*(O318-MAX(N318,($N$4*1/10)))),0))*1000,0)</f>
        <v>0</v>
      </c>
      <c r="AO318" s="120">
        <f>IF(AND(V318="OK",ISNUMBER($N$5),$N$5&gt;0,ISNUMBER($N$3),$N$3&gt;0),R318/(6*$N$3*1000000*$N$5)*(IF(N318&lt;($N$4*2/10),($N$4*2/10)*(MIN(O318,($N$4*2/10))^3-N318^3)-(MIN(O318,($N$4*2/10))^4-N318^4)/4,0)+IF(O318&gt;($N$4*2/10),($N$4*2/10)^2*(1.5*(O318^2-MAX(N318,($N$4*2/10))^2)-($N$4*2/10)*(O318-MAX(N318,($N$4*2/10)))),0))*1000,0)</f>
        <v>0</v>
      </c>
      <c r="AP318" s="120">
        <f>IF(AND(V318="OK",ISNUMBER($N$5),$N$5&gt;0,ISNUMBER($N$3),$N$3&gt;0),R318/(6*$N$3*1000000*$N$5)*(IF(N318&lt;($N$4*3/10),($N$4*3/10)*(MIN(O318,($N$4*3/10))^3-N318^3)-(MIN(O318,($N$4*3/10))^4-N318^4)/4,0)+IF(O318&gt;($N$4*3/10),($N$4*3/10)^2*(1.5*(O318^2-MAX(N318,($N$4*3/10))^2)-($N$4*3/10)*(O318-MAX(N318,($N$4*3/10)))),0))*1000,0)</f>
        <v>0</v>
      </c>
      <c r="AQ318" s="120">
        <f>IF(AND(V318="OK",ISNUMBER($N$5),$N$5&gt;0,ISNUMBER($N$3),$N$3&gt;0),R318/(6*$N$3*1000000*$N$5)*(IF(N318&lt;($N$4*4/10),($N$4*4/10)*(MIN(O318,($N$4*4/10))^3-N318^3)-(MIN(O318,($N$4*4/10))^4-N318^4)/4,0)+IF(O318&gt;($N$4*4/10),($N$4*4/10)^2*(1.5*(O318^2-MAX(N318,($N$4*4/10))^2)-($N$4*4/10)*(O318-MAX(N318,($N$4*4/10)))),0))*1000,0)</f>
        <v>0</v>
      </c>
      <c r="AR318" s="120">
        <f>IF(AND(V318="OK",ISNUMBER($N$5),$N$5&gt;0,ISNUMBER($N$3),$N$3&gt;0),R318/(6*$N$3*1000000*$N$5)*(IF(N318&lt;($N$4*5/10),($N$4*5/10)*(MIN(O318,($N$4*5/10))^3-N318^3)-(MIN(O318,($N$4*5/10))^4-N318^4)/4,0)+IF(O318&gt;($N$4*5/10),($N$4*5/10)^2*(1.5*(O318^2-MAX(N318,($N$4*5/10))^2)-($N$4*5/10)*(O318-MAX(N318,($N$4*5/10)))),0))*1000,0)</f>
        <v>0</v>
      </c>
      <c r="AS318" s="120">
        <f>IF(AND(V318="OK",ISNUMBER($N$5),$N$5&gt;0,ISNUMBER($N$3),$N$3&gt;0),R318/(6*$N$3*1000000*$N$5)*(IF(N318&lt;($N$4*6/10),($N$4*6/10)*(MIN(O318,($N$4*6/10))^3-N318^3)-(MIN(O318,($N$4*6/10))^4-N318^4)/4,0)+IF(O318&gt;($N$4*6/10),($N$4*6/10)^2*(1.5*(O318^2-MAX(N318,($N$4*6/10))^2)-($N$4*6/10)*(O318-MAX(N318,($N$4*6/10)))),0))*1000,0)</f>
        <v>0</v>
      </c>
      <c r="AT318" s="120">
        <f>IF(AND(V318="OK",ISNUMBER($N$5),$N$5&gt;0,ISNUMBER($N$3),$N$3&gt;0),R318/(6*$N$3*1000000*$N$5)*(IF(N318&lt;($N$4*7/10),($N$4*7/10)*(MIN(O318,($N$4*7/10))^3-N318^3)-(MIN(O318,($N$4*7/10))^4-N318^4)/4,0)+IF(O318&gt;($N$4*7/10),($N$4*7/10)^2*(1.5*(O318^2-MAX(N318,($N$4*7/10))^2)-($N$4*7/10)*(O318-MAX(N318,($N$4*7/10)))),0))*1000,0)</f>
        <v>0</v>
      </c>
      <c r="AU318" s="120">
        <f>IF(AND(V318="OK",ISNUMBER($N$5),$N$5&gt;0,ISNUMBER($N$3),$N$3&gt;0),R318/(6*$N$3*1000000*$N$5)*(IF(N318&lt;($N$4*8/10),($N$4*8/10)*(MIN(O318,($N$4*8/10))^3-N318^3)-(MIN(O318,($N$4*8/10))^4-N318^4)/4,0)+IF(O318&gt;($N$4*8/10),($N$4*8/10)^2*(1.5*(O318^2-MAX(N318,($N$4*8/10))^2)-($N$4*8/10)*(O318-MAX(N318,($N$4*8/10)))),0))*1000,0)</f>
        <v>0</v>
      </c>
      <c r="AV318" s="120">
        <f>IF(AND(V318="OK",ISNUMBER($N$5),$N$5&gt;0,ISNUMBER($N$3),$N$3&gt;0),R318/(6*$N$3*1000000*$N$5)*(IF(N318&lt;($N$4*9/10),($N$4*9/10)*(MIN(O318,($N$4*9/10))^3-N318^3)-(MIN(O318,($N$4*9/10))^4-N318^4)/4,0)+IF(O318&gt;($N$4*9/10),($N$4*9/10)^2*(1.5*(O318^2-MAX(N318,($N$4*9/10))^2)-($N$4*9/10)*(O318-MAX(N318,($N$4*9/10)))),0))*1000,0)</f>
        <v>0</v>
      </c>
      <c r="AW318" s="120">
        <f>IF(AND(V318="OK",ISNUMBER($N$5),$N$5&gt;0,ISNUMBER($N$3),$N$3&gt;0),R318/(6*$N$3*1000000*$N$5)*(IF(N318&lt;($N$4*10/10),($N$4*10/10)*(MIN(O318,($N$4*10/10))^3-N318^3)-(MIN(O318,($N$4*10/10))^4-N318^4)/4,0)+IF(O318&gt;($N$4*10/10),($N$4*10/10)^2*(1.5*(O318^2-MAX(N318,($N$4*10/10))^2)-($N$4*10/10)*(O318-MAX(N318,($N$4*10/10)))),0))*1000,0)</f>
        <v>0</v>
      </c>
    </row>
    <row r="319" spans="1:49">
      <c r="A319" s="124"/>
      <c r="B319" s="125"/>
      <c r="C319" s="125"/>
      <c r="D319" s="125"/>
      <c r="E319" s="125"/>
      <c r="F319" s="126" t="str">
        <f>IF(J319="OK",D319*E319,"")</f>
        <v/>
      </c>
      <c r="G319" s="126" t="str">
        <f>IF(J319="OK",F319*(C319-B319),"")</f>
        <v/>
      </c>
      <c r="H319" s="126" t="str">
        <f>IF(J319="OK",G319*(C319+B319)/2,"")</f>
        <v/>
      </c>
      <c r="I319" s="126" t="str">
        <f>IF(AND(J319="OK",ISNUMBER($B$5),$B$5&gt;0,ISNUMBER($B$3),$B$3&gt;0),F319*(4*$B$4*(C319^3-B319^3)-(C319^4-B319^4))/(24*$B$3*1000000*$B$5)*1000,"")</f>
        <v/>
      </c>
      <c r="J319" s="120" t="str">
        <f>IF(COUNTA(A319:E319)=0,"",IF(AND(COUNT(B319:E319)=4,B319&gt;=0,C319&gt;B319,C319&lt;=$B$4,D319&gt;=0,E319&gt;0),IF(COUNTIFS($B$13:$B$318,"&lt;"&amp;C319,$C$13:$C$318,"&gt;"&amp;B319)&gt;0,"OVERLAP","OK"),"CHECK INPUTS"))</f>
        <v/>
      </c>
      <c r="M319" s="124"/>
      <c r="N319" s="125"/>
      <c r="O319" s="125"/>
      <c r="P319" s="125"/>
      <c r="Q319" s="125"/>
      <c r="R319" s="126" t="str">
        <f>IF(V319="OK",P319*Q319,"")</f>
        <v/>
      </c>
      <c r="S319" s="126" t="str">
        <f>IF(V319="OK",R319*(O319-N319),"")</f>
        <v/>
      </c>
      <c r="T319" s="126" t="str">
        <f>IF(V319="OK",S319*(O319+N319)/2,"")</f>
        <v/>
      </c>
      <c r="U319" s="126" t="str">
        <f>IF(AND(V319="OK",ISNUMBER($N$5),$N$5&gt;0,ISNUMBER($N$3),$N$3&gt;0),R319*(4*$N$4*(O319^3-N319^3)-(O319^4-N319^4))/(24*$N$3*1000000*$N$5)*1000,"")</f>
        <v/>
      </c>
      <c r="V319" s="120" t="str">
        <f>IF(COUNTA(M319:Q319)=0,"",IF(AND(COUNT(N319:Q319)=4,N319&gt;=0,O319&gt;N319,O319&lt;=$N$4,P319&gt;=0,Q319&gt;0),IF(COUNTIFS($N$13:$N$318,"&lt;"&amp;O319,$O$13:$O$318,"&gt;"&amp;N319)&gt;0,"OVERLAP","OK"),"CHECK INPUTS"))</f>
        <v/>
      </c>
      <c r="AA319" s="120">
        <f>IF(AND(J319="OK",ISNUMBER($B$5),$B$5&gt;0,ISNUMBER($B$3),$B$3&gt;0),F319/(6*$B$3*1000000*$B$5)*(IF(B319&lt;($B$4*0/10),($B$4*0/10)*(MIN(C319,($B$4*0/10))^3-B319^3)-(MIN(C319,($B$4*0/10))^4-B319^4)/4,0)+IF(C319&gt;($B$4*0/10),($B$4*0/10)^2*(1.5*(C319^2-MAX(B319,($B$4*0/10))^2)-($B$4*0/10)*(C319-MAX(B319,($B$4*0/10)))),0))*1000,0)</f>
        <v>0</v>
      </c>
      <c r="AB319" s="120">
        <f>IF(AND(J319="OK",ISNUMBER($B$5),$B$5&gt;0,ISNUMBER($B$3),$B$3&gt;0),F319/(6*$B$3*1000000*$B$5)*(IF(B319&lt;($B$4*1/10),($B$4*1/10)*(MIN(C319,($B$4*1/10))^3-B319^3)-(MIN(C319,($B$4*1/10))^4-B319^4)/4,0)+IF(C319&gt;($B$4*1/10),($B$4*1/10)^2*(1.5*(C319^2-MAX(B319,($B$4*1/10))^2)-($B$4*1/10)*(C319-MAX(B319,($B$4*1/10)))),0))*1000,0)</f>
        <v>0</v>
      </c>
      <c r="AC319" s="120">
        <f>IF(AND(J319="OK",ISNUMBER($B$5),$B$5&gt;0,ISNUMBER($B$3),$B$3&gt;0),F319/(6*$B$3*1000000*$B$5)*(IF(B319&lt;($B$4*2/10),($B$4*2/10)*(MIN(C319,($B$4*2/10))^3-B319^3)-(MIN(C319,($B$4*2/10))^4-B319^4)/4,0)+IF(C319&gt;($B$4*2/10),($B$4*2/10)^2*(1.5*(C319^2-MAX(B319,($B$4*2/10))^2)-($B$4*2/10)*(C319-MAX(B319,($B$4*2/10)))),0))*1000,0)</f>
        <v>0</v>
      </c>
      <c r="AD319" s="120">
        <f>IF(AND(J319="OK",ISNUMBER($B$5),$B$5&gt;0,ISNUMBER($B$3),$B$3&gt;0),F319/(6*$B$3*1000000*$B$5)*(IF(B319&lt;($B$4*3/10),($B$4*3/10)*(MIN(C319,($B$4*3/10))^3-B319^3)-(MIN(C319,($B$4*3/10))^4-B319^4)/4,0)+IF(C319&gt;($B$4*3/10),($B$4*3/10)^2*(1.5*(C319^2-MAX(B319,($B$4*3/10))^2)-($B$4*3/10)*(C319-MAX(B319,($B$4*3/10)))),0))*1000,0)</f>
        <v>0</v>
      </c>
      <c r="AE319" s="120">
        <f>IF(AND(J319="OK",ISNUMBER($B$5),$B$5&gt;0,ISNUMBER($B$3),$B$3&gt;0),F319/(6*$B$3*1000000*$B$5)*(IF(B319&lt;($B$4*4/10),($B$4*4/10)*(MIN(C319,($B$4*4/10))^3-B319^3)-(MIN(C319,($B$4*4/10))^4-B319^4)/4,0)+IF(C319&gt;($B$4*4/10),($B$4*4/10)^2*(1.5*(C319^2-MAX(B319,($B$4*4/10))^2)-($B$4*4/10)*(C319-MAX(B319,($B$4*4/10)))),0))*1000,0)</f>
        <v>0</v>
      </c>
      <c r="AF319" s="120">
        <f>IF(AND(J319="OK",ISNUMBER($B$5),$B$5&gt;0,ISNUMBER($B$3),$B$3&gt;0),F319/(6*$B$3*1000000*$B$5)*(IF(B319&lt;($B$4*5/10),($B$4*5/10)*(MIN(C319,($B$4*5/10))^3-B319^3)-(MIN(C319,($B$4*5/10))^4-B319^4)/4,0)+IF(C319&gt;($B$4*5/10),($B$4*5/10)^2*(1.5*(C319^2-MAX(B319,($B$4*5/10))^2)-($B$4*5/10)*(C319-MAX(B319,($B$4*5/10)))),0))*1000,0)</f>
        <v>0</v>
      </c>
      <c r="AG319" s="120">
        <f>IF(AND(J319="OK",ISNUMBER($B$5),$B$5&gt;0,ISNUMBER($B$3),$B$3&gt;0),F319/(6*$B$3*1000000*$B$5)*(IF(B319&lt;($B$4*6/10),($B$4*6/10)*(MIN(C319,($B$4*6/10))^3-B319^3)-(MIN(C319,($B$4*6/10))^4-B319^4)/4,0)+IF(C319&gt;($B$4*6/10),($B$4*6/10)^2*(1.5*(C319^2-MAX(B319,($B$4*6/10))^2)-($B$4*6/10)*(C319-MAX(B319,($B$4*6/10)))),0))*1000,0)</f>
        <v>0</v>
      </c>
      <c r="AH319" s="120">
        <f>IF(AND(J319="OK",ISNUMBER($B$5),$B$5&gt;0,ISNUMBER($B$3),$B$3&gt;0),F319/(6*$B$3*1000000*$B$5)*(IF(B319&lt;($B$4*7/10),($B$4*7/10)*(MIN(C319,($B$4*7/10))^3-B319^3)-(MIN(C319,($B$4*7/10))^4-B319^4)/4,0)+IF(C319&gt;($B$4*7/10),($B$4*7/10)^2*(1.5*(C319^2-MAX(B319,($B$4*7/10))^2)-($B$4*7/10)*(C319-MAX(B319,($B$4*7/10)))),0))*1000,0)</f>
        <v>0</v>
      </c>
      <c r="AI319" s="120">
        <f>IF(AND(J319="OK",ISNUMBER($B$5),$B$5&gt;0,ISNUMBER($B$3),$B$3&gt;0),F319/(6*$B$3*1000000*$B$5)*(IF(B319&lt;($B$4*8/10),($B$4*8/10)*(MIN(C319,($B$4*8/10))^3-B319^3)-(MIN(C319,($B$4*8/10))^4-B319^4)/4,0)+IF(C319&gt;($B$4*8/10),($B$4*8/10)^2*(1.5*(C319^2-MAX(B319,($B$4*8/10))^2)-($B$4*8/10)*(C319-MAX(B319,($B$4*8/10)))),0))*1000,0)</f>
        <v>0</v>
      </c>
      <c r="AJ319" s="120">
        <f>IF(AND(J319="OK",ISNUMBER($B$5),$B$5&gt;0,ISNUMBER($B$3),$B$3&gt;0),F319/(6*$B$3*1000000*$B$5)*(IF(B319&lt;($B$4*9/10),($B$4*9/10)*(MIN(C319,($B$4*9/10))^3-B319^3)-(MIN(C319,($B$4*9/10))^4-B319^4)/4,0)+IF(C319&gt;($B$4*9/10),($B$4*9/10)^2*(1.5*(C319^2-MAX(B319,($B$4*9/10))^2)-($B$4*9/10)*(C319-MAX(B319,($B$4*9/10)))),0))*1000,0)</f>
        <v>0</v>
      </c>
      <c r="AK319" s="120">
        <f>IF(AND(J319="OK",ISNUMBER($B$5),$B$5&gt;0,ISNUMBER($B$3),$B$3&gt;0),F319/(6*$B$3*1000000*$B$5)*(IF(B319&lt;($B$4*10/10),($B$4*10/10)*(MIN(C319,($B$4*10/10))^3-B319^3)-(MIN(C319,($B$4*10/10))^4-B319^4)/4,0)+IF(C319&gt;($B$4*10/10),($B$4*10/10)^2*(1.5*(C319^2-MAX(B319,($B$4*10/10))^2)-($B$4*10/10)*(C319-MAX(B319,($B$4*10/10)))),0))*1000,0)</f>
        <v>0</v>
      </c>
      <c r="AM319" s="120">
        <f>IF(AND(V319="OK",ISNUMBER($N$5),$N$5&gt;0,ISNUMBER($N$3),$N$3&gt;0),R319/(6*$N$3*1000000*$N$5)*(IF(N319&lt;($N$4*0/10),($N$4*0/10)*(MIN(O319,($N$4*0/10))^3-N319^3)-(MIN(O319,($N$4*0/10))^4-N319^4)/4,0)+IF(O319&gt;($N$4*0/10),($N$4*0/10)^2*(1.5*(O319^2-MAX(N319,($N$4*0/10))^2)-($N$4*0/10)*(O319-MAX(N319,($N$4*0/10)))),0))*1000,0)</f>
        <v>0</v>
      </c>
      <c r="AN319" s="120">
        <f>IF(AND(V319="OK",ISNUMBER($N$5),$N$5&gt;0,ISNUMBER($N$3),$N$3&gt;0),R319/(6*$N$3*1000000*$N$5)*(IF(N319&lt;($N$4*1/10),($N$4*1/10)*(MIN(O319,($N$4*1/10))^3-N319^3)-(MIN(O319,($N$4*1/10))^4-N319^4)/4,0)+IF(O319&gt;($N$4*1/10),($N$4*1/10)^2*(1.5*(O319^2-MAX(N319,($N$4*1/10))^2)-($N$4*1/10)*(O319-MAX(N319,($N$4*1/10)))),0))*1000,0)</f>
        <v>0</v>
      </c>
      <c r="AO319" s="120">
        <f>IF(AND(V319="OK",ISNUMBER($N$5),$N$5&gt;0,ISNUMBER($N$3),$N$3&gt;0),R319/(6*$N$3*1000000*$N$5)*(IF(N319&lt;($N$4*2/10),($N$4*2/10)*(MIN(O319,($N$4*2/10))^3-N319^3)-(MIN(O319,($N$4*2/10))^4-N319^4)/4,0)+IF(O319&gt;($N$4*2/10),($N$4*2/10)^2*(1.5*(O319^2-MAX(N319,($N$4*2/10))^2)-($N$4*2/10)*(O319-MAX(N319,($N$4*2/10)))),0))*1000,0)</f>
        <v>0</v>
      </c>
      <c r="AP319" s="120">
        <f>IF(AND(V319="OK",ISNUMBER($N$5),$N$5&gt;0,ISNUMBER($N$3),$N$3&gt;0),R319/(6*$N$3*1000000*$N$5)*(IF(N319&lt;($N$4*3/10),($N$4*3/10)*(MIN(O319,($N$4*3/10))^3-N319^3)-(MIN(O319,($N$4*3/10))^4-N319^4)/4,0)+IF(O319&gt;($N$4*3/10),($N$4*3/10)^2*(1.5*(O319^2-MAX(N319,($N$4*3/10))^2)-($N$4*3/10)*(O319-MAX(N319,($N$4*3/10)))),0))*1000,0)</f>
        <v>0</v>
      </c>
      <c r="AQ319" s="120">
        <f>IF(AND(V319="OK",ISNUMBER($N$5),$N$5&gt;0,ISNUMBER($N$3),$N$3&gt;0),R319/(6*$N$3*1000000*$N$5)*(IF(N319&lt;($N$4*4/10),($N$4*4/10)*(MIN(O319,($N$4*4/10))^3-N319^3)-(MIN(O319,($N$4*4/10))^4-N319^4)/4,0)+IF(O319&gt;($N$4*4/10),($N$4*4/10)^2*(1.5*(O319^2-MAX(N319,($N$4*4/10))^2)-($N$4*4/10)*(O319-MAX(N319,($N$4*4/10)))),0))*1000,0)</f>
        <v>0</v>
      </c>
      <c r="AR319" s="120">
        <f>IF(AND(V319="OK",ISNUMBER($N$5),$N$5&gt;0,ISNUMBER($N$3),$N$3&gt;0),R319/(6*$N$3*1000000*$N$5)*(IF(N319&lt;($N$4*5/10),($N$4*5/10)*(MIN(O319,($N$4*5/10))^3-N319^3)-(MIN(O319,($N$4*5/10))^4-N319^4)/4,0)+IF(O319&gt;($N$4*5/10),($N$4*5/10)^2*(1.5*(O319^2-MAX(N319,($N$4*5/10))^2)-($N$4*5/10)*(O319-MAX(N319,($N$4*5/10)))),0))*1000,0)</f>
        <v>0</v>
      </c>
      <c r="AS319" s="120">
        <f>IF(AND(V319="OK",ISNUMBER($N$5),$N$5&gt;0,ISNUMBER($N$3),$N$3&gt;0),R319/(6*$N$3*1000000*$N$5)*(IF(N319&lt;($N$4*6/10),($N$4*6/10)*(MIN(O319,($N$4*6/10))^3-N319^3)-(MIN(O319,($N$4*6/10))^4-N319^4)/4,0)+IF(O319&gt;($N$4*6/10),($N$4*6/10)^2*(1.5*(O319^2-MAX(N319,($N$4*6/10))^2)-($N$4*6/10)*(O319-MAX(N319,($N$4*6/10)))),0))*1000,0)</f>
        <v>0</v>
      </c>
      <c r="AT319" s="120">
        <f>IF(AND(V319="OK",ISNUMBER($N$5),$N$5&gt;0,ISNUMBER($N$3),$N$3&gt;0),R319/(6*$N$3*1000000*$N$5)*(IF(N319&lt;($N$4*7/10),($N$4*7/10)*(MIN(O319,($N$4*7/10))^3-N319^3)-(MIN(O319,($N$4*7/10))^4-N319^4)/4,0)+IF(O319&gt;($N$4*7/10),($N$4*7/10)^2*(1.5*(O319^2-MAX(N319,($N$4*7/10))^2)-($N$4*7/10)*(O319-MAX(N319,($N$4*7/10)))),0))*1000,0)</f>
        <v>0</v>
      </c>
      <c r="AU319" s="120">
        <f>IF(AND(V319="OK",ISNUMBER($N$5),$N$5&gt;0,ISNUMBER($N$3),$N$3&gt;0),R319/(6*$N$3*1000000*$N$5)*(IF(N319&lt;($N$4*8/10),($N$4*8/10)*(MIN(O319,($N$4*8/10))^3-N319^3)-(MIN(O319,($N$4*8/10))^4-N319^4)/4,0)+IF(O319&gt;($N$4*8/10),($N$4*8/10)^2*(1.5*(O319^2-MAX(N319,($N$4*8/10))^2)-($N$4*8/10)*(O319-MAX(N319,($N$4*8/10)))),0))*1000,0)</f>
        <v>0</v>
      </c>
      <c r="AV319" s="120">
        <f>IF(AND(V319="OK",ISNUMBER($N$5),$N$5&gt;0,ISNUMBER($N$3),$N$3&gt;0),R319/(6*$N$3*1000000*$N$5)*(IF(N319&lt;($N$4*9/10),($N$4*9/10)*(MIN(O319,($N$4*9/10))^3-N319^3)-(MIN(O319,($N$4*9/10))^4-N319^4)/4,0)+IF(O319&gt;($N$4*9/10),($N$4*9/10)^2*(1.5*(O319^2-MAX(N319,($N$4*9/10))^2)-($N$4*9/10)*(O319-MAX(N319,($N$4*9/10)))),0))*1000,0)</f>
        <v>0</v>
      </c>
      <c r="AW319" s="120">
        <f>IF(AND(V319="OK",ISNUMBER($N$5),$N$5&gt;0,ISNUMBER($N$3),$N$3&gt;0),R319/(6*$N$3*1000000*$N$5)*(IF(N319&lt;($N$4*10/10),($N$4*10/10)*(MIN(O319,($N$4*10/10))^3-N319^3)-(MIN(O319,($N$4*10/10))^4-N319^4)/4,0)+IF(O319&gt;($N$4*10/10),($N$4*10/10)^2*(1.5*(O319^2-MAX(N319,($N$4*10/10))^2)-($N$4*10/10)*(O319-MAX(N319,($N$4*10/10)))),0))*1000,0)</f>
        <v>0</v>
      </c>
    </row>
    <row r="320" spans="1:49">
      <c r="A320" s="124"/>
      <c r="B320" s="125"/>
      <c r="C320" s="125"/>
      <c r="D320" s="125"/>
      <c r="E320" s="125"/>
      <c r="F320" s="126" t="str">
        <f>IF(J320="OK",D320*E320,"")</f>
        <v/>
      </c>
      <c r="G320" s="126" t="str">
        <f>IF(J320="OK",F320*(C320-B320),"")</f>
        <v/>
      </c>
      <c r="H320" s="126" t="str">
        <f>IF(J320="OK",G320*(C320+B320)/2,"")</f>
        <v/>
      </c>
      <c r="I320" s="126" t="str">
        <f>IF(AND(J320="OK",ISNUMBER($B$5),$B$5&gt;0,ISNUMBER($B$3),$B$3&gt;0),F320*(4*$B$4*(C320^3-B320^3)-(C320^4-B320^4))/(24*$B$3*1000000*$B$5)*1000,"")</f>
        <v/>
      </c>
      <c r="J320" s="120" t="str">
        <f>IF(COUNTA(A320:E320)=0,"",IF(AND(COUNT(B320:E320)=4,B320&gt;=0,C320&gt;B320,C320&lt;=$B$4,D320&gt;=0,E320&gt;0),IF(COUNTIFS($B$13:$B$319,"&lt;"&amp;C320,$C$13:$C$319,"&gt;"&amp;B320)&gt;0,"OVERLAP","OK"),"CHECK INPUTS"))</f>
        <v/>
      </c>
      <c r="M320" s="124"/>
      <c r="N320" s="125"/>
      <c r="O320" s="125"/>
      <c r="P320" s="125"/>
      <c r="Q320" s="125"/>
      <c r="R320" s="126" t="str">
        <f>IF(V320="OK",P320*Q320,"")</f>
        <v/>
      </c>
      <c r="S320" s="126" t="str">
        <f>IF(V320="OK",R320*(O320-N320),"")</f>
        <v/>
      </c>
      <c r="T320" s="126" t="str">
        <f>IF(V320="OK",S320*(O320+N320)/2,"")</f>
        <v/>
      </c>
      <c r="U320" s="126" t="str">
        <f>IF(AND(V320="OK",ISNUMBER($N$5),$N$5&gt;0,ISNUMBER($N$3),$N$3&gt;0),R320*(4*$N$4*(O320^3-N320^3)-(O320^4-N320^4))/(24*$N$3*1000000*$N$5)*1000,"")</f>
        <v/>
      </c>
      <c r="V320" s="120" t="str">
        <f>IF(COUNTA(M320:Q320)=0,"",IF(AND(COUNT(N320:Q320)=4,N320&gt;=0,O320&gt;N320,O320&lt;=$N$4,P320&gt;=0,Q320&gt;0),IF(COUNTIFS($N$13:$N$319,"&lt;"&amp;O320,$O$13:$O$319,"&gt;"&amp;N320)&gt;0,"OVERLAP","OK"),"CHECK INPUTS"))</f>
        <v/>
      </c>
      <c r="AA320" s="120">
        <f>IF(AND(J320="OK",ISNUMBER($B$5),$B$5&gt;0,ISNUMBER($B$3),$B$3&gt;0),F320/(6*$B$3*1000000*$B$5)*(IF(B320&lt;($B$4*0/10),($B$4*0/10)*(MIN(C320,($B$4*0/10))^3-B320^3)-(MIN(C320,($B$4*0/10))^4-B320^4)/4,0)+IF(C320&gt;($B$4*0/10),($B$4*0/10)^2*(1.5*(C320^2-MAX(B320,($B$4*0/10))^2)-($B$4*0/10)*(C320-MAX(B320,($B$4*0/10)))),0))*1000,0)</f>
        <v>0</v>
      </c>
      <c r="AB320" s="120">
        <f>IF(AND(J320="OK",ISNUMBER($B$5),$B$5&gt;0,ISNUMBER($B$3),$B$3&gt;0),F320/(6*$B$3*1000000*$B$5)*(IF(B320&lt;($B$4*1/10),($B$4*1/10)*(MIN(C320,($B$4*1/10))^3-B320^3)-(MIN(C320,($B$4*1/10))^4-B320^4)/4,0)+IF(C320&gt;($B$4*1/10),($B$4*1/10)^2*(1.5*(C320^2-MAX(B320,($B$4*1/10))^2)-($B$4*1/10)*(C320-MAX(B320,($B$4*1/10)))),0))*1000,0)</f>
        <v>0</v>
      </c>
      <c r="AC320" s="120">
        <f>IF(AND(J320="OK",ISNUMBER($B$5),$B$5&gt;0,ISNUMBER($B$3),$B$3&gt;0),F320/(6*$B$3*1000000*$B$5)*(IF(B320&lt;($B$4*2/10),($B$4*2/10)*(MIN(C320,($B$4*2/10))^3-B320^3)-(MIN(C320,($B$4*2/10))^4-B320^4)/4,0)+IF(C320&gt;($B$4*2/10),($B$4*2/10)^2*(1.5*(C320^2-MAX(B320,($B$4*2/10))^2)-($B$4*2/10)*(C320-MAX(B320,($B$4*2/10)))),0))*1000,0)</f>
        <v>0</v>
      </c>
      <c r="AD320" s="120">
        <f>IF(AND(J320="OK",ISNUMBER($B$5),$B$5&gt;0,ISNUMBER($B$3),$B$3&gt;0),F320/(6*$B$3*1000000*$B$5)*(IF(B320&lt;($B$4*3/10),($B$4*3/10)*(MIN(C320,($B$4*3/10))^3-B320^3)-(MIN(C320,($B$4*3/10))^4-B320^4)/4,0)+IF(C320&gt;($B$4*3/10),($B$4*3/10)^2*(1.5*(C320^2-MAX(B320,($B$4*3/10))^2)-($B$4*3/10)*(C320-MAX(B320,($B$4*3/10)))),0))*1000,0)</f>
        <v>0</v>
      </c>
      <c r="AE320" s="120">
        <f>IF(AND(J320="OK",ISNUMBER($B$5),$B$5&gt;0,ISNUMBER($B$3),$B$3&gt;0),F320/(6*$B$3*1000000*$B$5)*(IF(B320&lt;($B$4*4/10),($B$4*4/10)*(MIN(C320,($B$4*4/10))^3-B320^3)-(MIN(C320,($B$4*4/10))^4-B320^4)/4,0)+IF(C320&gt;($B$4*4/10),($B$4*4/10)^2*(1.5*(C320^2-MAX(B320,($B$4*4/10))^2)-($B$4*4/10)*(C320-MAX(B320,($B$4*4/10)))),0))*1000,0)</f>
        <v>0</v>
      </c>
      <c r="AF320" s="120">
        <f>IF(AND(J320="OK",ISNUMBER($B$5),$B$5&gt;0,ISNUMBER($B$3),$B$3&gt;0),F320/(6*$B$3*1000000*$B$5)*(IF(B320&lt;($B$4*5/10),($B$4*5/10)*(MIN(C320,($B$4*5/10))^3-B320^3)-(MIN(C320,($B$4*5/10))^4-B320^4)/4,0)+IF(C320&gt;($B$4*5/10),($B$4*5/10)^2*(1.5*(C320^2-MAX(B320,($B$4*5/10))^2)-($B$4*5/10)*(C320-MAX(B320,($B$4*5/10)))),0))*1000,0)</f>
        <v>0</v>
      </c>
      <c r="AG320" s="120">
        <f>IF(AND(J320="OK",ISNUMBER($B$5),$B$5&gt;0,ISNUMBER($B$3),$B$3&gt;0),F320/(6*$B$3*1000000*$B$5)*(IF(B320&lt;($B$4*6/10),($B$4*6/10)*(MIN(C320,($B$4*6/10))^3-B320^3)-(MIN(C320,($B$4*6/10))^4-B320^4)/4,0)+IF(C320&gt;($B$4*6/10),($B$4*6/10)^2*(1.5*(C320^2-MAX(B320,($B$4*6/10))^2)-($B$4*6/10)*(C320-MAX(B320,($B$4*6/10)))),0))*1000,0)</f>
        <v>0</v>
      </c>
      <c r="AH320" s="120">
        <f>IF(AND(J320="OK",ISNUMBER($B$5),$B$5&gt;0,ISNUMBER($B$3),$B$3&gt;0),F320/(6*$B$3*1000000*$B$5)*(IF(B320&lt;($B$4*7/10),($B$4*7/10)*(MIN(C320,($B$4*7/10))^3-B320^3)-(MIN(C320,($B$4*7/10))^4-B320^4)/4,0)+IF(C320&gt;($B$4*7/10),($B$4*7/10)^2*(1.5*(C320^2-MAX(B320,($B$4*7/10))^2)-($B$4*7/10)*(C320-MAX(B320,($B$4*7/10)))),0))*1000,0)</f>
        <v>0</v>
      </c>
      <c r="AI320" s="120">
        <f>IF(AND(J320="OK",ISNUMBER($B$5),$B$5&gt;0,ISNUMBER($B$3),$B$3&gt;0),F320/(6*$B$3*1000000*$B$5)*(IF(B320&lt;($B$4*8/10),($B$4*8/10)*(MIN(C320,($B$4*8/10))^3-B320^3)-(MIN(C320,($B$4*8/10))^4-B320^4)/4,0)+IF(C320&gt;($B$4*8/10),($B$4*8/10)^2*(1.5*(C320^2-MAX(B320,($B$4*8/10))^2)-($B$4*8/10)*(C320-MAX(B320,($B$4*8/10)))),0))*1000,0)</f>
        <v>0</v>
      </c>
      <c r="AJ320" s="120">
        <f>IF(AND(J320="OK",ISNUMBER($B$5),$B$5&gt;0,ISNUMBER($B$3),$B$3&gt;0),F320/(6*$B$3*1000000*$B$5)*(IF(B320&lt;($B$4*9/10),($B$4*9/10)*(MIN(C320,($B$4*9/10))^3-B320^3)-(MIN(C320,($B$4*9/10))^4-B320^4)/4,0)+IF(C320&gt;($B$4*9/10),($B$4*9/10)^2*(1.5*(C320^2-MAX(B320,($B$4*9/10))^2)-($B$4*9/10)*(C320-MAX(B320,($B$4*9/10)))),0))*1000,0)</f>
        <v>0</v>
      </c>
      <c r="AK320" s="120">
        <f>IF(AND(J320="OK",ISNUMBER($B$5),$B$5&gt;0,ISNUMBER($B$3),$B$3&gt;0),F320/(6*$B$3*1000000*$B$5)*(IF(B320&lt;($B$4*10/10),($B$4*10/10)*(MIN(C320,($B$4*10/10))^3-B320^3)-(MIN(C320,($B$4*10/10))^4-B320^4)/4,0)+IF(C320&gt;($B$4*10/10),($B$4*10/10)^2*(1.5*(C320^2-MAX(B320,($B$4*10/10))^2)-($B$4*10/10)*(C320-MAX(B320,($B$4*10/10)))),0))*1000,0)</f>
        <v>0</v>
      </c>
      <c r="AM320" s="120">
        <f>IF(AND(V320="OK",ISNUMBER($N$5),$N$5&gt;0,ISNUMBER($N$3),$N$3&gt;0),R320/(6*$N$3*1000000*$N$5)*(IF(N320&lt;($N$4*0/10),($N$4*0/10)*(MIN(O320,($N$4*0/10))^3-N320^3)-(MIN(O320,($N$4*0/10))^4-N320^4)/4,0)+IF(O320&gt;($N$4*0/10),($N$4*0/10)^2*(1.5*(O320^2-MAX(N320,($N$4*0/10))^2)-($N$4*0/10)*(O320-MAX(N320,($N$4*0/10)))),0))*1000,0)</f>
        <v>0</v>
      </c>
      <c r="AN320" s="120">
        <f>IF(AND(V320="OK",ISNUMBER($N$5),$N$5&gt;0,ISNUMBER($N$3),$N$3&gt;0),R320/(6*$N$3*1000000*$N$5)*(IF(N320&lt;($N$4*1/10),($N$4*1/10)*(MIN(O320,($N$4*1/10))^3-N320^3)-(MIN(O320,($N$4*1/10))^4-N320^4)/4,0)+IF(O320&gt;($N$4*1/10),($N$4*1/10)^2*(1.5*(O320^2-MAX(N320,($N$4*1/10))^2)-($N$4*1/10)*(O320-MAX(N320,($N$4*1/10)))),0))*1000,0)</f>
        <v>0</v>
      </c>
      <c r="AO320" s="120">
        <f>IF(AND(V320="OK",ISNUMBER($N$5),$N$5&gt;0,ISNUMBER($N$3),$N$3&gt;0),R320/(6*$N$3*1000000*$N$5)*(IF(N320&lt;($N$4*2/10),($N$4*2/10)*(MIN(O320,($N$4*2/10))^3-N320^3)-(MIN(O320,($N$4*2/10))^4-N320^4)/4,0)+IF(O320&gt;($N$4*2/10),($N$4*2/10)^2*(1.5*(O320^2-MAX(N320,($N$4*2/10))^2)-($N$4*2/10)*(O320-MAX(N320,($N$4*2/10)))),0))*1000,0)</f>
        <v>0</v>
      </c>
      <c r="AP320" s="120">
        <f>IF(AND(V320="OK",ISNUMBER($N$5),$N$5&gt;0,ISNUMBER($N$3),$N$3&gt;0),R320/(6*$N$3*1000000*$N$5)*(IF(N320&lt;($N$4*3/10),($N$4*3/10)*(MIN(O320,($N$4*3/10))^3-N320^3)-(MIN(O320,($N$4*3/10))^4-N320^4)/4,0)+IF(O320&gt;($N$4*3/10),($N$4*3/10)^2*(1.5*(O320^2-MAX(N320,($N$4*3/10))^2)-($N$4*3/10)*(O320-MAX(N320,($N$4*3/10)))),0))*1000,0)</f>
        <v>0</v>
      </c>
      <c r="AQ320" s="120">
        <f>IF(AND(V320="OK",ISNUMBER($N$5),$N$5&gt;0,ISNUMBER($N$3),$N$3&gt;0),R320/(6*$N$3*1000000*$N$5)*(IF(N320&lt;($N$4*4/10),($N$4*4/10)*(MIN(O320,($N$4*4/10))^3-N320^3)-(MIN(O320,($N$4*4/10))^4-N320^4)/4,0)+IF(O320&gt;($N$4*4/10),($N$4*4/10)^2*(1.5*(O320^2-MAX(N320,($N$4*4/10))^2)-($N$4*4/10)*(O320-MAX(N320,($N$4*4/10)))),0))*1000,0)</f>
        <v>0</v>
      </c>
      <c r="AR320" s="120">
        <f>IF(AND(V320="OK",ISNUMBER($N$5),$N$5&gt;0,ISNUMBER($N$3),$N$3&gt;0),R320/(6*$N$3*1000000*$N$5)*(IF(N320&lt;($N$4*5/10),($N$4*5/10)*(MIN(O320,($N$4*5/10))^3-N320^3)-(MIN(O320,($N$4*5/10))^4-N320^4)/4,0)+IF(O320&gt;($N$4*5/10),($N$4*5/10)^2*(1.5*(O320^2-MAX(N320,($N$4*5/10))^2)-($N$4*5/10)*(O320-MAX(N320,($N$4*5/10)))),0))*1000,0)</f>
        <v>0</v>
      </c>
      <c r="AS320" s="120">
        <f>IF(AND(V320="OK",ISNUMBER($N$5),$N$5&gt;0,ISNUMBER($N$3),$N$3&gt;0),R320/(6*$N$3*1000000*$N$5)*(IF(N320&lt;($N$4*6/10),($N$4*6/10)*(MIN(O320,($N$4*6/10))^3-N320^3)-(MIN(O320,($N$4*6/10))^4-N320^4)/4,0)+IF(O320&gt;($N$4*6/10),($N$4*6/10)^2*(1.5*(O320^2-MAX(N320,($N$4*6/10))^2)-($N$4*6/10)*(O320-MAX(N320,($N$4*6/10)))),0))*1000,0)</f>
        <v>0</v>
      </c>
      <c r="AT320" s="120">
        <f>IF(AND(V320="OK",ISNUMBER($N$5),$N$5&gt;0,ISNUMBER($N$3),$N$3&gt;0),R320/(6*$N$3*1000000*$N$5)*(IF(N320&lt;($N$4*7/10),($N$4*7/10)*(MIN(O320,($N$4*7/10))^3-N320^3)-(MIN(O320,($N$4*7/10))^4-N320^4)/4,0)+IF(O320&gt;($N$4*7/10),($N$4*7/10)^2*(1.5*(O320^2-MAX(N320,($N$4*7/10))^2)-($N$4*7/10)*(O320-MAX(N320,($N$4*7/10)))),0))*1000,0)</f>
        <v>0</v>
      </c>
      <c r="AU320" s="120">
        <f>IF(AND(V320="OK",ISNUMBER($N$5),$N$5&gt;0,ISNUMBER($N$3),$N$3&gt;0),R320/(6*$N$3*1000000*$N$5)*(IF(N320&lt;($N$4*8/10),($N$4*8/10)*(MIN(O320,($N$4*8/10))^3-N320^3)-(MIN(O320,($N$4*8/10))^4-N320^4)/4,0)+IF(O320&gt;($N$4*8/10),($N$4*8/10)^2*(1.5*(O320^2-MAX(N320,($N$4*8/10))^2)-($N$4*8/10)*(O320-MAX(N320,($N$4*8/10)))),0))*1000,0)</f>
        <v>0</v>
      </c>
      <c r="AV320" s="120">
        <f>IF(AND(V320="OK",ISNUMBER($N$5),$N$5&gt;0,ISNUMBER($N$3),$N$3&gt;0),R320/(6*$N$3*1000000*$N$5)*(IF(N320&lt;($N$4*9/10),($N$4*9/10)*(MIN(O320,($N$4*9/10))^3-N320^3)-(MIN(O320,($N$4*9/10))^4-N320^4)/4,0)+IF(O320&gt;($N$4*9/10),($N$4*9/10)^2*(1.5*(O320^2-MAX(N320,($N$4*9/10))^2)-($N$4*9/10)*(O320-MAX(N320,($N$4*9/10)))),0))*1000,0)</f>
        <v>0</v>
      </c>
      <c r="AW320" s="120">
        <f>IF(AND(V320="OK",ISNUMBER($N$5),$N$5&gt;0,ISNUMBER($N$3),$N$3&gt;0),R320/(6*$N$3*1000000*$N$5)*(IF(N320&lt;($N$4*10/10),($N$4*10/10)*(MIN(O320,($N$4*10/10))^3-N320^3)-(MIN(O320,($N$4*10/10))^4-N320^4)/4,0)+IF(O320&gt;($N$4*10/10),($N$4*10/10)^2*(1.5*(O320^2-MAX(N320,($N$4*10/10))^2)-($N$4*10/10)*(O320-MAX(N320,($N$4*10/10)))),0))*1000,0)</f>
        <v>0</v>
      </c>
    </row>
    <row r="321" spans="1:49">
      <c r="A321" s="124"/>
      <c r="B321" s="125"/>
      <c r="C321" s="125"/>
      <c r="D321" s="125"/>
      <c r="E321" s="125"/>
      <c r="F321" s="126" t="str">
        <f>IF(J321="OK",D321*E321,"")</f>
        <v/>
      </c>
      <c r="G321" s="126" t="str">
        <f>IF(J321="OK",F321*(C321-B321),"")</f>
        <v/>
      </c>
      <c r="H321" s="126" t="str">
        <f>IF(J321="OK",G321*(C321+B321)/2,"")</f>
        <v/>
      </c>
      <c r="I321" s="126" t="str">
        <f>IF(AND(J321="OK",ISNUMBER($B$5),$B$5&gt;0,ISNUMBER($B$3),$B$3&gt;0),F321*(4*$B$4*(C321^3-B321^3)-(C321^4-B321^4))/(24*$B$3*1000000*$B$5)*1000,"")</f>
        <v/>
      </c>
      <c r="J321" s="120" t="str">
        <f>IF(COUNTA(A321:E321)=0,"",IF(AND(COUNT(B321:E321)=4,B321&gt;=0,C321&gt;B321,C321&lt;=$B$4,D321&gt;=0,E321&gt;0),IF(COUNTIFS($B$13:$B$320,"&lt;"&amp;C321,$C$13:$C$320,"&gt;"&amp;B321)&gt;0,"OVERLAP","OK"),"CHECK INPUTS"))</f>
        <v/>
      </c>
      <c r="M321" s="124"/>
      <c r="N321" s="125"/>
      <c r="O321" s="125"/>
      <c r="P321" s="125"/>
      <c r="Q321" s="125"/>
      <c r="R321" s="126" t="str">
        <f>IF(V321="OK",P321*Q321,"")</f>
        <v/>
      </c>
      <c r="S321" s="126" t="str">
        <f>IF(V321="OK",R321*(O321-N321),"")</f>
        <v/>
      </c>
      <c r="T321" s="126" t="str">
        <f>IF(V321="OK",S321*(O321+N321)/2,"")</f>
        <v/>
      </c>
      <c r="U321" s="126" t="str">
        <f>IF(AND(V321="OK",ISNUMBER($N$5),$N$5&gt;0,ISNUMBER($N$3),$N$3&gt;0),R321*(4*$N$4*(O321^3-N321^3)-(O321^4-N321^4))/(24*$N$3*1000000*$N$5)*1000,"")</f>
        <v/>
      </c>
      <c r="V321" s="120" t="str">
        <f>IF(COUNTA(M321:Q321)=0,"",IF(AND(COUNT(N321:Q321)=4,N321&gt;=0,O321&gt;N321,O321&lt;=$N$4,P321&gt;=0,Q321&gt;0),IF(COUNTIFS($N$13:$N$320,"&lt;"&amp;O321,$O$13:$O$320,"&gt;"&amp;N321)&gt;0,"OVERLAP","OK"),"CHECK INPUTS"))</f>
        <v/>
      </c>
      <c r="AA321" s="120">
        <f>IF(AND(J321="OK",ISNUMBER($B$5),$B$5&gt;0,ISNUMBER($B$3),$B$3&gt;0),F321/(6*$B$3*1000000*$B$5)*(IF(B321&lt;($B$4*0/10),($B$4*0/10)*(MIN(C321,($B$4*0/10))^3-B321^3)-(MIN(C321,($B$4*0/10))^4-B321^4)/4,0)+IF(C321&gt;($B$4*0/10),($B$4*0/10)^2*(1.5*(C321^2-MAX(B321,($B$4*0/10))^2)-($B$4*0/10)*(C321-MAX(B321,($B$4*0/10)))),0))*1000,0)</f>
        <v>0</v>
      </c>
      <c r="AB321" s="120">
        <f>IF(AND(J321="OK",ISNUMBER($B$5),$B$5&gt;0,ISNUMBER($B$3),$B$3&gt;0),F321/(6*$B$3*1000000*$B$5)*(IF(B321&lt;($B$4*1/10),($B$4*1/10)*(MIN(C321,($B$4*1/10))^3-B321^3)-(MIN(C321,($B$4*1/10))^4-B321^4)/4,0)+IF(C321&gt;($B$4*1/10),($B$4*1/10)^2*(1.5*(C321^2-MAX(B321,($B$4*1/10))^2)-($B$4*1/10)*(C321-MAX(B321,($B$4*1/10)))),0))*1000,0)</f>
        <v>0</v>
      </c>
      <c r="AC321" s="120">
        <f>IF(AND(J321="OK",ISNUMBER($B$5),$B$5&gt;0,ISNUMBER($B$3),$B$3&gt;0),F321/(6*$B$3*1000000*$B$5)*(IF(B321&lt;($B$4*2/10),($B$4*2/10)*(MIN(C321,($B$4*2/10))^3-B321^3)-(MIN(C321,($B$4*2/10))^4-B321^4)/4,0)+IF(C321&gt;($B$4*2/10),($B$4*2/10)^2*(1.5*(C321^2-MAX(B321,($B$4*2/10))^2)-($B$4*2/10)*(C321-MAX(B321,($B$4*2/10)))),0))*1000,0)</f>
        <v>0</v>
      </c>
      <c r="AD321" s="120">
        <f>IF(AND(J321="OK",ISNUMBER($B$5),$B$5&gt;0,ISNUMBER($B$3),$B$3&gt;0),F321/(6*$B$3*1000000*$B$5)*(IF(B321&lt;($B$4*3/10),($B$4*3/10)*(MIN(C321,($B$4*3/10))^3-B321^3)-(MIN(C321,($B$4*3/10))^4-B321^4)/4,0)+IF(C321&gt;($B$4*3/10),($B$4*3/10)^2*(1.5*(C321^2-MAX(B321,($B$4*3/10))^2)-($B$4*3/10)*(C321-MAX(B321,($B$4*3/10)))),0))*1000,0)</f>
        <v>0</v>
      </c>
      <c r="AE321" s="120">
        <f>IF(AND(J321="OK",ISNUMBER($B$5),$B$5&gt;0,ISNUMBER($B$3),$B$3&gt;0),F321/(6*$B$3*1000000*$B$5)*(IF(B321&lt;($B$4*4/10),($B$4*4/10)*(MIN(C321,($B$4*4/10))^3-B321^3)-(MIN(C321,($B$4*4/10))^4-B321^4)/4,0)+IF(C321&gt;($B$4*4/10),($B$4*4/10)^2*(1.5*(C321^2-MAX(B321,($B$4*4/10))^2)-($B$4*4/10)*(C321-MAX(B321,($B$4*4/10)))),0))*1000,0)</f>
        <v>0</v>
      </c>
      <c r="AF321" s="120">
        <f>IF(AND(J321="OK",ISNUMBER($B$5),$B$5&gt;0,ISNUMBER($B$3),$B$3&gt;0),F321/(6*$B$3*1000000*$B$5)*(IF(B321&lt;($B$4*5/10),($B$4*5/10)*(MIN(C321,($B$4*5/10))^3-B321^3)-(MIN(C321,($B$4*5/10))^4-B321^4)/4,0)+IF(C321&gt;($B$4*5/10),($B$4*5/10)^2*(1.5*(C321^2-MAX(B321,($B$4*5/10))^2)-($B$4*5/10)*(C321-MAX(B321,($B$4*5/10)))),0))*1000,0)</f>
        <v>0</v>
      </c>
      <c r="AG321" s="120">
        <f>IF(AND(J321="OK",ISNUMBER($B$5),$B$5&gt;0,ISNUMBER($B$3),$B$3&gt;0),F321/(6*$B$3*1000000*$B$5)*(IF(B321&lt;($B$4*6/10),($B$4*6/10)*(MIN(C321,($B$4*6/10))^3-B321^3)-(MIN(C321,($B$4*6/10))^4-B321^4)/4,0)+IF(C321&gt;($B$4*6/10),($B$4*6/10)^2*(1.5*(C321^2-MAX(B321,($B$4*6/10))^2)-($B$4*6/10)*(C321-MAX(B321,($B$4*6/10)))),0))*1000,0)</f>
        <v>0</v>
      </c>
      <c r="AH321" s="120">
        <f>IF(AND(J321="OK",ISNUMBER($B$5),$B$5&gt;0,ISNUMBER($B$3),$B$3&gt;0),F321/(6*$B$3*1000000*$B$5)*(IF(B321&lt;($B$4*7/10),($B$4*7/10)*(MIN(C321,($B$4*7/10))^3-B321^3)-(MIN(C321,($B$4*7/10))^4-B321^4)/4,0)+IF(C321&gt;($B$4*7/10),($B$4*7/10)^2*(1.5*(C321^2-MAX(B321,($B$4*7/10))^2)-($B$4*7/10)*(C321-MAX(B321,($B$4*7/10)))),0))*1000,0)</f>
        <v>0</v>
      </c>
      <c r="AI321" s="120">
        <f>IF(AND(J321="OK",ISNUMBER($B$5),$B$5&gt;0,ISNUMBER($B$3),$B$3&gt;0),F321/(6*$B$3*1000000*$B$5)*(IF(B321&lt;($B$4*8/10),($B$4*8/10)*(MIN(C321,($B$4*8/10))^3-B321^3)-(MIN(C321,($B$4*8/10))^4-B321^4)/4,0)+IF(C321&gt;($B$4*8/10),($B$4*8/10)^2*(1.5*(C321^2-MAX(B321,($B$4*8/10))^2)-($B$4*8/10)*(C321-MAX(B321,($B$4*8/10)))),0))*1000,0)</f>
        <v>0</v>
      </c>
      <c r="AJ321" s="120">
        <f>IF(AND(J321="OK",ISNUMBER($B$5),$B$5&gt;0,ISNUMBER($B$3),$B$3&gt;0),F321/(6*$B$3*1000000*$B$5)*(IF(B321&lt;($B$4*9/10),($B$4*9/10)*(MIN(C321,($B$4*9/10))^3-B321^3)-(MIN(C321,($B$4*9/10))^4-B321^4)/4,0)+IF(C321&gt;($B$4*9/10),($B$4*9/10)^2*(1.5*(C321^2-MAX(B321,($B$4*9/10))^2)-($B$4*9/10)*(C321-MAX(B321,($B$4*9/10)))),0))*1000,0)</f>
        <v>0</v>
      </c>
      <c r="AK321" s="120">
        <f>IF(AND(J321="OK",ISNUMBER($B$5),$B$5&gt;0,ISNUMBER($B$3),$B$3&gt;0),F321/(6*$B$3*1000000*$B$5)*(IF(B321&lt;($B$4*10/10),($B$4*10/10)*(MIN(C321,($B$4*10/10))^3-B321^3)-(MIN(C321,($B$4*10/10))^4-B321^4)/4,0)+IF(C321&gt;($B$4*10/10),($B$4*10/10)^2*(1.5*(C321^2-MAX(B321,($B$4*10/10))^2)-($B$4*10/10)*(C321-MAX(B321,($B$4*10/10)))),0))*1000,0)</f>
        <v>0</v>
      </c>
      <c r="AM321" s="120">
        <f>IF(AND(V321="OK",ISNUMBER($N$5),$N$5&gt;0,ISNUMBER($N$3),$N$3&gt;0),R321/(6*$N$3*1000000*$N$5)*(IF(N321&lt;($N$4*0/10),($N$4*0/10)*(MIN(O321,($N$4*0/10))^3-N321^3)-(MIN(O321,($N$4*0/10))^4-N321^4)/4,0)+IF(O321&gt;($N$4*0/10),($N$4*0/10)^2*(1.5*(O321^2-MAX(N321,($N$4*0/10))^2)-($N$4*0/10)*(O321-MAX(N321,($N$4*0/10)))),0))*1000,0)</f>
        <v>0</v>
      </c>
      <c r="AN321" s="120">
        <f>IF(AND(V321="OK",ISNUMBER($N$5),$N$5&gt;0,ISNUMBER($N$3),$N$3&gt;0),R321/(6*$N$3*1000000*$N$5)*(IF(N321&lt;($N$4*1/10),($N$4*1/10)*(MIN(O321,($N$4*1/10))^3-N321^3)-(MIN(O321,($N$4*1/10))^4-N321^4)/4,0)+IF(O321&gt;($N$4*1/10),($N$4*1/10)^2*(1.5*(O321^2-MAX(N321,($N$4*1/10))^2)-($N$4*1/10)*(O321-MAX(N321,($N$4*1/10)))),0))*1000,0)</f>
        <v>0</v>
      </c>
      <c r="AO321" s="120">
        <f>IF(AND(V321="OK",ISNUMBER($N$5),$N$5&gt;0,ISNUMBER($N$3),$N$3&gt;0),R321/(6*$N$3*1000000*$N$5)*(IF(N321&lt;($N$4*2/10),($N$4*2/10)*(MIN(O321,($N$4*2/10))^3-N321^3)-(MIN(O321,($N$4*2/10))^4-N321^4)/4,0)+IF(O321&gt;($N$4*2/10),($N$4*2/10)^2*(1.5*(O321^2-MAX(N321,($N$4*2/10))^2)-($N$4*2/10)*(O321-MAX(N321,($N$4*2/10)))),0))*1000,0)</f>
        <v>0</v>
      </c>
      <c r="AP321" s="120">
        <f>IF(AND(V321="OK",ISNUMBER($N$5),$N$5&gt;0,ISNUMBER($N$3),$N$3&gt;0),R321/(6*$N$3*1000000*$N$5)*(IF(N321&lt;($N$4*3/10),($N$4*3/10)*(MIN(O321,($N$4*3/10))^3-N321^3)-(MIN(O321,($N$4*3/10))^4-N321^4)/4,0)+IF(O321&gt;($N$4*3/10),($N$4*3/10)^2*(1.5*(O321^2-MAX(N321,($N$4*3/10))^2)-($N$4*3/10)*(O321-MAX(N321,($N$4*3/10)))),0))*1000,0)</f>
        <v>0</v>
      </c>
      <c r="AQ321" s="120">
        <f>IF(AND(V321="OK",ISNUMBER($N$5),$N$5&gt;0,ISNUMBER($N$3),$N$3&gt;0),R321/(6*$N$3*1000000*$N$5)*(IF(N321&lt;($N$4*4/10),($N$4*4/10)*(MIN(O321,($N$4*4/10))^3-N321^3)-(MIN(O321,($N$4*4/10))^4-N321^4)/4,0)+IF(O321&gt;($N$4*4/10),($N$4*4/10)^2*(1.5*(O321^2-MAX(N321,($N$4*4/10))^2)-($N$4*4/10)*(O321-MAX(N321,($N$4*4/10)))),0))*1000,0)</f>
        <v>0</v>
      </c>
      <c r="AR321" s="120">
        <f>IF(AND(V321="OK",ISNUMBER($N$5),$N$5&gt;0,ISNUMBER($N$3),$N$3&gt;0),R321/(6*$N$3*1000000*$N$5)*(IF(N321&lt;($N$4*5/10),($N$4*5/10)*(MIN(O321,($N$4*5/10))^3-N321^3)-(MIN(O321,($N$4*5/10))^4-N321^4)/4,0)+IF(O321&gt;($N$4*5/10),($N$4*5/10)^2*(1.5*(O321^2-MAX(N321,($N$4*5/10))^2)-($N$4*5/10)*(O321-MAX(N321,($N$4*5/10)))),0))*1000,0)</f>
        <v>0</v>
      </c>
      <c r="AS321" s="120">
        <f>IF(AND(V321="OK",ISNUMBER($N$5),$N$5&gt;0,ISNUMBER($N$3),$N$3&gt;0),R321/(6*$N$3*1000000*$N$5)*(IF(N321&lt;($N$4*6/10),($N$4*6/10)*(MIN(O321,($N$4*6/10))^3-N321^3)-(MIN(O321,($N$4*6/10))^4-N321^4)/4,0)+IF(O321&gt;($N$4*6/10),($N$4*6/10)^2*(1.5*(O321^2-MAX(N321,($N$4*6/10))^2)-($N$4*6/10)*(O321-MAX(N321,($N$4*6/10)))),0))*1000,0)</f>
        <v>0</v>
      </c>
      <c r="AT321" s="120">
        <f>IF(AND(V321="OK",ISNUMBER($N$5),$N$5&gt;0,ISNUMBER($N$3),$N$3&gt;0),R321/(6*$N$3*1000000*$N$5)*(IF(N321&lt;($N$4*7/10),($N$4*7/10)*(MIN(O321,($N$4*7/10))^3-N321^3)-(MIN(O321,($N$4*7/10))^4-N321^4)/4,0)+IF(O321&gt;($N$4*7/10),($N$4*7/10)^2*(1.5*(O321^2-MAX(N321,($N$4*7/10))^2)-($N$4*7/10)*(O321-MAX(N321,($N$4*7/10)))),0))*1000,0)</f>
        <v>0</v>
      </c>
      <c r="AU321" s="120">
        <f>IF(AND(V321="OK",ISNUMBER($N$5),$N$5&gt;0,ISNUMBER($N$3),$N$3&gt;0),R321/(6*$N$3*1000000*$N$5)*(IF(N321&lt;($N$4*8/10),($N$4*8/10)*(MIN(O321,($N$4*8/10))^3-N321^3)-(MIN(O321,($N$4*8/10))^4-N321^4)/4,0)+IF(O321&gt;($N$4*8/10),($N$4*8/10)^2*(1.5*(O321^2-MAX(N321,($N$4*8/10))^2)-($N$4*8/10)*(O321-MAX(N321,($N$4*8/10)))),0))*1000,0)</f>
        <v>0</v>
      </c>
      <c r="AV321" s="120">
        <f>IF(AND(V321="OK",ISNUMBER($N$5),$N$5&gt;0,ISNUMBER($N$3),$N$3&gt;0),R321/(6*$N$3*1000000*$N$5)*(IF(N321&lt;($N$4*9/10),($N$4*9/10)*(MIN(O321,($N$4*9/10))^3-N321^3)-(MIN(O321,($N$4*9/10))^4-N321^4)/4,0)+IF(O321&gt;($N$4*9/10),($N$4*9/10)^2*(1.5*(O321^2-MAX(N321,($N$4*9/10))^2)-($N$4*9/10)*(O321-MAX(N321,($N$4*9/10)))),0))*1000,0)</f>
        <v>0</v>
      </c>
      <c r="AW321" s="120">
        <f>IF(AND(V321="OK",ISNUMBER($N$5),$N$5&gt;0,ISNUMBER($N$3),$N$3&gt;0),R321/(6*$N$3*1000000*$N$5)*(IF(N321&lt;($N$4*10/10),($N$4*10/10)*(MIN(O321,($N$4*10/10))^3-N321^3)-(MIN(O321,($N$4*10/10))^4-N321^4)/4,0)+IF(O321&gt;($N$4*10/10),($N$4*10/10)^2*(1.5*(O321^2-MAX(N321,($N$4*10/10))^2)-($N$4*10/10)*(O321-MAX(N321,($N$4*10/10)))),0))*1000,0)</f>
        <v>0</v>
      </c>
    </row>
    <row r="322" spans="1:49">
      <c r="A322" s="124"/>
      <c r="B322" s="125"/>
      <c r="C322" s="125"/>
      <c r="D322" s="125"/>
      <c r="E322" s="125"/>
      <c r="F322" s="126" t="str">
        <f>IF(J322="OK",D322*E322,"")</f>
        <v/>
      </c>
      <c r="G322" s="126" t="str">
        <f>IF(J322="OK",F322*(C322-B322),"")</f>
        <v/>
      </c>
      <c r="H322" s="126" t="str">
        <f>IF(J322="OK",G322*(C322+B322)/2,"")</f>
        <v/>
      </c>
      <c r="I322" s="126" t="str">
        <f>IF(AND(J322="OK",ISNUMBER($B$5),$B$5&gt;0,ISNUMBER($B$3),$B$3&gt;0),F322*(4*$B$4*(C322^3-B322^3)-(C322^4-B322^4))/(24*$B$3*1000000*$B$5)*1000,"")</f>
        <v/>
      </c>
      <c r="J322" s="120" t="str">
        <f>IF(COUNTA(A322:E322)=0,"",IF(AND(COUNT(B322:E322)=4,B322&gt;=0,C322&gt;B322,C322&lt;=$B$4,D322&gt;=0,E322&gt;0),IF(COUNTIFS($B$13:$B$321,"&lt;"&amp;C322,$C$13:$C$321,"&gt;"&amp;B322)&gt;0,"OVERLAP","OK"),"CHECK INPUTS"))</f>
        <v/>
      </c>
      <c r="M322" s="124"/>
      <c r="N322" s="125"/>
      <c r="O322" s="125"/>
      <c r="P322" s="125"/>
      <c r="Q322" s="125"/>
      <c r="R322" s="126" t="str">
        <f>IF(V322="OK",P322*Q322,"")</f>
        <v/>
      </c>
      <c r="S322" s="126" t="str">
        <f>IF(V322="OK",R322*(O322-N322),"")</f>
        <v/>
      </c>
      <c r="T322" s="126" t="str">
        <f>IF(V322="OK",S322*(O322+N322)/2,"")</f>
        <v/>
      </c>
      <c r="U322" s="126" t="str">
        <f>IF(AND(V322="OK",ISNUMBER($N$5),$N$5&gt;0,ISNUMBER($N$3),$N$3&gt;0),R322*(4*$N$4*(O322^3-N322^3)-(O322^4-N322^4))/(24*$N$3*1000000*$N$5)*1000,"")</f>
        <v/>
      </c>
      <c r="V322" s="120" t="str">
        <f>IF(COUNTA(M322:Q322)=0,"",IF(AND(COUNT(N322:Q322)=4,N322&gt;=0,O322&gt;N322,O322&lt;=$N$4,P322&gt;=0,Q322&gt;0),IF(COUNTIFS($N$13:$N$321,"&lt;"&amp;O322,$O$13:$O$321,"&gt;"&amp;N322)&gt;0,"OVERLAP","OK"),"CHECK INPUTS"))</f>
        <v/>
      </c>
      <c r="AA322" s="120">
        <f>IF(AND(J322="OK",ISNUMBER($B$5),$B$5&gt;0,ISNUMBER($B$3),$B$3&gt;0),F322/(6*$B$3*1000000*$B$5)*(IF(B322&lt;($B$4*0/10),($B$4*0/10)*(MIN(C322,($B$4*0/10))^3-B322^3)-(MIN(C322,($B$4*0/10))^4-B322^4)/4,0)+IF(C322&gt;($B$4*0/10),($B$4*0/10)^2*(1.5*(C322^2-MAX(B322,($B$4*0/10))^2)-($B$4*0/10)*(C322-MAX(B322,($B$4*0/10)))),0))*1000,0)</f>
        <v>0</v>
      </c>
      <c r="AB322" s="120">
        <f>IF(AND(J322="OK",ISNUMBER($B$5),$B$5&gt;0,ISNUMBER($B$3),$B$3&gt;0),F322/(6*$B$3*1000000*$B$5)*(IF(B322&lt;($B$4*1/10),($B$4*1/10)*(MIN(C322,($B$4*1/10))^3-B322^3)-(MIN(C322,($B$4*1/10))^4-B322^4)/4,0)+IF(C322&gt;($B$4*1/10),($B$4*1/10)^2*(1.5*(C322^2-MAX(B322,($B$4*1/10))^2)-($B$4*1/10)*(C322-MAX(B322,($B$4*1/10)))),0))*1000,0)</f>
        <v>0</v>
      </c>
      <c r="AC322" s="120">
        <f>IF(AND(J322="OK",ISNUMBER($B$5),$B$5&gt;0,ISNUMBER($B$3),$B$3&gt;0),F322/(6*$B$3*1000000*$B$5)*(IF(B322&lt;($B$4*2/10),($B$4*2/10)*(MIN(C322,($B$4*2/10))^3-B322^3)-(MIN(C322,($B$4*2/10))^4-B322^4)/4,0)+IF(C322&gt;($B$4*2/10),($B$4*2/10)^2*(1.5*(C322^2-MAX(B322,($B$4*2/10))^2)-($B$4*2/10)*(C322-MAX(B322,($B$4*2/10)))),0))*1000,0)</f>
        <v>0</v>
      </c>
      <c r="AD322" s="120">
        <f>IF(AND(J322="OK",ISNUMBER($B$5),$B$5&gt;0,ISNUMBER($B$3),$B$3&gt;0),F322/(6*$B$3*1000000*$B$5)*(IF(B322&lt;($B$4*3/10),($B$4*3/10)*(MIN(C322,($B$4*3/10))^3-B322^3)-(MIN(C322,($B$4*3/10))^4-B322^4)/4,0)+IF(C322&gt;($B$4*3/10),($B$4*3/10)^2*(1.5*(C322^2-MAX(B322,($B$4*3/10))^2)-($B$4*3/10)*(C322-MAX(B322,($B$4*3/10)))),0))*1000,0)</f>
        <v>0</v>
      </c>
      <c r="AE322" s="120">
        <f>IF(AND(J322="OK",ISNUMBER($B$5),$B$5&gt;0,ISNUMBER($B$3),$B$3&gt;0),F322/(6*$B$3*1000000*$B$5)*(IF(B322&lt;($B$4*4/10),($B$4*4/10)*(MIN(C322,($B$4*4/10))^3-B322^3)-(MIN(C322,($B$4*4/10))^4-B322^4)/4,0)+IF(C322&gt;($B$4*4/10),($B$4*4/10)^2*(1.5*(C322^2-MAX(B322,($B$4*4/10))^2)-($B$4*4/10)*(C322-MAX(B322,($B$4*4/10)))),0))*1000,0)</f>
        <v>0</v>
      </c>
      <c r="AF322" s="120">
        <f>IF(AND(J322="OK",ISNUMBER($B$5),$B$5&gt;0,ISNUMBER($B$3),$B$3&gt;0),F322/(6*$B$3*1000000*$B$5)*(IF(B322&lt;($B$4*5/10),($B$4*5/10)*(MIN(C322,($B$4*5/10))^3-B322^3)-(MIN(C322,($B$4*5/10))^4-B322^4)/4,0)+IF(C322&gt;($B$4*5/10),($B$4*5/10)^2*(1.5*(C322^2-MAX(B322,($B$4*5/10))^2)-($B$4*5/10)*(C322-MAX(B322,($B$4*5/10)))),0))*1000,0)</f>
        <v>0</v>
      </c>
      <c r="AG322" s="120">
        <f>IF(AND(J322="OK",ISNUMBER($B$5),$B$5&gt;0,ISNUMBER($B$3),$B$3&gt;0),F322/(6*$B$3*1000000*$B$5)*(IF(B322&lt;($B$4*6/10),($B$4*6/10)*(MIN(C322,($B$4*6/10))^3-B322^3)-(MIN(C322,($B$4*6/10))^4-B322^4)/4,0)+IF(C322&gt;($B$4*6/10),($B$4*6/10)^2*(1.5*(C322^2-MAX(B322,($B$4*6/10))^2)-($B$4*6/10)*(C322-MAX(B322,($B$4*6/10)))),0))*1000,0)</f>
        <v>0</v>
      </c>
      <c r="AH322" s="120">
        <f>IF(AND(J322="OK",ISNUMBER($B$5),$B$5&gt;0,ISNUMBER($B$3),$B$3&gt;0),F322/(6*$B$3*1000000*$B$5)*(IF(B322&lt;($B$4*7/10),($B$4*7/10)*(MIN(C322,($B$4*7/10))^3-B322^3)-(MIN(C322,($B$4*7/10))^4-B322^4)/4,0)+IF(C322&gt;($B$4*7/10),($B$4*7/10)^2*(1.5*(C322^2-MAX(B322,($B$4*7/10))^2)-($B$4*7/10)*(C322-MAX(B322,($B$4*7/10)))),0))*1000,0)</f>
        <v>0</v>
      </c>
      <c r="AI322" s="120">
        <f>IF(AND(J322="OK",ISNUMBER($B$5),$B$5&gt;0,ISNUMBER($B$3),$B$3&gt;0),F322/(6*$B$3*1000000*$B$5)*(IF(B322&lt;($B$4*8/10),($B$4*8/10)*(MIN(C322,($B$4*8/10))^3-B322^3)-(MIN(C322,($B$4*8/10))^4-B322^4)/4,0)+IF(C322&gt;($B$4*8/10),($B$4*8/10)^2*(1.5*(C322^2-MAX(B322,($B$4*8/10))^2)-($B$4*8/10)*(C322-MAX(B322,($B$4*8/10)))),0))*1000,0)</f>
        <v>0</v>
      </c>
      <c r="AJ322" s="120">
        <f>IF(AND(J322="OK",ISNUMBER($B$5),$B$5&gt;0,ISNUMBER($B$3),$B$3&gt;0),F322/(6*$B$3*1000000*$B$5)*(IF(B322&lt;($B$4*9/10),($B$4*9/10)*(MIN(C322,($B$4*9/10))^3-B322^3)-(MIN(C322,($B$4*9/10))^4-B322^4)/4,0)+IF(C322&gt;($B$4*9/10),($B$4*9/10)^2*(1.5*(C322^2-MAX(B322,($B$4*9/10))^2)-($B$4*9/10)*(C322-MAX(B322,($B$4*9/10)))),0))*1000,0)</f>
        <v>0</v>
      </c>
      <c r="AK322" s="120">
        <f>IF(AND(J322="OK",ISNUMBER($B$5),$B$5&gt;0,ISNUMBER($B$3),$B$3&gt;0),F322/(6*$B$3*1000000*$B$5)*(IF(B322&lt;($B$4*10/10),($B$4*10/10)*(MIN(C322,($B$4*10/10))^3-B322^3)-(MIN(C322,($B$4*10/10))^4-B322^4)/4,0)+IF(C322&gt;($B$4*10/10),($B$4*10/10)^2*(1.5*(C322^2-MAX(B322,($B$4*10/10))^2)-($B$4*10/10)*(C322-MAX(B322,($B$4*10/10)))),0))*1000,0)</f>
        <v>0</v>
      </c>
      <c r="AM322" s="120">
        <f>IF(AND(V322="OK",ISNUMBER($N$5),$N$5&gt;0,ISNUMBER($N$3),$N$3&gt;0),R322/(6*$N$3*1000000*$N$5)*(IF(N322&lt;($N$4*0/10),($N$4*0/10)*(MIN(O322,($N$4*0/10))^3-N322^3)-(MIN(O322,($N$4*0/10))^4-N322^4)/4,0)+IF(O322&gt;($N$4*0/10),($N$4*0/10)^2*(1.5*(O322^2-MAX(N322,($N$4*0/10))^2)-($N$4*0/10)*(O322-MAX(N322,($N$4*0/10)))),0))*1000,0)</f>
        <v>0</v>
      </c>
      <c r="AN322" s="120">
        <f>IF(AND(V322="OK",ISNUMBER($N$5),$N$5&gt;0,ISNUMBER($N$3),$N$3&gt;0),R322/(6*$N$3*1000000*$N$5)*(IF(N322&lt;($N$4*1/10),($N$4*1/10)*(MIN(O322,($N$4*1/10))^3-N322^3)-(MIN(O322,($N$4*1/10))^4-N322^4)/4,0)+IF(O322&gt;($N$4*1/10),($N$4*1/10)^2*(1.5*(O322^2-MAX(N322,($N$4*1/10))^2)-($N$4*1/10)*(O322-MAX(N322,($N$4*1/10)))),0))*1000,0)</f>
        <v>0</v>
      </c>
      <c r="AO322" s="120">
        <f>IF(AND(V322="OK",ISNUMBER($N$5),$N$5&gt;0,ISNUMBER($N$3),$N$3&gt;0),R322/(6*$N$3*1000000*$N$5)*(IF(N322&lt;($N$4*2/10),($N$4*2/10)*(MIN(O322,($N$4*2/10))^3-N322^3)-(MIN(O322,($N$4*2/10))^4-N322^4)/4,0)+IF(O322&gt;($N$4*2/10),($N$4*2/10)^2*(1.5*(O322^2-MAX(N322,($N$4*2/10))^2)-($N$4*2/10)*(O322-MAX(N322,($N$4*2/10)))),0))*1000,0)</f>
        <v>0</v>
      </c>
      <c r="AP322" s="120">
        <f>IF(AND(V322="OK",ISNUMBER($N$5),$N$5&gt;0,ISNUMBER($N$3),$N$3&gt;0),R322/(6*$N$3*1000000*$N$5)*(IF(N322&lt;($N$4*3/10),($N$4*3/10)*(MIN(O322,($N$4*3/10))^3-N322^3)-(MIN(O322,($N$4*3/10))^4-N322^4)/4,0)+IF(O322&gt;($N$4*3/10),($N$4*3/10)^2*(1.5*(O322^2-MAX(N322,($N$4*3/10))^2)-($N$4*3/10)*(O322-MAX(N322,($N$4*3/10)))),0))*1000,0)</f>
        <v>0</v>
      </c>
      <c r="AQ322" s="120">
        <f>IF(AND(V322="OK",ISNUMBER($N$5),$N$5&gt;0,ISNUMBER($N$3),$N$3&gt;0),R322/(6*$N$3*1000000*$N$5)*(IF(N322&lt;($N$4*4/10),($N$4*4/10)*(MIN(O322,($N$4*4/10))^3-N322^3)-(MIN(O322,($N$4*4/10))^4-N322^4)/4,0)+IF(O322&gt;($N$4*4/10),($N$4*4/10)^2*(1.5*(O322^2-MAX(N322,($N$4*4/10))^2)-($N$4*4/10)*(O322-MAX(N322,($N$4*4/10)))),0))*1000,0)</f>
        <v>0</v>
      </c>
      <c r="AR322" s="120">
        <f>IF(AND(V322="OK",ISNUMBER($N$5),$N$5&gt;0,ISNUMBER($N$3),$N$3&gt;0),R322/(6*$N$3*1000000*$N$5)*(IF(N322&lt;($N$4*5/10),($N$4*5/10)*(MIN(O322,($N$4*5/10))^3-N322^3)-(MIN(O322,($N$4*5/10))^4-N322^4)/4,0)+IF(O322&gt;($N$4*5/10),($N$4*5/10)^2*(1.5*(O322^2-MAX(N322,($N$4*5/10))^2)-($N$4*5/10)*(O322-MAX(N322,($N$4*5/10)))),0))*1000,0)</f>
        <v>0</v>
      </c>
      <c r="AS322" s="120">
        <f>IF(AND(V322="OK",ISNUMBER($N$5),$N$5&gt;0,ISNUMBER($N$3),$N$3&gt;0),R322/(6*$N$3*1000000*$N$5)*(IF(N322&lt;($N$4*6/10),($N$4*6/10)*(MIN(O322,($N$4*6/10))^3-N322^3)-(MIN(O322,($N$4*6/10))^4-N322^4)/4,0)+IF(O322&gt;($N$4*6/10),($N$4*6/10)^2*(1.5*(O322^2-MAX(N322,($N$4*6/10))^2)-($N$4*6/10)*(O322-MAX(N322,($N$4*6/10)))),0))*1000,0)</f>
        <v>0</v>
      </c>
      <c r="AT322" s="120">
        <f>IF(AND(V322="OK",ISNUMBER($N$5),$N$5&gt;0,ISNUMBER($N$3),$N$3&gt;0),R322/(6*$N$3*1000000*$N$5)*(IF(N322&lt;($N$4*7/10),($N$4*7/10)*(MIN(O322,($N$4*7/10))^3-N322^3)-(MIN(O322,($N$4*7/10))^4-N322^4)/4,0)+IF(O322&gt;($N$4*7/10),($N$4*7/10)^2*(1.5*(O322^2-MAX(N322,($N$4*7/10))^2)-($N$4*7/10)*(O322-MAX(N322,($N$4*7/10)))),0))*1000,0)</f>
        <v>0</v>
      </c>
      <c r="AU322" s="120">
        <f>IF(AND(V322="OK",ISNUMBER($N$5),$N$5&gt;0,ISNUMBER($N$3),$N$3&gt;0),R322/(6*$N$3*1000000*$N$5)*(IF(N322&lt;($N$4*8/10),($N$4*8/10)*(MIN(O322,($N$4*8/10))^3-N322^3)-(MIN(O322,($N$4*8/10))^4-N322^4)/4,0)+IF(O322&gt;($N$4*8/10),($N$4*8/10)^2*(1.5*(O322^2-MAX(N322,($N$4*8/10))^2)-($N$4*8/10)*(O322-MAX(N322,($N$4*8/10)))),0))*1000,0)</f>
        <v>0</v>
      </c>
      <c r="AV322" s="120">
        <f>IF(AND(V322="OK",ISNUMBER($N$5),$N$5&gt;0,ISNUMBER($N$3),$N$3&gt;0),R322/(6*$N$3*1000000*$N$5)*(IF(N322&lt;($N$4*9/10),($N$4*9/10)*(MIN(O322,($N$4*9/10))^3-N322^3)-(MIN(O322,($N$4*9/10))^4-N322^4)/4,0)+IF(O322&gt;($N$4*9/10),($N$4*9/10)^2*(1.5*(O322^2-MAX(N322,($N$4*9/10))^2)-($N$4*9/10)*(O322-MAX(N322,($N$4*9/10)))),0))*1000,0)</f>
        <v>0</v>
      </c>
      <c r="AW322" s="120">
        <f>IF(AND(V322="OK",ISNUMBER($N$5),$N$5&gt;0,ISNUMBER($N$3),$N$3&gt;0),R322/(6*$N$3*1000000*$N$5)*(IF(N322&lt;($N$4*10/10),($N$4*10/10)*(MIN(O322,($N$4*10/10))^3-N322^3)-(MIN(O322,($N$4*10/10))^4-N322^4)/4,0)+IF(O322&gt;($N$4*10/10),($N$4*10/10)^2*(1.5*(O322^2-MAX(N322,($N$4*10/10))^2)-($N$4*10/10)*(O322-MAX(N322,($N$4*10/10)))),0))*1000,0)</f>
        <v>0</v>
      </c>
    </row>
    <row r="323" spans="1:49">
      <c r="A323" s="124"/>
      <c r="B323" s="125"/>
      <c r="C323" s="125"/>
      <c r="D323" s="125"/>
      <c r="E323" s="125"/>
      <c r="F323" s="126" t="str">
        <f>IF(J323="OK",D323*E323,"")</f>
        <v/>
      </c>
      <c r="G323" s="126" t="str">
        <f>IF(J323="OK",F323*(C323-B323),"")</f>
        <v/>
      </c>
      <c r="H323" s="126" t="str">
        <f>IF(J323="OK",G323*(C323+B323)/2,"")</f>
        <v/>
      </c>
      <c r="I323" s="126" t="str">
        <f>IF(AND(J323="OK",ISNUMBER($B$5),$B$5&gt;0,ISNUMBER($B$3),$B$3&gt;0),F323*(4*$B$4*(C323^3-B323^3)-(C323^4-B323^4))/(24*$B$3*1000000*$B$5)*1000,"")</f>
        <v/>
      </c>
      <c r="J323" s="120" t="str">
        <f>IF(COUNTA(A323:E323)=0,"",IF(AND(COUNT(B323:E323)=4,B323&gt;=0,C323&gt;B323,C323&lt;=$B$4,D323&gt;=0,E323&gt;0),IF(COUNTIFS($B$13:$B$322,"&lt;"&amp;C323,$C$13:$C$322,"&gt;"&amp;B323)&gt;0,"OVERLAP","OK"),"CHECK INPUTS"))</f>
        <v/>
      </c>
      <c r="M323" s="124"/>
      <c r="N323" s="125"/>
      <c r="O323" s="125"/>
      <c r="P323" s="125"/>
      <c r="Q323" s="125"/>
      <c r="R323" s="126" t="str">
        <f>IF(V323="OK",P323*Q323,"")</f>
        <v/>
      </c>
      <c r="S323" s="126" t="str">
        <f>IF(V323="OK",R323*(O323-N323),"")</f>
        <v/>
      </c>
      <c r="T323" s="126" t="str">
        <f>IF(V323="OK",S323*(O323+N323)/2,"")</f>
        <v/>
      </c>
      <c r="U323" s="126" t="str">
        <f>IF(AND(V323="OK",ISNUMBER($N$5),$N$5&gt;0,ISNUMBER($N$3),$N$3&gt;0),R323*(4*$N$4*(O323^3-N323^3)-(O323^4-N323^4))/(24*$N$3*1000000*$N$5)*1000,"")</f>
        <v/>
      </c>
      <c r="V323" s="120" t="str">
        <f>IF(COUNTA(M323:Q323)=0,"",IF(AND(COUNT(N323:Q323)=4,N323&gt;=0,O323&gt;N323,O323&lt;=$N$4,P323&gt;=0,Q323&gt;0),IF(COUNTIFS($N$13:$N$322,"&lt;"&amp;O323,$O$13:$O$322,"&gt;"&amp;N323)&gt;0,"OVERLAP","OK"),"CHECK INPUTS"))</f>
        <v/>
      </c>
      <c r="AA323" s="120">
        <f>IF(AND(J323="OK",ISNUMBER($B$5),$B$5&gt;0,ISNUMBER($B$3),$B$3&gt;0),F323/(6*$B$3*1000000*$B$5)*(IF(B323&lt;($B$4*0/10),($B$4*0/10)*(MIN(C323,($B$4*0/10))^3-B323^3)-(MIN(C323,($B$4*0/10))^4-B323^4)/4,0)+IF(C323&gt;($B$4*0/10),($B$4*0/10)^2*(1.5*(C323^2-MAX(B323,($B$4*0/10))^2)-($B$4*0/10)*(C323-MAX(B323,($B$4*0/10)))),0))*1000,0)</f>
        <v>0</v>
      </c>
      <c r="AB323" s="120">
        <f>IF(AND(J323="OK",ISNUMBER($B$5),$B$5&gt;0,ISNUMBER($B$3),$B$3&gt;0),F323/(6*$B$3*1000000*$B$5)*(IF(B323&lt;($B$4*1/10),($B$4*1/10)*(MIN(C323,($B$4*1/10))^3-B323^3)-(MIN(C323,($B$4*1/10))^4-B323^4)/4,0)+IF(C323&gt;($B$4*1/10),($B$4*1/10)^2*(1.5*(C323^2-MAX(B323,($B$4*1/10))^2)-($B$4*1/10)*(C323-MAX(B323,($B$4*1/10)))),0))*1000,0)</f>
        <v>0</v>
      </c>
      <c r="AC323" s="120">
        <f>IF(AND(J323="OK",ISNUMBER($B$5),$B$5&gt;0,ISNUMBER($B$3),$B$3&gt;0),F323/(6*$B$3*1000000*$B$5)*(IF(B323&lt;($B$4*2/10),($B$4*2/10)*(MIN(C323,($B$4*2/10))^3-B323^3)-(MIN(C323,($B$4*2/10))^4-B323^4)/4,0)+IF(C323&gt;($B$4*2/10),($B$4*2/10)^2*(1.5*(C323^2-MAX(B323,($B$4*2/10))^2)-($B$4*2/10)*(C323-MAX(B323,($B$4*2/10)))),0))*1000,0)</f>
        <v>0</v>
      </c>
      <c r="AD323" s="120">
        <f>IF(AND(J323="OK",ISNUMBER($B$5),$B$5&gt;0,ISNUMBER($B$3),$B$3&gt;0),F323/(6*$B$3*1000000*$B$5)*(IF(B323&lt;($B$4*3/10),($B$4*3/10)*(MIN(C323,($B$4*3/10))^3-B323^3)-(MIN(C323,($B$4*3/10))^4-B323^4)/4,0)+IF(C323&gt;($B$4*3/10),($B$4*3/10)^2*(1.5*(C323^2-MAX(B323,($B$4*3/10))^2)-($B$4*3/10)*(C323-MAX(B323,($B$4*3/10)))),0))*1000,0)</f>
        <v>0</v>
      </c>
      <c r="AE323" s="120">
        <f>IF(AND(J323="OK",ISNUMBER($B$5),$B$5&gt;0,ISNUMBER($B$3),$B$3&gt;0),F323/(6*$B$3*1000000*$B$5)*(IF(B323&lt;($B$4*4/10),($B$4*4/10)*(MIN(C323,($B$4*4/10))^3-B323^3)-(MIN(C323,($B$4*4/10))^4-B323^4)/4,0)+IF(C323&gt;($B$4*4/10),($B$4*4/10)^2*(1.5*(C323^2-MAX(B323,($B$4*4/10))^2)-($B$4*4/10)*(C323-MAX(B323,($B$4*4/10)))),0))*1000,0)</f>
        <v>0</v>
      </c>
      <c r="AF323" s="120">
        <f>IF(AND(J323="OK",ISNUMBER($B$5),$B$5&gt;0,ISNUMBER($B$3),$B$3&gt;0),F323/(6*$B$3*1000000*$B$5)*(IF(B323&lt;($B$4*5/10),($B$4*5/10)*(MIN(C323,($B$4*5/10))^3-B323^3)-(MIN(C323,($B$4*5/10))^4-B323^4)/4,0)+IF(C323&gt;($B$4*5/10),($B$4*5/10)^2*(1.5*(C323^2-MAX(B323,($B$4*5/10))^2)-($B$4*5/10)*(C323-MAX(B323,($B$4*5/10)))),0))*1000,0)</f>
        <v>0</v>
      </c>
      <c r="AG323" s="120">
        <f>IF(AND(J323="OK",ISNUMBER($B$5),$B$5&gt;0,ISNUMBER($B$3),$B$3&gt;0),F323/(6*$B$3*1000000*$B$5)*(IF(B323&lt;($B$4*6/10),($B$4*6/10)*(MIN(C323,($B$4*6/10))^3-B323^3)-(MIN(C323,($B$4*6/10))^4-B323^4)/4,0)+IF(C323&gt;($B$4*6/10),($B$4*6/10)^2*(1.5*(C323^2-MAX(B323,($B$4*6/10))^2)-($B$4*6/10)*(C323-MAX(B323,($B$4*6/10)))),0))*1000,0)</f>
        <v>0</v>
      </c>
      <c r="AH323" s="120">
        <f>IF(AND(J323="OK",ISNUMBER($B$5),$B$5&gt;0,ISNUMBER($B$3),$B$3&gt;0),F323/(6*$B$3*1000000*$B$5)*(IF(B323&lt;($B$4*7/10),($B$4*7/10)*(MIN(C323,($B$4*7/10))^3-B323^3)-(MIN(C323,($B$4*7/10))^4-B323^4)/4,0)+IF(C323&gt;($B$4*7/10),($B$4*7/10)^2*(1.5*(C323^2-MAX(B323,($B$4*7/10))^2)-($B$4*7/10)*(C323-MAX(B323,($B$4*7/10)))),0))*1000,0)</f>
        <v>0</v>
      </c>
      <c r="AI323" s="120">
        <f>IF(AND(J323="OK",ISNUMBER($B$5),$B$5&gt;0,ISNUMBER($B$3),$B$3&gt;0),F323/(6*$B$3*1000000*$B$5)*(IF(B323&lt;($B$4*8/10),($B$4*8/10)*(MIN(C323,($B$4*8/10))^3-B323^3)-(MIN(C323,($B$4*8/10))^4-B323^4)/4,0)+IF(C323&gt;($B$4*8/10),($B$4*8/10)^2*(1.5*(C323^2-MAX(B323,($B$4*8/10))^2)-($B$4*8/10)*(C323-MAX(B323,($B$4*8/10)))),0))*1000,0)</f>
        <v>0</v>
      </c>
      <c r="AJ323" s="120">
        <f>IF(AND(J323="OK",ISNUMBER($B$5),$B$5&gt;0,ISNUMBER($B$3),$B$3&gt;0),F323/(6*$B$3*1000000*$B$5)*(IF(B323&lt;($B$4*9/10),($B$4*9/10)*(MIN(C323,($B$4*9/10))^3-B323^3)-(MIN(C323,($B$4*9/10))^4-B323^4)/4,0)+IF(C323&gt;($B$4*9/10),($B$4*9/10)^2*(1.5*(C323^2-MAX(B323,($B$4*9/10))^2)-($B$4*9/10)*(C323-MAX(B323,($B$4*9/10)))),0))*1000,0)</f>
        <v>0</v>
      </c>
      <c r="AK323" s="120">
        <f>IF(AND(J323="OK",ISNUMBER($B$5),$B$5&gt;0,ISNUMBER($B$3),$B$3&gt;0),F323/(6*$B$3*1000000*$B$5)*(IF(B323&lt;($B$4*10/10),($B$4*10/10)*(MIN(C323,($B$4*10/10))^3-B323^3)-(MIN(C323,($B$4*10/10))^4-B323^4)/4,0)+IF(C323&gt;($B$4*10/10),($B$4*10/10)^2*(1.5*(C323^2-MAX(B323,($B$4*10/10))^2)-($B$4*10/10)*(C323-MAX(B323,($B$4*10/10)))),0))*1000,0)</f>
        <v>0</v>
      </c>
      <c r="AM323" s="120">
        <f>IF(AND(V323="OK",ISNUMBER($N$5),$N$5&gt;0,ISNUMBER($N$3),$N$3&gt;0),R323/(6*$N$3*1000000*$N$5)*(IF(N323&lt;($N$4*0/10),($N$4*0/10)*(MIN(O323,($N$4*0/10))^3-N323^3)-(MIN(O323,($N$4*0/10))^4-N323^4)/4,0)+IF(O323&gt;($N$4*0/10),($N$4*0/10)^2*(1.5*(O323^2-MAX(N323,($N$4*0/10))^2)-($N$4*0/10)*(O323-MAX(N323,($N$4*0/10)))),0))*1000,0)</f>
        <v>0</v>
      </c>
      <c r="AN323" s="120">
        <f>IF(AND(V323="OK",ISNUMBER($N$5),$N$5&gt;0,ISNUMBER($N$3),$N$3&gt;0),R323/(6*$N$3*1000000*$N$5)*(IF(N323&lt;($N$4*1/10),($N$4*1/10)*(MIN(O323,($N$4*1/10))^3-N323^3)-(MIN(O323,($N$4*1/10))^4-N323^4)/4,0)+IF(O323&gt;($N$4*1/10),($N$4*1/10)^2*(1.5*(O323^2-MAX(N323,($N$4*1/10))^2)-($N$4*1/10)*(O323-MAX(N323,($N$4*1/10)))),0))*1000,0)</f>
        <v>0</v>
      </c>
      <c r="AO323" s="120">
        <f>IF(AND(V323="OK",ISNUMBER($N$5),$N$5&gt;0,ISNUMBER($N$3),$N$3&gt;0),R323/(6*$N$3*1000000*$N$5)*(IF(N323&lt;($N$4*2/10),($N$4*2/10)*(MIN(O323,($N$4*2/10))^3-N323^3)-(MIN(O323,($N$4*2/10))^4-N323^4)/4,0)+IF(O323&gt;($N$4*2/10),($N$4*2/10)^2*(1.5*(O323^2-MAX(N323,($N$4*2/10))^2)-($N$4*2/10)*(O323-MAX(N323,($N$4*2/10)))),0))*1000,0)</f>
        <v>0</v>
      </c>
      <c r="AP323" s="120">
        <f>IF(AND(V323="OK",ISNUMBER($N$5),$N$5&gt;0,ISNUMBER($N$3),$N$3&gt;0),R323/(6*$N$3*1000000*$N$5)*(IF(N323&lt;($N$4*3/10),($N$4*3/10)*(MIN(O323,($N$4*3/10))^3-N323^3)-(MIN(O323,($N$4*3/10))^4-N323^4)/4,0)+IF(O323&gt;($N$4*3/10),($N$4*3/10)^2*(1.5*(O323^2-MAX(N323,($N$4*3/10))^2)-($N$4*3/10)*(O323-MAX(N323,($N$4*3/10)))),0))*1000,0)</f>
        <v>0</v>
      </c>
      <c r="AQ323" s="120">
        <f>IF(AND(V323="OK",ISNUMBER($N$5),$N$5&gt;0,ISNUMBER($N$3),$N$3&gt;0),R323/(6*$N$3*1000000*$N$5)*(IF(N323&lt;($N$4*4/10),($N$4*4/10)*(MIN(O323,($N$4*4/10))^3-N323^3)-(MIN(O323,($N$4*4/10))^4-N323^4)/4,0)+IF(O323&gt;($N$4*4/10),($N$4*4/10)^2*(1.5*(O323^2-MAX(N323,($N$4*4/10))^2)-($N$4*4/10)*(O323-MAX(N323,($N$4*4/10)))),0))*1000,0)</f>
        <v>0</v>
      </c>
      <c r="AR323" s="120">
        <f>IF(AND(V323="OK",ISNUMBER($N$5),$N$5&gt;0,ISNUMBER($N$3),$N$3&gt;0),R323/(6*$N$3*1000000*$N$5)*(IF(N323&lt;($N$4*5/10),($N$4*5/10)*(MIN(O323,($N$4*5/10))^3-N323^3)-(MIN(O323,($N$4*5/10))^4-N323^4)/4,0)+IF(O323&gt;($N$4*5/10),($N$4*5/10)^2*(1.5*(O323^2-MAX(N323,($N$4*5/10))^2)-($N$4*5/10)*(O323-MAX(N323,($N$4*5/10)))),0))*1000,0)</f>
        <v>0</v>
      </c>
      <c r="AS323" s="120">
        <f>IF(AND(V323="OK",ISNUMBER($N$5),$N$5&gt;0,ISNUMBER($N$3),$N$3&gt;0),R323/(6*$N$3*1000000*$N$5)*(IF(N323&lt;($N$4*6/10),($N$4*6/10)*(MIN(O323,($N$4*6/10))^3-N323^3)-(MIN(O323,($N$4*6/10))^4-N323^4)/4,0)+IF(O323&gt;($N$4*6/10),($N$4*6/10)^2*(1.5*(O323^2-MAX(N323,($N$4*6/10))^2)-($N$4*6/10)*(O323-MAX(N323,($N$4*6/10)))),0))*1000,0)</f>
        <v>0</v>
      </c>
      <c r="AT323" s="120">
        <f>IF(AND(V323="OK",ISNUMBER($N$5),$N$5&gt;0,ISNUMBER($N$3),$N$3&gt;0),R323/(6*$N$3*1000000*$N$5)*(IF(N323&lt;($N$4*7/10),($N$4*7/10)*(MIN(O323,($N$4*7/10))^3-N323^3)-(MIN(O323,($N$4*7/10))^4-N323^4)/4,0)+IF(O323&gt;($N$4*7/10),($N$4*7/10)^2*(1.5*(O323^2-MAX(N323,($N$4*7/10))^2)-($N$4*7/10)*(O323-MAX(N323,($N$4*7/10)))),0))*1000,0)</f>
        <v>0</v>
      </c>
      <c r="AU323" s="120">
        <f>IF(AND(V323="OK",ISNUMBER($N$5),$N$5&gt;0,ISNUMBER($N$3),$N$3&gt;0),R323/(6*$N$3*1000000*$N$5)*(IF(N323&lt;($N$4*8/10),($N$4*8/10)*(MIN(O323,($N$4*8/10))^3-N323^3)-(MIN(O323,($N$4*8/10))^4-N323^4)/4,0)+IF(O323&gt;($N$4*8/10),($N$4*8/10)^2*(1.5*(O323^2-MAX(N323,($N$4*8/10))^2)-($N$4*8/10)*(O323-MAX(N323,($N$4*8/10)))),0))*1000,0)</f>
        <v>0</v>
      </c>
      <c r="AV323" s="120">
        <f>IF(AND(V323="OK",ISNUMBER($N$5),$N$5&gt;0,ISNUMBER($N$3),$N$3&gt;0),R323/(6*$N$3*1000000*$N$5)*(IF(N323&lt;($N$4*9/10),($N$4*9/10)*(MIN(O323,($N$4*9/10))^3-N323^3)-(MIN(O323,($N$4*9/10))^4-N323^4)/4,0)+IF(O323&gt;($N$4*9/10),($N$4*9/10)^2*(1.5*(O323^2-MAX(N323,($N$4*9/10))^2)-($N$4*9/10)*(O323-MAX(N323,($N$4*9/10)))),0))*1000,0)</f>
        <v>0</v>
      </c>
      <c r="AW323" s="120">
        <f>IF(AND(V323="OK",ISNUMBER($N$5),$N$5&gt;0,ISNUMBER($N$3),$N$3&gt;0),R323/(6*$N$3*1000000*$N$5)*(IF(N323&lt;($N$4*10/10),($N$4*10/10)*(MIN(O323,($N$4*10/10))^3-N323^3)-(MIN(O323,($N$4*10/10))^4-N323^4)/4,0)+IF(O323&gt;($N$4*10/10),($N$4*10/10)^2*(1.5*(O323^2-MAX(N323,($N$4*10/10))^2)-($N$4*10/10)*(O323-MAX(N323,($N$4*10/10)))),0))*1000,0)</f>
        <v>0</v>
      </c>
    </row>
    <row r="324" spans="1:49">
      <c r="A324" s="124"/>
      <c r="B324" s="125"/>
      <c r="C324" s="125"/>
      <c r="D324" s="125"/>
      <c r="E324" s="125"/>
      <c r="F324" s="126" t="str">
        <f>IF(J324="OK",D324*E324,"")</f>
        <v/>
      </c>
      <c r="G324" s="126" t="str">
        <f>IF(J324="OK",F324*(C324-B324),"")</f>
        <v/>
      </c>
      <c r="H324" s="126" t="str">
        <f>IF(J324="OK",G324*(C324+B324)/2,"")</f>
        <v/>
      </c>
      <c r="I324" s="126" t="str">
        <f>IF(AND(J324="OK",ISNUMBER($B$5),$B$5&gt;0,ISNUMBER($B$3),$B$3&gt;0),F324*(4*$B$4*(C324^3-B324^3)-(C324^4-B324^4))/(24*$B$3*1000000*$B$5)*1000,"")</f>
        <v/>
      </c>
      <c r="J324" s="120" t="str">
        <f>IF(COUNTA(A324:E324)=0,"",IF(AND(COUNT(B324:E324)=4,B324&gt;=0,C324&gt;B324,C324&lt;=$B$4,D324&gt;=0,E324&gt;0),IF(COUNTIFS($B$13:$B$323,"&lt;"&amp;C324,$C$13:$C$323,"&gt;"&amp;B324)&gt;0,"OVERLAP","OK"),"CHECK INPUTS"))</f>
        <v/>
      </c>
      <c r="M324" s="124"/>
      <c r="N324" s="125"/>
      <c r="O324" s="125"/>
      <c r="P324" s="125"/>
      <c r="Q324" s="125"/>
      <c r="R324" s="126" t="str">
        <f>IF(V324="OK",P324*Q324,"")</f>
        <v/>
      </c>
      <c r="S324" s="126" t="str">
        <f>IF(V324="OK",R324*(O324-N324),"")</f>
        <v/>
      </c>
      <c r="T324" s="126" t="str">
        <f>IF(V324="OK",S324*(O324+N324)/2,"")</f>
        <v/>
      </c>
      <c r="U324" s="126" t="str">
        <f>IF(AND(V324="OK",ISNUMBER($N$5),$N$5&gt;0,ISNUMBER($N$3),$N$3&gt;0),R324*(4*$N$4*(O324^3-N324^3)-(O324^4-N324^4))/(24*$N$3*1000000*$N$5)*1000,"")</f>
        <v/>
      </c>
      <c r="V324" s="120" t="str">
        <f>IF(COUNTA(M324:Q324)=0,"",IF(AND(COUNT(N324:Q324)=4,N324&gt;=0,O324&gt;N324,O324&lt;=$N$4,P324&gt;=0,Q324&gt;0),IF(COUNTIFS($N$13:$N$323,"&lt;"&amp;O324,$O$13:$O$323,"&gt;"&amp;N324)&gt;0,"OVERLAP","OK"),"CHECK INPUTS"))</f>
        <v/>
      </c>
      <c r="AA324" s="120">
        <f>IF(AND(J324="OK",ISNUMBER($B$5),$B$5&gt;0,ISNUMBER($B$3),$B$3&gt;0),F324/(6*$B$3*1000000*$B$5)*(IF(B324&lt;($B$4*0/10),($B$4*0/10)*(MIN(C324,($B$4*0/10))^3-B324^3)-(MIN(C324,($B$4*0/10))^4-B324^4)/4,0)+IF(C324&gt;($B$4*0/10),($B$4*0/10)^2*(1.5*(C324^2-MAX(B324,($B$4*0/10))^2)-($B$4*0/10)*(C324-MAX(B324,($B$4*0/10)))),0))*1000,0)</f>
        <v>0</v>
      </c>
      <c r="AB324" s="120">
        <f>IF(AND(J324="OK",ISNUMBER($B$5),$B$5&gt;0,ISNUMBER($B$3),$B$3&gt;0),F324/(6*$B$3*1000000*$B$5)*(IF(B324&lt;($B$4*1/10),($B$4*1/10)*(MIN(C324,($B$4*1/10))^3-B324^3)-(MIN(C324,($B$4*1/10))^4-B324^4)/4,0)+IF(C324&gt;($B$4*1/10),($B$4*1/10)^2*(1.5*(C324^2-MAX(B324,($B$4*1/10))^2)-($B$4*1/10)*(C324-MAX(B324,($B$4*1/10)))),0))*1000,0)</f>
        <v>0</v>
      </c>
      <c r="AC324" s="120">
        <f>IF(AND(J324="OK",ISNUMBER($B$5),$B$5&gt;0,ISNUMBER($B$3),$B$3&gt;0),F324/(6*$B$3*1000000*$B$5)*(IF(B324&lt;($B$4*2/10),($B$4*2/10)*(MIN(C324,($B$4*2/10))^3-B324^3)-(MIN(C324,($B$4*2/10))^4-B324^4)/4,0)+IF(C324&gt;($B$4*2/10),($B$4*2/10)^2*(1.5*(C324^2-MAX(B324,($B$4*2/10))^2)-($B$4*2/10)*(C324-MAX(B324,($B$4*2/10)))),0))*1000,0)</f>
        <v>0</v>
      </c>
      <c r="AD324" s="120">
        <f>IF(AND(J324="OK",ISNUMBER($B$5),$B$5&gt;0,ISNUMBER($B$3),$B$3&gt;0),F324/(6*$B$3*1000000*$B$5)*(IF(B324&lt;($B$4*3/10),($B$4*3/10)*(MIN(C324,($B$4*3/10))^3-B324^3)-(MIN(C324,($B$4*3/10))^4-B324^4)/4,0)+IF(C324&gt;($B$4*3/10),($B$4*3/10)^2*(1.5*(C324^2-MAX(B324,($B$4*3/10))^2)-($B$4*3/10)*(C324-MAX(B324,($B$4*3/10)))),0))*1000,0)</f>
        <v>0</v>
      </c>
      <c r="AE324" s="120">
        <f>IF(AND(J324="OK",ISNUMBER($B$5),$B$5&gt;0,ISNUMBER($B$3),$B$3&gt;0),F324/(6*$B$3*1000000*$B$5)*(IF(B324&lt;($B$4*4/10),($B$4*4/10)*(MIN(C324,($B$4*4/10))^3-B324^3)-(MIN(C324,($B$4*4/10))^4-B324^4)/4,0)+IF(C324&gt;($B$4*4/10),($B$4*4/10)^2*(1.5*(C324^2-MAX(B324,($B$4*4/10))^2)-($B$4*4/10)*(C324-MAX(B324,($B$4*4/10)))),0))*1000,0)</f>
        <v>0</v>
      </c>
      <c r="AF324" s="120">
        <f>IF(AND(J324="OK",ISNUMBER($B$5),$B$5&gt;0,ISNUMBER($B$3),$B$3&gt;0),F324/(6*$B$3*1000000*$B$5)*(IF(B324&lt;($B$4*5/10),($B$4*5/10)*(MIN(C324,($B$4*5/10))^3-B324^3)-(MIN(C324,($B$4*5/10))^4-B324^4)/4,0)+IF(C324&gt;($B$4*5/10),($B$4*5/10)^2*(1.5*(C324^2-MAX(B324,($B$4*5/10))^2)-($B$4*5/10)*(C324-MAX(B324,($B$4*5/10)))),0))*1000,0)</f>
        <v>0</v>
      </c>
      <c r="AG324" s="120">
        <f>IF(AND(J324="OK",ISNUMBER($B$5),$B$5&gt;0,ISNUMBER($B$3),$B$3&gt;0),F324/(6*$B$3*1000000*$B$5)*(IF(B324&lt;($B$4*6/10),($B$4*6/10)*(MIN(C324,($B$4*6/10))^3-B324^3)-(MIN(C324,($B$4*6/10))^4-B324^4)/4,0)+IF(C324&gt;($B$4*6/10),($B$4*6/10)^2*(1.5*(C324^2-MAX(B324,($B$4*6/10))^2)-($B$4*6/10)*(C324-MAX(B324,($B$4*6/10)))),0))*1000,0)</f>
        <v>0</v>
      </c>
      <c r="AH324" s="120">
        <f>IF(AND(J324="OK",ISNUMBER($B$5),$B$5&gt;0,ISNUMBER($B$3),$B$3&gt;0),F324/(6*$B$3*1000000*$B$5)*(IF(B324&lt;($B$4*7/10),($B$4*7/10)*(MIN(C324,($B$4*7/10))^3-B324^3)-(MIN(C324,($B$4*7/10))^4-B324^4)/4,0)+IF(C324&gt;($B$4*7/10),($B$4*7/10)^2*(1.5*(C324^2-MAX(B324,($B$4*7/10))^2)-($B$4*7/10)*(C324-MAX(B324,($B$4*7/10)))),0))*1000,0)</f>
        <v>0</v>
      </c>
      <c r="AI324" s="120">
        <f>IF(AND(J324="OK",ISNUMBER($B$5),$B$5&gt;0,ISNUMBER($B$3),$B$3&gt;0),F324/(6*$B$3*1000000*$B$5)*(IF(B324&lt;($B$4*8/10),($B$4*8/10)*(MIN(C324,($B$4*8/10))^3-B324^3)-(MIN(C324,($B$4*8/10))^4-B324^4)/4,0)+IF(C324&gt;($B$4*8/10),($B$4*8/10)^2*(1.5*(C324^2-MAX(B324,($B$4*8/10))^2)-($B$4*8/10)*(C324-MAX(B324,($B$4*8/10)))),0))*1000,0)</f>
        <v>0</v>
      </c>
      <c r="AJ324" s="120">
        <f>IF(AND(J324="OK",ISNUMBER($B$5),$B$5&gt;0,ISNUMBER($B$3),$B$3&gt;0),F324/(6*$B$3*1000000*$B$5)*(IF(B324&lt;($B$4*9/10),($B$4*9/10)*(MIN(C324,($B$4*9/10))^3-B324^3)-(MIN(C324,($B$4*9/10))^4-B324^4)/4,0)+IF(C324&gt;($B$4*9/10),($B$4*9/10)^2*(1.5*(C324^2-MAX(B324,($B$4*9/10))^2)-($B$4*9/10)*(C324-MAX(B324,($B$4*9/10)))),0))*1000,0)</f>
        <v>0</v>
      </c>
      <c r="AK324" s="120">
        <f>IF(AND(J324="OK",ISNUMBER($B$5),$B$5&gt;0,ISNUMBER($B$3),$B$3&gt;0),F324/(6*$B$3*1000000*$B$5)*(IF(B324&lt;($B$4*10/10),($B$4*10/10)*(MIN(C324,($B$4*10/10))^3-B324^3)-(MIN(C324,($B$4*10/10))^4-B324^4)/4,0)+IF(C324&gt;($B$4*10/10),($B$4*10/10)^2*(1.5*(C324^2-MAX(B324,($B$4*10/10))^2)-($B$4*10/10)*(C324-MAX(B324,($B$4*10/10)))),0))*1000,0)</f>
        <v>0</v>
      </c>
      <c r="AM324" s="120">
        <f>IF(AND(V324="OK",ISNUMBER($N$5),$N$5&gt;0,ISNUMBER($N$3),$N$3&gt;0),R324/(6*$N$3*1000000*$N$5)*(IF(N324&lt;($N$4*0/10),($N$4*0/10)*(MIN(O324,($N$4*0/10))^3-N324^3)-(MIN(O324,($N$4*0/10))^4-N324^4)/4,0)+IF(O324&gt;($N$4*0/10),($N$4*0/10)^2*(1.5*(O324^2-MAX(N324,($N$4*0/10))^2)-($N$4*0/10)*(O324-MAX(N324,($N$4*0/10)))),0))*1000,0)</f>
        <v>0</v>
      </c>
      <c r="AN324" s="120">
        <f>IF(AND(V324="OK",ISNUMBER($N$5),$N$5&gt;0,ISNUMBER($N$3),$N$3&gt;0),R324/(6*$N$3*1000000*$N$5)*(IF(N324&lt;($N$4*1/10),($N$4*1/10)*(MIN(O324,($N$4*1/10))^3-N324^3)-(MIN(O324,($N$4*1/10))^4-N324^4)/4,0)+IF(O324&gt;($N$4*1/10),($N$4*1/10)^2*(1.5*(O324^2-MAX(N324,($N$4*1/10))^2)-($N$4*1/10)*(O324-MAX(N324,($N$4*1/10)))),0))*1000,0)</f>
        <v>0</v>
      </c>
      <c r="AO324" s="120">
        <f>IF(AND(V324="OK",ISNUMBER($N$5),$N$5&gt;0,ISNUMBER($N$3),$N$3&gt;0),R324/(6*$N$3*1000000*$N$5)*(IF(N324&lt;($N$4*2/10),($N$4*2/10)*(MIN(O324,($N$4*2/10))^3-N324^3)-(MIN(O324,($N$4*2/10))^4-N324^4)/4,0)+IF(O324&gt;($N$4*2/10),($N$4*2/10)^2*(1.5*(O324^2-MAX(N324,($N$4*2/10))^2)-($N$4*2/10)*(O324-MAX(N324,($N$4*2/10)))),0))*1000,0)</f>
        <v>0</v>
      </c>
      <c r="AP324" s="120">
        <f>IF(AND(V324="OK",ISNUMBER($N$5),$N$5&gt;0,ISNUMBER($N$3),$N$3&gt;0),R324/(6*$N$3*1000000*$N$5)*(IF(N324&lt;($N$4*3/10),($N$4*3/10)*(MIN(O324,($N$4*3/10))^3-N324^3)-(MIN(O324,($N$4*3/10))^4-N324^4)/4,0)+IF(O324&gt;($N$4*3/10),($N$4*3/10)^2*(1.5*(O324^2-MAX(N324,($N$4*3/10))^2)-($N$4*3/10)*(O324-MAX(N324,($N$4*3/10)))),0))*1000,0)</f>
        <v>0</v>
      </c>
      <c r="AQ324" s="120">
        <f>IF(AND(V324="OK",ISNUMBER($N$5),$N$5&gt;0,ISNUMBER($N$3),$N$3&gt;0),R324/(6*$N$3*1000000*$N$5)*(IF(N324&lt;($N$4*4/10),($N$4*4/10)*(MIN(O324,($N$4*4/10))^3-N324^3)-(MIN(O324,($N$4*4/10))^4-N324^4)/4,0)+IF(O324&gt;($N$4*4/10),($N$4*4/10)^2*(1.5*(O324^2-MAX(N324,($N$4*4/10))^2)-($N$4*4/10)*(O324-MAX(N324,($N$4*4/10)))),0))*1000,0)</f>
        <v>0</v>
      </c>
      <c r="AR324" s="120">
        <f>IF(AND(V324="OK",ISNUMBER($N$5),$N$5&gt;0,ISNUMBER($N$3),$N$3&gt;0),R324/(6*$N$3*1000000*$N$5)*(IF(N324&lt;($N$4*5/10),($N$4*5/10)*(MIN(O324,($N$4*5/10))^3-N324^3)-(MIN(O324,($N$4*5/10))^4-N324^4)/4,0)+IF(O324&gt;($N$4*5/10),($N$4*5/10)^2*(1.5*(O324^2-MAX(N324,($N$4*5/10))^2)-($N$4*5/10)*(O324-MAX(N324,($N$4*5/10)))),0))*1000,0)</f>
        <v>0</v>
      </c>
      <c r="AS324" s="120">
        <f>IF(AND(V324="OK",ISNUMBER($N$5),$N$5&gt;0,ISNUMBER($N$3),$N$3&gt;0),R324/(6*$N$3*1000000*$N$5)*(IF(N324&lt;($N$4*6/10),($N$4*6/10)*(MIN(O324,($N$4*6/10))^3-N324^3)-(MIN(O324,($N$4*6/10))^4-N324^4)/4,0)+IF(O324&gt;($N$4*6/10),($N$4*6/10)^2*(1.5*(O324^2-MAX(N324,($N$4*6/10))^2)-($N$4*6/10)*(O324-MAX(N324,($N$4*6/10)))),0))*1000,0)</f>
        <v>0</v>
      </c>
      <c r="AT324" s="120">
        <f>IF(AND(V324="OK",ISNUMBER($N$5),$N$5&gt;0,ISNUMBER($N$3),$N$3&gt;0),R324/(6*$N$3*1000000*$N$5)*(IF(N324&lt;($N$4*7/10),($N$4*7/10)*(MIN(O324,($N$4*7/10))^3-N324^3)-(MIN(O324,($N$4*7/10))^4-N324^4)/4,0)+IF(O324&gt;($N$4*7/10),($N$4*7/10)^2*(1.5*(O324^2-MAX(N324,($N$4*7/10))^2)-($N$4*7/10)*(O324-MAX(N324,($N$4*7/10)))),0))*1000,0)</f>
        <v>0</v>
      </c>
      <c r="AU324" s="120">
        <f>IF(AND(V324="OK",ISNUMBER($N$5),$N$5&gt;0,ISNUMBER($N$3),$N$3&gt;0),R324/(6*$N$3*1000000*$N$5)*(IF(N324&lt;($N$4*8/10),($N$4*8/10)*(MIN(O324,($N$4*8/10))^3-N324^3)-(MIN(O324,($N$4*8/10))^4-N324^4)/4,0)+IF(O324&gt;($N$4*8/10),($N$4*8/10)^2*(1.5*(O324^2-MAX(N324,($N$4*8/10))^2)-($N$4*8/10)*(O324-MAX(N324,($N$4*8/10)))),0))*1000,0)</f>
        <v>0</v>
      </c>
      <c r="AV324" s="120">
        <f>IF(AND(V324="OK",ISNUMBER($N$5),$N$5&gt;0,ISNUMBER($N$3),$N$3&gt;0),R324/(6*$N$3*1000000*$N$5)*(IF(N324&lt;($N$4*9/10),($N$4*9/10)*(MIN(O324,($N$4*9/10))^3-N324^3)-(MIN(O324,($N$4*9/10))^4-N324^4)/4,0)+IF(O324&gt;($N$4*9/10),($N$4*9/10)^2*(1.5*(O324^2-MAX(N324,($N$4*9/10))^2)-($N$4*9/10)*(O324-MAX(N324,($N$4*9/10)))),0))*1000,0)</f>
        <v>0</v>
      </c>
      <c r="AW324" s="120">
        <f>IF(AND(V324="OK",ISNUMBER($N$5),$N$5&gt;0,ISNUMBER($N$3),$N$3&gt;0),R324/(6*$N$3*1000000*$N$5)*(IF(N324&lt;($N$4*10/10),($N$4*10/10)*(MIN(O324,($N$4*10/10))^3-N324^3)-(MIN(O324,($N$4*10/10))^4-N324^4)/4,0)+IF(O324&gt;($N$4*10/10),($N$4*10/10)^2*(1.5*(O324^2-MAX(N324,($N$4*10/10))^2)-($N$4*10/10)*(O324-MAX(N324,($N$4*10/10)))),0))*1000,0)</f>
        <v>0</v>
      </c>
    </row>
    <row r="325" spans="1:49">
      <c r="A325" s="124"/>
      <c r="B325" s="125"/>
      <c r="C325" s="125"/>
      <c r="D325" s="125"/>
      <c r="E325" s="125"/>
      <c r="F325" s="126" t="str">
        <f>IF(J325="OK",D325*E325,"")</f>
        <v/>
      </c>
      <c r="G325" s="126" t="str">
        <f>IF(J325="OK",F325*(C325-B325),"")</f>
        <v/>
      </c>
      <c r="H325" s="126" t="str">
        <f>IF(J325="OK",G325*(C325+B325)/2,"")</f>
        <v/>
      </c>
      <c r="I325" s="126" t="str">
        <f>IF(AND(J325="OK",ISNUMBER($B$5),$B$5&gt;0,ISNUMBER($B$3),$B$3&gt;0),F325*(4*$B$4*(C325^3-B325^3)-(C325^4-B325^4))/(24*$B$3*1000000*$B$5)*1000,"")</f>
        <v/>
      </c>
      <c r="J325" s="120" t="str">
        <f>IF(COUNTA(A325:E325)=0,"",IF(AND(COUNT(B325:E325)=4,B325&gt;=0,C325&gt;B325,C325&lt;=$B$4,D325&gt;=0,E325&gt;0),IF(COUNTIFS($B$13:$B$324,"&lt;"&amp;C325,$C$13:$C$324,"&gt;"&amp;B325)&gt;0,"OVERLAP","OK"),"CHECK INPUTS"))</f>
        <v/>
      </c>
      <c r="M325" s="124"/>
      <c r="N325" s="125"/>
      <c r="O325" s="125"/>
      <c r="P325" s="125"/>
      <c r="Q325" s="125"/>
      <c r="R325" s="126" t="str">
        <f>IF(V325="OK",P325*Q325,"")</f>
        <v/>
      </c>
      <c r="S325" s="126" t="str">
        <f>IF(V325="OK",R325*(O325-N325),"")</f>
        <v/>
      </c>
      <c r="T325" s="126" t="str">
        <f>IF(V325="OK",S325*(O325+N325)/2,"")</f>
        <v/>
      </c>
      <c r="U325" s="126" t="str">
        <f>IF(AND(V325="OK",ISNUMBER($N$5),$N$5&gt;0,ISNUMBER($N$3),$N$3&gt;0),R325*(4*$N$4*(O325^3-N325^3)-(O325^4-N325^4))/(24*$N$3*1000000*$N$5)*1000,"")</f>
        <v/>
      </c>
      <c r="V325" s="120" t="str">
        <f>IF(COUNTA(M325:Q325)=0,"",IF(AND(COUNT(N325:Q325)=4,N325&gt;=0,O325&gt;N325,O325&lt;=$N$4,P325&gt;=0,Q325&gt;0),IF(COUNTIFS($N$13:$N$324,"&lt;"&amp;O325,$O$13:$O$324,"&gt;"&amp;N325)&gt;0,"OVERLAP","OK"),"CHECK INPUTS"))</f>
        <v/>
      </c>
      <c r="AA325" s="120">
        <f>IF(AND(J325="OK",ISNUMBER($B$5),$B$5&gt;0,ISNUMBER($B$3),$B$3&gt;0),F325/(6*$B$3*1000000*$B$5)*(IF(B325&lt;($B$4*0/10),($B$4*0/10)*(MIN(C325,($B$4*0/10))^3-B325^3)-(MIN(C325,($B$4*0/10))^4-B325^4)/4,0)+IF(C325&gt;($B$4*0/10),($B$4*0/10)^2*(1.5*(C325^2-MAX(B325,($B$4*0/10))^2)-($B$4*0/10)*(C325-MAX(B325,($B$4*0/10)))),0))*1000,0)</f>
        <v>0</v>
      </c>
      <c r="AB325" s="120">
        <f>IF(AND(J325="OK",ISNUMBER($B$5),$B$5&gt;0,ISNUMBER($B$3),$B$3&gt;0),F325/(6*$B$3*1000000*$B$5)*(IF(B325&lt;($B$4*1/10),($B$4*1/10)*(MIN(C325,($B$4*1/10))^3-B325^3)-(MIN(C325,($B$4*1/10))^4-B325^4)/4,0)+IF(C325&gt;($B$4*1/10),($B$4*1/10)^2*(1.5*(C325^2-MAX(B325,($B$4*1/10))^2)-($B$4*1/10)*(C325-MAX(B325,($B$4*1/10)))),0))*1000,0)</f>
        <v>0</v>
      </c>
      <c r="AC325" s="120">
        <f>IF(AND(J325="OK",ISNUMBER($B$5),$B$5&gt;0,ISNUMBER($B$3),$B$3&gt;0),F325/(6*$B$3*1000000*$B$5)*(IF(B325&lt;($B$4*2/10),($B$4*2/10)*(MIN(C325,($B$4*2/10))^3-B325^3)-(MIN(C325,($B$4*2/10))^4-B325^4)/4,0)+IF(C325&gt;($B$4*2/10),($B$4*2/10)^2*(1.5*(C325^2-MAX(B325,($B$4*2/10))^2)-($B$4*2/10)*(C325-MAX(B325,($B$4*2/10)))),0))*1000,0)</f>
        <v>0</v>
      </c>
      <c r="AD325" s="120">
        <f>IF(AND(J325="OK",ISNUMBER($B$5),$B$5&gt;0,ISNUMBER($B$3),$B$3&gt;0),F325/(6*$B$3*1000000*$B$5)*(IF(B325&lt;($B$4*3/10),($B$4*3/10)*(MIN(C325,($B$4*3/10))^3-B325^3)-(MIN(C325,($B$4*3/10))^4-B325^4)/4,0)+IF(C325&gt;($B$4*3/10),($B$4*3/10)^2*(1.5*(C325^2-MAX(B325,($B$4*3/10))^2)-($B$4*3/10)*(C325-MAX(B325,($B$4*3/10)))),0))*1000,0)</f>
        <v>0</v>
      </c>
      <c r="AE325" s="120">
        <f>IF(AND(J325="OK",ISNUMBER($B$5),$B$5&gt;0,ISNUMBER($B$3),$B$3&gt;0),F325/(6*$B$3*1000000*$B$5)*(IF(B325&lt;($B$4*4/10),($B$4*4/10)*(MIN(C325,($B$4*4/10))^3-B325^3)-(MIN(C325,($B$4*4/10))^4-B325^4)/4,0)+IF(C325&gt;($B$4*4/10),($B$4*4/10)^2*(1.5*(C325^2-MAX(B325,($B$4*4/10))^2)-($B$4*4/10)*(C325-MAX(B325,($B$4*4/10)))),0))*1000,0)</f>
        <v>0</v>
      </c>
      <c r="AF325" s="120">
        <f>IF(AND(J325="OK",ISNUMBER($B$5),$B$5&gt;0,ISNUMBER($B$3),$B$3&gt;0),F325/(6*$B$3*1000000*$B$5)*(IF(B325&lt;($B$4*5/10),($B$4*5/10)*(MIN(C325,($B$4*5/10))^3-B325^3)-(MIN(C325,($B$4*5/10))^4-B325^4)/4,0)+IF(C325&gt;($B$4*5/10),($B$4*5/10)^2*(1.5*(C325^2-MAX(B325,($B$4*5/10))^2)-($B$4*5/10)*(C325-MAX(B325,($B$4*5/10)))),0))*1000,0)</f>
        <v>0</v>
      </c>
      <c r="AG325" s="120">
        <f>IF(AND(J325="OK",ISNUMBER($B$5),$B$5&gt;0,ISNUMBER($B$3),$B$3&gt;0),F325/(6*$B$3*1000000*$B$5)*(IF(B325&lt;($B$4*6/10),($B$4*6/10)*(MIN(C325,($B$4*6/10))^3-B325^3)-(MIN(C325,($B$4*6/10))^4-B325^4)/4,0)+IF(C325&gt;($B$4*6/10),($B$4*6/10)^2*(1.5*(C325^2-MAX(B325,($B$4*6/10))^2)-($B$4*6/10)*(C325-MAX(B325,($B$4*6/10)))),0))*1000,0)</f>
        <v>0</v>
      </c>
      <c r="AH325" s="120">
        <f>IF(AND(J325="OK",ISNUMBER($B$5),$B$5&gt;0,ISNUMBER($B$3),$B$3&gt;0),F325/(6*$B$3*1000000*$B$5)*(IF(B325&lt;($B$4*7/10),($B$4*7/10)*(MIN(C325,($B$4*7/10))^3-B325^3)-(MIN(C325,($B$4*7/10))^4-B325^4)/4,0)+IF(C325&gt;($B$4*7/10),($B$4*7/10)^2*(1.5*(C325^2-MAX(B325,($B$4*7/10))^2)-($B$4*7/10)*(C325-MAX(B325,($B$4*7/10)))),0))*1000,0)</f>
        <v>0</v>
      </c>
      <c r="AI325" s="120">
        <f>IF(AND(J325="OK",ISNUMBER($B$5),$B$5&gt;0,ISNUMBER($B$3),$B$3&gt;0),F325/(6*$B$3*1000000*$B$5)*(IF(B325&lt;($B$4*8/10),($B$4*8/10)*(MIN(C325,($B$4*8/10))^3-B325^3)-(MIN(C325,($B$4*8/10))^4-B325^4)/4,0)+IF(C325&gt;($B$4*8/10),($B$4*8/10)^2*(1.5*(C325^2-MAX(B325,($B$4*8/10))^2)-($B$4*8/10)*(C325-MAX(B325,($B$4*8/10)))),0))*1000,0)</f>
        <v>0</v>
      </c>
      <c r="AJ325" s="120">
        <f>IF(AND(J325="OK",ISNUMBER($B$5),$B$5&gt;0,ISNUMBER($B$3),$B$3&gt;0),F325/(6*$B$3*1000000*$B$5)*(IF(B325&lt;($B$4*9/10),($B$4*9/10)*(MIN(C325,($B$4*9/10))^3-B325^3)-(MIN(C325,($B$4*9/10))^4-B325^4)/4,0)+IF(C325&gt;($B$4*9/10),($B$4*9/10)^2*(1.5*(C325^2-MAX(B325,($B$4*9/10))^2)-($B$4*9/10)*(C325-MAX(B325,($B$4*9/10)))),0))*1000,0)</f>
        <v>0</v>
      </c>
      <c r="AK325" s="120">
        <f>IF(AND(J325="OK",ISNUMBER($B$5),$B$5&gt;0,ISNUMBER($B$3),$B$3&gt;0),F325/(6*$B$3*1000000*$B$5)*(IF(B325&lt;($B$4*10/10),($B$4*10/10)*(MIN(C325,($B$4*10/10))^3-B325^3)-(MIN(C325,($B$4*10/10))^4-B325^4)/4,0)+IF(C325&gt;($B$4*10/10),($B$4*10/10)^2*(1.5*(C325^2-MAX(B325,($B$4*10/10))^2)-($B$4*10/10)*(C325-MAX(B325,($B$4*10/10)))),0))*1000,0)</f>
        <v>0</v>
      </c>
      <c r="AM325" s="120">
        <f>IF(AND(V325="OK",ISNUMBER($N$5),$N$5&gt;0,ISNUMBER($N$3),$N$3&gt;0),R325/(6*$N$3*1000000*$N$5)*(IF(N325&lt;($N$4*0/10),($N$4*0/10)*(MIN(O325,($N$4*0/10))^3-N325^3)-(MIN(O325,($N$4*0/10))^4-N325^4)/4,0)+IF(O325&gt;($N$4*0/10),($N$4*0/10)^2*(1.5*(O325^2-MAX(N325,($N$4*0/10))^2)-($N$4*0/10)*(O325-MAX(N325,($N$4*0/10)))),0))*1000,0)</f>
        <v>0</v>
      </c>
      <c r="AN325" s="120">
        <f>IF(AND(V325="OK",ISNUMBER($N$5),$N$5&gt;0,ISNUMBER($N$3),$N$3&gt;0),R325/(6*$N$3*1000000*$N$5)*(IF(N325&lt;($N$4*1/10),($N$4*1/10)*(MIN(O325,($N$4*1/10))^3-N325^3)-(MIN(O325,($N$4*1/10))^4-N325^4)/4,0)+IF(O325&gt;($N$4*1/10),($N$4*1/10)^2*(1.5*(O325^2-MAX(N325,($N$4*1/10))^2)-($N$4*1/10)*(O325-MAX(N325,($N$4*1/10)))),0))*1000,0)</f>
        <v>0</v>
      </c>
      <c r="AO325" s="120">
        <f>IF(AND(V325="OK",ISNUMBER($N$5),$N$5&gt;0,ISNUMBER($N$3),$N$3&gt;0),R325/(6*$N$3*1000000*$N$5)*(IF(N325&lt;($N$4*2/10),($N$4*2/10)*(MIN(O325,($N$4*2/10))^3-N325^3)-(MIN(O325,($N$4*2/10))^4-N325^4)/4,0)+IF(O325&gt;($N$4*2/10),($N$4*2/10)^2*(1.5*(O325^2-MAX(N325,($N$4*2/10))^2)-($N$4*2/10)*(O325-MAX(N325,($N$4*2/10)))),0))*1000,0)</f>
        <v>0</v>
      </c>
      <c r="AP325" s="120">
        <f>IF(AND(V325="OK",ISNUMBER($N$5),$N$5&gt;0,ISNUMBER($N$3),$N$3&gt;0),R325/(6*$N$3*1000000*$N$5)*(IF(N325&lt;($N$4*3/10),($N$4*3/10)*(MIN(O325,($N$4*3/10))^3-N325^3)-(MIN(O325,($N$4*3/10))^4-N325^4)/4,0)+IF(O325&gt;($N$4*3/10),($N$4*3/10)^2*(1.5*(O325^2-MAX(N325,($N$4*3/10))^2)-($N$4*3/10)*(O325-MAX(N325,($N$4*3/10)))),0))*1000,0)</f>
        <v>0</v>
      </c>
      <c r="AQ325" s="120">
        <f>IF(AND(V325="OK",ISNUMBER($N$5),$N$5&gt;0,ISNUMBER($N$3),$N$3&gt;0),R325/(6*$N$3*1000000*$N$5)*(IF(N325&lt;($N$4*4/10),($N$4*4/10)*(MIN(O325,($N$4*4/10))^3-N325^3)-(MIN(O325,($N$4*4/10))^4-N325^4)/4,0)+IF(O325&gt;($N$4*4/10),($N$4*4/10)^2*(1.5*(O325^2-MAX(N325,($N$4*4/10))^2)-($N$4*4/10)*(O325-MAX(N325,($N$4*4/10)))),0))*1000,0)</f>
        <v>0</v>
      </c>
      <c r="AR325" s="120">
        <f>IF(AND(V325="OK",ISNUMBER($N$5),$N$5&gt;0,ISNUMBER($N$3),$N$3&gt;0),R325/(6*$N$3*1000000*$N$5)*(IF(N325&lt;($N$4*5/10),($N$4*5/10)*(MIN(O325,($N$4*5/10))^3-N325^3)-(MIN(O325,($N$4*5/10))^4-N325^4)/4,0)+IF(O325&gt;($N$4*5/10),($N$4*5/10)^2*(1.5*(O325^2-MAX(N325,($N$4*5/10))^2)-($N$4*5/10)*(O325-MAX(N325,($N$4*5/10)))),0))*1000,0)</f>
        <v>0</v>
      </c>
      <c r="AS325" s="120">
        <f>IF(AND(V325="OK",ISNUMBER($N$5),$N$5&gt;0,ISNUMBER($N$3),$N$3&gt;0),R325/(6*$N$3*1000000*$N$5)*(IF(N325&lt;($N$4*6/10),($N$4*6/10)*(MIN(O325,($N$4*6/10))^3-N325^3)-(MIN(O325,($N$4*6/10))^4-N325^4)/4,0)+IF(O325&gt;($N$4*6/10),($N$4*6/10)^2*(1.5*(O325^2-MAX(N325,($N$4*6/10))^2)-($N$4*6/10)*(O325-MAX(N325,($N$4*6/10)))),0))*1000,0)</f>
        <v>0</v>
      </c>
      <c r="AT325" s="120">
        <f>IF(AND(V325="OK",ISNUMBER($N$5),$N$5&gt;0,ISNUMBER($N$3),$N$3&gt;0),R325/(6*$N$3*1000000*$N$5)*(IF(N325&lt;($N$4*7/10),($N$4*7/10)*(MIN(O325,($N$4*7/10))^3-N325^3)-(MIN(O325,($N$4*7/10))^4-N325^4)/4,0)+IF(O325&gt;($N$4*7/10),($N$4*7/10)^2*(1.5*(O325^2-MAX(N325,($N$4*7/10))^2)-($N$4*7/10)*(O325-MAX(N325,($N$4*7/10)))),0))*1000,0)</f>
        <v>0</v>
      </c>
      <c r="AU325" s="120">
        <f>IF(AND(V325="OK",ISNUMBER($N$5),$N$5&gt;0,ISNUMBER($N$3),$N$3&gt;0),R325/(6*$N$3*1000000*$N$5)*(IF(N325&lt;($N$4*8/10),($N$4*8/10)*(MIN(O325,($N$4*8/10))^3-N325^3)-(MIN(O325,($N$4*8/10))^4-N325^4)/4,0)+IF(O325&gt;($N$4*8/10),($N$4*8/10)^2*(1.5*(O325^2-MAX(N325,($N$4*8/10))^2)-($N$4*8/10)*(O325-MAX(N325,($N$4*8/10)))),0))*1000,0)</f>
        <v>0</v>
      </c>
      <c r="AV325" s="120">
        <f>IF(AND(V325="OK",ISNUMBER($N$5),$N$5&gt;0,ISNUMBER($N$3),$N$3&gt;0),R325/(6*$N$3*1000000*$N$5)*(IF(N325&lt;($N$4*9/10),($N$4*9/10)*(MIN(O325,($N$4*9/10))^3-N325^3)-(MIN(O325,($N$4*9/10))^4-N325^4)/4,0)+IF(O325&gt;($N$4*9/10),($N$4*9/10)^2*(1.5*(O325^2-MAX(N325,($N$4*9/10))^2)-($N$4*9/10)*(O325-MAX(N325,($N$4*9/10)))),0))*1000,0)</f>
        <v>0</v>
      </c>
      <c r="AW325" s="120">
        <f>IF(AND(V325="OK",ISNUMBER($N$5),$N$5&gt;0,ISNUMBER($N$3),$N$3&gt;0),R325/(6*$N$3*1000000*$N$5)*(IF(N325&lt;($N$4*10/10),($N$4*10/10)*(MIN(O325,($N$4*10/10))^3-N325^3)-(MIN(O325,($N$4*10/10))^4-N325^4)/4,0)+IF(O325&gt;($N$4*10/10),($N$4*10/10)^2*(1.5*(O325^2-MAX(N325,($N$4*10/10))^2)-($N$4*10/10)*(O325-MAX(N325,($N$4*10/10)))),0))*1000,0)</f>
        <v>0</v>
      </c>
    </row>
    <row r="326" spans="1:49">
      <c r="A326" s="124"/>
      <c r="B326" s="125"/>
      <c r="C326" s="125"/>
      <c r="D326" s="125"/>
      <c r="E326" s="125"/>
      <c r="F326" s="126" t="str">
        <f>IF(J326="OK",D326*E326,"")</f>
        <v/>
      </c>
      <c r="G326" s="126" t="str">
        <f>IF(J326="OK",F326*(C326-B326),"")</f>
        <v/>
      </c>
      <c r="H326" s="126" t="str">
        <f>IF(J326="OK",G326*(C326+B326)/2,"")</f>
        <v/>
      </c>
      <c r="I326" s="126" t="str">
        <f>IF(AND(J326="OK",ISNUMBER($B$5),$B$5&gt;0,ISNUMBER($B$3),$B$3&gt;0),F326*(4*$B$4*(C326^3-B326^3)-(C326^4-B326^4))/(24*$B$3*1000000*$B$5)*1000,"")</f>
        <v/>
      </c>
      <c r="J326" s="120" t="str">
        <f>IF(COUNTA(A326:E326)=0,"",IF(AND(COUNT(B326:E326)=4,B326&gt;=0,C326&gt;B326,C326&lt;=$B$4,D326&gt;=0,E326&gt;0),IF(COUNTIFS($B$13:$B$325,"&lt;"&amp;C326,$C$13:$C$325,"&gt;"&amp;B326)&gt;0,"OVERLAP","OK"),"CHECK INPUTS"))</f>
        <v/>
      </c>
      <c r="M326" s="124"/>
      <c r="N326" s="125"/>
      <c r="O326" s="125"/>
      <c r="P326" s="125"/>
      <c r="Q326" s="125"/>
      <c r="R326" s="126" t="str">
        <f>IF(V326="OK",P326*Q326,"")</f>
        <v/>
      </c>
      <c r="S326" s="126" t="str">
        <f>IF(V326="OK",R326*(O326-N326),"")</f>
        <v/>
      </c>
      <c r="T326" s="126" t="str">
        <f>IF(V326="OK",S326*(O326+N326)/2,"")</f>
        <v/>
      </c>
      <c r="U326" s="126" t="str">
        <f>IF(AND(V326="OK",ISNUMBER($N$5),$N$5&gt;0,ISNUMBER($N$3),$N$3&gt;0),R326*(4*$N$4*(O326^3-N326^3)-(O326^4-N326^4))/(24*$N$3*1000000*$N$5)*1000,"")</f>
        <v/>
      </c>
      <c r="V326" s="120" t="str">
        <f>IF(COUNTA(M326:Q326)=0,"",IF(AND(COUNT(N326:Q326)=4,N326&gt;=0,O326&gt;N326,O326&lt;=$N$4,P326&gt;=0,Q326&gt;0),IF(COUNTIFS($N$13:$N$325,"&lt;"&amp;O326,$O$13:$O$325,"&gt;"&amp;N326)&gt;0,"OVERLAP","OK"),"CHECK INPUTS"))</f>
        <v/>
      </c>
      <c r="AA326" s="120">
        <f>IF(AND(J326="OK",ISNUMBER($B$5),$B$5&gt;0,ISNUMBER($B$3),$B$3&gt;0),F326/(6*$B$3*1000000*$B$5)*(IF(B326&lt;($B$4*0/10),($B$4*0/10)*(MIN(C326,($B$4*0/10))^3-B326^3)-(MIN(C326,($B$4*0/10))^4-B326^4)/4,0)+IF(C326&gt;($B$4*0/10),($B$4*0/10)^2*(1.5*(C326^2-MAX(B326,($B$4*0/10))^2)-($B$4*0/10)*(C326-MAX(B326,($B$4*0/10)))),0))*1000,0)</f>
        <v>0</v>
      </c>
      <c r="AB326" s="120">
        <f>IF(AND(J326="OK",ISNUMBER($B$5),$B$5&gt;0,ISNUMBER($B$3),$B$3&gt;0),F326/(6*$B$3*1000000*$B$5)*(IF(B326&lt;($B$4*1/10),($B$4*1/10)*(MIN(C326,($B$4*1/10))^3-B326^3)-(MIN(C326,($B$4*1/10))^4-B326^4)/4,0)+IF(C326&gt;($B$4*1/10),($B$4*1/10)^2*(1.5*(C326^2-MAX(B326,($B$4*1/10))^2)-($B$4*1/10)*(C326-MAX(B326,($B$4*1/10)))),0))*1000,0)</f>
        <v>0</v>
      </c>
      <c r="AC326" s="120">
        <f>IF(AND(J326="OK",ISNUMBER($B$5),$B$5&gt;0,ISNUMBER($B$3),$B$3&gt;0),F326/(6*$B$3*1000000*$B$5)*(IF(B326&lt;($B$4*2/10),($B$4*2/10)*(MIN(C326,($B$4*2/10))^3-B326^3)-(MIN(C326,($B$4*2/10))^4-B326^4)/4,0)+IF(C326&gt;($B$4*2/10),($B$4*2/10)^2*(1.5*(C326^2-MAX(B326,($B$4*2/10))^2)-($B$4*2/10)*(C326-MAX(B326,($B$4*2/10)))),0))*1000,0)</f>
        <v>0</v>
      </c>
      <c r="AD326" s="120">
        <f>IF(AND(J326="OK",ISNUMBER($B$5),$B$5&gt;0,ISNUMBER($B$3),$B$3&gt;0),F326/(6*$B$3*1000000*$B$5)*(IF(B326&lt;($B$4*3/10),($B$4*3/10)*(MIN(C326,($B$4*3/10))^3-B326^3)-(MIN(C326,($B$4*3/10))^4-B326^4)/4,0)+IF(C326&gt;($B$4*3/10),($B$4*3/10)^2*(1.5*(C326^2-MAX(B326,($B$4*3/10))^2)-($B$4*3/10)*(C326-MAX(B326,($B$4*3/10)))),0))*1000,0)</f>
        <v>0</v>
      </c>
      <c r="AE326" s="120">
        <f>IF(AND(J326="OK",ISNUMBER($B$5),$B$5&gt;0,ISNUMBER($B$3),$B$3&gt;0),F326/(6*$B$3*1000000*$B$5)*(IF(B326&lt;($B$4*4/10),($B$4*4/10)*(MIN(C326,($B$4*4/10))^3-B326^3)-(MIN(C326,($B$4*4/10))^4-B326^4)/4,0)+IF(C326&gt;($B$4*4/10),($B$4*4/10)^2*(1.5*(C326^2-MAX(B326,($B$4*4/10))^2)-($B$4*4/10)*(C326-MAX(B326,($B$4*4/10)))),0))*1000,0)</f>
        <v>0</v>
      </c>
      <c r="AF326" s="120">
        <f>IF(AND(J326="OK",ISNUMBER($B$5),$B$5&gt;0,ISNUMBER($B$3),$B$3&gt;0),F326/(6*$B$3*1000000*$B$5)*(IF(B326&lt;($B$4*5/10),($B$4*5/10)*(MIN(C326,($B$4*5/10))^3-B326^3)-(MIN(C326,($B$4*5/10))^4-B326^4)/4,0)+IF(C326&gt;($B$4*5/10),($B$4*5/10)^2*(1.5*(C326^2-MAX(B326,($B$4*5/10))^2)-($B$4*5/10)*(C326-MAX(B326,($B$4*5/10)))),0))*1000,0)</f>
        <v>0</v>
      </c>
      <c r="AG326" s="120">
        <f>IF(AND(J326="OK",ISNUMBER($B$5),$B$5&gt;0,ISNUMBER($B$3),$B$3&gt;0),F326/(6*$B$3*1000000*$B$5)*(IF(B326&lt;($B$4*6/10),($B$4*6/10)*(MIN(C326,($B$4*6/10))^3-B326^3)-(MIN(C326,($B$4*6/10))^4-B326^4)/4,0)+IF(C326&gt;($B$4*6/10),($B$4*6/10)^2*(1.5*(C326^2-MAX(B326,($B$4*6/10))^2)-($B$4*6/10)*(C326-MAX(B326,($B$4*6/10)))),0))*1000,0)</f>
        <v>0</v>
      </c>
      <c r="AH326" s="120">
        <f>IF(AND(J326="OK",ISNUMBER($B$5),$B$5&gt;0,ISNUMBER($B$3),$B$3&gt;0),F326/(6*$B$3*1000000*$B$5)*(IF(B326&lt;($B$4*7/10),($B$4*7/10)*(MIN(C326,($B$4*7/10))^3-B326^3)-(MIN(C326,($B$4*7/10))^4-B326^4)/4,0)+IF(C326&gt;($B$4*7/10),($B$4*7/10)^2*(1.5*(C326^2-MAX(B326,($B$4*7/10))^2)-($B$4*7/10)*(C326-MAX(B326,($B$4*7/10)))),0))*1000,0)</f>
        <v>0</v>
      </c>
      <c r="AI326" s="120">
        <f>IF(AND(J326="OK",ISNUMBER($B$5),$B$5&gt;0,ISNUMBER($B$3),$B$3&gt;0),F326/(6*$B$3*1000000*$B$5)*(IF(B326&lt;($B$4*8/10),($B$4*8/10)*(MIN(C326,($B$4*8/10))^3-B326^3)-(MIN(C326,($B$4*8/10))^4-B326^4)/4,0)+IF(C326&gt;($B$4*8/10),($B$4*8/10)^2*(1.5*(C326^2-MAX(B326,($B$4*8/10))^2)-($B$4*8/10)*(C326-MAX(B326,($B$4*8/10)))),0))*1000,0)</f>
        <v>0</v>
      </c>
      <c r="AJ326" s="120">
        <f>IF(AND(J326="OK",ISNUMBER($B$5),$B$5&gt;0,ISNUMBER($B$3),$B$3&gt;0),F326/(6*$B$3*1000000*$B$5)*(IF(B326&lt;($B$4*9/10),($B$4*9/10)*(MIN(C326,($B$4*9/10))^3-B326^3)-(MIN(C326,($B$4*9/10))^4-B326^4)/4,0)+IF(C326&gt;($B$4*9/10),($B$4*9/10)^2*(1.5*(C326^2-MAX(B326,($B$4*9/10))^2)-($B$4*9/10)*(C326-MAX(B326,($B$4*9/10)))),0))*1000,0)</f>
        <v>0</v>
      </c>
      <c r="AK326" s="120">
        <f>IF(AND(J326="OK",ISNUMBER($B$5),$B$5&gt;0,ISNUMBER($B$3),$B$3&gt;0),F326/(6*$B$3*1000000*$B$5)*(IF(B326&lt;($B$4*10/10),($B$4*10/10)*(MIN(C326,($B$4*10/10))^3-B326^3)-(MIN(C326,($B$4*10/10))^4-B326^4)/4,0)+IF(C326&gt;($B$4*10/10),($B$4*10/10)^2*(1.5*(C326^2-MAX(B326,($B$4*10/10))^2)-($B$4*10/10)*(C326-MAX(B326,($B$4*10/10)))),0))*1000,0)</f>
        <v>0</v>
      </c>
      <c r="AM326" s="120">
        <f>IF(AND(V326="OK",ISNUMBER($N$5),$N$5&gt;0,ISNUMBER($N$3),$N$3&gt;0),R326/(6*$N$3*1000000*$N$5)*(IF(N326&lt;($N$4*0/10),($N$4*0/10)*(MIN(O326,($N$4*0/10))^3-N326^3)-(MIN(O326,($N$4*0/10))^4-N326^4)/4,0)+IF(O326&gt;($N$4*0/10),($N$4*0/10)^2*(1.5*(O326^2-MAX(N326,($N$4*0/10))^2)-($N$4*0/10)*(O326-MAX(N326,($N$4*0/10)))),0))*1000,0)</f>
        <v>0</v>
      </c>
      <c r="AN326" s="120">
        <f>IF(AND(V326="OK",ISNUMBER($N$5),$N$5&gt;0,ISNUMBER($N$3),$N$3&gt;0),R326/(6*$N$3*1000000*$N$5)*(IF(N326&lt;($N$4*1/10),($N$4*1/10)*(MIN(O326,($N$4*1/10))^3-N326^3)-(MIN(O326,($N$4*1/10))^4-N326^4)/4,0)+IF(O326&gt;($N$4*1/10),($N$4*1/10)^2*(1.5*(O326^2-MAX(N326,($N$4*1/10))^2)-($N$4*1/10)*(O326-MAX(N326,($N$4*1/10)))),0))*1000,0)</f>
        <v>0</v>
      </c>
      <c r="AO326" s="120">
        <f>IF(AND(V326="OK",ISNUMBER($N$5),$N$5&gt;0,ISNUMBER($N$3),$N$3&gt;0),R326/(6*$N$3*1000000*$N$5)*(IF(N326&lt;($N$4*2/10),($N$4*2/10)*(MIN(O326,($N$4*2/10))^3-N326^3)-(MIN(O326,($N$4*2/10))^4-N326^4)/4,0)+IF(O326&gt;($N$4*2/10),($N$4*2/10)^2*(1.5*(O326^2-MAX(N326,($N$4*2/10))^2)-($N$4*2/10)*(O326-MAX(N326,($N$4*2/10)))),0))*1000,0)</f>
        <v>0</v>
      </c>
      <c r="AP326" s="120">
        <f>IF(AND(V326="OK",ISNUMBER($N$5),$N$5&gt;0,ISNUMBER($N$3),$N$3&gt;0),R326/(6*$N$3*1000000*$N$5)*(IF(N326&lt;($N$4*3/10),($N$4*3/10)*(MIN(O326,($N$4*3/10))^3-N326^3)-(MIN(O326,($N$4*3/10))^4-N326^4)/4,0)+IF(O326&gt;($N$4*3/10),($N$4*3/10)^2*(1.5*(O326^2-MAX(N326,($N$4*3/10))^2)-($N$4*3/10)*(O326-MAX(N326,($N$4*3/10)))),0))*1000,0)</f>
        <v>0</v>
      </c>
      <c r="AQ326" s="120">
        <f>IF(AND(V326="OK",ISNUMBER($N$5),$N$5&gt;0,ISNUMBER($N$3),$N$3&gt;0),R326/(6*$N$3*1000000*$N$5)*(IF(N326&lt;($N$4*4/10),($N$4*4/10)*(MIN(O326,($N$4*4/10))^3-N326^3)-(MIN(O326,($N$4*4/10))^4-N326^4)/4,0)+IF(O326&gt;($N$4*4/10),($N$4*4/10)^2*(1.5*(O326^2-MAX(N326,($N$4*4/10))^2)-($N$4*4/10)*(O326-MAX(N326,($N$4*4/10)))),0))*1000,0)</f>
        <v>0</v>
      </c>
      <c r="AR326" s="120">
        <f>IF(AND(V326="OK",ISNUMBER($N$5),$N$5&gt;0,ISNUMBER($N$3),$N$3&gt;0),R326/(6*$N$3*1000000*$N$5)*(IF(N326&lt;($N$4*5/10),($N$4*5/10)*(MIN(O326,($N$4*5/10))^3-N326^3)-(MIN(O326,($N$4*5/10))^4-N326^4)/4,0)+IF(O326&gt;($N$4*5/10),($N$4*5/10)^2*(1.5*(O326^2-MAX(N326,($N$4*5/10))^2)-($N$4*5/10)*(O326-MAX(N326,($N$4*5/10)))),0))*1000,0)</f>
        <v>0</v>
      </c>
      <c r="AS326" s="120">
        <f>IF(AND(V326="OK",ISNUMBER($N$5),$N$5&gt;0,ISNUMBER($N$3),$N$3&gt;0),R326/(6*$N$3*1000000*$N$5)*(IF(N326&lt;($N$4*6/10),($N$4*6/10)*(MIN(O326,($N$4*6/10))^3-N326^3)-(MIN(O326,($N$4*6/10))^4-N326^4)/4,0)+IF(O326&gt;($N$4*6/10),($N$4*6/10)^2*(1.5*(O326^2-MAX(N326,($N$4*6/10))^2)-($N$4*6/10)*(O326-MAX(N326,($N$4*6/10)))),0))*1000,0)</f>
        <v>0</v>
      </c>
      <c r="AT326" s="120">
        <f>IF(AND(V326="OK",ISNUMBER($N$5),$N$5&gt;0,ISNUMBER($N$3),$N$3&gt;0),R326/(6*$N$3*1000000*$N$5)*(IF(N326&lt;($N$4*7/10),($N$4*7/10)*(MIN(O326,($N$4*7/10))^3-N326^3)-(MIN(O326,($N$4*7/10))^4-N326^4)/4,0)+IF(O326&gt;($N$4*7/10),($N$4*7/10)^2*(1.5*(O326^2-MAX(N326,($N$4*7/10))^2)-($N$4*7/10)*(O326-MAX(N326,($N$4*7/10)))),0))*1000,0)</f>
        <v>0</v>
      </c>
      <c r="AU326" s="120">
        <f>IF(AND(V326="OK",ISNUMBER($N$5),$N$5&gt;0,ISNUMBER($N$3),$N$3&gt;0),R326/(6*$N$3*1000000*$N$5)*(IF(N326&lt;($N$4*8/10),($N$4*8/10)*(MIN(O326,($N$4*8/10))^3-N326^3)-(MIN(O326,($N$4*8/10))^4-N326^4)/4,0)+IF(O326&gt;($N$4*8/10),($N$4*8/10)^2*(1.5*(O326^2-MAX(N326,($N$4*8/10))^2)-($N$4*8/10)*(O326-MAX(N326,($N$4*8/10)))),0))*1000,0)</f>
        <v>0</v>
      </c>
      <c r="AV326" s="120">
        <f>IF(AND(V326="OK",ISNUMBER($N$5),$N$5&gt;0,ISNUMBER($N$3),$N$3&gt;0),R326/(6*$N$3*1000000*$N$5)*(IF(N326&lt;($N$4*9/10),($N$4*9/10)*(MIN(O326,($N$4*9/10))^3-N326^3)-(MIN(O326,($N$4*9/10))^4-N326^4)/4,0)+IF(O326&gt;($N$4*9/10),($N$4*9/10)^2*(1.5*(O326^2-MAX(N326,($N$4*9/10))^2)-($N$4*9/10)*(O326-MAX(N326,($N$4*9/10)))),0))*1000,0)</f>
        <v>0</v>
      </c>
      <c r="AW326" s="120">
        <f>IF(AND(V326="OK",ISNUMBER($N$5),$N$5&gt;0,ISNUMBER($N$3),$N$3&gt;0),R326/(6*$N$3*1000000*$N$5)*(IF(N326&lt;($N$4*10/10),($N$4*10/10)*(MIN(O326,($N$4*10/10))^3-N326^3)-(MIN(O326,($N$4*10/10))^4-N326^4)/4,0)+IF(O326&gt;($N$4*10/10),($N$4*10/10)^2*(1.5*(O326^2-MAX(N326,($N$4*10/10))^2)-($N$4*10/10)*(O326-MAX(N326,($N$4*10/10)))),0))*1000,0)</f>
        <v>0</v>
      </c>
    </row>
    <row r="327" spans="1:49">
      <c r="A327" s="124"/>
      <c r="B327" s="125"/>
      <c r="C327" s="125"/>
      <c r="D327" s="125"/>
      <c r="E327" s="125"/>
      <c r="F327" s="126" t="str">
        <f>IF(J327="OK",D327*E327,"")</f>
        <v/>
      </c>
      <c r="G327" s="126" t="str">
        <f>IF(J327="OK",F327*(C327-B327),"")</f>
        <v/>
      </c>
      <c r="H327" s="126" t="str">
        <f>IF(J327="OK",G327*(C327+B327)/2,"")</f>
        <v/>
      </c>
      <c r="I327" s="126" t="str">
        <f>IF(AND(J327="OK",ISNUMBER($B$5),$B$5&gt;0,ISNUMBER($B$3),$B$3&gt;0),F327*(4*$B$4*(C327^3-B327^3)-(C327^4-B327^4))/(24*$B$3*1000000*$B$5)*1000,"")</f>
        <v/>
      </c>
      <c r="J327" s="120" t="str">
        <f>IF(COUNTA(A327:E327)=0,"",IF(AND(COUNT(B327:E327)=4,B327&gt;=0,C327&gt;B327,C327&lt;=$B$4,D327&gt;=0,E327&gt;0),IF(COUNTIFS($B$13:$B$326,"&lt;"&amp;C327,$C$13:$C$326,"&gt;"&amp;B327)&gt;0,"OVERLAP","OK"),"CHECK INPUTS"))</f>
        <v/>
      </c>
      <c r="M327" s="124"/>
      <c r="N327" s="125"/>
      <c r="O327" s="125"/>
      <c r="P327" s="125"/>
      <c r="Q327" s="125"/>
      <c r="R327" s="126" t="str">
        <f>IF(V327="OK",P327*Q327,"")</f>
        <v/>
      </c>
      <c r="S327" s="126" t="str">
        <f>IF(V327="OK",R327*(O327-N327),"")</f>
        <v/>
      </c>
      <c r="T327" s="126" t="str">
        <f>IF(V327="OK",S327*(O327+N327)/2,"")</f>
        <v/>
      </c>
      <c r="U327" s="126" t="str">
        <f>IF(AND(V327="OK",ISNUMBER($N$5),$N$5&gt;0,ISNUMBER($N$3),$N$3&gt;0),R327*(4*$N$4*(O327^3-N327^3)-(O327^4-N327^4))/(24*$N$3*1000000*$N$5)*1000,"")</f>
        <v/>
      </c>
      <c r="V327" s="120" t="str">
        <f>IF(COUNTA(M327:Q327)=0,"",IF(AND(COUNT(N327:Q327)=4,N327&gt;=0,O327&gt;N327,O327&lt;=$N$4,P327&gt;=0,Q327&gt;0),IF(COUNTIFS($N$13:$N$326,"&lt;"&amp;O327,$O$13:$O$326,"&gt;"&amp;N327)&gt;0,"OVERLAP","OK"),"CHECK INPUTS"))</f>
        <v/>
      </c>
      <c r="AA327" s="120">
        <f>IF(AND(J327="OK",ISNUMBER($B$5),$B$5&gt;0,ISNUMBER($B$3),$B$3&gt;0),F327/(6*$B$3*1000000*$B$5)*(IF(B327&lt;($B$4*0/10),($B$4*0/10)*(MIN(C327,($B$4*0/10))^3-B327^3)-(MIN(C327,($B$4*0/10))^4-B327^4)/4,0)+IF(C327&gt;($B$4*0/10),($B$4*0/10)^2*(1.5*(C327^2-MAX(B327,($B$4*0/10))^2)-($B$4*0/10)*(C327-MAX(B327,($B$4*0/10)))),0))*1000,0)</f>
        <v>0</v>
      </c>
      <c r="AB327" s="120">
        <f>IF(AND(J327="OK",ISNUMBER($B$5),$B$5&gt;0,ISNUMBER($B$3),$B$3&gt;0),F327/(6*$B$3*1000000*$B$5)*(IF(B327&lt;($B$4*1/10),($B$4*1/10)*(MIN(C327,($B$4*1/10))^3-B327^3)-(MIN(C327,($B$4*1/10))^4-B327^4)/4,0)+IF(C327&gt;($B$4*1/10),($B$4*1/10)^2*(1.5*(C327^2-MAX(B327,($B$4*1/10))^2)-($B$4*1/10)*(C327-MAX(B327,($B$4*1/10)))),0))*1000,0)</f>
        <v>0</v>
      </c>
      <c r="AC327" s="120">
        <f>IF(AND(J327="OK",ISNUMBER($B$5),$B$5&gt;0,ISNUMBER($B$3),$B$3&gt;0),F327/(6*$B$3*1000000*$B$5)*(IF(B327&lt;($B$4*2/10),($B$4*2/10)*(MIN(C327,($B$4*2/10))^3-B327^3)-(MIN(C327,($B$4*2/10))^4-B327^4)/4,0)+IF(C327&gt;($B$4*2/10),($B$4*2/10)^2*(1.5*(C327^2-MAX(B327,($B$4*2/10))^2)-($B$4*2/10)*(C327-MAX(B327,($B$4*2/10)))),0))*1000,0)</f>
        <v>0</v>
      </c>
      <c r="AD327" s="120">
        <f>IF(AND(J327="OK",ISNUMBER($B$5),$B$5&gt;0,ISNUMBER($B$3),$B$3&gt;0),F327/(6*$B$3*1000000*$B$5)*(IF(B327&lt;($B$4*3/10),($B$4*3/10)*(MIN(C327,($B$4*3/10))^3-B327^3)-(MIN(C327,($B$4*3/10))^4-B327^4)/4,0)+IF(C327&gt;($B$4*3/10),($B$4*3/10)^2*(1.5*(C327^2-MAX(B327,($B$4*3/10))^2)-($B$4*3/10)*(C327-MAX(B327,($B$4*3/10)))),0))*1000,0)</f>
        <v>0</v>
      </c>
      <c r="AE327" s="120">
        <f>IF(AND(J327="OK",ISNUMBER($B$5),$B$5&gt;0,ISNUMBER($B$3),$B$3&gt;0),F327/(6*$B$3*1000000*$B$5)*(IF(B327&lt;($B$4*4/10),($B$4*4/10)*(MIN(C327,($B$4*4/10))^3-B327^3)-(MIN(C327,($B$4*4/10))^4-B327^4)/4,0)+IF(C327&gt;($B$4*4/10),($B$4*4/10)^2*(1.5*(C327^2-MAX(B327,($B$4*4/10))^2)-($B$4*4/10)*(C327-MAX(B327,($B$4*4/10)))),0))*1000,0)</f>
        <v>0</v>
      </c>
      <c r="AF327" s="120">
        <f>IF(AND(J327="OK",ISNUMBER($B$5),$B$5&gt;0,ISNUMBER($B$3),$B$3&gt;0),F327/(6*$B$3*1000000*$B$5)*(IF(B327&lt;($B$4*5/10),($B$4*5/10)*(MIN(C327,($B$4*5/10))^3-B327^3)-(MIN(C327,($B$4*5/10))^4-B327^4)/4,0)+IF(C327&gt;($B$4*5/10),($B$4*5/10)^2*(1.5*(C327^2-MAX(B327,($B$4*5/10))^2)-($B$4*5/10)*(C327-MAX(B327,($B$4*5/10)))),0))*1000,0)</f>
        <v>0</v>
      </c>
      <c r="AG327" s="120">
        <f>IF(AND(J327="OK",ISNUMBER($B$5),$B$5&gt;0,ISNUMBER($B$3),$B$3&gt;0),F327/(6*$B$3*1000000*$B$5)*(IF(B327&lt;($B$4*6/10),($B$4*6/10)*(MIN(C327,($B$4*6/10))^3-B327^3)-(MIN(C327,($B$4*6/10))^4-B327^4)/4,0)+IF(C327&gt;($B$4*6/10),($B$4*6/10)^2*(1.5*(C327^2-MAX(B327,($B$4*6/10))^2)-($B$4*6/10)*(C327-MAX(B327,($B$4*6/10)))),0))*1000,0)</f>
        <v>0</v>
      </c>
      <c r="AH327" s="120">
        <f>IF(AND(J327="OK",ISNUMBER($B$5),$B$5&gt;0,ISNUMBER($B$3),$B$3&gt;0),F327/(6*$B$3*1000000*$B$5)*(IF(B327&lt;($B$4*7/10),($B$4*7/10)*(MIN(C327,($B$4*7/10))^3-B327^3)-(MIN(C327,($B$4*7/10))^4-B327^4)/4,0)+IF(C327&gt;($B$4*7/10),($B$4*7/10)^2*(1.5*(C327^2-MAX(B327,($B$4*7/10))^2)-($B$4*7/10)*(C327-MAX(B327,($B$4*7/10)))),0))*1000,0)</f>
        <v>0</v>
      </c>
      <c r="AI327" s="120">
        <f>IF(AND(J327="OK",ISNUMBER($B$5),$B$5&gt;0,ISNUMBER($B$3),$B$3&gt;0),F327/(6*$B$3*1000000*$B$5)*(IF(B327&lt;($B$4*8/10),($B$4*8/10)*(MIN(C327,($B$4*8/10))^3-B327^3)-(MIN(C327,($B$4*8/10))^4-B327^4)/4,0)+IF(C327&gt;($B$4*8/10),($B$4*8/10)^2*(1.5*(C327^2-MAX(B327,($B$4*8/10))^2)-($B$4*8/10)*(C327-MAX(B327,($B$4*8/10)))),0))*1000,0)</f>
        <v>0</v>
      </c>
      <c r="AJ327" s="120">
        <f>IF(AND(J327="OK",ISNUMBER($B$5),$B$5&gt;0,ISNUMBER($B$3),$B$3&gt;0),F327/(6*$B$3*1000000*$B$5)*(IF(B327&lt;($B$4*9/10),($B$4*9/10)*(MIN(C327,($B$4*9/10))^3-B327^3)-(MIN(C327,($B$4*9/10))^4-B327^4)/4,0)+IF(C327&gt;($B$4*9/10),($B$4*9/10)^2*(1.5*(C327^2-MAX(B327,($B$4*9/10))^2)-($B$4*9/10)*(C327-MAX(B327,($B$4*9/10)))),0))*1000,0)</f>
        <v>0</v>
      </c>
      <c r="AK327" s="120">
        <f>IF(AND(J327="OK",ISNUMBER($B$5),$B$5&gt;0,ISNUMBER($B$3),$B$3&gt;0),F327/(6*$B$3*1000000*$B$5)*(IF(B327&lt;($B$4*10/10),($B$4*10/10)*(MIN(C327,($B$4*10/10))^3-B327^3)-(MIN(C327,($B$4*10/10))^4-B327^4)/4,0)+IF(C327&gt;($B$4*10/10),($B$4*10/10)^2*(1.5*(C327^2-MAX(B327,($B$4*10/10))^2)-($B$4*10/10)*(C327-MAX(B327,($B$4*10/10)))),0))*1000,0)</f>
        <v>0</v>
      </c>
      <c r="AM327" s="120">
        <f>IF(AND(V327="OK",ISNUMBER($N$5),$N$5&gt;0,ISNUMBER($N$3),$N$3&gt;0),R327/(6*$N$3*1000000*$N$5)*(IF(N327&lt;($N$4*0/10),($N$4*0/10)*(MIN(O327,($N$4*0/10))^3-N327^3)-(MIN(O327,($N$4*0/10))^4-N327^4)/4,0)+IF(O327&gt;($N$4*0/10),($N$4*0/10)^2*(1.5*(O327^2-MAX(N327,($N$4*0/10))^2)-($N$4*0/10)*(O327-MAX(N327,($N$4*0/10)))),0))*1000,0)</f>
        <v>0</v>
      </c>
      <c r="AN327" s="120">
        <f>IF(AND(V327="OK",ISNUMBER($N$5),$N$5&gt;0,ISNUMBER($N$3),$N$3&gt;0),R327/(6*$N$3*1000000*$N$5)*(IF(N327&lt;($N$4*1/10),($N$4*1/10)*(MIN(O327,($N$4*1/10))^3-N327^3)-(MIN(O327,($N$4*1/10))^4-N327^4)/4,0)+IF(O327&gt;($N$4*1/10),($N$4*1/10)^2*(1.5*(O327^2-MAX(N327,($N$4*1/10))^2)-($N$4*1/10)*(O327-MAX(N327,($N$4*1/10)))),0))*1000,0)</f>
        <v>0</v>
      </c>
      <c r="AO327" s="120">
        <f>IF(AND(V327="OK",ISNUMBER($N$5),$N$5&gt;0,ISNUMBER($N$3),$N$3&gt;0),R327/(6*$N$3*1000000*$N$5)*(IF(N327&lt;($N$4*2/10),($N$4*2/10)*(MIN(O327,($N$4*2/10))^3-N327^3)-(MIN(O327,($N$4*2/10))^4-N327^4)/4,0)+IF(O327&gt;($N$4*2/10),($N$4*2/10)^2*(1.5*(O327^2-MAX(N327,($N$4*2/10))^2)-($N$4*2/10)*(O327-MAX(N327,($N$4*2/10)))),0))*1000,0)</f>
        <v>0</v>
      </c>
      <c r="AP327" s="120">
        <f>IF(AND(V327="OK",ISNUMBER($N$5),$N$5&gt;0,ISNUMBER($N$3),$N$3&gt;0),R327/(6*$N$3*1000000*$N$5)*(IF(N327&lt;($N$4*3/10),($N$4*3/10)*(MIN(O327,($N$4*3/10))^3-N327^3)-(MIN(O327,($N$4*3/10))^4-N327^4)/4,0)+IF(O327&gt;($N$4*3/10),($N$4*3/10)^2*(1.5*(O327^2-MAX(N327,($N$4*3/10))^2)-($N$4*3/10)*(O327-MAX(N327,($N$4*3/10)))),0))*1000,0)</f>
        <v>0</v>
      </c>
      <c r="AQ327" s="120">
        <f>IF(AND(V327="OK",ISNUMBER($N$5),$N$5&gt;0,ISNUMBER($N$3),$N$3&gt;0),R327/(6*$N$3*1000000*$N$5)*(IF(N327&lt;($N$4*4/10),($N$4*4/10)*(MIN(O327,($N$4*4/10))^3-N327^3)-(MIN(O327,($N$4*4/10))^4-N327^4)/4,0)+IF(O327&gt;($N$4*4/10),($N$4*4/10)^2*(1.5*(O327^2-MAX(N327,($N$4*4/10))^2)-($N$4*4/10)*(O327-MAX(N327,($N$4*4/10)))),0))*1000,0)</f>
        <v>0</v>
      </c>
      <c r="AR327" s="120">
        <f>IF(AND(V327="OK",ISNUMBER($N$5),$N$5&gt;0,ISNUMBER($N$3),$N$3&gt;0),R327/(6*$N$3*1000000*$N$5)*(IF(N327&lt;($N$4*5/10),($N$4*5/10)*(MIN(O327,($N$4*5/10))^3-N327^3)-(MIN(O327,($N$4*5/10))^4-N327^4)/4,0)+IF(O327&gt;($N$4*5/10),($N$4*5/10)^2*(1.5*(O327^2-MAX(N327,($N$4*5/10))^2)-($N$4*5/10)*(O327-MAX(N327,($N$4*5/10)))),0))*1000,0)</f>
        <v>0</v>
      </c>
      <c r="AS327" s="120">
        <f>IF(AND(V327="OK",ISNUMBER($N$5),$N$5&gt;0,ISNUMBER($N$3),$N$3&gt;0),R327/(6*$N$3*1000000*$N$5)*(IF(N327&lt;($N$4*6/10),($N$4*6/10)*(MIN(O327,($N$4*6/10))^3-N327^3)-(MIN(O327,($N$4*6/10))^4-N327^4)/4,0)+IF(O327&gt;($N$4*6/10),($N$4*6/10)^2*(1.5*(O327^2-MAX(N327,($N$4*6/10))^2)-($N$4*6/10)*(O327-MAX(N327,($N$4*6/10)))),0))*1000,0)</f>
        <v>0</v>
      </c>
      <c r="AT327" s="120">
        <f>IF(AND(V327="OK",ISNUMBER($N$5),$N$5&gt;0,ISNUMBER($N$3),$N$3&gt;0),R327/(6*$N$3*1000000*$N$5)*(IF(N327&lt;($N$4*7/10),($N$4*7/10)*(MIN(O327,($N$4*7/10))^3-N327^3)-(MIN(O327,($N$4*7/10))^4-N327^4)/4,0)+IF(O327&gt;($N$4*7/10),($N$4*7/10)^2*(1.5*(O327^2-MAX(N327,($N$4*7/10))^2)-($N$4*7/10)*(O327-MAX(N327,($N$4*7/10)))),0))*1000,0)</f>
        <v>0</v>
      </c>
      <c r="AU327" s="120">
        <f>IF(AND(V327="OK",ISNUMBER($N$5),$N$5&gt;0,ISNUMBER($N$3),$N$3&gt;0),R327/(6*$N$3*1000000*$N$5)*(IF(N327&lt;($N$4*8/10),($N$4*8/10)*(MIN(O327,($N$4*8/10))^3-N327^3)-(MIN(O327,($N$4*8/10))^4-N327^4)/4,0)+IF(O327&gt;($N$4*8/10),($N$4*8/10)^2*(1.5*(O327^2-MAX(N327,($N$4*8/10))^2)-($N$4*8/10)*(O327-MAX(N327,($N$4*8/10)))),0))*1000,0)</f>
        <v>0</v>
      </c>
      <c r="AV327" s="120">
        <f>IF(AND(V327="OK",ISNUMBER($N$5),$N$5&gt;0,ISNUMBER($N$3),$N$3&gt;0),R327/(6*$N$3*1000000*$N$5)*(IF(N327&lt;($N$4*9/10),($N$4*9/10)*(MIN(O327,($N$4*9/10))^3-N327^3)-(MIN(O327,($N$4*9/10))^4-N327^4)/4,0)+IF(O327&gt;($N$4*9/10),($N$4*9/10)^2*(1.5*(O327^2-MAX(N327,($N$4*9/10))^2)-($N$4*9/10)*(O327-MAX(N327,($N$4*9/10)))),0))*1000,0)</f>
        <v>0</v>
      </c>
      <c r="AW327" s="120">
        <f>IF(AND(V327="OK",ISNUMBER($N$5),$N$5&gt;0,ISNUMBER($N$3),$N$3&gt;0),R327/(6*$N$3*1000000*$N$5)*(IF(N327&lt;($N$4*10/10),($N$4*10/10)*(MIN(O327,($N$4*10/10))^3-N327^3)-(MIN(O327,($N$4*10/10))^4-N327^4)/4,0)+IF(O327&gt;($N$4*10/10),($N$4*10/10)^2*(1.5*(O327^2-MAX(N327,($N$4*10/10))^2)-($N$4*10/10)*(O327-MAX(N327,($N$4*10/10)))),0))*1000,0)</f>
        <v>0</v>
      </c>
    </row>
    <row r="328" spans="1:49">
      <c r="A328" s="124"/>
      <c r="B328" s="125"/>
      <c r="C328" s="125"/>
      <c r="D328" s="125"/>
      <c r="E328" s="125"/>
      <c r="F328" s="126" t="str">
        <f>IF(J328="OK",D328*E328,"")</f>
        <v/>
      </c>
      <c r="G328" s="126" t="str">
        <f>IF(J328="OK",F328*(C328-B328),"")</f>
        <v/>
      </c>
      <c r="H328" s="126" t="str">
        <f>IF(J328="OK",G328*(C328+B328)/2,"")</f>
        <v/>
      </c>
      <c r="I328" s="126" t="str">
        <f>IF(AND(J328="OK",ISNUMBER($B$5),$B$5&gt;0,ISNUMBER($B$3),$B$3&gt;0),F328*(4*$B$4*(C328^3-B328^3)-(C328^4-B328^4))/(24*$B$3*1000000*$B$5)*1000,"")</f>
        <v/>
      </c>
      <c r="J328" s="120" t="str">
        <f>IF(COUNTA(A328:E328)=0,"",IF(AND(COUNT(B328:E328)=4,B328&gt;=0,C328&gt;B328,C328&lt;=$B$4,D328&gt;=0,E328&gt;0),IF(COUNTIFS($B$13:$B$327,"&lt;"&amp;C328,$C$13:$C$327,"&gt;"&amp;B328)&gt;0,"OVERLAP","OK"),"CHECK INPUTS"))</f>
        <v/>
      </c>
      <c r="M328" s="124"/>
      <c r="N328" s="125"/>
      <c r="O328" s="125"/>
      <c r="P328" s="125"/>
      <c r="Q328" s="125"/>
      <c r="R328" s="126" t="str">
        <f>IF(V328="OK",P328*Q328,"")</f>
        <v/>
      </c>
      <c r="S328" s="126" t="str">
        <f>IF(V328="OK",R328*(O328-N328),"")</f>
        <v/>
      </c>
      <c r="T328" s="126" t="str">
        <f>IF(V328="OK",S328*(O328+N328)/2,"")</f>
        <v/>
      </c>
      <c r="U328" s="126" t="str">
        <f>IF(AND(V328="OK",ISNUMBER($N$5),$N$5&gt;0,ISNUMBER($N$3),$N$3&gt;0),R328*(4*$N$4*(O328^3-N328^3)-(O328^4-N328^4))/(24*$N$3*1000000*$N$5)*1000,"")</f>
        <v/>
      </c>
      <c r="V328" s="120" t="str">
        <f>IF(COUNTA(M328:Q328)=0,"",IF(AND(COUNT(N328:Q328)=4,N328&gt;=0,O328&gt;N328,O328&lt;=$N$4,P328&gt;=0,Q328&gt;0),IF(COUNTIFS($N$13:$N$327,"&lt;"&amp;O328,$O$13:$O$327,"&gt;"&amp;N328)&gt;0,"OVERLAP","OK"),"CHECK INPUTS"))</f>
        <v/>
      </c>
      <c r="AA328" s="120">
        <f>IF(AND(J328="OK",ISNUMBER($B$5),$B$5&gt;0,ISNUMBER($B$3),$B$3&gt;0),F328/(6*$B$3*1000000*$B$5)*(IF(B328&lt;($B$4*0/10),($B$4*0/10)*(MIN(C328,($B$4*0/10))^3-B328^3)-(MIN(C328,($B$4*0/10))^4-B328^4)/4,0)+IF(C328&gt;($B$4*0/10),($B$4*0/10)^2*(1.5*(C328^2-MAX(B328,($B$4*0/10))^2)-($B$4*0/10)*(C328-MAX(B328,($B$4*0/10)))),0))*1000,0)</f>
        <v>0</v>
      </c>
      <c r="AB328" s="120">
        <f>IF(AND(J328="OK",ISNUMBER($B$5),$B$5&gt;0,ISNUMBER($B$3),$B$3&gt;0),F328/(6*$B$3*1000000*$B$5)*(IF(B328&lt;($B$4*1/10),($B$4*1/10)*(MIN(C328,($B$4*1/10))^3-B328^3)-(MIN(C328,($B$4*1/10))^4-B328^4)/4,0)+IF(C328&gt;($B$4*1/10),($B$4*1/10)^2*(1.5*(C328^2-MAX(B328,($B$4*1/10))^2)-($B$4*1/10)*(C328-MAX(B328,($B$4*1/10)))),0))*1000,0)</f>
        <v>0</v>
      </c>
      <c r="AC328" s="120">
        <f>IF(AND(J328="OK",ISNUMBER($B$5),$B$5&gt;0,ISNUMBER($B$3),$B$3&gt;0),F328/(6*$B$3*1000000*$B$5)*(IF(B328&lt;($B$4*2/10),($B$4*2/10)*(MIN(C328,($B$4*2/10))^3-B328^3)-(MIN(C328,($B$4*2/10))^4-B328^4)/4,0)+IF(C328&gt;($B$4*2/10),($B$4*2/10)^2*(1.5*(C328^2-MAX(B328,($B$4*2/10))^2)-($B$4*2/10)*(C328-MAX(B328,($B$4*2/10)))),0))*1000,0)</f>
        <v>0</v>
      </c>
      <c r="AD328" s="120">
        <f>IF(AND(J328="OK",ISNUMBER($B$5),$B$5&gt;0,ISNUMBER($B$3),$B$3&gt;0),F328/(6*$B$3*1000000*$B$5)*(IF(B328&lt;($B$4*3/10),($B$4*3/10)*(MIN(C328,($B$4*3/10))^3-B328^3)-(MIN(C328,($B$4*3/10))^4-B328^4)/4,0)+IF(C328&gt;($B$4*3/10),($B$4*3/10)^2*(1.5*(C328^2-MAX(B328,($B$4*3/10))^2)-($B$4*3/10)*(C328-MAX(B328,($B$4*3/10)))),0))*1000,0)</f>
        <v>0</v>
      </c>
      <c r="AE328" s="120">
        <f>IF(AND(J328="OK",ISNUMBER($B$5),$B$5&gt;0,ISNUMBER($B$3),$B$3&gt;0),F328/(6*$B$3*1000000*$B$5)*(IF(B328&lt;($B$4*4/10),($B$4*4/10)*(MIN(C328,($B$4*4/10))^3-B328^3)-(MIN(C328,($B$4*4/10))^4-B328^4)/4,0)+IF(C328&gt;($B$4*4/10),($B$4*4/10)^2*(1.5*(C328^2-MAX(B328,($B$4*4/10))^2)-($B$4*4/10)*(C328-MAX(B328,($B$4*4/10)))),0))*1000,0)</f>
        <v>0</v>
      </c>
      <c r="AF328" s="120">
        <f>IF(AND(J328="OK",ISNUMBER($B$5),$B$5&gt;0,ISNUMBER($B$3),$B$3&gt;0),F328/(6*$B$3*1000000*$B$5)*(IF(B328&lt;($B$4*5/10),($B$4*5/10)*(MIN(C328,($B$4*5/10))^3-B328^3)-(MIN(C328,($B$4*5/10))^4-B328^4)/4,0)+IF(C328&gt;($B$4*5/10),($B$4*5/10)^2*(1.5*(C328^2-MAX(B328,($B$4*5/10))^2)-($B$4*5/10)*(C328-MAX(B328,($B$4*5/10)))),0))*1000,0)</f>
        <v>0</v>
      </c>
      <c r="AG328" s="120">
        <f>IF(AND(J328="OK",ISNUMBER($B$5),$B$5&gt;0,ISNUMBER($B$3),$B$3&gt;0),F328/(6*$B$3*1000000*$B$5)*(IF(B328&lt;($B$4*6/10),($B$4*6/10)*(MIN(C328,($B$4*6/10))^3-B328^3)-(MIN(C328,($B$4*6/10))^4-B328^4)/4,0)+IF(C328&gt;($B$4*6/10),($B$4*6/10)^2*(1.5*(C328^2-MAX(B328,($B$4*6/10))^2)-($B$4*6/10)*(C328-MAX(B328,($B$4*6/10)))),0))*1000,0)</f>
        <v>0</v>
      </c>
      <c r="AH328" s="120">
        <f>IF(AND(J328="OK",ISNUMBER($B$5),$B$5&gt;0,ISNUMBER($B$3),$B$3&gt;0),F328/(6*$B$3*1000000*$B$5)*(IF(B328&lt;($B$4*7/10),($B$4*7/10)*(MIN(C328,($B$4*7/10))^3-B328^3)-(MIN(C328,($B$4*7/10))^4-B328^4)/4,0)+IF(C328&gt;($B$4*7/10),($B$4*7/10)^2*(1.5*(C328^2-MAX(B328,($B$4*7/10))^2)-($B$4*7/10)*(C328-MAX(B328,($B$4*7/10)))),0))*1000,0)</f>
        <v>0</v>
      </c>
      <c r="AI328" s="120">
        <f>IF(AND(J328="OK",ISNUMBER($B$5),$B$5&gt;0,ISNUMBER($B$3),$B$3&gt;0),F328/(6*$B$3*1000000*$B$5)*(IF(B328&lt;($B$4*8/10),($B$4*8/10)*(MIN(C328,($B$4*8/10))^3-B328^3)-(MIN(C328,($B$4*8/10))^4-B328^4)/4,0)+IF(C328&gt;($B$4*8/10),($B$4*8/10)^2*(1.5*(C328^2-MAX(B328,($B$4*8/10))^2)-($B$4*8/10)*(C328-MAX(B328,($B$4*8/10)))),0))*1000,0)</f>
        <v>0</v>
      </c>
      <c r="AJ328" s="120">
        <f>IF(AND(J328="OK",ISNUMBER($B$5),$B$5&gt;0,ISNUMBER($B$3),$B$3&gt;0),F328/(6*$B$3*1000000*$B$5)*(IF(B328&lt;($B$4*9/10),($B$4*9/10)*(MIN(C328,($B$4*9/10))^3-B328^3)-(MIN(C328,($B$4*9/10))^4-B328^4)/4,0)+IF(C328&gt;($B$4*9/10),($B$4*9/10)^2*(1.5*(C328^2-MAX(B328,($B$4*9/10))^2)-($B$4*9/10)*(C328-MAX(B328,($B$4*9/10)))),0))*1000,0)</f>
        <v>0</v>
      </c>
      <c r="AK328" s="120">
        <f>IF(AND(J328="OK",ISNUMBER($B$5),$B$5&gt;0,ISNUMBER($B$3),$B$3&gt;0),F328/(6*$B$3*1000000*$B$5)*(IF(B328&lt;($B$4*10/10),($B$4*10/10)*(MIN(C328,($B$4*10/10))^3-B328^3)-(MIN(C328,($B$4*10/10))^4-B328^4)/4,0)+IF(C328&gt;($B$4*10/10),($B$4*10/10)^2*(1.5*(C328^2-MAX(B328,($B$4*10/10))^2)-($B$4*10/10)*(C328-MAX(B328,($B$4*10/10)))),0))*1000,0)</f>
        <v>0</v>
      </c>
      <c r="AM328" s="120">
        <f>IF(AND(V328="OK",ISNUMBER($N$5),$N$5&gt;0,ISNUMBER($N$3),$N$3&gt;0),R328/(6*$N$3*1000000*$N$5)*(IF(N328&lt;($N$4*0/10),($N$4*0/10)*(MIN(O328,($N$4*0/10))^3-N328^3)-(MIN(O328,($N$4*0/10))^4-N328^4)/4,0)+IF(O328&gt;($N$4*0/10),($N$4*0/10)^2*(1.5*(O328^2-MAX(N328,($N$4*0/10))^2)-($N$4*0/10)*(O328-MAX(N328,($N$4*0/10)))),0))*1000,0)</f>
        <v>0</v>
      </c>
      <c r="AN328" s="120">
        <f>IF(AND(V328="OK",ISNUMBER($N$5),$N$5&gt;0,ISNUMBER($N$3),$N$3&gt;0),R328/(6*$N$3*1000000*$N$5)*(IF(N328&lt;($N$4*1/10),($N$4*1/10)*(MIN(O328,($N$4*1/10))^3-N328^3)-(MIN(O328,($N$4*1/10))^4-N328^4)/4,0)+IF(O328&gt;($N$4*1/10),($N$4*1/10)^2*(1.5*(O328^2-MAX(N328,($N$4*1/10))^2)-($N$4*1/10)*(O328-MAX(N328,($N$4*1/10)))),0))*1000,0)</f>
        <v>0</v>
      </c>
      <c r="AO328" s="120">
        <f>IF(AND(V328="OK",ISNUMBER($N$5),$N$5&gt;0,ISNUMBER($N$3),$N$3&gt;0),R328/(6*$N$3*1000000*$N$5)*(IF(N328&lt;($N$4*2/10),($N$4*2/10)*(MIN(O328,($N$4*2/10))^3-N328^3)-(MIN(O328,($N$4*2/10))^4-N328^4)/4,0)+IF(O328&gt;($N$4*2/10),($N$4*2/10)^2*(1.5*(O328^2-MAX(N328,($N$4*2/10))^2)-($N$4*2/10)*(O328-MAX(N328,($N$4*2/10)))),0))*1000,0)</f>
        <v>0</v>
      </c>
      <c r="AP328" s="120">
        <f>IF(AND(V328="OK",ISNUMBER($N$5),$N$5&gt;0,ISNUMBER($N$3),$N$3&gt;0),R328/(6*$N$3*1000000*$N$5)*(IF(N328&lt;($N$4*3/10),($N$4*3/10)*(MIN(O328,($N$4*3/10))^3-N328^3)-(MIN(O328,($N$4*3/10))^4-N328^4)/4,0)+IF(O328&gt;($N$4*3/10),($N$4*3/10)^2*(1.5*(O328^2-MAX(N328,($N$4*3/10))^2)-($N$4*3/10)*(O328-MAX(N328,($N$4*3/10)))),0))*1000,0)</f>
        <v>0</v>
      </c>
      <c r="AQ328" s="120">
        <f>IF(AND(V328="OK",ISNUMBER($N$5),$N$5&gt;0,ISNUMBER($N$3),$N$3&gt;0),R328/(6*$N$3*1000000*$N$5)*(IF(N328&lt;($N$4*4/10),($N$4*4/10)*(MIN(O328,($N$4*4/10))^3-N328^3)-(MIN(O328,($N$4*4/10))^4-N328^4)/4,0)+IF(O328&gt;($N$4*4/10),($N$4*4/10)^2*(1.5*(O328^2-MAX(N328,($N$4*4/10))^2)-($N$4*4/10)*(O328-MAX(N328,($N$4*4/10)))),0))*1000,0)</f>
        <v>0</v>
      </c>
      <c r="AR328" s="120">
        <f>IF(AND(V328="OK",ISNUMBER($N$5),$N$5&gt;0,ISNUMBER($N$3),$N$3&gt;0),R328/(6*$N$3*1000000*$N$5)*(IF(N328&lt;($N$4*5/10),($N$4*5/10)*(MIN(O328,($N$4*5/10))^3-N328^3)-(MIN(O328,($N$4*5/10))^4-N328^4)/4,0)+IF(O328&gt;($N$4*5/10),($N$4*5/10)^2*(1.5*(O328^2-MAX(N328,($N$4*5/10))^2)-($N$4*5/10)*(O328-MAX(N328,($N$4*5/10)))),0))*1000,0)</f>
        <v>0</v>
      </c>
      <c r="AS328" s="120">
        <f>IF(AND(V328="OK",ISNUMBER($N$5),$N$5&gt;0,ISNUMBER($N$3),$N$3&gt;0),R328/(6*$N$3*1000000*$N$5)*(IF(N328&lt;($N$4*6/10),($N$4*6/10)*(MIN(O328,($N$4*6/10))^3-N328^3)-(MIN(O328,($N$4*6/10))^4-N328^4)/4,0)+IF(O328&gt;($N$4*6/10),($N$4*6/10)^2*(1.5*(O328^2-MAX(N328,($N$4*6/10))^2)-($N$4*6/10)*(O328-MAX(N328,($N$4*6/10)))),0))*1000,0)</f>
        <v>0</v>
      </c>
      <c r="AT328" s="120">
        <f>IF(AND(V328="OK",ISNUMBER($N$5),$N$5&gt;0,ISNUMBER($N$3),$N$3&gt;0),R328/(6*$N$3*1000000*$N$5)*(IF(N328&lt;($N$4*7/10),($N$4*7/10)*(MIN(O328,($N$4*7/10))^3-N328^3)-(MIN(O328,($N$4*7/10))^4-N328^4)/4,0)+IF(O328&gt;($N$4*7/10),($N$4*7/10)^2*(1.5*(O328^2-MAX(N328,($N$4*7/10))^2)-($N$4*7/10)*(O328-MAX(N328,($N$4*7/10)))),0))*1000,0)</f>
        <v>0</v>
      </c>
      <c r="AU328" s="120">
        <f>IF(AND(V328="OK",ISNUMBER($N$5),$N$5&gt;0,ISNUMBER($N$3),$N$3&gt;0),R328/(6*$N$3*1000000*$N$5)*(IF(N328&lt;($N$4*8/10),($N$4*8/10)*(MIN(O328,($N$4*8/10))^3-N328^3)-(MIN(O328,($N$4*8/10))^4-N328^4)/4,0)+IF(O328&gt;($N$4*8/10),($N$4*8/10)^2*(1.5*(O328^2-MAX(N328,($N$4*8/10))^2)-($N$4*8/10)*(O328-MAX(N328,($N$4*8/10)))),0))*1000,0)</f>
        <v>0</v>
      </c>
      <c r="AV328" s="120">
        <f>IF(AND(V328="OK",ISNUMBER($N$5),$N$5&gt;0,ISNUMBER($N$3),$N$3&gt;0),R328/(6*$N$3*1000000*$N$5)*(IF(N328&lt;($N$4*9/10),($N$4*9/10)*(MIN(O328,($N$4*9/10))^3-N328^3)-(MIN(O328,($N$4*9/10))^4-N328^4)/4,0)+IF(O328&gt;($N$4*9/10),($N$4*9/10)^2*(1.5*(O328^2-MAX(N328,($N$4*9/10))^2)-($N$4*9/10)*(O328-MAX(N328,($N$4*9/10)))),0))*1000,0)</f>
        <v>0</v>
      </c>
      <c r="AW328" s="120">
        <f>IF(AND(V328="OK",ISNUMBER($N$5),$N$5&gt;0,ISNUMBER($N$3),$N$3&gt;0),R328/(6*$N$3*1000000*$N$5)*(IF(N328&lt;($N$4*10/10),($N$4*10/10)*(MIN(O328,($N$4*10/10))^3-N328^3)-(MIN(O328,($N$4*10/10))^4-N328^4)/4,0)+IF(O328&gt;($N$4*10/10),($N$4*10/10)^2*(1.5*(O328^2-MAX(N328,($N$4*10/10))^2)-($N$4*10/10)*(O328-MAX(N328,($N$4*10/10)))),0))*1000,0)</f>
        <v>0</v>
      </c>
    </row>
    <row r="329" spans="1:49">
      <c r="A329" s="124"/>
      <c r="B329" s="125"/>
      <c r="C329" s="125"/>
      <c r="D329" s="125"/>
      <c r="E329" s="125"/>
      <c r="F329" s="126" t="str">
        <f>IF(J329="OK",D329*E329,"")</f>
        <v/>
      </c>
      <c r="G329" s="126" t="str">
        <f>IF(J329="OK",F329*(C329-B329),"")</f>
        <v/>
      </c>
      <c r="H329" s="126" t="str">
        <f>IF(J329="OK",G329*(C329+B329)/2,"")</f>
        <v/>
      </c>
      <c r="I329" s="126" t="str">
        <f>IF(AND(J329="OK",ISNUMBER($B$5),$B$5&gt;0,ISNUMBER($B$3),$B$3&gt;0),F329*(4*$B$4*(C329^3-B329^3)-(C329^4-B329^4))/(24*$B$3*1000000*$B$5)*1000,"")</f>
        <v/>
      </c>
      <c r="J329" s="120" t="str">
        <f>IF(COUNTA(A329:E329)=0,"",IF(AND(COUNT(B329:E329)=4,B329&gt;=0,C329&gt;B329,C329&lt;=$B$4,D329&gt;=0,E329&gt;0),IF(COUNTIFS($B$13:$B$328,"&lt;"&amp;C329,$C$13:$C$328,"&gt;"&amp;B329)&gt;0,"OVERLAP","OK"),"CHECK INPUTS"))</f>
        <v/>
      </c>
      <c r="M329" s="124"/>
      <c r="N329" s="125"/>
      <c r="O329" s="125"/>
      <c r="P329" s="125"/>
      <c r="Q329" s="125"/>
      <c r="R329" s="126" t="str">
        <f>IF(V329="OK",P329*Q329,"")</f>
        <v/>
      </c>
      <c r="S329" s="126" t="str">
        <f>IF(V329="OK",R329*(O329-N329),"")</f>
        <v/>
      </c>
      <c r="T329" s="126" t="str">
        <f>IF(V329="OK",S329*(O329+N329)/2,"")</f>
        <v/>
      </c>
      <c r="U329" s="126" t="str">
        <f>IF(AND(V329="OK",ISNUMBER($N$5),$N$5&gt;0,ISNUMBER($N$3),$N$3&gt;0),R329*(4*$N$4*(O329^3-N329^3)-(O329^4-N329^4))/(24*$N$3*1000000*$N$5)*1000,"")</f>
        <v/>
      </c>
      <c r="V329" s="120" t="str">
        <f>IF(COUNTA(M329:Q329)=0,"",IF(AND(COUNT(N329:Q329)=4,N329&gt;=0,O329&gt;N329,O329&lt;=$N$4,P329&gt;=0,Q329&gt;0),IF(COUNTIFS($N$13:$N$328,"&lt;"&amp;O329,$O$13:$O$328,"&gt;"&amp;N329)&gt;0,"OVERLAP","OK"),"CHECK INPUTS"))</f>
        <v/>
      </c>
      <c r="AA329" s="120">
        <f>IF(AND(J329="OK",ISNUMBER($B$5),$B$5&gt;0,ISNUMBER($B$3),$B$3&gt;0),F329/(6*$B$3*1000000*$B$5)*(IF(B329&lt;($B$4*0/10),($B$4*0/10)*(MIN(C329,($B$4*0/10))^3-B329^3)-(MIN(C329,($B$4*0/10))^4-B329^4)/4,0)+IF(C329&gt;($B$4*0/10),($B$4*0/10)^2*(1.5*(C329^2-MAX(B329,($B$4*0/10))^2)-($B$4*0/10)*(C329-MAX(B329,($B$4*0/10)))),0))*1000,0)</f>
        <v>0</v>
      </c>
      <c r="AB329" s="120">
        <f>IF(AND(J329="OK",ISNUMBER($B$5),$B$5&gt;0,ISNUMBER($B$3),$B$3&gt;0),F329/(6*$B$3*1000000*$B$5)*(IF(B329&lt;($B$4*1/10),($B$4*1/10)*(MIN(C329,($B$4*1/10))^3-B329^3)-(MIN(C329,($B$4*1/10))^4-B329^4)/4,0)+IF(C329&gt;($B$4*1/10),($B$4*1/10)^2*(1.5*(C329^2-MAX(B329,($B$4*1/10))^2)-($B$4*1/10)*(C329-MAX(B329,($B$4*1/10)))),0))*1000,0)</f>
        <v>0</v>
      </c>
      <c r="AC329" s="120">
        <f>IF(AND(J329="OK",ISNUMBER($B$5),$B$5&gt;0,ISNUMBER($B$3),$B$3&gt;0),F329/(6*$B$3*1000000*$B$5)*(IF(B329&lt;($B$4*2/10),($B$4*2/10)*(MIN(C329,($B$4*2/10))^3-B329^3)-(MIN(C329,($B$4*2/10))^4-B329^4)/4,0)+IF(C329&gt;($B$4*2/10),($B$4*2/10)^2*(1.5*(C329^2-MAX(B329,($B$4*2/10))^2)-($B$4*2/10)*(C329-MAX(B329,($B$4*2/10)))),0))*1000,0)</f>
        <v>0</v>
      </c>
      <c r="AD329" s="120">
        <f>IF(AND(J329="OK",ISNUMBER($B$5),$B$5&gt;0,ISNUMBER($B$3),$B$3&gt;0),F329/(6*$B$3*1000000*$B$5)*(IF(B329&lt;($B$4*3/10),($B$4*3/10)*(MIN(C329,($B$4*3/10))^3-B329^3)-(MIN(C329,($B$4*3/10))^4-B329^4)/4,0)+IF(C329&gt;($B$4*3/10),($B$4*3/10)^2*(1.5*(C329^2-MAX(B329,($B$4*3/10))^2)-($B$4*3/10)*(C329-MAX(B329,($B$4*3/10)))),0))*1000,0)</f>
        <v>0</v>
      </c>
      <c r="AE329" s="120">
        <f>IF(AND(J329="OK",ISNUMBER($B$5),$B$5&gt;0,ISNUMBER($B$3),$B$3&gt;0),F329/(6*$B$3*1000000*$B$5)*(IF(B329&lt;($B$4*4/10),($B$4*4/10)*(MIN(C329,($B$4*4/10))^3-B329^3)-(MIN(C329,($B$4*4/10))^4-B329^4)/4,0)+IF(C329&gt;($B$4*4/10),($B$4*4/10)^2*(1.5*(C329^2-MAX(B329,($B$4*4/10))^2)-($B$4*4/10)*(C329-MAX(B329,($B$4*4/10)))),0))*1000,0)</f>
        <v>0</v>
      </c>
      <c r="AF329" s="120">
        <f>IF(AND(J329="OK",ISNUMBER($B$5),$B$5&gt;0,ISNUMBER($B$3),$B$3&gt;0),F329/(6*$B$3*1000000*$B$5)*(IF(B329&lt;($B$4*5/10),($B$4*5/10)*(MIN(C329,($B$4*5/10))^3-B329^3)-(MIN(C329,($B$4*5/10))^4-B329^4)/4,0)+IF(C329&gt;($B$4*5/10),($B$4*5/10)^2*(1.5*(C329^2-MAX(B329,($B$4*5/10))^2)-($B$4*5/10)*(C329-MAX(B329,($B$4*5/10)))),0))*1000,0)</f>
        <v>0</v>
      </c>
      <c r="AG329" s="120">
        <f>IF(AND(J329="OK",ISNUMBER($B$5),$B$5&gt;0,ISNUMBER($B$3),$B$3&gt;0),F329/(6*$B$3*1000000*$B$5)*(IF(B329&lt;($B$4*6/10),($B$4*6/10)*(MIN(C329,($B$4*6/10))^3-B329^3)-(MIN(C329,($B$4*6/10))^4-B329^4)/4,0)+IF(C329&gt;($B$4*6/10),($B$4*6/10)^2*(1.5*(C329^2-MAX(B329,($B$4*6/10))^2)-($B$4*6/10)*(C329-MAX(B329,($B$4*6/10)))),0))*1000,0)</f>
        <v>0</v>
      </c>
      <c r="AH329" s="120">
        <f>IF(AND(J329="OK",ISNUMBER($B$5),$B$5&gt;0,ISNUMBER($B$3),$B$3&gt;0),F329/(6*$B$3*1000000*$B$5)*(IF(B329&lt;($B$4*7/10),($B$4*7/10)*(MIN(C329,($B$4*7/10))^3-B329^3)-(MIN(C329,($B$4*7/10))^4-B329^4)/4,0)+IF(C329&gt;($B$4*7/10),($B$4*7/10)^2*(1.5*(C329^2-MAX(B329,($B$4*7/10))^2)-($B$4*7/10)*(C329-MAX(B329,($B$4*7/10)))),0))*1000,0)</f>
        <v>0</v>
      </c>
      <c r="AI329" s="120">
        <f>IF(AND(J329="OK",ISNUMBER($B$5),$B$5&gt;0,ISNUMBER($B$3),$B$3&gt;0),F329/(6*$B$3*1000000*$B$5)*(IF(B329&lt;($B$4*8/10),($B$4*8/10)*(MIN(C329,($B$4*8/10))^3-B329^3)-(MIN(C329,($B$4*8/10))^4-B329^4)/4,0)+IF(C329&gt;($B$4*8/10),($B$4*8/10)^2*(1.5*(C329^2-MAX(B329,($B$4*8/10))^2)-($B$4*8/10)*(C329-MAX(B329,($B$4*8/10)))),0))*1000,0)</f>
        <v>0</v>
      </c>
      <c r="AJ329" s="120">
        <f>IF(AND(J329="OK",ISNUMBER($B$5),$B$5&gt;0,ISNUMBER($B$3),$B$3&gt;0),F329/(6*$B$3*1000000*$B$5)*(IF(B329&lt;($B$4*9/10),($B$4*9/10)*(MIN(C329,($B$4*9/10))^3-B329^3)-(MIN(C329,($B$4*9/10))^4-B329^4)/4,0)+IF(C329&gt;($B$4*9/10),($B$4*9/10)^2*(1.5*(C329^2-MAX(B329,($B$4*9/10))^2)-($B$4*9/10)*(C329-MAX(B329,($B$4*9/10)))),0))*1000,0)</f>
        <v>0</v>
      </c>
      <c r="AK329" s="120">
        <f>IF(AND(J329="OK",ISNUMBER($B$5),$B$5&gt;0,ISNUMBER($B$3),$B$3&gt;0),F329/(6*$B$3*1000000*$B$5)*(IF(B329&lt;($B$4*10/10),($B$4*10/10)*(MIN(C329,($B$4*10/10))^3-B329^3)-(MIN(C329,($B$4*10/10))^4-B329^4)/4,0)+IF(C329&gt;($B$4*10/10),($B$4*10/10)^2*(1.5*(C329^2-MAX(B329,($B$4*10/10))^2)-($B$4*10/10)*(C329-MAX(B329,($B$4*10/10)))),0))*1000,0)</f>
        <v>0</v>
      </c>
      <c r="AM329" s="120">
        <f>IF(AND(V329="OK",ISNUMBER($N$5),$N$5&gt;0,ISNUMBER($N$3),$N$3&gt;0),R329/(6*$N$3*1000000*$N$5)*(IF(N329&lt;($N$4*0/10),($N$4*0/10)*(MIN(O329,($N$4*0/10))^3-N329^3)-(MIN(O329,($N$4*0/10))^4-N329^4)/4,0)+IF(O329&gt;($N$4*0/10),($N$4*0/10)^2*(1.5*(O329^2-MAX(N329,($N$4*0/10))^2)-($N$4*0/10)*(O329-MAX(N329,($N$4*0/10)))),0))*1000,0)</f>
        <v>0</v>
      </c>
      <c r="AN329" s="120">
        <f>IF(AND(V329="OK",ISNUMBER($N$5),$N$5&gt;0,ISNUMBER($N$3),$N$3&gt;0),R329/(6*$N$3*1000000*$N$5)*(IF(N329&lt;($N$4*1/10),($N$4*1/10)*(MIN(O329,($N$4*1/10))^3-N329^3)-(MIN(O329,($N$4*1/10))^4-N329^4)/4,0)+IF(O329&gt;($N$4*1/10),($N$4*1/10)^2*(1.5*(O329^2-MAX(N329,($N$4*1/10))^2)-($N$4*1/10)*(O329-MAX(N329,($N$4*1/10)))),0))*1000,0)</f>
        <v>0</v>
      </c>
      <c r="AO329" s="120">
        <f>IF(AND(V329="OK",ISNUMBER($N$5),$N$5&gt;0,ISNUMBER($N$3),$N$3&gt;0),R329/(6*$N$3*1000000*$N$5)*(IF(N329&lt;($N$4*2/10),($N$4*2/10)*(MIN(O329,($N$4*2/10))^3-N329^3)-(MIN(O329,($N$4*2/10))^4-N329^4)/4,0)+IF(O329&gt;($N$4*2/10),($N$4*2/10)^2*(1.5*(O329^2-MAX(N329,($N$4*2/10))^2)-($N$4*2/10)*(O329-MAX(N329,($N$4*2/10)))),0))*1000,0)</f>
        <v>0</v>
      </c>
      <c r="AP329" s="120">
        <f>IF(AND(V329="OK",ISNUMBER($N$5),$N$5&gt;0,ISNUMBER($N$3),$N$3&gt;0),R329/(6*$N$3*1000000*$N$5)*(IF(N329&lt;($N$4*3/10),($N$4*3/10)*(MIN(O329,($N$4*3/10))^3-N329^3)-(MIN(O329,($N$4*3/10))^4-N329^4)/4,0)+IF(O329&gt;($N$4*3/10),($N$4*3/10)^2*(1.5*(O329^2-MAX(N329,($N$4*3/10))^2)-($N$4*3/10)*(O329-MAX(N329,($N$4*3/10)))),0))*1000,0)</f>
        <v>0</v>
      </c>
      <c r="AQ329" s="120">
        <f>IF(AND(V329="OK",ISNUMBER($N$5),$N$5&gt;0,ISNUMBER($N$3),$N$3&gt;0),R329/(6*$N$3*1000000*$N$5)*(IF(N329&lt;($N$4*4/10),($N$4*4/10)*(MIN(O329,($N$4*4/10))^3-N329^3)-(MIN(O329,($N$4*4/10))^4-N329^4)/4,0)+IF(O329&gt;($N$4*4/10),($N$4*4/10)^2*(1.5*(O329^2-MAX(N329,($N$4*4/10))^2)-($N$4*4/10)*(O329-MAX(N329,($N$4*4/10)))),0))*1000,0)</f>
        <v>0</v>
      </c>
      <c r="AR329" s="120">
        <f>IF(AND(V329="OK",ISNUMBER($N$5),$N$5&gt;0,ISNUMBER($N$3),$N$3&gt;0),R329/(6*$N$3*1000000*$N$5)*(IF(N329&lt;($N$4*5/10),($N$4*5/10)*(MIN(O329,($N$4*5/10))^3-N329^3)-(MIN(O329,($N$4*5/10))^4-N329^4)/4,0)+IF(O329&gt;($N$4*5/10),($N$4*5/10)^2*(1.5*(O329^2-MAX(N329,($N$4*5/10))^2)-($N$4*5/10)*(O329-MAX(N329,($N$4*5/10)))),0))*1000,0)</f>
        <v>0</v>
      </c>
      <c r="AS329" s="120">
        <f>IF(AND(V329="OK",ISNUMBER($N$5),$N$5&gt;0,ISNUMBER($N$3),$N$3&gt;0),R329/(6*$N$3*1000000*$N$5)*(IF(N329&lt;($N$4*6/10),($N$4*6/10)*(MIN(O329,($N$4*6/10))^3-N329^3)-(MIN(O329,($N$4*6/10))^4-N329^4)/4,0)+IF(O329&gt;($N$4*6/10),($N$4*6/10)^2*(1.5*(O329^2-MAX(N329,($N$4*6/10))^2)-($N$4*6/10)*(O329-MAX(N329,($N$4*6/10)))),0))*1000,0)</f>
        <v>0</v>
      </c>
      <c r="AT329" s="120">
        <f>IF(AND(V329="OK",ISNUMBER($N$5),$N$5&gt;0,ISNUMBER($N$3),$N$3&gt;0),R329/(6*$N$3*1000000*$N$5)*(IF(N329&lt;($N$4*7/10),($N$4*7/10)*(MIN(O329,($N$4*7/10))^3-N329^3)-(MIN(O329,($N$4*7/10))^4-N329^4)/4,0)+IF(O329&gt;($N$4*7/10),($N$4*7/10)^2*(1.5*(O329^2-MAX(N329,($N$4*7/10))^2)-($N$4*7/10)*(O329-MAX(N329,($N$4*7/10)))),0))*1000,0)</f>
        <v>0</v>
      </c>
      <c r="AU329" s="120">
        <f>IF(AND(V329="OK",ISNUMBER($N$5),$N$5&gt;0,ISNUMBER($N$3),$N$3&gt;0),R329/(6*$N$3*1000000*$N$5)*(IF(N329&lt;($N$4*8/10),($N$4*8/10)*(MIN(O329,($N$4*8/10))^3-N329^3)-(MIN(O329,($N$4*8/10))^4-N329^4)/4,0)+IF(O329&gt;($N$4*8/10),($N$4*8/10)^2*(1.5*(O329^2-MAX(N329,($N$4*8/10))^2)-($N$4*8/10)*(O329-MAX(N329,($N$4*8/10)))),0))*1000,0)</f>
        <v>0</v>
      </c>
      <c r="AV329" s="120">
        <f>IF(AND(V329="OK",ISNUMBER($N$5),$N$5&gt;0,ISNUMBER($N$3),$N$3&gt;0),R329/(6*$N$3*1000000*$N$5)*(IF(N329&lt;($N$4*9/10),($N$4*9/10)*(MIN(O329,($N$4*9/10))^3-N329^3)-(MIN(O329,($N$4*9/10))^4-N329^4)/4,0)+IF(O329&gt;($N$4*9/10),($N$4*9/10)^2*(1.5*(O329^2-MAX(N329,($N$4*9/10))^2)-($N$4*9/10)*(O329-MAX(N329,($N$4*9/10)))),0))*1000,0)</f>
        <v>0</v>
      </c>
      <c r="AW329" s="120">
        <f>IF(AND(V329="OK",ISNUMBER($N$5),$N$5&gt;0,ISNUMBER($N$3),$N$3&gt;0),R329/(6*$N$3*1000000*$N$5)*(IF(N329&lt;($N$4*10/10),($N$4*10/10)*(MIN(O329,($N$4*10/10))^3-N329^3)-(MIN(O329,($N$4*10/10))^4-N329^4)/4,0)+IF(O329&gt;($N$4*10/10),($N$4*10/10)^2*(1.5*(O329^2-MAX(N329,($N$4*10/10))^2)-($N$4*10/10)*(O329-MAX(N329,($N$4*10/10)))),0))*1000,0)</f>
        <v>0</v>
      </c>
    </row>
    <row r="330" spans="1:49">
      <c r="A330" s="124"/>
      <c r="B330" s="125"/>
      <c r="C330" s="125"/>
      <c r="D330" s="125"/>
      <c r="E330" s="125"/>
      <c r="F330" s="126" t="str">
        <f>IF(J330="OK",D330*E330,"")</f>
        <v/>
      </c>
      <c r="G330" s="126" t="str">
        <f>IF(J330="OK",F330*(C330-B330),"")</f>
        <v/>
      </c>
      <c r="H330" s="126" t="str">
        <f>IF(J330="OK",G330*(C330+B330)/2,"")</f>
        <v/>
      </c>
      <c r="I330" s="126" t="str">
        <f>IF(AND(J330="OK",ISNUMBER($B$5),$B$5&gt;0,ISNUMBER($B$3),$B$3&gt;0),F330*(4*$B$4*(C330^3-B330^3)-(C330^4-B330^4))/(24*$B$3*1000000*$B$5)*1000,"")</f>
        <v/>
      </c>
      <c r="J330" s="120" t="str">
        <f>IF(COUNTA(A330:E330)=0,"",IF(AND(COUNT(B330:E330)=4,B330&gt;=0,C330&gt;B330,C330&lt;=$B$4,D330&gt;=0,E330&gt;0),IF(COUNTIFS($B$13:$B$329,"&lt;"&amp;C330,$C$13:$C$329,"&gt;"&amp;B330)&gt;0,"OVERLAP","OK"),"CHECK INPUTS"))</f>
        <v/>
      </c>
      <c r="M330" s="124"/>
      <c r="N330" s="125"/>
      <c r="O330" s="125"/>
      <c r="P330" s="125"/>
      <c r="Q330" s="125"/>
      <c r="R330" s="126" t="str">
        <f>IF(V330="OK",P330*Q330,"")</f>
        <v/>
      </c>
      <c r="S330" s="126" t="str">
        <f>IF(V330="OK",R330*(O330-N330),"")</f>
        <v/>
      </c>
      <c r="T330" s="126" t="str">
        <f>IF(V330="OK",S330*(O330+N330)/2,"")</f>
        <v/>
      </c>
      <c r="U330" s="126" t="str">
        <f>IF(AND(V330="OK",ISNUMBER($N$5),$N$5&gt;0,ISNUMBER($N$3),$N$3&gt;0),R330*(4*$N$4*(O330^3-N330^3)-(O330^4-N330^4))/(24*$N$3*1000000*$N$5)*1000,"")</f>
        <v/>
      </c>
      <c r="V330" s="120" t="str">
        <f>IF(COUNTA(M330:Q330)=0,"",IF(AND(COUNT(N330:Q330)=4,N330&gt;=0,O330&gt;N330,O330&lt;=$N$4,P330&gt;=0,Q330&gt;0),IF(COUNTIFS($N$13:$N$329,"&lt;"&amp;O330,$O$13:$O$329,"&gt;"&amp;N330)&gt;0,"OVERLAP","OK"),"CHECK INPUTS"))</f>
        <v/>
      </c>
      <c r="AA330" s="120">
        <f>IF(AND(J330="OK",ISNUMBER($B$5),$B$5&gt;0,ISNUMBER($B$3),$B$3&gt;0),F330/(6*$B$3*1000000*$B$5)*(IF(B330&lt;($B$4*0/10),($B$4*0/10)*(MIN(C330,($B$4*0/10))^3-B330^3)-(MIN(C330,($B$4*0/10))^4-B330^4)/4,0)+IF(C330&gt;($B$4*0/10),($B$4*0/10)^2*(1.5*(C330^2-MAX(B330,($B$4*0/10))^2)-($B$4*0/10)*(C330-MAX(B330,($B$4*0/10)))),0))*1000,0)</f>
        <v>0</v>
      </c>
      <c r="AB330" s="120">
        <f>IF(AND(J330="OK",ISNUMBER($B$5),$B$5&gt;0,ISNUMBER($B$3),$B$3&gt;0),F330/(6*$B$3*1000000*$B$5)*(IF(B330&lt;($B$4*1/10),($B$4*1/10)*(MIN(C330,($B$4*1/10))^3-B330^3)-(MIN(C330,($B$4*1/10))^4-B330^4)/4,0)+IF(C330&gt;($B$4*1/10),($B$4*1/10)^2*(1.5*(C330^2-MAX(B330,($B$4*1/10))^2)-($B$4*1/10)*(C330-MAX(B330,($B$4*1/10)))),0))*1000,0)</f>
        <v>0</v>
      </c>
      <c r="AC330" s="120">
        <f>IF(AND(J330="OK",ISNUMBER($B$5),$B$5&gt;0,ISNUMBER($B$3),$B$3&gt;0),F330/(6*$B$3*1000000*$B$5)*(IF(B330&lt;($B$4*2/10),($B$4*2/10)*(MIN(C330,($B$4*2/10))^3-B330^3)-(MIN(C330,($B$4*2/10))^4-B330^4)/4,0)+IF(C330&gt;($B$4*2/10),($B$4*2/10)^2*(1.5*(C330^2-MAX(B330,($B$4*2/10))^2)-($B$4*2/10)*(C330-MAX(B330,($B$4*2/10)))),0))*1000,0)</f>
        <v>0</v>
      </c>
      <c r="AD330" s="120">
        <f>IF(AND(J330="OK",ISNUMBER($B$5),$B$5&gt;0,ISNUMBER($B$3),$B$3&gt;0),F330/(6*$B$3*1000000*$B$5)*(IF(B330&lt;($B$4*3/10),($B$4*3/10)*(MIN(C330,($B$4*3/10))^3-B330^3)-(MIN(C330,($B$4*3/10))^4-B330^4)/4,0)+IF(C330&gt;($B$4*3/10),($B$4*3/10)^2*(1.5*(C330^2-MAX(B330,($B$4*3/10))^2)-($B$4*3/10)*(C330-MAX(B330,($B$4*3/10)))),0))*1000,0)</f>
        <v>0</v>
      </c>
      <c r="AE330" s="120">
        <f>IF(AND(J330="OK",ISNUMBER($B$5),$B$5&gt;0,ISNUMBER($B$3),$B$3&gt;0),F330/(6*$B$3*1000000*$B$5)*(IF(B330&lt;($B$4*4/10),($B$4*4/10)*(MIN(C330,($B$4*4/10))^3-B330^3)-(MIN(C330,($B$4*4/10))^4-B330^4)/4,0)+IF(C330&gt;($B$4*4/10),($B$4*4/10)^2*(1.5*(C330^2-MAX(B330,($B$4*4/10))^2)-($B$4*4/10)*(C330-MAX(B330,($B$4*4/10)))),0))*1000,0)</f>
        <v>0</v>
      </c>
      <c r="AF330" s="120">
        <f>IF(AND(J330="OK",ISNUMBER($B$5),$B$5&gt;0,ISNUMBER($B$3),$B$3&gt;0),F330/(6*$B$3*1000000*$B$5)*(IF(B330&lt;($B$4*5/10),($B$4*5/10)*(MIN(C330,($B$4*5/10))^3-B330^3)-(MIN(C330,($B$4*5/10))^4-B330^4)/4,0)+IF(C330&gt;($B$4*5/10),($B$4*5/10)^2*(1.5*(C330^2-MAX(B330,($B$4*5/10))^2)-($B$4*5/10)*(C330-MAX(B330,($B$4*5/10)))),0))*1000,0)</f>
        <v>0</v>
      </c>
      <c r="AG330" s="120">
        <f>IF(AND(J330="OK",ISNUMBER($B$5),$B$5&gt;0,ISNUMBER($B$3),$B$3&gt;0),F330/(6*$B$3*1000000*$B$5)*(IF(B330&lt;($B$4*6/10),($B$4*6/10)*(MIN(C330,($B$4*6/10))^3-B330^3)-(MIN(C330,($B$4*6/10))^4-B330^4)/4,0)+IF(C330&gt;($B$4*6/10),($B$4*6/10)^2*(1.5*(C330^2-MAX(B330,($B$4*6/10))^2)-($B$4*6/10)*(C330-MAX(B330,($B$4*6/10)))),0))*1000,0)</f>
        <v>0</v>
      </c>
      <c r="AH330" s="120">
        <f>IF(AND(J330="OK",ISNUMBER($B$5),$B$5&gt;0,ISNUMBER($B$3),$B$3&gt;0),F330/(6*$B$3*1000000*$B$5)*(IF(B330&lt;($B$4*7/10),($B$4*7/10)*(MIN(C330,($B$4*7/10))^3-B330^3)-(MIN(C330,($B$4*7/10))^4-B330^4)/4,0)+IF(C330&gt;($B$4*7/10),($B$4*7/10)^2*(1.5*(C330^2-MAX(B330,($B$4*7/10))^2)-($B$4*7/10)*(C330-MAX(B330,($B$4*7/10)))),0))*1000,0)</f>
        <v>0</v>
      </c>
      <c r="AI330" s="120">
        <f>IF(AND(J330="OK",ISNUMBER($B$5),$B$5&gt;0,ISNUMBER($B$3),$B$3&gt;0),F330/(6*$B$3*1000000*$B$5)*(IF(B330&lt;($B$4*8/10),($B$4*8/10)*(MIN(C330,($B$4*8/10))^3-B330^3)-(MIN(C330,($B$4*8/10))^4-B330^4)/4,0)+IF(C330&gt;($B$4*8/10),($B$4*8/10)^2*(1.5*(C330^2-MAX(B330,($B$4*8/10))^2)-($B$4*8/10)*(C330-MAX(B330,($B$4*8/10)))),0))*1000,0)</f>
        <v>0</v>
      </c>
      <c r="AJ330" s="120">
        <f>IF(AND(J330="OK",ISNUMBER($B$5),$B$5&gt;0,ISNUMBER($B$3),$B$3&gt;0),F330/(6*$B$3*1000000*$B$5)*(IF(B330&lt;($B$4*9/10),($B$4*9/10)*(MIN(C330,($B$4*9/10))^3-B330^3)-(MIN(C330,($B$4*9/10))^4-B330^4)/4,0)+IF(C330&gt;($B$4*9/10),($B$4*9/10)^2*(1.5*(C330^2-MAX(B330,($B$4*9/10))^2)-($B$4*9/10)*(C330-MAX(B330,($B$4*9/10)))),0))*1000,0)</f>
        <v>0</v>
      </c>
      <c r="AK330" s="120">
        <f>IF(AND(J330="OK",ISNUMBER($B$5),$B$5&gt;0,ISNUMBER($B$3),$B$3&gt;0),F330/(6*$B$3*1000000*$B$5)*(IF(B330&lt;($B$4*10/10),($B$4*10/10)*(MIN(C330,($B$4*10/10))^3-B330^3)-(MIN(C330,($B$4*10/10))^4-B330^4)/4,0)+IF(C330&gt;($B$4*10/10),($B$4*10/10)^2*(1.5*(C330^2-MAX(B330,($B$4*10/10))^2)-($B$4*10/10)*(C330-MAX(B330,($B$4*10/10)))),0))*1000,0)</f>
        <v>0</v>
      </c>
      <c r="AM330" s="120">
        <f>IF(AND(V330="OK",ISNUMBER($N$5),$N$5&gt;0,ISNUMBER($N$3),$N$3&gt;0),R330/(6*$N$3*1000000*$N$5)*(IF(N330&lt;($N$4*0/10),($N$4*0/10)*(MIN(O330,($N$4*0/10))^3-N330^3)-(MIN(O330,($N$4*0/10))^4-N330^4)/4,0)+IF(O330&gt;($N$4*0/10),($N$4*0/10)^2*(1.5*(O330^2-MAX(N330,($N$4*0/10))^2)-($N$4*0/10)*(O330-MAX(N330,($N$4*0/10)))),0))*1000,0)</f>
        <v>0</v>
      </c>
      <c r="AN330" s="120">
        <f>IF(AND(V330="OK",ISNUMBER($N$5),$N$5&gt;0,ISNUMBER($N$3),$N$3&gt;0),R330/(6*$N$3*1000000*$N$5)*(IF(N330&lt;($N$4*1/10),($N$4*1/10)*(MIN(O330,($N$4*1/10))^3-N330^3)-(MIN(O330,($N$4*1/10))^4-N330^4)/4,0)+IF(O330&gt;($N$4*1/10),($N$4*1/10)^2*(1.5*(O330^2-MAX(N330,($N$4*1/10))^2)-($N$4*1/10)*(O330-MAX(N330,($N$4*1/10)))),0))*1000,0)</f>
        <v>0</v>
      </c>
      <c r="AO330" s="120">
        <f>IF(AND(V330="OK",ISNUMBER($N$5),$N$5&gt;0,ISNUMBER($N$3),$N$3&gt;0),R330/(6*$N$3*1000000*$N$5)*(IF(N330&lt;($N$4*2/10),($N$4*2/10)*(MIN(O330,($N$4*2/10))^3-N330^3)-(MIN(O330,($N$4*2/10))^4-N330^4)/4,0)+IF(O330&gt;($N$4*2/10),($N$4*2/10)^2*(1.5*(O330^2-MAX(N330,($N$4*2/10))^2)-($N$4*2/10)*(O330-MAX(N330,($N$4*2/10)))),0))*1000,0)</f>
        <v>0</v>
      </c>
      <c r="AP330" s="120">
        <f>IF(AND(V330="OK",ISNUMBER($N$5),$N$5&gt;0,ISNUMBER($N$3),$N$3&gt;0),R330/(6*$N$3*1000000*$N$5)*(IF(N330&lt;($N$4*3/10),($N$4*3/10)*(MIN(O330,($N$4*3/10))^3-N330^3)-(MIN(O330,($N$4*3/10))^4-N330^4)/4,0)+IF(O330&gt;($N$4*3/10),($N$4*3/10)^2*(1.5*(O330^2-MAX(N330,($N$4*3/10))^2)-($N$4*3/10)*(O330-MAX(N330,($N$4*3/10)))),0))*1000,0)</f>
        <v>0</v>
      </c>
      <c r="AQ330" s="120">
        <f>IF(AND(V330="OK",ISNUMBER($N$5),$N$5&gt;0,ISNUMBER($N$3),$N$3&gt;0),R330/(6*$N$3*1000000*$N$5)*(IF(N330&lt;($N$4*4/10),($N$4*4/10)*(MIN(O330,($N$4*4/10))^3-N330^3)-(MIN(O330,($N$4*4/10))^4-N330^4)/4,0)+IF(O330&gt;($N$4*4/10),($N$4*4/10)^2*(1.5*(O330^2-MAX(N330,($N$4*4/10))^2)-($N$4*4/10)*(O330-MAX(N330,($N$4*4/10)))),0))*1000,0)</f>
        <v>0</v>
      </c>
      <c r="AR330" s="120">
        <f>IF(AND(V330="OK",ISNUMBER($N$5),$N$5&gt;0,ISNUMBER($N$3),$N$3&gt;0),R330/(6*$N$3*1000000*$N$5)*(IF(N330&lt;($N$4*5/10),($N$4*5/10)*(MIN(O330,($N$4*5/10))^3-N330^3)-(MIN(O330,($N$4*5/10))^4-N330^4)/4,0)+IF(O330&gt;($N$4*5/10),($N$4*5/10)^2*(1.5*(O330^2-MAX(N330,($N$4*5/10))^2)-($N$4*5/10)*(O330-MAX(N330,($N$4*5/10)))),0))*1000,0)</f>
        <v>0</v>
      </c>
      <c r="AS330" s="120">
        <f>IF(AND(V330="OK",ISNUMBER($N$5),$N$5&gt;0,ISNUMBER($N$3),$N$3&gt;0),R330/(6*$N$3*1000000*$N$5)*(IF(N330&lt;($N$4*6/10),($N$4*6/10)*(MIN(O330,($N$4*6/10))^3-N330^3)-(MIN(O330,($N$4*6/10))^4-N330^4)/4,0)+IF(O330&gt;($N$4*6/10),($N$4*6/10)^2*(1.5*(O330^2-MAX(N330,($N$4*6/10))^2)-($N$4*6/10)*(O330-MAX(N330,($N$4*6/10)))),0))*1000,0)</f>
        <v>0</v>
      </c>
      <c r="AT330" s="120">
        <f>IF(AND(V330="OK",ISNUMBER($N$5),$N$5&gt;0,ISNUMBER($N$3),$N$3&gt;0),R330/(6*$N$3*1000000*$N$5)*(IF(N330&lt;($N$4*7/10),($N$4*7/10)*(MIN(O330,($N$4*7/10))^3-N330^3)-(MIN(O330,($N$4*7/10))^4-N330^4)/4,0)+IF(O330&gt;($N$4*7/10),($N$4*7/10)^2*(1.5*(O330^2-MAX(N330,($N$4*7/10))^2)-($N$4*7/10)*(O330-MAX(N330,($N$4*7/10)))),0))*1000,0)</f>
        <v>0</v>
      </c>
      <c r="AU330" s="120">
        <f>IF(AND(V330="OK",ISNUMBER($N$5),$N$5&gt;0,ISNUMBER($N$3),$N$3&gt;0),R330/(6*$N$3*1000000*$N$5)*(IF(N330&lt;($N$4*8/10),($N$4*8/10)*(MIN(O330,($N$4*8/10))^3-N330^3)-(MIN(O330,($N$4*8/10))^4-N330^4)/4,0)+IF(O330&gt;($N$4*8/10),($N$4*8/10)^2*(1.5*(O330^2-MAX(N330,($N$4*8/10))^2)-($N$4*8/10)*(O330-MAX(N330,($N$4*8/10)))),0))*1000,0)</f>
        <v>0</v>
      </c>
      <c r="AV330" s="120">
        <f>IF(AND(V330="OK",ISNUMBER($N$5),$N$5&gt;0,ISNUMBER($N$3),$N$3&gt;0),R330/(6*$N$3*1000000*$N$5)*(IF(N330&lt;($N$4*9/10),($N$4*9/10)*(MIN(O330,($N$4*9/10))^3-N330^3)-(MIN(O330,($N$4*9/10))^4-N330^4)/4,0)+IF(O330&gt;($N$4*9/10),($N$4*9/10)^2*(1.5*(O330^2-MAX(N330,($N$4*9/10))^2)-($N$4*9/10)*(O330-MAX(N330,($N$4*9/10)))),0))*1000,0)</f>
        <v>0</v>
      </c>
      <c r="AW330" s="120">
        <f>IF(AND(V330="OK",ISNUMBER($N$5),$N$5&gt;0,ISNUMBER($N$3),$N$3&gt;0),R330/(6*$N$3*1000000*$N$5)*(IF(N330&lt;($N$4*10/10),($N$4*10/10)*(MIN(O330,($N$4*10/10))^3-N330^3)-(MIN(O330,($N$4*10/10))^4-N330^4)/4,0)+IF(O330&gt;($N$4*10/10),($N$4*10/10)^2*(1.5*(O330^2-MAX(N330,($N$4*10/10))^2)-($N$4*10/10)*(O330-MAX(N330,($N$4*10/10)))),0))*1000,0)</f>
        <v>0</v>
      </c>
    </row>
    <row r="331" spans="1:49">
      <c r="A331" s="124"/>
      <c r="B331" s="125"/>
      <c r="C331" s="125"/>
      <c r="D331" s="125"/>
      <c r="E331" s="125"/>
      <c r="F331" s="126" t="str">
        <f>IF(J331="OK",D331*E331,"")</f>
        <v/>
      </c>
      <c r="G331" s="126" t="str">
        <f>IF(J331="OK",F331*(C331-B331),"")</f>
        <v/>
      </c>
      <c r="H331" s="126" t="str">
        <f>IF(J331="OK",G331*(C331+B331)/2,"")</f>
        <v/>
      </c>
      <c r="I331" s="126" t="str">
        <f>IF(AND(J331="OK",ISNUMBER($B$5),$B$5&gt;0,ISNUMBER($B$3),$B$3&gt;0),F331*(4*$B$4*(C331^3-B331^3)-(C331^4-B331^4))/(24*$B$3*1000000*$B$5)*1000,"")</f>
        <v/>
      </c>
      <c r="J331" s="120" t="str">
        <f>IF(COUNTA(A331:E331)=0,"",IF(AND(COUNT(B331:E331)=4,B331&gt;=0,C331&gt;B331,C331&lt;=$B$4,D331&gt;=0,E331&gt;0),IF(COUNTIFS($B$13:$B$330,"&lt;"&amp;C331,$C$13:$C$330,"&gt;"&amp;B331)&gt;0,"OVERLAP","OK"),"CHECK INPUTS"))</f>
        <v/>
      </c>
      <c r="M331" s="124"/>
      <c r="N331" s="125"/>
      <c r="O331" s="125"/>
      <c r="P331" s="125"/>
      <c r="Q331" s="125"/>
      <c r="R331" s="126" t="str">
        <f>IF(V331="OK",P331*Q331,"")</f>
        <v/>
      </c>
      <c r="S331" s="126" t="str">
        <f>IF(V331="OK",R331*(O331-N331),"")</f>
        <v/>
      </c>
      <c r="T331" s="126" t="str">
        <f>IF(V331="OK",S331*(O331+N331)/2,"")</f>
        <v/>
      </c>
      <c r="U331" s="126" t="str">
        <f>IF(AND(V331="OK",ISNUMBER($N$5),$N$5&gt;0,ISNUMBER($N$3),$N$3&gt;0),R331*(4*$N$4*(O331^3-N331^3)-(O331^4-N331^4))/(24*$N$3*1000000*$N$5)*1000,"")</f>
        <v/>
      </c>
      <c r="V331" s="120" t="str">
        <f>IF(COUNTA(M331:Q331)=0,"",IF(AND(COUNT(N331:Q331)=4,N331&gt;=0,O331&gt;N331,O331&lt;=$N$4,P331&gt;=0,Q331&gt;0),IF(COUNTIFS($N$13:$N$330,"&lt;"&amp;O331,$O$13:$O$330,"&gt;"&amp;N331)&gt;0,"OVERLAP","OK"),"CHECK INPUTS"))</f>
        <v/>
      </c>
      <c r="AA331" s="120">
        <f>IF(AND(J331="OK",ISNUMBER($B$5),$B$5&gt;0,ISNUMBER($B$3),$B$3&gt;0),F331/(6*$B$3*1000000*$B$5)*(IF(B331&lt;($B$4*0/10),($B$4*0/10)*(MIN(C331,($B$4*0/10))^3-B331^3)-(MIN(C331,($B$4*0/10))^4-B331^4)/4,0)+IF(C331&gt;($B$4*0/10),($B$4*0/10)^2*(1.5*(C331^2-MAX(B331,($B$4*0/10))^2)-($B$4*0/10)*(C331-MAX(B331,($B$4*0/10)))),0))*1000,0)</f>
        <v>0</v>
      </c>
      <c r="AB331" s="120">
        <f>IF(AND(J331="OK",ISNUMBER($B$5),$B$5&gt;0,ISNUMBER($B$3),$B$3&gt;0),F331/(6*$B$3*1000000*$B$5)*(IF(B331&lt;($B$4*1/10),($B$4*1/10)*(MIN(C331,($B$4*1/10))^3-B331^3)-(MIN(C331,($B$4*1/10))^4-B331^4)/4,0)+IF(C331&gt;($B$4*1/10),($B$4*1/10)^2*(1.5*(C331^2-MAX(B331,($B$4*1/10))^2)-($B$4*1/10)*(C331-MAX(B331,($B$4*1/10)))),0))*1000,0)</f>
        <v>0</v>
      </c>
      <c r="AC331" s="120">
        <f>IF(AND(J331="OK",ISNUMBER($B$5),$B$5&gt;0,ISNUMBER($B$3),$B$3&gt;0),F331/(6*$B$3*1000000*$B$5)*(IF(B331&lt;($B$4*2/10),($B$4*2/10)*(MIN(C331,($B$4*2/10))^3-B331^3)-(MIN(C331,($B$4*2/10))^4-B331^4)/4,0)+IF(C331&gt;($B$4*2/10),($B$4*2/10)^2*(1.5*(C331^2-MAX(B331,($B$4*2/10))^2)-($B$4*2/10)*(C331-MAX(B331,($B$4*2/10)))),0))*1000,0)</f>
        <v>0</v>
      </c>
      <c r="AD331" s="120">
        <f>IF(AND(J331="OK",ISNUMBER($B$5),$B$5&gt;0,ISNUMBER($B$3),$B$3&gt;0),F331/(6*$B$3*1000000*$B$5)*(IF(B331&lt;($B$4*3/10),($B$4*3/10)*(MIN(C331,($B$4*3/10))^3-B331^3)-(MIN(C331,($B$4*3/10))^4-B331^4)/4,0)+IF(C331&gt;($B$4*3/10),($B$4*3/10)^2*(1.5*(C331^2-MAX(B331,($B$4*3/10))^2)-($B$4*3/10)*(C331-MAX(B331,($B$4*3/10)))),0))*1000,0)</f>
        <v>0</v>
      </c>
      <c r="AE331" s="120">
        <f>IF(AND(J331="OK",ISNUMBER($B$5),$B$5&gt;0,ISNUMBER($B$3),$B$3&gt;0),F331/(6*$B$3*1000000*$B$5)*(IF(B331&lt;($B$4*4/10),($B$4*4/10)*(MIN(C331,($B$4*4/10))^3-B331^3)-(MIN(C331,($B$4*4/10))^4-B331^4)/4,0)+IF(C331&gt;($B$4*4/10),($B$4*4/10)^2*(1.5*(C331^2-MAX(B331,($B$4*4/10))^2)-($B$4*4/10)*(C331-MAX(B331,($B$4*4/10)))),0))*1000,0)</f>
        <v>0</v>
      </c>
      <c r="AF331" s="120">
        <f>IF(AND(J331="OK",ISNUMBER($B$5),$B$5&gt;0,ISNUMBER($B$3),$B$3&gt;0),F331/(6*$B$3*1000000*$B$5)*(IF(B331&lt;($B$4*5/10),($B$4*5/10)*(MIN(C331,($B$4*5/10))^3-B331^3)-(MIN(C331,($B$4*5/10))^4-B331^4)/4,0)+IF(C331&gt;($B$4*5/10),($B$4*5/10)^2*(1.5*(C331^2-MAX(B331,($B$4*5/10))^2)-($B$4*5/10)*(C331-MAX(B331,($B$4*5/10)))),0))*1000,0)</f>
        <v>0</v>
      </c>
      <c r="AG331" s="120">
        <f>IF(AND(J331="OK",ISNUMBER($B$5),$B$5&gt;0,ISNUMBER($B$3),$B$3&gt;0),F331/(6*$B$3*1000000*$B$5)*(IF(B331&lt;($B$4*6/10),($B$4*6/10)*(MIN(C331,($B$4*6/10))^3-B331^3)-(MIN(C331,($B$4*6/10))^4-B331^4)/4,0)+IF(C331&gt;($B$4*6/10),($B$4*6/10)^2*(1.5*(C331^2-MAX(B331,($B$4*6/10))^2)-($B$4*6/10)*(C331-MAX(B331,($B$4*6/10)))),0))*1000,0)</f>
        <v>0</v>
      </c>
      <c r="AH331" s="120">
        <f>IF(AND(J331="OK",ISNUMBER($B$5),$B$5&gt;0,ISNUMBER($B$3),$B$3&gt;0),F331/(6*$B$3*1000000*$B$5)*(IF(B331&lt;($B$4*7/10),($B$4*7/10)*(MIN(C331,($B$4*7/10))^3-B331^3)-(MIN(C331,($B$4*7/10))^4-B331^4)/4,0)+IF(C331&gt;($B$4*7/10),($B$4*7/10)^2*(1.5*(C331^2-MAX(B331,($B$4*7/10))^2)-($B$4*7/10)*(C331-MAX(B331,($B$4*7/10)))),0))*1000,0)</f>
        <v>0</v>
      </c>
      <c r="AI331" s="120">
        <f>IF(AND(J331="OK",ISNUMBER($B$5),$B$5&gt;0,ISNUMBER($B$3),$B$3&gt;0),F331/(6*$B$3*1000000*$B$5)*(IF(B331&lt;($B$4*8/10),($B$4*8/10)*(MIN(C331,($B$4*8/10))^3-B331^3)-(MIN(C331,($B$4*8/10))^4-B331^4)/4,0)+IF(C331&gt;($B$4*8/10),($B$4*8/10)^2*(1.5*(C331^2-MAX(B331,($B$4*8/10))^2)-($B$4*8/10)*(C331-MAX(B331,($B$4*8/10)))),0))*1000,0)</f>
        <v>0</v>
      </c>
      <c r="AJ331" s="120">
        <f>IF(AND(J331="OK",ISNUMBER($B$5),$B$5&gt;0,ISNUMBER($B$3),$B$3&gt;0),F331/(6*$B$3*1000000*$B$5)*(IF(B331&lt;($B$4*9/10),($B$4*9/10)*(MIN(C331,($B$4*9/10))^3-B331^3)-(MIN(C331,($B$4*9/10))^4-B331^4)/4,0)+IF(C331&gt;($B$4*9/10),($B$4*9/10)^2*(1.5*(C331^2-MAX(B331,($B$4*9/10))^2)-($B$4*9/10)*(C331-MAX(B331,($B$4*9/10)))),0))*1000,0)</f>
        <v>0</v>
      </c>
      <c r="AK331" s="120">
        <f>IF(AND(J331="OK",ISNUMBER($B$5),$B$5&gt;0,ISNUMBER($B$3),$B$3&gt;0),F331/(6*$B$3*1000000*$B$5)*(IF(B331&lt;($B$4*10/10),($B$4*10/10)*(MIN(C331,($B$4*10/10))^3-B331^3)-(MIN(C331,($B$4*10/10))^4-B331^4)/4,0)+IF(C331&gt;($B$4*10/10),($B$4*10/10)^2*(1.5*(C331^2-MAX(B331,($B$4*10/10))^2)-($B$4*10/10)*(C331-MAX(B331,($B$4*10/10)))),0))*1000,0)</f>
        <v>0</v>
      </c>
      <c r="AM331" s="120">
        <f>IF(AND(V331="OK",ISNUMBER($N$5),$N$5&gt;0,ISNUMBER($N$3),$N$3&gt;0),R331/(6*$N$3*1000000*$N$5)*(IF(N331&lt;($N$4*0/10),($N$4*0/10)*(MIN(O331,($N$4*0/10))^3-N331^3)-(MIN(O331,($N$4*0/10))^4-N331^4)/4,0)+IF(O331&gt;($N$4*0/10),($N$4*0/10)^2*(1.5*(O331^2-MAX(N331,($N$4*0/10))^2)-($N$4*0/10)*(O331-MAX(N331,($N$4*0/10)))),0))*1000,0)</f>
        <v>0</v>
      </c>
      <c r="AN331" s="120">
        <f>IF(AND(V331="OK",ISNUMBER($N$5),$N$5&gt;0,ISNUMBER($N$3),$N$3&gt;0),R331/(6*$N$3*1000000*$N$5)*(IF(N331&lt;($N$4*1/10),($N$4*1/10)*(MIN(O331,($N$4*1/10))^3-N331^3)-(MIN(O331,($N$4*1/10))^4-N331^4)/4,0)+IF(O331&gt;($N$4*1/10),($N$4*1/10)^2*(1.5*(O331^2-MAX(N331,($N$4*1/10))^2)-($N$4*1/10)*(O331-MAX(N331,($N$4*1/10)))),0))*1000,0)</f>
        <v>0</v>
      </c>
      <c r="AO331" s="120">
        <f>IF(AND(V331="OK",ISNUMBER($N$5),$N$5&gt;0,ISNUMBER($N$3),$N$3&gt;0),R331/(6*$N$3*1000000*$N$5)*(IF(N331&lt;($N$4*2/10),($N$4*2/10)*(MIN(O331,($N$4*2/10))^3-N331^3)-(MIN(O331,($N$4*2/10))^4-N331^4)/4,0)+IF(O331&gt;($N$4*2/10),($N$4*2/10)^2*(1.5*(O331^2-MAX(N331,($N$4*2/10))^2)-($N$4*2/10)*(O331-MAX(N331,($N$4*2/10)))),0))*1000,0)</f>
        <v>0</v>
      </c>
      <c r="AP331" s="120">
        <f>IF(AND(V331="OK",ISNUMBER($N$5),$N$5&gt;0,ISNUMBER($N$3),$N$3&gt;0),R331/(6*$N$3*1000000*$N$5)*(IF(N331&lt;($N$4*3/10),($N$4*3/10)*(MIN(O331,($N$4*3/10))^3-N331^3)-(MIN(O331,($N$4*3/10))^4-N331^4)/4,0)+IF(O331&gt;($N$4*3/10),($N$4*3/10)^2*(1.5*(O331^2-MAX(N331,($N$4*3/10))^2)-($N$4*3/10)*(O331-MAX(N331,($N$4*3/10)))),0))*1000,0)</f>
        <v>0</v>
      </c>
      <c r="AQ331" s="120">
        <f>IF(AND(V331="OK",ISNUMBER($N$5),$N$5&gt;0,ISNUMBER($N$3),$N$3&gt;0),R331/(6*$N$3*1000000*$N$5)*(IF(N331&lt;($N$4*4/10),($N$4*4/10)*(MIN(O331,($N$4*4/10))^3-N331^3)-(MIN(O331,($N$4*4/10))^4-N331^4)/4,0)+IF(O331&gt;($N$4*4/10),($N$4*4/10)^2*(1.5*(O331^2-MAX(N331,($N$4*4/10))^2)-($N$4*4/10)*(O331-MAX(N331,($N$4*4/10)))),0))*1000,0)</f>
        <v>0</v>
      </c>
      <c r="AR331" s="120">
        <f>IF(AND(V331="OK",ISNUMBER($N$5),$N$5&gt;0,ISNUMBER($N$3),$N$3&gt;0),R331/(6*$N$3*1000000*$N$5)*(IF(N331&lt;($N$4*5/10),($N$4*5/10)*(MIN(O331,($N$4*5/10))^3-N331^3)-(MIN(O331,($N$4*5/10))^4-N331^4)/4,0)+IF(O331&gt;($N$4*5/10),($N$4*5/10)^2*(1.5*(O331^2-MAX(N331,($N$4*5/10))^2)-($N$4*5/10)*(O331-MAX(N331,($N$4*5/10)))),0))*1000,0)</f>
        <v>0</v>
      </c>
      <c r="AS331" s="120">
        <f>IF(AND(V331="OK",ISNUMBER($N$5),$N$5&gt;0,ISNUMBER($N$3),$N$3&gt;0),R331/(6*$N$3*1000000*$N$5)*(IF(N331&lt;($N$4*6/10),($N$4*6/10)*(MIN(O331,($N$4*6/10))^3-N331^3)-(MIN(O331,($N$4*6/10))^4-N331^4)/4,0)+IF(O331&gt;($N$4*6/10),($N$4*6/10)^2*(1.5*(O331^2-MAX(N331,($N$4*6/10))^2)-($N$4*6/10)*(O331-MAX(N331,($N$4*6/10)))),0))*1000,0)</f>
        <v>0</v>
      </c>
      <c r="AT331" s="120">
        <f>IF(AND(V331="OK",ISNUMBER($N$5),$N$5&gt;0,ISNUMBER($N$3),$N$3&gt;0),R331/(6*$N$3*1000000*$N$5)*(IF(N331&lt;($N$4*7/10),($N$4*7/10)*(MIN(O331,($N$4*7/10))^3-N331^3)-(MIN(O331,($N$4*7/10))^4-N331^4)/4,0)+IF(O331&gt;($N$4*7/10),($N$4*7/10)^2*(1.5*(O331^2-MAX(N331,($N$4*7/10))^2)-($N$4*7/10)*(O331-MAX(N331,($N$4*7/10)))),0))*1000,0)</f>
        <v>0</v>
      </c>
      <c r="AU331" s="120">
        <f>IF(AND(V331="OK",ISNUMBER($N$5),$N$5&gt;0,ISNUMBER($N$3),$N$3&gt;0),R331/(6*$N$3*1000000*$N$5)*(IF(N331&lt;($N$4*8/10),($N$4*8/10)*(MIN(O331,($N$4*8/10))^3-N331^3)-(MIN(O331,($N$4*8/10))^4-N331^4)/4,0)+IF(O331&gt;($N$4*8/10),($N$4*8/10)^2*(1.5*(O331^2-MAX(N331,($N$4*8/10))^2)-($N$4*8/10)*(O331-MAX(N331,($N$4*8/10)))),0))*1000,0)</f>
        <v>0</v>
      </c>
      <c r="AV331" s="120">
        <f>IF(AND(V331="OK",ISNUMBER($N$5),$N$5&gt;0,ISNUMBER($N$3),$N$3&gt;0),R331/(6*$N$3*1000000*$N$5)*(IF(N331&lt;($N$4*9/10),($N$4*9/10)*(MIN(O331,($N$4*9/10))^3-N331^3)-(MIN(O331,($N$4*9/10))^4-N331^4)/4,0)+IF(O331&gt;($N$4*9/10),($N$4*9/10)^2*(1.5*(O331^2-MAX(N331,($N$4*9/10))^2)-($N$4*9/10)*(O331-MAX(N331,($N$4*9/10)))),0))*1000,0)</f>
        <v>0</v>
      </c>
      <c r="AW331" s="120">
        <f>IF(AND(V331="OK",ISNUMBER($N$5),$N$5&gt;0,ISNUMBER($N$3),$N$3&gt;0),R331/(6*$N$3*1000000*$N$5)*(IF(N331&lt;($N$4*10/10),($N$4*10/10)*(MIN(O331,($N$4*10/10))^3-N331^3)-(MIN(O331,($N$4*10/10))^4-N331^4)/4,0)+IF(O331&gt;($N$4*10/10),($N$4*10/10)^2*(1.5*(O331^2-MAX(N331,($N$4*10/10))^2)-($N$4*10/10)*(O331-MAX(N331,($N$4*10/10)))),0))*1000,0)</f>
        <v>0</v>
      </c>
    </row>
    <row r="332" spans="1:49">
      <c r="A332" s="124"/>
      <c r="B332" s="125"/>
      <c r="C332" s="125"/>
      <c r="D332" s="125"/>
      <c r="E332" s="125"/>
      <c r="F332" s="126" t="str">
        <f>IF(J332="OK",D332*E332,"")</f>
        <v/>
      </c>
      <c r="G332" s="126" t="str">
        <f>IF(J332="OK",F332*(C332-B332),"")</f>
        <v/>
      </c>
      <c r="H332" s="126" t="str">
        <f>IF(J332="OK",G332*(C332+B332)/2,"")</f>
        <v/>
      </c>
      <c r="I332" s="126" t="str">
        <f>IF(AND(J332="OK",ISNUMBER($B$5),$B$5&gt;0,ISNUMBER($B$3),$B$3&gt;0),F332*(4*$B$4*(C332^3-B332^3)-(C332^4-B332^4))/(24*$B$3*1000000*$B$5)*1000,"")</f>
        <v/>
      </c>
      <c r="J332" s="120" t="str">
        <f>IF(COUNTA(A332:E332)=0,"",IF(AND(COUNT(B332:E332)=4,B332&gt;=0,C332&gt;B332,C332&lt;=$B$4,D332&gt;=0,E332&gt;0),IF(COUNTIFS($B$13:$B$331,"&lt;"&amp;C332,$C$13:$C$331,"&gt;"&amp;B332)&gt;0,"OVERLAP","OK"),"CHECK INPUTS"))</f>
        <v/>
      </c>
      <c r="M332" s="124"/>
      <c r="N332" s="125"/>
      <c r="O332" s="125"/>
      <c r="P332" s="125"/>
      <c r="Q332" s="125"/>
      <c r="R332" s="126" t="str">
        <f>IF(V332="OK",P332*Q332,"")</f>
        <v/>
      </c>
      <c r="S332" s="126" t="str">
        <f>IF(V332="OK",R332*(O332-N332),"")</f>
        <v/>
      </c>
      <c r="T332" s="126" t="str">
        <f>IF(V332="OK",S332*(O332+N332)/2,"")</f>
        <v/>
      </c>
      <c r="U332" s="126" t="str">
        <f>IF(AND(V332="OK",ISNUMBER($N$5),$N$5&gt;0,ISNUMBER($N$3),$N$3&gt;0),R332*(4*$N$4*(O332^3-N332^3)-(O332^4-N332^4))/(24*$N$3*1000000*$N$5)*1000,"")</f>
        <v/>
      </c>
      <c r="V332" s="120" t="str">
        <f>IF(COUNTA(M332:Q332)=0,"",IF(AND(COUNT(N332:Q332)=4,N332&gt;=0,O332&gt;N332,O332&lt;=$N$4,P332&gt;=0,Q332&gt;0),IF(COUNTIFS($N$13:$N$331,"&lt;"&amp;O332,$O$13:$O$331,"&gt;"&amp;N332)&gt;0,"OVERLAP","OK"),"CHECK INPUTS"))</f>
        <v/>
      </c>
      <c r="AA332" s="120">
        <f>IF(AND(J332="OK",ISNUMBER($B$5),$B$5&gt;0,ISNUMBER($B$3),$B$3&gt;0),F332/(6*$B$3*1000000*$B$5)*(IF(B332&lt;($B$4*0/10),($B$4*0/10)*(MIN(C332,($B$4*0/10))^3-B332^3)-(MIN(C332,($B$4*0/10))^4-B332^4)/4,0)+IF(C332&gt;($B$4*0/10),($B$4*0/10)^2*(1.5*(C332^2-MAX(B332,($B$4*0/10))^2)-($B$4*0/10)*(C332-MAX(B332,($B$4*0/10)))),0))*1000,0)</f>
        <v>0</v>
      </c>
      <c r="AB332" s="120">
        <f>IF(AND(J332="OK",ISNUMBER($B$5),$B$5&gt;0,ISNUMBER($B$3),$B$3&gt;0),F332/(6*$B$3*1000000*$B$5)*(IF(B332&lt;($B$4*1/10),($B$4*1/10)*(MIN(C332,($B$4*1/10))^3-B332^3)-(MIN(C332,($B$4*1/10))^4-B332^4)/4,0)+IF(C332&gt;($B$4*1/10),($B$4*1/10)^2*(1.5*(C332^2-MAX(B332,($B$4*1/10))^2)-($B$4*1/10)*(C332-MAX(B332,($B$4*1/10)))),0))*1000,0)</f>
        <v>0</v>
      </c>
      <c r="AC332" s="120">
        <f>IF(AND(J332="OK",ISNUMBER($B$5),$B$5&gt;0,ISNUMBER($B$3),$B$3&gt;0),F332/(6*$B$3*1000000*$B$5)*(IF(B332&lt;($B$4*2/10),($B$4*2/10)*(MIN(C332,($B$4*2/10))^3-B332^3)-(MIN(C332,($B$4*2/10))^4-B332^4)/4,0)+IF(C332&gt;($B$4*2/10),($B$4*2/10)^2*(1.5*(C332^2-MAX(B332,($B$4*2/10))^2)-($B$4*2/10)*(C332-MAX(B332,($B$4*2/10)))),0))*1000,0)</f>
        <v>0</v>
      </c>
      <c r="AD332" s="120">
        <f>IF(AND(J332="OK",ISNUMBER($B$5),$B$5&gt;0,ISNUMBER($B$3),$B$3&gt;0),F332/(6*$B$3*1000000*$B$5)*(IF(B332&lt;($B$4*3/10),($B$4*3/10)*(MIN(C332,($B$4*3/10))^3-B332^3)-(MIN(C332,($B$4*3/10))^4-B332^4)/4,0)+IF(C332&gt;($B$4*3/10),($B$4*3/10)^2*(1.5*(C332^2-MAX(B332,($B$4*3/10))^2)-($B$4*3/10)*(C332-MAX(B332,($B$4*3/10)))),0))*1000,0)</f>
        <v>0</v>
      </c>
      <c r="AE332" s="120">
        <f>IF(AND(J332="OK",ISNUMBER($B$5),$B$5&gt;0,ISNUMBER($B$3),$B$3&gt;0),F332/(6*$B$3*1000000*$B$5)*(IF(B332&lt;($B$4*4/10),($B$4*4/10)*(MIN(C332,($B$4*4/10))^3-B332^3)-(MIN(C332,($B$4*4/10))^4-B332^4)/4,0)+IF(C332&gt;($B$4*4/10),($B$4*4/10)^2*(1.5*(C332^2-MAX(B332,($B$4*4/10))^2)-($B$4*4/10)*(C332-MAX(B332,($B$4*4/10)))),0))*1000,0)</f>
        <v>0</v>
      </c>
      <c r="AF332" s="120">
        <f>IF(AND(J332="OK",ISNUMBER($B$5),$B$5&gt;0,ISNUMBER($B$3),$B$3&gt;0),F332/(6*$B$3*1000000*$B$5)*(IF(B332&lt;($B$4*5/10),($B$4*5/10)*(MIN(C332,($B$4*5/10))^3-B332^3)-(MIN(C332,($B$4*5/10))^4-B332^4)/4,0)+IF(C332&gt;($B$4*5/10),($B$4*5/10)^2*(1.5*(C332^2-MAX(B332,($B$4*5/10))^2)-($B$4*5/10)*(C332-MAX(B332,($B$4*5/10)))),0))*1000,0)</f>
        <v>0</v>
      </c>
      <c r="AG332" s="120">
        <f>IF(AND(J332="OK",ISNUMBER($B$5),$B$5&gt;0,ISNUMBER($B$3),$B$3&gt;0),F332/(6*$B$3*1000000*$B$5)*(IF(B332&lt;($B$4*6/10),($B$4*6/10)*(MIN(C332,($B$4*6/10))^3-B332^3)-(MIN(C332,($B$4*6/10))^4-B332^4)/4,0)+IF(C332&gt;($B$4*6/10),($B$4*6/10)^2*(1.5*(C332^2-MAX(B332,($B$4*6/10))^2)-($B$4*6/10)*(C332-MAX(B332,($B$4*6/10)))),0))*1000,0)</f>
        <v>0</v>
      </c>
      <c r="AH332" s="120">
        <f>IF(AND(J332="OK",ISNUMBER($B$5),$B$5&gt;0,ISNUMBER($B$3),$B$3&gt;0),F332/(6*$B$3*1000000*$B$5)*(IF(B332&lt;($B$4*7/10),($B$4*7/10)*(MIN(C332,($B$4*7/10))^3-B332^3)-(MIN(C332,($B$4*7/10))^4-B332^4)/4,0)+IF(C332&gt;($B$4*7/10),($B$4*7/10)^2*(1.5*(C332^2-MAX(B332,($B$4*7/10))^2)-($B$4*7/10)*(C332-MAX(B332,($B$4*7/10)))),0))*1000,0)</f>
        <v>0</v>
      </c>
      <c r="AI332" s="120">
        <f>IF(AND(J332="OK",ISNUMBER($B$5),$B$5&gt;0,ISNUMBER($B$3),$B$3&gt;0),F332/(6*$B$3*1000000*$B$5)*(IF(B332&lt;($B$4*8/10),($B$4*8/10)*(MIN(C332,($B$4*8/10))^3-B332^3)-(MIN(C332,($B$4*8/10))^4-B332^4)/4,0)+IF(C332&gt;($B$4*8/10),($B$4*8/10)^2*(1.5*(C332^2-MAX(B332,($B$4*8/10))^2)-($B$4*8/10)*(C332-MAX(B332,($B$4*8/10)))),0))*1000,0)</f>
        <v>0</v>
      </c>
      <c r="AJ332" s="120">
        <f>IF(AND(J332="OK",ISNUMBER($B$5),$B$5&gt;0,ISNUMBER($B$3),$B$3&gt;0),F332/(6*$B$3*1000000*$B$5)*(IF(B332&lt;($B$4*9/10),($B$4*9/10)*(MIN(C332,($B$4*9/10))^3-B332^3)-(MIN(C332,($B$4*9/10))^4-B332^4)/4,0)+IF(C332&gt;($B$4*9/10),($B$4*9/10)^2*(1.5*(C332^2-MAX(B332,($B$4*9/10))^2)-($B$4*9/10)*(C332-MAX(B332,($B$4*9/10)))),0))*1000,0)</f>
        <v>0</v>
      </c>
      <c r="AK332" s="120">
        <f>IF(AND(J332="OK",ISNUMBER($B$5),$B$5&gt;0,ISNUMBER($B$3),$B$3&gt;0),F332/(6*$B$3*1000000*$B$5)*(IF(B332&lt;($B$4*10/10),($B$4*10/10)*(MIN(C332,($B$4*10/10))^3-B332^3)-(MIN(C332,($B$4*10/10))^4-B332^4)/4,0)+IF(C332&gt;($B$4*10/10),($B$4*10/10)^2*(1.5*(C332^2-MAX(B332,($B$4*10/10))^2)-($B$4*10/10)*(C332-MAX(B332,($B$4*10/10)))),0))*1000,0)</f>
        <v>0</v>
      </c>
      <c r="AM332" s="120">
        <f>IF(AND(V332="OK",ISNUMBER($N$5),$N$5&gt;0,ISNUMBER($N$3),$N$3&gt;0),R332/(6*$N$3*1000000*$N$5)*(IF(N332&lt;($N$4*0/10),($N$4*0/10)*(MIN(O332,($N$4*0/10))^3-N332^3)-(MIN(O332,($N$4*0/10))^4-N332^4)/4,0)+IF(O332&gt;($N$4*0/10),($N$4*0/10)^2*(1.5*(O332^2-MAX(N332,($N$4*0/10))^2)-($N$4*0/10)*(O332-MAX(N332,($N$4*0/10)))),0))*1000,0)</f>
        <v>0</v>
      </c>
      <c r="AN332" s="120">
        <f>IF(AND(V332="OK",ISNUMBER($N$5),$N$5&gt;0,ISNUMBER($N$3),$N$3&gt;0),R332/(6*$N$3*1000000*$N$5)*(IF(N332&lt;($N$4*1/10),($N$4*1/10)*(MIN(O332,($N$4*1/10))^3-N332^3)-(MIN(O332,($N$4*1/10))^4-N332^4)/4,0)+IF(O332&gt;($N$4*1/10),($N$4*1/10)^2*(1.5*(O332^2-MAX(N332,($N$4*1/10))^2)-($N$4*1/10)*(O332-MAX(N332,($N$4*1/10)))),0))*1000,0)</f>
        <v>0</v>
      </c>
      <c r="AO332" s="120">
        <f>IF(AND(V332="OK",ISNUMBER($N$5),$N$5&gt;0,ISNUMBER($N$3),$N$3&gt;0),R332/(6*$N$3*1000000*$N$5)*(IF(N332&lt;($N$4*2/10),($N$4*2/10)*(MIN(O332,($N$4*2/10))^3-N332^3)-(MIN(O332,($N$4*2/10))^4-N332^4)/4,0)+IF(O332&gt;($N$4*2/10),($N$4*2/10)^2*(1.5*(O332^2-MAX(N332,($N$4*2/10))^2)-($N$4*2/10)*(O332-MAX(N332,($N$4*2/10)))),0))*1000,0)</f>
        <v>0</v>
      </c>
      <c r="AP332" s="120">
        <f>IF(AND(V332="OK",ISNUMBER($N$5),$N$5&gt;0,ISNUMBER($N$3),$N$3&gt;0),R332/(6*$N$3*1000000*$N$5)*(IF(N332&lt;($N$4*3/10),($N$4*3/10)*(MIN(O332,($N$4*3/10))^3-N332^3)-(MIN(O332,($N$4*3/10))^4-N332^4)/4,0)+IF(O332&gt;($N$4*3/10),($N$4*3/10)^2*(1.5*(O332^2-MAX(N332,($N$4*3/10))^2)-($N$4*3/10)*(O332-MAX(N332,($N$4*3/10)))),0))*1000,0)</f>
        <v>0</v>
      </c>
      <c r="AQ332" s="120">
        <f>IF(AND(V332="OK",ISNUMBER($N$5),$N$5&gt;0,ISNUMBER($N$3),$N$3&gt;0),R332/(6*$N$3*1000000*$N$5)*(IF(N332&lt;($N$4*4/10),($N$4*4/10)*(MIN(O332,($N$4*4/10))^3-N332^3)-(MIN(O332,($N$4*4/10))^4-N332^4)/4,0)+IF(O332&gt;($N$4*4/10),($N$4*4/10)^2*(1.5*(O332^2-MAX(N332,($N$4*4/10))^2)-($N$4*4/10)*(O332-MAX(N332,($N$4*4/10)))),0))*1000,0)</f>
        <v>0</v>
      </c>
      <c r="AR332" s="120">
        <f>IF(AND(V332="OK",ISNUMBER($N$5),$N$5&gt;0,ISNUMBER($N$3),$N$3&gt;0),R332/(6*$N$3*1000000*$N$5)*(IF(N332&lt;($N$4*5/10),($N$4*5/10)*(MIN(O332,($N$4*5/10))^3-N332^3)-(MIN(O332,($N$4*5/10))^4-N332^4)/4,0)+IF(O332&gt;($N$4*5/10),($N$4*5/10)^2*(1.5*(O332^2-MAX(N332,($N$4*5/10))^2)-($N$4*5/10)*(O332-MAX(N332,($N$4*5/10)))),0))*1000,0)</f>
        <v>0</v>
      </c>
      <c r="AS332" s="120">
        <f>IF(AND(V332="OK",ISNUMBER($N$5),$N$5&gt;0,ISNUMBER($N$3),$N$3&gt;0),R332/(6*$N$3*1000000*$N$5)*(IF(N332&lt;($N$4*6/10),($N$4*6/10)*(MIN(O332,($N$4*6/10))^3-N332^3)-(MIN(O332,($N$4*6/10))^4-N332^4)/4,0)+IF(O332&gt;($N$4*6/10),($N$4*6/10)^2*(1.5*(O332^2-MAX(N332,($N$4*6/10))^2)-($N$4*6/10)*(O332-MAX(N332,($N$4*6/10)))),0))*1000,0)</f>
        <v>0</v>
      </c>
      <c r="AT332" s="120">
        <f>IF(AND(V332="OK",ISNUMBER($N$5),$N$5&gt;0,ISNUMBER($N$3),$N$3&gt;0),R332/(6*$N$3*1000000*$N$5)*(IF(N332&lt;($N$4*7/10),($N$4*7/10)*(MIN(O332,($N$4*7/10))^3-N332^3)-(MIN(O332,($N$4*7/10))^4-N332^4)/4,0)+IF(O332&gt;($N$4*7/10),($N$4*7/10)^2*(1.5*(O332^2-MAX(N332,($N$4*7/10))^2)-($N$4*7/10)*(O332-MAX(N332,($N$4*7/10)))),0))*1000,0)</f>
        <v>0</v>
      </c>
      <c r="AU332" s="120">
        <f>IF(AND(V332="OK",ISNUMBER($N$5),$N$5&gt;0,ISNUMBER($N$3),$N$3&gt;0),R332/(6*$N$3*1000000*$N$5)*(IF(N332&lt;($N$4*8/10),($N$4*8/10)*(MIN(O332,($N$4*8/10))^3-N332^3)-(MIN(O332,($N$4*8/10))^4-N332^4)/4,0)+IF(O332&gt;($N$4*8/10),($N$4*8/10)^2*(1.5*(O332^2-MAX(N332,($N$4*8/10))^2)-($N$4*8/10)*(O332-MAX(N332,($N$4*8/10)))),0))*1000,0)</f>
        <v>0</v>
      </c>
      <c r="AV332" s="120">
        <f>IF(AND(V332="OK",ISNUMBER($N$5),$N$5&gt;0,ISNUMBER($N$3),$N$3&gt;0),R332/(6*$N$3*1000000*$N$5)*(IF(N332&lt;($N$4*9/10),($N$4*9/10)*(MIN(O332,($N$4*9/10))^3-N332^3)-(MIN(O332,($N$4*9/10))^4-N332^4)/4,0)+IF(O332&gt;($N$4*9/10),($N$4*9/10)^2*(1.5*(O332^2-MAX(N332,($N$4*9/10))^2)-($N$4*9/10)*(O332-MAX(N332,($N$4*9/10)))),0))*1000,0)</f>
        <v>0</v>
      </c>
      <c r="AW332" s="120">
        <f>IF(AND(V332="OK",ISNUMBER($N$5),$N$5&gt;0,ISNUMBER($N$3),$N$3&gt;0),R332/(6*$N$3*1000000*$N$5)*(IF(N332&lt;($N$4*10/10),($N$4*10/10)*(MIN(O332,($N$4*10/10))^3-N332^3)-(MIN(O332,($N$4*10/10))^4-N332^4)/4,0)+IF(O332&gt;($N$4*10/10),($N$4*10/10)^2*(1.5*(O332^2-MAX(N332,($N$4*10/10))^2)-($N$4*10/10)*(O332-MAX(N332,($N$4*10/10)))),0))*1000,0)</f>
        <v>0</v>
      </c>
    </row>
    <row r="333" spans="1:49">
      <c r="A333" s="124"/>
      <c r="B333" s="125"/>
      <c r="C333" s="125"/>
      <c r="D333" s="125"/>
      <c r="E333" s="125"/>
      <c r="F333" s="126" t="str">
        <f>IF(J333="OK",D333*E333,"")</f>
        <v/>
      </c>
      <c r="G333" s="126" t="str">
        <f>IF(J333="OK",F333*(C333-B333),"")</f>
        <v/>
      </c>
      <c r="H333" s="126" t="str">
        <f>IF(J333="OK",G333*(C333+B333)/2,"")</f>
        <v/>
      </c>
      <c r="I333" s="126" t="str">
        <f>IF(AND(J333="OK",ISNUMBER($B$5),$B$5&gt;0,ISNUMBER($B$3),$B$3&gt;0),F333*(4*$B$4*(C333^3-B333^3)-(C333^4-B333^4))/(24*$B$3*1000000*$B$5)*1000,"")</f>
        <v/>
      </c>
      <c r="J333" s="120" t="str">
        <f>IF(COUNTA(A333:E333)=0,"",IF(AND(COUNT(B333:E333)=4,B333&gt;=0,C333&gt;B333,C333&lt;=$B$4,D333&gt;=0,E333&gt;0),IF(COUNTIFS($B$13:$B$332,"&lt;"&amp;C333,$C$13:$C$332,"&gt;"&amp;B333)&gt;0,"OVERLAP","OK"),"CHECK INPUTS"))</f>
        <v/>
      </c>
      <c r="M333" s="124"/>
      <c r="N333" s="125"/>
      <c r="O333" s="125"/>
      <c r="P333" s="125"/>
      <c r="Q333" s="125"/>
      <c r="R333" s="126" t="str">
        <f>IF(V333="OK",P333*Q333,"")</f>
        <v/>
      </c>
      <c r="S333" s="126" t="str">
        <f>IF(V333="OK",R333*(O333-N333),"")</f>
        <v/>
      </c>
      <c r="T333" s="126" t="str">
        <f>IF(V333="OK",S333*(O333+N333)/2,"")</f>
        <v/>
      </c>
      <c r="U333" s="126" t="str">
        <f>IF(AND(V333="OK",ISNUMBER($N$5),$N$5&gt;0,ISNUMBER($N$3),$N$3&gt;0),R333*(4*$N$4*(O333^3-N333^3)-(O333^4-N333^4))/(24*$N$3*1000000*$N$5)*1000,"")</f>
        <v/>
      </c>
      <c r="V333" s="120" t="str">
        <f>IF(COUNTA(M333:Q333)=0,"",IF(AND(COUNT(N333:Q333)=4,N333&gt;=0,O333&gt;N333,O333&lt;=$N$4,P333&gt;=0,Q333&gt;0),IF(COUNTIFS($N$13:$N$332,"&lt;"&amp;O333,$O$13:$O$332,"&gt;"&amp;N333)&gt;0,"OVERLAP","OK"),"CHECK INPUTS"))</f>
        <v/>
      </c>
      <c r="AA333" s="120">
        <f>IF(AND(J333="OK",ISNUMBER($B$5),$B$5&gt;0,ISNUMBER($B$3),$B$3&gt;0),F333/(6*$B$3*1000000*$B$5)*(IF(B333&lt;($B$4*0/10),($B$4*0/10)*(MIN(C333,($B$4*0/10))^3-B333^3)-(MIN(C333,($B$4*0/10))^4-B333^4)/4,0)+IF(C333&gt;($B$4*0/10),($B$4*0/10)^2*(1.5*(C333^2-MAX(B333,($B$4*0/10))^2)-($B$4*0/10)*(C333-MAX(B333,($B$4*0/10)))),0))*1000,0)</f>
        <v>0</v>
      </c>
      <c r="AB333" s="120">
        <f>IF(AND(J333="OK",ISNUMBER($B$5),$B$5&gt;0,ISNUMBER($B$3),$B$3&gt;0),F333/(6*$B$3*1000000*$B$5)*(IF(B333&lt;($B$4*1/10),($B$4*1/10)*(MIN(C333,($B$4*1/10))^3-B333^3)-(MIN(C333,($B$4*1/10))^4-B333^4)/4,0)+IF(C333&gt;($B$4*1/10),($B$4*1/10)^2*(1.5*(C333^2-MAX(B333,($B$4*1/10))^2)-($B$4*1/10)*(C333-MAX(B333,($B$4*1/10)))),0))*1000,0)</f>
        <v>0</v>
      </c>
      <c r="AC333" s="120">
        <f>IF(AND(J333="OK",ISNUMBER($B$5),$B$5&gt;0,ISNUMBER($B$3),$B$3&gt;0),F333/(6*$B$3*1000000*$B$5)*(IF(B333&lt;($B$4*2/10),($B$4*2/10)*(MIN(C333,($B$4*2/10))^3-B333^3)-(MIN(C333,($B$4*2/10))^4-B333^4)/4,0)+IF(C333&gt;($B$4*2/10),($B$4*2/10)^2*(1.5*(C333^2-MAX(B333,($B$4*2/10))^2)-($B$4*2/10)*(C333-MAX(B333,($B$4*2/10)))),0))*1000,0)</f>
        <v>0</v>
      </c>
      <c r="AD333" s="120">
        <f>IF(AND(J333="OK",ISNUMBER($B$5),$B$5&gt;0,ISNUMBER($B$3),$B$3&gt;0),F333/(6*$B$3*1000000*$B$5)*(IF(B333&lt;($B$4*3/10),($B$4*3/10)*(MIN(C333,($B$4*3/10))^3-B333^3)-(MIN(C333,($B$4*3/10))^4-B333^4)/4,0)+IF(C333&gt;($B$4*3/10),($B$4*3/10)^2*(1.5*(C333^2-MAX(B333,($B$4*3/10))^2)-($B$4*3/10)*(C333-MAX(B333,($B$4*3/10)))),0))*1000,0)</f>
        <v>0</v>
      </c>
      <c r="AE333" s="120">
        <f>IF(AND(J333="OK",ISNUMBER($B$5),$B$5&gt;0,ISNUMBER($B$3),$B$3&gt;0),F333/(6*$B$3*1000000*$B$5)*(IF(B333&lt;($B$4*4/10),($B$4*4/10)*(MIN(C333,($B$4*4/10))^3-B333^3)-(MIN(C333,($B$4*4/10))^4-B333^4)/4,0)+IF(C333&gt;($B$4*4/10),($B$4*4/10)^2*(1.5*(C333^2-MAX(B333,($B$4*4/10))^2)-($B$4*4/10)*(C333-MAX(B333,($B$4*4/10)))),0))*1000,0)</f>
        <v>0</v>
      </c>
      <c r="AF333" s="120">
        <f>IF(AND(J333="OK",ISNUMBER($B$5),$B$5&gt;0,ISNUMBER($B$3),$B$3&gt;0),F333/(6*$B$3*1000000*$B$5)*(IF(B333&lt;($B$4*5/10),($B$4*5/10)*(MIN(C333,($B$4*5/10))^3-B333^3)-(MIN(C333,($B$4*5/10))^4-B333^4)/4,0)+IF(C333&gt;($B$4*5/10),($B$4*5/10)^2*(1.5*(C333^2-MAX(B333,($B$4*5/10))^2)-($B$4*5/10)*(C333-MAX(B333,($B$4*5/10)))),0))*1000,0)</f>
        <v>0</v>
      </c>
      <c r="AG333" s="120">
        <f>IF(AND(J333="OK",ISNUMBER($B$5),$B$5&gt;0,ISNUMBER($B$3),$B$3&gt;0),F333/(6*$B$3*1000000*$B$5)*(IF(B333&lt;($B$4*6/10),($B$4*6/10)*(MIN(C333,($B$4*6/10))^3-B333^3)-(MIN(C333,($B$4*6/10))^4-B333^4)/4,0)+IF(C333&gt;($B$4*6/10),($B$4*6/10)^2*(1.5*(C333^2-MAX(B333,($B$4*6/10))^2)-($B$4*6/10)*(C333-MAX(B333,($B$4*6/10)))),0))*1000,0)</f>
        <v>0</v>
      </c>
      <c r="AH333" s="120">
        <f>IF(AND(J333="OK",ISNUMBER($B$5),$B$5&gt;0,ISNUMBER($B$3),$B$3&gt;0),F333/(6*$B$3*1000000*$B$5)*(IF(B333&lt;($B$4*7/10),($B$4*7/10)*(MIN(C333,($B$4*7/10))^3-B333^3)-(MIN(C333,($B$4*7/10))^4-B333^4)/4,0)+IF(C333&gt;($B$4*7/10),($B$4*7/10)^2*(1.5*(C333^2-MAX(B333,($B$4*7/10))^2)-($B$4*7/10)*(C333-MAX(B333,($B$4*7/10)))),0))*1000,0)</f>
        <v>0</v>
      </c>
      <c r="AI333" s="120">
        <f>IF(AND(J333="OK",ISNUMBER($B$5),$B$5&gt;0,ISNUMBER($B$3),$B$3&gt;0),F333/(6*$B$3*1000000*$B$5)*(IF(B333&lt;($B$4*8/10),($B$4*8/10)*(MIN(C333,($B$4*8/10))^3-B333^3)-(MIN(C333,($B$4*8/10))^4-B333^4)/4,0)+IF(C333&gt;($B$4*8/10),($B$4*8/10)^2*(1.5*(C333^2-MAX(B333,($B$4*8/10))^2)-($B$4*8/10)*(C333-MAX(B333,($B$4*8/10)))),0))*1000,0)</f>
        <v>0</v>
      </c>
      <c r="AJ333" s="120">
        <f>IF(AND(J333="OK",ISNUMBER($B$5),$B$5&gt;0,ISNUMBER($B$3),$B$3&gt;0),F333/(6*$B$3*1000000*$B$5)*(IF(B333&lt;($B$4*9/10),($B$4*9/10)*(MIN(C333,($B$4*9/10))^3-B333^3)-(MIN(C333,($B$4*9/10))^4-B333^4)/4,0)+IF(C333&gt;($B$4*9/10),($B$4*9/10)^2*(1.5*(C333^2-MAX(B333,($B$4*9/10))^2)-($B$4*9/10)*(C333-MAX(B333,($B$4*9/10)))),0))*1000,0)</f>
        <v>0</v>
      </c>
      <c r="AK333" s="120">
        <f>IF(AND(J333="OK",ISNUMBER($B$5),$B$5&gt;0,ISNUMBER($B$3),$B$3&gt;0),F333/(6*$B$3*1000000*$B$5)*(IF(B333&lt;($B$4*10/10),($B$4*10/10)*(MIN(C333,($B$4*10/10))^3-B333^3)-(MIN(C333,($B$4*10/10))^4-B333^4)/4,0)+IF(C333&gt;($B$4*10/10),($B$4*10/10)^2*(1.5*(C333^2-MAX(B333,($B$4*10/10))^2)-($B$4*10/10)*(C333-MAX(B333,($B$4*10/10)))),0))*1000,0)</f>
        <v>0</v>
      </c>
      <c r="AM333" s="120">
        <f>IF(AND(V333="OK",ISNUMBER($N$5),$N$5&gt;0,ISNUMBER($N$3),$N$3&gt;0),R333/(6*$N$3*1000000*$N$5)*(IF(N333&lt;($N$4*0/10),($N$4*0/10)*(MIN(O333,($N$4*0/10))^3-N333^3)-(MIN(O333,($N$4*0/10))^4-N333^4)/4,0)+IF(O333&gt;($N$4*0/10),($N$4*0/10)^2*(1.5*(O333^2-MAX(N333,($N$4*0/10))^2)-($N$4*0/10)*(O333-MAX(N333,($N$4*0/10)))),0))*1000,0)</f>
        <v>0</v>
      </c>
      <c r="AN333" s="120">
        <f>IF(AND(V333="OK",ISNUMBER($N$5),$N$5&gt;0,ISNUMBER($N$3),$N$3&gt;0),R333/(6*$N$3*1000000*$N$5)*(IF(N333&lt;($N$4*1/10),($N$4*1/10)*(MIN(O333,($N$4*1/10))^3-N333^3)-(MIN(O333,($N$4*1/10))^4-N333^4)/4,0)+IF(O333&gt;($N$4*1/10),($N$4*1/10)^2*(1.5*(O333^2-MAX(N333,($N$4*1/10))^2)-($N$4*1/10)*(O333-MAX(N333,($N$4*1/10)))),0))*1000,0)</f>
        <v>0</v>
      </c>
      <c r="AO333" s="120">
        <f>IF(AND(V333="OK",ISNUMBER($N$5),$N$5&gt;0,ISNUMBER($N$3),$N$3&gt;0),R333/(6*$N$3*1000000*$N$5)*(IF(N333&lt;($N$4*2/10),($N$4*2/10)*(MIN(O333,($N$4*2/10))^3-N333^3)-(MIN(O333,($N$4*2/10))^4-N333^4)/4,0)+IF(O333&gt;($N$4*2/10),($N$4*2/10)^2*(1.5*(O333^2-MAX(N333,($N$4*2/10))^2)-($N$4*2/10)*(O333-MAX(N333,($N$4*2/10)))),0))*1000,0)</f>
        <v>0</v>
      </c>
      <c r="AP333" s="120">
        <f>IF(AND(V333="OK",ISNUMBER($N$5),$N$5&gt;0,ISNUMBER($N$3),$N$3&gt;0),R333/(6*$N$3*1000000*$N$5)*(IF(N333&lt;($N$4*3/10),($N$4*3/10)*(MIN(O333,($N$4*3/10))^3-N333^3)-(MIN(O333,($N$4*3/10))^4-N333^4)/4,0)+IF(O333&gt;($N$4*3/10),($N$4*3/10)^2*(1.5*(O333^2-MAX(N333,($N$4*3/10))^2)-($N$4*3/10)*(O333-MAX(N333,($N$4*3/10)))),0))*1000,0)</f>
        <v>0</v>
      </c>
      <c r="AQ333" s="120">
        <f>IF(AND(V333="OK",ISNUMBER($N$5),$N$5&gt;0,ISNUMBER($N$3),$N$3&gt;0),R333/(6*$N$3*1000000*$N$5)*(IF(N333&lt;($N$4*4/10),($N$4*4/10)*(MIN(O333,($N$4*4/10))^3-N333^3)-(MIN(O333,($N$4*4/10))^4-N333^4)/4,0)+IF(O333&gt;($N$4*4/10),($N$4*4/10)^2*(1.5*(O333^2-MAX(N333,($N$4*4/10))^2)-($N$4*4/10)*(O333-MAX(N333,($N$4*4/10)))),0))*1000,0)</f>
        <v>0</v>
      </c>
      <c r="AR333" s="120">
        <f>IF(AND(V333="OK",ISNUMBER($N$5),$N$5&gt;0,ISNUMBER($N$3),$N$3&gt;0),R333/(6*$N$3*1000000*$N$5)*(IF(N333&lt;($N$4*5/10),($N$4*5/10)*(MIN(O333,($N$4*5/10))^3-N333^3)-(MIN(O333,($N$4*5/10))^4-N333^4)/4,0)+IF(O333&gt;($N$4*5/10),($N$4*5/10)^2*(1.5*(O333^2-MAX(N333,($N$4*5/10))^2)-($N$4*5/10)*(O333-MAX(N333,($N$4*5/10)))),0))*1000,0)</f>
        <v>0</v>
      </c>
      <c r="AS333" s="120">
        <f>IF(AND(V333="OK",ISNUMBER($N$5),$N$5&gt;0,ISNUMBER($N$3),$N$3&gt;0),R333/(6*$N$3*1000000*$N$5)*(IF(N333&lt;($N$4*6/10),($N$4*6/10)*(MIN(O333,($N$4*6/10))^3-N333^3)-(MIN(O333,($N$4*6/10))^4-N333^4)/4,0)+IF(O333&gt;($N$4*6/10),($N$4*6/10)^2*(1.5*(O333^2-MAX(N333,($N$4*6/10))^2)-($N$4*6/10)*(O333-MAX(N333,($N$4*6/10)))),0))*1000,0)</f>
        <v>0</v>
      </c>
      <c r="AT333" s="120">
        <f>IF(AND(V333="OK",ISNUMBER($N$5),$N$5&gt;0,ISNUMBER($N$3),$N$3&gt;0),R333/(6*$N$3*1000000*$N$5)*(IF(N333&lt;($N$4*7/10),($N$4*7/10)*(MIN(O333,($N$4*7/10))^3-N333^3)-(MIN(O333,($N$4*7/10))^4-N333^4)/4,0)+IF(O333&gt;($N$4*7/10),($N$4*7/10)^2*(1.5*(O333^2-MAX(N333,($N$4*7/10))^2)-($N$4*7/10)*(O333-MAX(N333,($N$4*7/10)))),0))*1000,0)</f>
        <v>0</v>
      </c>
      <c r="AU333" s="120">
        <f>IF(AND(V333="OK",ISNUMBER($N$5),$N$5&gt;0,ISNUMBER($N$3),$N$3&gt;0),R333/(6*$N$3*1000000*$N$5)*(IF(N333&lt;($N$4*8/10),($N$4*8/10)*(MIN(O333,($N$4*8/10))^3-N333^3)-(MIN(O333,($N$4*8/10))^4-N333^4)/4,0)+IF(O333&gt;($N$4*8/10),($N$4*8/10)^2*(1.5*(O333^2-MAX(N333,($N$4*8/10))^2)-($N$4*8/10)*(O333-MAX(N333,($N$4*8/10)))),0))*1000,0)</f>
        <v>0</v>
      </c>
      <c r="AV333" s="120">
        <f>IF(AND(V333="OK",ISNUMBER($N$5),$N$5&gt;0,ISNUMBER($N$3),$N$3&gt;0),R333/(6*$N$3*1000000*$N$5)*(IF(N333&lt;($N$4*9/10),($N$4*9/10)*(MIN(O333,($N$4*9/10))^3-N333^3)-(MIN(O333,($N$4*9/10))^4-N333^4)/4,0)+IF(O333&gt;($N$4*9/10),($N$4*9/10)^2*(1.5*(O333^2-MAX(N333,($N$4*9/10))^2)-($N$4*9/10)*(O333-MAX(N333,($N$4*9/10)))),0))*1000,0)</f>
        <v>0</v>
      </c>
      <c r="AW333" s="120">
        <f>IF(AND(V333="OK",ISNUMBER($N$5),$N$5&gt;0,ISNUMBER($N$3),$N$3&gt;0),R333/(6*$N$3*1000000*$N$5)*(IF(N333&lt;($N$4*10/10),($N$4*10/10)*(MIN(O333,($N$4*10/10))^3-N333^3)-(MIN(O333,($N$4*10/10))^4-N333^4)/4,0)+IF(O333&gt;($N$4*10/10),($N$4*10/10)^2*(1.5*(O333^2-MAX(N333,($N$4*10/10))^2)-($N$4*10/10)*(O333-MAX(N333,($N$4*10/10)))),0))*1000,0)</f>
        <v>0</v>
      </c>
    </row>
    <row r="334" spans="1:49">
      <c r="A334" s="124"/>
      <c r="B334" s="125"/>
      <c r="C334" s="125"/>
      <c r="D334" s="125"/>
      <c r="E334" s="125"/>
      <c r="F334" s="126" t="str">
        <f>IF(J334="OK",D334*E334,"")</f>
        <v/>
      </c>
      <c r="G334" s="126" t="str">
        <f>IF(J334="OK",F334*(C334-B334),"")</f>
        <v/>
      </c>
      <c r="H334" s="126" t="str">
        <f>IF(J334="OK",G334*(C334+B334)/2,"")</f>
        <v/>
      </c>
      <c r="I334" s="126" t="str">
        <f>IF(AND(J334="OK",ISNUMBER($B$5),$B$5&gt;0,ISNUMBER($B$3),$B$3&gt;0),F334*(4*$B$4*(C334^3-B334^3)-(C334^4-B334^4))/(24*$B$3*1000000*$B$5)*1000,"")</f>
        <v/>
      </c>
      <c r="J334" s="120" t="str">
        <f>IF(COUNTA(A334:E334)=0,"",IF(AND(COUNT(B334:E334)=4,B334&gt;=0,C334&gt;B334,C334&lt;=$B$4,D334&gt;=0,E334&gt;0),IF(COUNTIFS($B$13:$B$333,"&lt;"&amp;C334,$C$13:$C$333,"&gt;"&amp;B334)&gt;0,"OVERLAP","OK"),"CHECK INPUTS"))</f>
        <v/>
      </c>
      <c r="M334" s="124"/>
      <c r="N334" s="125"/>
      <c r="O334" s="125"/>
      <c r="P334" s="125"/>
      <c r="Q334" s="125"/>
      <c r="R334" s="126" t="str">
        <f>IF(V334="OK",P334*Q334,"")</f>
        <v/>
      </c>
      <c r="S334" s="126" t="str">
        <f>IF(V334="OK",R334*(O334-N334),"")</f>
        <v/>
      </c>
      <c r="T334" s="126" t="str">
        <f>IF(V334="OK",S334*(O334+N334)/2,"")</f>
        <v/>
      </c>
      <c r="U334" s="126" t="str">
        <f>IF(AND(V334="OK",ISNUMBER($N$5),$N$5&gt;0,ISNUMBER($N$3),$N$3&gt;0),R334*(4*$N$4*(O334^3-N334^3)-(O334^4-N334^4))/(24*$N$3*1000000*$N$5)*1000,"")</f>
        <v/>
      </c>
      <c r="V334" s="120" t="str">
        <f>IF(COUNTA(M334:Q334)=0,"",IF(AND(COUNT(N334:Q334)=4,N334&gt;=0,O334&gt;N334,O334&lt;=$N$4,P334&gt;=0,Q334&gt;0),IF(COUNTIFS($N$13:$N$333,"&lt;"&amp;O334,$O$13:$O$333,"&gt;"&amp;N334)&gt;0,"OVERLAP","OK"),"CHECK INPUTS"))</f>
        <v/>
      </c>
      <c r="AA334" s="120">
        <f>IF(AND(J334="OK",ISNUMBER($B$5),$B$5&gt;0,ISNUMBER($B$3),$B$3&gt;0),F334/(6*$B$3*1000000*$B$5)*(IF(B334&lt;($B$4*0/10),($B$4*0/10)*(MIN(C334,($B$4*0/10))^3-B334^3)-(MIN(C334,($B$4*0/10))^4-B334^4)/4,0)+IF(C334&gt;($B$4*0/10),($B$4*0/10)^2*(1.5*(C334^2-MAX(B334,($B$4*0/10))^2)-($B$4*0/10)*(C334-MAX(B334,($B$4*0/10)))),0))*1000,0)</f>
        <v>0</v>
      </c>
      <c r="AB334" s="120">
        <f>IF(AND(J334="OK",ISNUMBER($B$5),$B$5&gt;0,ISNUMBER($B$3),$B$3&gt;0),F334/(6*$B$3*1000000*$B$5)*(IF(B334&lt;($B$4*1/10),($B$4*1/10)*(MIN(C334,($B$4*1/10))^3-B334^3)-(MIN(C334,($B$4*1/10))^4-B334^4)/4,0)+IF(C334&gt;($B$4*1/10),($B$4*1/10)^2*(1.5*(C334^2-MAX(B334,($B$4*1/10))^2)-($B$4*1/10)*(C334-MAX(B334,($B$4*1/10)))),0))*1000,0)</f>
        <v>0</v>
      </c>
      <c r="AC334" s="120">
        <f>IF(AND(J334="OK",ISNUMBER($B$5),$B$5&gt;0,ISNUMBER($B$3),$B$3&gt;0),F334/(6*$B$3*1000000*$B$5)*(IF(B334&lt;($B$4*2/10),($B$4*2/10)*(MIN(C334,($B$4*2/10))^3-B334^3)-(MIN(C334,($B$4*2/10))^4-B334^4)/4,0)+IF(C334&gt;($B$4*2/10),($B$4*2/10)^2*(1.5*(C334^2-MAX(B334,($B$4*2/10))^2)-($B$4*2/10)*(C334-MAX(B334,($B$4*2/10)))),0))*1000,0)</f>
        <v>0</v>
      </c>
      <c r="AD334" s="120">
        <f>IF(AND(J334="OK",ISNUMBER($B$5),$B$5&gt;0,ISNUMBER($B$3),$B$3&gt;0),F334/(6*$B$3*1000000*$B$5)*(IF(B334&lt;($B$4*3/10),($B$4*3/10)*(MIN(C334,($B$4*3/10))^3-B334^3)-(MIN(C334,($B$4*3/10))^4-B334^4)/4,0)+IF(C334&gt;($B$4*3/10),($B$4*3/10)^2*(1.5*(C334^2-MAX(B334,($B$4*3/10))^2)-($B$4*3/10)*(C334-MAX(B334,($B$4*3/10)))),0))*1000,0)</f>
        <v>0</v>
      </c>
      <c r="AE334" s="120">
        <f>IF(AND(J334="OK",ISNUMBER($B$5),$B$5&gt;0,ISNUMBER($B$3),$B$3&gt;0),F334/(6*$B$3*1000000*$B$5)*(IF(B334&lt;($B$4*4/10),($B$4*4/10)*(MIN(C334,($B$4*4/10))^3-B334^3)-(MIN(C334,($B$4*4/10))^4-B334^4)/4,0)+IF(C334&gt;($B$4*4/10),($B$4*4/10)^2*(1.5*(C334^2-MAX(B334,($B$4*4/10))^2)-($B$4*4/10)*(C334-MAX(B334,($B$4*4/10)))),0))*1000,0)</f>
        <v>0</v>
      </c>
      <c r="AF334" s="120">
        <f>IF(AND(J334="OK",ISNUMBER($B$5),$B$5&gt;0,ISNUMBER($B$3),$B$3&gt;0),F334/(6*$B$3*1000000*$B$5)*(IF(B334&lt;($B$4*5/10),($B$4*5/10)*(MIN(C334,($B$4*5/10))^3-B334^3)-(MIN(C334,($B$4*5/10))^4-B334^4)/4,0)+IF(C334&gt;($B$4*5/10),($B$4*5/10)^2*(1.5*(C334^2-MAX(B334,($B$4*5/10))^2)-($B$4*5/10)*(C334-MAX(B334,($B$4*5/10)))),0))*1000,0)</f>
        <v>0</v>
      </c>
      <c r="AG334" s="120">
        <f>IF(AND(J334="OK",ISNUMBER($B$5),$B$5&gt;0,ISNUMBER($B$3),$B$3&gt;0),F334/(6*$B$3*1000000*$B$5)*(IF(B334&lt;($B$4*6/10),($B$4*6/10)*(MIN(C334,($B$4*6/10))^3-B334^3)-(MIN(C334,($B$4*6/10))^4-B334^4)/4,0)+IF(C334&gt;($B$4*6/10),($B$4*6/10)^2*(1.5*(C334^2-MAX(B334,($B$4*6/10))^2)-($B$4*6/10)*(C334-MAX(B334,($B$4*6/10)))),0))*1000,0)</f>
        <v>0</v>
      </c>
      <c r="AH334" s="120">
        <f>IF(AND(J334="OK",ISNUMBER($B$5),$B$5&gt;0,ISNUMBER($B$3),$B$3&gt;0),F334/(6*$B$3*1000000*$B$5)*(IF(B334&lt;($B$4*7/10),($B$4*7/10)*(MIN(C334,($B$4*7/10))^3-B334^3)-(MIN(C334,($B$4*7/10))^4-B334^4)/4,0)+IF(C334&gt;($B$4*7/10),($B$4*7/10)^2*(1.5*(C334^2-MAX(B334,($B$4*7/10))^2)-($B$4*7/10)*(C334-MAX(B334,($B$4*7/10)))),0))*1000,0)</f>
        <v>0</v>
      </c>
      <c r="AI334" s="120">
        <f>IF(AND(J334="OK",ISNUMBER($B$5),$B$5&gt;0,ISNUMBER($B$3),$B$3&gt;0),F334/(6*$B$3*1000000*$B$5)*(IF(B334&lt;($B$4*8/10),($B$4*8/10)*(MIN(C334,($B$4*8/10))^3-B334^3)-(MIN(C334,($B$4*8/10))^4-B334^4)/4,0)+IF(C334&gt;($B$4*8/10),($B$4*8/10)^2*(1.5*(C334^2-MAX(B334,($B$4*8/10))^2)-($B$4*8/10)*(C334-MAX(B334,($B$4*8/10)))),0))*1000,0)</f>
        <v>0</v>
      </c>
      <c r="AJ334" s="120">
        <f>IF(AND(J334="OK",ISNUMBER($B$5),$B$5&gt;0,ISNUMBER($B$3),$B$3&gt;0),F334/(6*$B$3*1000000*$B$5)*(IF(B334&lt;($B$4*9/10),($B$4*9/10)*(MIN(C334,($B$4*9/10))^3-B334^3)-(MIN(C334,($B$4*9/10))^4-B334^4)/4,0)+IF(C334&gt;($B$4*9/10),($B$4*9/10)^2*(1.5*(C334^2-MAX(B334,($B$4*9/10))^2)-($B$4*9/10)*(C334-MAX(B334,($B$4*9/10)))),0))*1000,0)</f>
        <v>0</v>
      </c>
      <c r="AK334" s="120">
        <f>IF(AND(J334="OK",ISNUMBER($B$5),$B$5&gt;0,ISNUMBER($B$3),$B$3&gt;0),F334/(6*$B$3*1000000*$B$5)*(IF(B334&lt;($B$4*10/10),($B$4*10/10)*(MIN(C334,($B$4*10/10))^3-B334^3)-(MIN(C334,($B$4*10/10))^4-B334^4)/4,0)+IF(C334&gt;($B$4*10/10),($B$4*10/10)^2*(1.5*(C334^2-MAX(B334,($B$4*10/10))^2)-($B$4*10/10)*(C334-MAX(B334,($B$4*10/10)))),0))*1000,0)</f>
        <v>0</v>
      </c>
      <c r="AM334" s="120">
        <f>IF(AND(V334="OK",ISNUMBER($N$5),$N$5&gt;0,ISNUMBER($N$3),$N$3&gt;0),R334/(6*$N$3*1000000*$N$5)*(IF(N334&lt;($N$4*0/10),($N$4*0/10)*(MIN(O334,($N$4*0/10))^3-N334^3)-(MIN(O334,($N$4*0/10))^4-N334^4)/4,0)+IF(O334&gt;($N$4*0/10),($N$4*0/10)^2*(1.5*(O334^2-MAX(N334,($N$4*0/10))^2)-($N$4*0/10)*(O334-MAX(N334,($N$4*0/10)))),0))*1000,0)</f>
        <v>0</v>
      </c>
      <c r="AN334" s="120">
        <f>IF(AND(V334="OK",ISNUMBER($N$5),$N$5&gt;0,ISNUMBER($N$3),$N$3&gt;0),R334/(6*$N$3*1000000*$N$5)*(IF(N334&lt;($N$4*1/10),($N$4*1/10)*(MIN(O334,($N$4*1/10))^3-N334^3)-(MIN(O334,($N$4*1/10))^4-N334^4)/4,0)+IF(O334&gt;($N$4*1/10),($N$4*1/10)^2*(1.5*(O334^2-MAX(N334,($N$4*1/10))^2)-($N$4*1/10)*(O334-MAX(N334,($N$4*1/10)))),0))*1000,0)</f>
        <v>0</v>
      </c>
      <c r="AO334" s="120">
        <f>IF(AND(V334="OK",ISNUMBER($N$5),$N$5&gt;0,ISNUMBER($N$3),$N$3&gt;0),R334/(6*$N$3*1000000*$N$5)*(IF(N334&lt;($N$4*2/10),($N$4*2/10)*(MIN(O334,($N$4*2/10))^3-N334^3)-(MIN(O334,($N$4*2/10))^4-N334^4)/4,0)+IF(O334&gt;($N$4*2/10),($N$4*2/10)^2*(1.5*(O334^2-MAX(N334,($N$4*2/10))^2)-($N$4*2/10)*(O334-MAX(N334,($N$4*2/10)))),0))*1000,0)</f>
        <v>0</v>
      </c>
      <c r="AP334" s="120">
        <f>IF(AND(V334="OK",ISNUMBER($N$5),$N$5&gt;0,ISNUMBER($N$3),$N$3&gt;0),R334/(6*$N$3*1000000*$N$5)*(IF(N334&lt;($N$4*3/10),($N$4*3/10)*(MIN(O334,($N$4*3/10))^3-N334^3)-(MIN(O334,($N$4*3/10))^4-N334^4)/4,0)+IF(O334&gt;($N$4*3/10),($N$4*3/10)^2*(1.5*(O334^2-MAX(N334,($N$4*3/10))^2)-($N$4*3/10)*(O334-MAX(N334,($N$4*3/10)))),0))*1000,0)</f>
        <v>0</v>
      </c>
      <c r="AQ334" s="120">
        <f>IF(AND(V334="OK",ISNUMBER($N$5),$N$5&gt;0,ISNUMBER($N$3),$N$3&gt;0),R334/(6*$N$3*1000000*$N$5)*(IF(N334&lt;($N$4*4/10),($N$4*4/10)*(MIN(O334,($N$4*4/10))^3-N334^3)-(MIN(O334,($N$4*4/10))^4-N334^4)/4,0)+IF(O334&gt;($N$4*4/10),($N$4*4/10)^2*(1.5*(O334^2-MAX(N334,($N$4*4/10))^2)-($N$4*4/10)*(O334-MAX(N334,($N$4*4/10)))),0))*1000,0)</f>
        <v>0</v>
      </c>
      <c r="AR334" s="120">
        <f>IF(AND(V334="OK",ISNUMBER($N$5),$N$5&gt;0,ISNUMBER($N$3),$N$3&gt;0),R334/(6*$N$3*1000000*$N$5)*(IF(N334&lt;($N$4*5/10),($N$4*5/10)*(MIN(O334,($N$4*5/10))^3-N334^3)-(MIN(O334,($N$4*5/10))^4-N334^4)/4,0)+IF(O334&gt;($N$4*5/10),($N$4*5/10)^2*(1.5*(O334^2-MAX(N334,($N$4*5/10))^2)-($N$4*5/10)*(O334-MAX(N334,($N$4*5/10)))),0))*1000,0)</f>
        <v>0</v>
      </c>
      <c r="AS334" s="120">
        <f>IF(AND(V334="OK",ISNUMBER($N$5),$N$5&gt;0,ISNUMBER($N$3),$N$3&gt;0),R334/(6*$N$3*1000000*$N$5)*(IF(N334&lt;($N$4*6/10),($N$4*6/10)*(MIN(O334,($N$4*6/10))^3-N334^3)-(MIN(O334,($N$4*6/10))^4-N334^4)/4,0)+IF(O334&gt;($N$4*6/10),($N$4*6/10)^2*(1.5*(O334^2-MAX(N334,($N$4*6/10))^2)-($N$4*6/10)*(O334-MAX(N334,($N$4*6/10)))),0))*1000,0)</f>
        <v>0</v>
      </c>
      <c r="AT334" s="120">
        <f>IF(AND(V334="OK",ISNUMBER($N$5),$N$5&gt;0,ISNUMBER($N$3),$N$3&gt;0),R334/(6*$N$3*1000000*$N$5)*(IF(N334&lt;($N$4*7/10),($N$4*7/10)*(MIN(O334,($N$4*7/10))^3-N334^3)-(MIN(O334,($N$4*7/10))^4-N334^4)/4,0)+IF(O334&gt;($N$4*7/10),($N$4*7/10)^2*(1.5*(O334^2-MAX(N334,($N$4*7/10))^2)-($N$4*7/10)*(O334-MAX(N334,($N$4*7/10)))),0))*1000,0)</f>
        <v>0</v>
      </c>
      <c r="AU334" s="120">
        <f>IF(AND(V334="OK",ISNUMBER($N$5),$N$5&gt;0,ISNUMBER($N$3),$N$3&gt;0),R334/(6*$N$3*1000000*$N$5)*(IF(N334&lt;($N$4*8/10),($N$4*8/10)*(MIN(O334,($N$4*8/10))^3-N334^3)-(MIN(O334,($N$4*8/10))^4-N334^4)/4,0)+IF(O334&gt;($N$4*8/10),($N$4*8/10)^2*(1.5*(O334^2-MAX(N334,($N$4*8/10))^2)-($N$4*8/10)*(O334-MAX(N334,($N$4*8/10)))),0))*1000,0)</f>
        <v>0</v>
      </c>
      <c r="AV334" s="120">
        <f>IF(AND(V334="OK",ISNUMBER($N$5),$N$5&gt;0,ISNUMBER($N$3),$N$3&gt;0),R334/(6*$N$3*1000000*$N$5)*(IF(N334&lt;($N$4*9/10),($N$4*9/10)*(MIN(O334,($N$4*9/10))^3-N334^3)-(MIN(O334,($N$4*9/10))^4-N334^4)/4,0)+IF(O334&gt;($N$4*9/10),($N$4*9/10)^2*(1.5*(O334^2-MAX(N334,($N$4*9/10))^2)-($N$4*9/10)*(O334-MAX(N334,($N$4*9/10)))),0))*1000,0)</f>
        <v>0</v>
      </c>
      <c r="AW334" s="120">
        <f>IF(AND(V334="OK",ISNUMBER($N$5),$N$5&gt;0,ISNUMBER($N$3),$N$3&gt;0),R334/(6*$N$3*1000000*$N$5)*(IF(N334&lt;($N$4*10/10),($N$4*10/10)*(MIN(O334,($N$4*10/10))^3-N334^3)-(MIN(O334,($N$4*10/10))^4-N334^4)/4,0)+IF(O334&gt;($N$4*10/10),($N$4*10/10)^2*(1.5*(O334^2-MAX(N334,($N$4*10/10))^2)-($N$4*10/10)*(O334-MAX(N334,($N$4*10/10)))),0))*1000,0)</f>
        <v>0</v>
      </c>
    </row>
    <row r="335" spans="1:49">
      <c r="A335" s="124"/>
      <c r="B335" s="125"/>
      <c r="C335" s="125"/>
      <c r="D335" s="125"/>
      <c r="E335" s="125"/>
      <c r="F335" s="126" t="str">
        <f>IF(J335="OK",D335*E335,"")</f>
        <v/>
      </c>
      <c r="G335" s="126" t="str">
        <f>IF(J335="OK",F335*(C335-B335),"")</f>
        <v/>
      </c>
      <c r="H335" s="126" t="str">
        <f>IF(J335="OK",G335*(C335+B335)/2,"")</f>
        <v/>
      </c>
      <c r="I335" s="126" t="str">
        <f>IF(AND(J335="OK",ISNUMBER($B$5),$B$5&gt;0,ISNUMBER($B$3),$B$3&gt;0),F335*(4*$B$4*(C335^3-B335^3)-(C335^4-B335^4))/(24*$B$3*1000000*$B$5)*1000,"")</f>
        <v/>
      </c>
      <c r="J335" s="120" t="str">
        <f>IF(COUNTA(A335:E335)=0,"",IF(AND(COUNT(B335:E335)=4,B335&gt;=0,C335&gt;B335,C335&lt;=$B$4,D335&gt;=0,E335&gt;0),IF(COUNTIFS($B$13:$B$334,"&lt;"&amp;C335,$C$13:$C$334,"&gt;"&amp;B335)&gt;0,"OVERLAP","OK"),"CHECK INPUTS"))</f>
        <v/>
      </c>
      <c r="M335" s="124"/>
      <c r="N335" s="125"/>
      <c r="O335" s="125"/>
      <c r="P335" s="125"/>
      <c r="Q335" s="125"/>
      <c r="R335" s="126" t="str">
        <f>IF(V335="OK",P335*Q335,"")</f>
        <v/>
      </c>
      <c r="S335" s="126" t="str">
        <f>IF(V335="OK",R335*(O335-N335),"")</f>
        <v/>
      </c>
      <c r="T335" s="126" t="str">
        <f>IF(V335="OK",S335*(O335+N335)/2,"")</f>
        <v/>
      </c>
      <c r="U335" s="126" t="str">
        <f>IF(AND(V335="OK",ISNUMBER($N$5),$N$5&gt;0,ISNUMBER($N$3),$N$3&gt;0),R335*(4*$N$4*(O335^3-N335^3)-(O335^4-N335^4))/(24*$N$3*1000000*$N$5)*1000,"")</f>
        <v/>
      </c>
      <c r="V335" s="120" t="str">
        <f>IF(COUNTA(M335:Q335)=0,"",IF(AND(COUNT(N335:Q335)=4,N335&gt;=0,O335&gt;N335,O335&lt;=$N$4,P335&gt;=0,Q335&gt;0),IF(COUNTIFS($N$13:$N$334,"&lt;"&amp;O335,$O$13:$O$334,"&gt;"&amp;N335)&gt;0,"OVERLAP","OK"),"CHECK INPUTS"))</f>
        <v/>
      </c>
      <c r="AA335" s="120">
        <f>IF(AND(J335="OK",ISNUMBER($B$5),$B$5&gt;0,ISNUMBER($B$3),$B$3&gt;0),F335/(6*$B$3*1000000*$B$5)*(IF(B335&lt;($B$4*0/10),($B$4*0/10)*(MIN(C335,($B$4*0/10))^3-B335^3)-(MIN(C335,($B$4*0/10))^4-B335^4)/4,0)+IF(C335&gt;($B$4*0/10),($B$4*0/10)^2*(1.5*(C335^2-MAX(B335,($B$4*0/10))^2)-($B$4*0/10)*(C335-MAX(B335,($B$4*0/10)))),0))*1000,0)</f>
        <v>0</v>
      </c>
      <c r="AB335" s="120">
        <f>IF(AND(J335="OK",ISNUMBER($B$5),$B$5&gt;0,ISNUMBER($B$3),$B$3&gt;0),F335/(6*$B$3*1000000*$B$5)*(IF(B335&lt;($B$4*1/10),($B$4*1/10)*(MIN(C335,($B$4*1/10))^3-B335^3)-(MIN(C335,($B$4*1/10))^4-B335^4)/4,0)+IF(C335&gt;($B$4*1/10),($B$4*1/10)^2*(1.5*(C335^2-MAX(B335,($B$4*1/10))^2)-($B$4*1/10)*(C335-MAX(B335,($B$4*1/10)))),0))*1000,0)</f>
        <v>0</v>
      </c>
      <c r="AC335" s="120">
        <f>IF(AND(J335="OK",ISNUMBER($B$5),$B$5&gt;0,ISNUMBER($B$3),$B$3&gt;0),F335/(6*$B$3*1000000*$B$5)*(IF(B335&lt;($B$4*2/10),($B$4*2/10)*(MIN(C335,($B$4*2/10))^3-B335^3)-(MIN(C335,($B$4*2/10))^4-B335^4)/4,0)+IF(C335&gt;($B$4*2/10),($B$4*2/10)^2*(1.5*(C335^2-MAX(B335,($B$4*2/10))^2)-($B$4*2/10)*(C335-MAX(B335,($B$4*2/10)))),0))*1000,0)</f>
        <v>0</v>
      </c>
      <c r="AD335" s="120">
        <f>IF(AND(J335="OK",ISNUMBER($B$5),$B$5&gt;0,ISNUMBER($B$3),$B$3&gt;0),F335/(6*$B$3*1000000*$B$5)*(IF(B335&lt;($B$4*3/10),($B$4*3/10)*(MIN(C335,($B$4*3/10))^3-B335^3)-(MIN(C335,($B$4*3/10))^4-B335^4)/4,0)+IF(C335&gt;($B$4*3/10),($B$4*3/10)^2*(1.5*(C335^2-MAX(B335,($B$4*3/10))^2)-($B$4*3/10)*(C335-MAX(B335,($B$4*3/10)))),0))*1000,0)</f>
        <v>0</v>
      </c>
      <c r="AE335" s="120">
        <f>IF(AND(J335="OK",ISNUMBER($B$5),$B$5&gt;0,ISNUMBER($B$3),$B$3&gt;0),F335/(6*$B$3*1000000*$B$5)*(IF(B335&lt;($B$4*4/10),($B$4*4/10)*(MIN(C335,($B$4*4/10))^3-B335^3)-(MIN(C335,($B$4*4/10))^4-B335^4)/4,0)+IF(C335&gt;($B$4*4/10),($B$4*4/10)^2*(1.5*(C335^2-MAX(B335,($B$4*4/10))^2)-($B$4*4/10)*(C335-MAX(B335,($B$4*4/10)))),0))*1000,0)</f>
        <v>0</v>
      </c>
      <c r="AF335" s="120">
        <f>IF(AND(J335="OK",ISNUMBER($B$5),$B$5&gt;0,ISNUMBER($B$3),$B$3&gt;0),F335/(6*$B$3*1000000*$B$5)*(IF(B335&lt;($B$4*5/10),($B$4*5/10)*(MIN(C335,($B$4*5/10))^3-B335^3)-(MIN(C335,($B$4*5/10))^4-B335^4)/4,0)+IF(C335&gt;($B$4*5/10),($B$4*5/10)^2*(1.5*(C335^2-MAX(B335,($B$4*5/10))^2)-($B$4*5/10)*(C335-MAX(B335,($B$4*5/10)))),0))*1000,0)</f>
        <v>0</v>
      </c>
      <c r="AG335" s="120">
        <f>IF(AND(J335="OK",ISNUMBER($B$5),$B$5&gt;0,ISNUMBER($B$3),$B$3&gt;0),F335/(6*$B$3*1000000*$B$5)*(IF(B335&lt;($B$4*6/10),($B$4*6/10)*(MIN(C335,($B$4*6/10))^3-B335^3)-(MIN(C335,($B$4*6/10))^4-B335^4)/4,0)+IF(C335&gt;($B$4*6/10),($B$4*6/10)^2*(1.5*(C335^2-MAX(B335,($B$4*6/10))^2)-($B$4*6/10)*(C335-MAX(B335,($B$4*6/10)))),0))*1000,0)</f>
        <v>0</v>
      </c>
      <c r="AH335" s="120">
        <f>IF(AND(J335="OK",ISNUMBER($B$5),$B$5&gt;0,ISNUMBER($B$3),$B$3&gt;0),F335/(6*$B$3*1000000*$B$5)*(IF(B335&lt;($B$4*7/10),($B$4*7/10)*(MIN(C335,($B$4*7/10))^3-B335^3)-(MIN(C335,($B$4*7/10))^4-B335^4)/4,0)+IF(C335&gt;($B$4*7/10),($B$4*7/10)^2*(1.5*(C335^2-MAX(B335,($B$4*7/10))^2)-($B$4*7/10)*(C335-MAX(B335,($B$4*7/10)))),0))*1000,0)</f>
        <v>0</v>
      </c>
      <c r="AI335" s="120">
        <f>IF(AND(J335="OK",ISNUMBER($B$5),$B$5&gt;0,ISNUMBER($B$3),$B$3&gt;0),F335/(6*$B$3*1000000*$B$5)*(IF(B335&lt;($B$4*8/10),($B$4*8/10)*(MIN(C335,($B$4*8/10))^3-B335^3)-(MIN(C335,($B$4*8/10))^4-B335^4)/4,0)+IF(C335&gt;($B$4*8/10),($B$4*8/10)^2*(1.5*(C335^2-MAX(B335,($B$4*8/10))^2)-($B$4*8/10)*(C335-MAX(B335,($B$4*8/10)))),0))*1000,0)</f>
        <v>0</v>
      </c>
      <c r="AJ335" s="120">
        <f>IF(AND(J335="OK",ISNUMBER($B$5),$B$5&gt;0,ISNUMBER($B$3),$B$3&gt;0),F335/(6*$B$3*1000000*$B$5)*(IF(B335&lt;($B$4*9/10),($B$4*9/10)*(MIN(C335,($B$4*9/10))^3-B335^3)-(MIN(C335,($B$4*9/10))^4-B335^4)/4,0)+IF(C335&gt;($B$4*9/10),($B$4*9/10)^2*(1.5*(C335^2-MAX(B335,($B$4*9/10))^2)-($B$4*9/10)*(C335-MAX(B335,($B$4*9/10)))),0))*1000,0)</f>
        <v>0</v>
      </c>
      <c r="AK335" s="120">
        <f>IF(AND(J335="OK",ISNUMBER($B$5),$B$5&gt;0,ISNUMBER($B$3),$B$3&gt;0),F335/(6*$B$3*1000000*$B$5)*(IF(B335&lt;($B$4*10/10),($B$4*10/10)*(MIN(C335,($B$4*10/10))^3-B335^3)-(MIN(C335,($B$4*10/10))^4-B335^4)/4,0)+IF(C335&gt;($B$4*10/10),($B$4*10/10)^2*(1.5*(C335^2-MAX(B335,($B$4*10/10))^2)-($B$4*10/10)*(C335-MAX(B335,($B$4*10/10)))),0))*1000,0)</f>
        <v>0</v>
      </c>
      <c r="AM335" s="120">
        <f>IF(AND(V335="OK",ISNUMBER($N$5),$N$5&gt;0,ISNUMBER($N$3),$N$3&gt;0),R335/(6*$N$3*1000000*$N$5)*(IF(N335&lt;($N$4*0/10),($N$4*0/10)*(MIN(O335,($N$4*0/10))^3-N335^3)-(MIN(O335,($N$4*0/10))^4-N335^4)/4,0)+IF(O335&gt;($N$4*0/10),($N$4*0/10)^2*(1.5*(O335^2-MAX(N335,($N$4*0/10))^2)-($N$4*0/10)*(O335-MAX(N335,($N$4*0/10)))),0))*1000,0)</f>
        <v>0</v>
      </c>
      <c r="AN335" s="120">
        <f>IF(AND(V335="OK",ISNUMBER($N$5),$N$5&gt;0,ISNUMBER($N$3),$N$3&gt;0),R335/(6*$N$3*1000000*$N$5)*(IF(N335&lt;($N$4*1/10),($N$4*1/10)*(MIN(O335,($N$4*1/10))^3-N335^3)-(MIN(O335,($N$4*1/10))^4-N335^4)/4,0)+IF(O335&gt;($N$4*1/10),($N$4*1/10)^2*(1.5*(O335^2-MAX(N335,($N$4*1/10))^2)-($N$4*1/10)*(O335-MAX(N335,($N$4*1/10)))),0))*1000,0)</f>
        <v>0</v>
      </c>
      <c r="AO335" s="120">
        <f>IF(AND(V335="OK",ISNUMBER($N$5),$N$5&gt;0,ISNUMBER($N$3),$N$3&gt;0),R335/(6*$N$3*1000000*$N$5)*(IF(N335&lt;($N$4*2/10),($N$4*2/10)*(MIN(O335,($N$4*2/10))^3-N335^3)-(MIN(O335,($N$4*2/10))^4-N335^4)/4,0)+IF(O335&gt;($N$4*2/10),($N$4*2/10)^2*(1.5*(O335^2-MAX(N335,($N$4*2/10))^2)-($N$4*2/10)*(O335-MAX(N335,($N$4*2/10)))),0))*1000,0)</f>
        <v>0</v>
      </c>
      <c r="AP335" s="120">
        <f>IF(AND(V335="OK",ISNUMBER($N$5),$N$5&gt;0,ISNUMBER($N$3),$N$3&gt;0),R335/(6*$N$3*1000000*$N$5)*(IF(N335&lt;($N$4*3/10),($N$4*3/10)*(MIN(O335,($N$4*3/10))^3-N335^3)-(MIN(O335,($N$4*3/10))^4-N335^4)/4,0)+IF(O335&gt;($N$4*3/10),($N$4*3/10)^2*(1.5*(O335^2-MAX(N335,($N$4*3/10))^2)-($N$4*3/10)*(O335-MAX(N335,($N$4*3/10)))),0))*1000,0)</f>
        <v>0</v>
      </c>
      <c r="AQ335" s="120">
        <f>IF(AND(V335="OK",ISNUMBER($N$5),$N$5&gt;0,ISNUMBER($N$3),$N$3&gt;0),R335/(6*$N$3*1000000*$N$5)*(IF(N335&lt;($N$4*4/10),($N$4*4/10)*(MIN(O335,($N$4*4/10))^3-N335^3)-(MIN(O335,($N$4*4/10))^4-N335^4)/4,0)+IF(O335&gt;($N$4*4/10),($N$4*4/10)^2*(1.5*(O335^2-MAX(N335,($N$4*4/10))^2)-($N$4*4/10)*(O335-MAX(N335,($N$4*4/10)))),0))*1000,0)</f>
        <v>0</v>
      </c>
      <c r="AR335" s="120">
        <f>IF(AND(V335="OK",ISNUMBER($N$5),$N$5&gt;0,ISNUMBER($N$3),$N$3&gt;0),R335/(6*$N$3*1000000*$N$5)*(IF(N335&lt;($N$4*5/10),($N$4*5/10)*(MIN(O335,($N$4*5/10))^3-N335^3)-(MIN(O335,($N$4*5/10))^4-N335^4)/4,0)+IF(O335&gt;($N$4*5/10),($N$4*5/10)^2*(1.5*(O335^2-MAX(N335,($N$4*5/10))^2)-($N$4*5/10)*(O335-MAX(N335,($N$4*5/10)))),0))*1000,0)</f>
        <v>0</v>
      </c>
      <c r="AS335" s="120">
        <f>IF(AND(V335="OK",ISNUMBER($N$5),$N$5&gt;0,ISNUMBER($N$3),$N$3&gt;0),R335/(6*$N$3*1000000*$N$5)*(IF(N335&lt;($N$4*6/10),($N$4*6/10)*(MIN(O335,($N$4*6/10))^3-N335^3)-(MIN(O335,($N$4*6/10))^4-N335^4)/4,0)+IF(O335&gt;($N$4*6/10),($N$4*6/10)^2*(1.5*(O335^2-MAX(N335,($N$4*6/10))^2)-($N$4*6/10)*(O335-MAX(N335,($N$4*6/10)))),0))*1000,0)</f>
        <v>0</v>
      </c>
      <c r="AT335" s="120">
        <f>IF(AND(V335="OK",ISNUMBER($N$5),$N$5&gt;0,ISNUMBER($N$3),$N$3&gt;0),R335/(6*$N$3*1000000*$N$5)*(IF(N335&lt;($N$4*7/10),($N$4*7/10)*(MIN(O335,($N$4*7/10))^3-N335^3)-(MIN(O335,($N$4*7/10))^4-N335^4)/4,0)+IF(O335&gt;($N$4*7/10),($N$4*7/10)^2*(1.5*(O335^2-MAX(N335,($N$4*7/10))^2)-($N$4*7/10)*(O335-MAX(N335,($N$4*7/10)))),0))*1000,0)</f>
        <v>0</v>
      </c>
      <c r="AU335" s="120">
        <f>IF(AND(V335="OK",ISNUMBER($N$5),$N$5&gt;0,ISNUMBER($N$3),$N$3&gt;0),R335/(6*$N$3*1000000*$N$5)*(IF(N335&lt;($N$4*8/10),($N$4*8/10)*(MIN(O335,($N$4*8/10))^3-N335^3)-(MIN(O335,($N$4*8/10))^4-N335^4)/4,0)+IF(O335&gt;($N$4*8/10),($N$4*8/10)^2*(1.5*(O335^2-MAX(N335,($N$4*8/10))^2)-($N$4*8/10)*(O335-MAX(N335,($N$4*8/10)))),0))*1000,0)</f>
        <v>0</v>
      </c>
      <c r="AV335" s="120">
        <f>IF(AND(V335="OK",ISNUMBER($N$5),$N$5&gt;0,ISNUMBER($N$3),$N$3&gt;0),R335/(6*$N$3*1000000*$N$5)*(IF(N335&lt;($N$4*9/10),($N$4*9/10)*(MIN(O335,($N$4*9/10))^3-N335^3)-(MIN(O335,($N$4*9/10))^4-N335^4)/4,0)+IF(O335&gt;($N$4*9/10),($N$4*9/10)^2*(1.5*(O335^2-MAX(N335,($N$4*9/10))^2)-($N$4*9/10)*(O335-MAX(N335,($N$4*9/10)))),0))*1000,0)</f>
        <v>0</v>
      </c>
      <c r="AW335" s="120">
        <f>IF(AND(V335="OK",ISNUMBER($N$5),$N$5&gt;0,ISNUMBER($N$3),$N$3&gt;0),R335/(6*$N$3*1000000*$N$5)*(IF(N335&lt;($N$4*10/10),($N$4*10/10)*(MIN(O335,($N$4*10/10))^3-N335^3)-(MIN(O335,($N$4*10/10))^4-N335^4)/4,0)+IF(O335&gt;($N$4*10/10),($N$4*10/10)^2*(1.5*(O335^2-MAX(N335,($N$4*10/10))^2)-($N$4*10/10)*(O335-MAX(N335,($N$4*10/10)))),0))*1000,0)</f>
        <v>0</v>
      </c>
    </row>
    <row r="336" spans="1:49">
      <c r="A336" s="124"/>
      <c r="B336" s="125"/>
      <c r="C336" s="125"/>
      <c r="D336" s="125"/>
      <c r="E336" s="125"/>
      <c r="F336" s="126" t="str">
        <f>IF(J336="OK",D336*E336,"")</f>
        <v/>
      </c>
      <c r="G336" s="126" t="str">
        <f>IF(J336="OK",F336*(C336-B336),"")</f>
        <v/>
      </c>
      <c r="H336" s="126" t="str">
        <f>IF(J336="OK",G336*(C336+B336)/2,"")</f>
        <v/>
      </c>
      <c r="I336" s="126" t="str">
        <f>IF(AND(J336="OK",ISNUMBER($B$5),$B$5&gt;0,ISNUMBER($B$3),$B$3&gt;0),F336*(4*$B$4*(C336^3-B336^3)-(C336^4-B336^4))/(24*$B$3*1000000*$B$5)*1000,"")</f>
        <v/>
      </c>
      <c r="J336" s="120" t="str">
        <f>IF(COUNTA(A336:E336)=0,"",IF(AND(COUNT(B336:E336)=4,B336&gt;=0,C336&gt;B336,C336&lt;=$B$4,D336&gt;=0,E336&gt;0),IF(COUNTIFS($B$13:$B$335,"&lt;"&amp;C336,$C$13:$C$335,"&gt;"&amp;B336)&gt;0,"OVERLAP","OK"),"CHECK INPUTS"))</f>
        <v/>
      </c>
      <c r="M336" s="124"/>
      <c r="N336" s="125"/>
      <c r="O336" s="125"/>
      <c r="P336" s="125"/>
      <c r="Q336" s="125"/>
      <c r="R336" s="126" t="str">
        <f>IF(V336="OK",P336*Q336,"")</f>
        <v/>
      </c>
      <c r="S336" s="126" t="str">
        <f>IF(V336="OK",R336*(O336-N336),"")</f>
        <v/>
      </c>
      <c r="T336" s="126" t="str">
        <f>IF(V336="OK",S336*(O336+N336)/2,"")</f>
        <v/>
      </c>
      <c r="U336" s="126" t="str">
        <f>IF(AND(V336="OK",ISNUMBER($N$5),$N$5&gt;0,ISNUMBER($N$3),$N$3&gt;0),R336*(4*$N$4*(O336^3-N336^3)-(O336^4-N336^4))/(24*$N$3*1000000*$N$5)*1000,"")</f>
        <v/>
      </c>
      <c r="V336" s="120" t="str">
        <f>IF(COUNTA(M336:Q336)=0,"",IF(AND(COUNT(N336:Q336)=4,N336&gt;=0,O336&gt;N336,O336&lt;=$N$4,P336&gt;=0,Q336&gt;0),IF(COUNTIFS($N$13:$N$335,"&lt;"&amp;O336,$O$13:$O$335,"&gt;"&amp;N336)&gt;0,"OVERLAP","OK"),"CHECK INPUTS"))</f>
        <v/>
      </c>
      <c r="AA336" s="120">
        <f>IF(AND(J336="OK",ISNUMBER($B$5),$B$5&gt;0,ISNUMBER($B$3),$B$3&gt;0),F336/(6*$B$3*1000000*$B$5)*(IF(B336&lt;($B$4*0/10),($B$4*0/10)*(MIN(C336,($B$4*0/10))^3-B336^3)-(MIN(C336,($B$4*0/10))^4-B336^4)/4,0)+IF(C336&gt;($B$4*0/10),($B$4*0/10)^2*(1.5*(C336^2-MAX(B336,($B$4*0/10))^2)-($B$4*0/10)*(C336-MAX(B336,($B$4*0/10)))),0))*1000,0)</f>
        <v>0</v>
      </c>
      <c r="AB336" s="120">
        <f>IF(AND(J336="OK",ISNUMBER($B$5),$B$5&gt;0,ISNUMBER($B$3),$B$3&gt;0),F336/(6*$B$3*1000000*$B$5)*(IF(B336&lt;($B$4*1/10),($B$4*1/10)*(MIN(C336,($B$4*1/10))^3-B336^3)-(MIN(C336,($B$4*1/10))^4-B336^4)/4,0)+IF(C336&gt;($B$4*1/10),($B$4*1/10)^2*(1.5*(C336^2-MAX(B336,($B$4*1/10))^2)-($B$4*1/10)*(C336-MAX(B336,($B$4*1/10)))),0))*1000,0)</f>
        <v>0</v>
      </c>
      <c r="AC336" s="120">
        <f>IF(AND(J336="OK",ISNUMBER($B$5),$B$5&gt;0,ISNUMBER($B$3),$B$3&gt;0),F336/(6*$B$3*1000000*$B$5)*(IF(B336&lt;($B$4*2/10),($B$4*2/10)*(MIN(C336,($B$4*2/10))^3-B336^3)-(MIN(C336,($B$4*2/10))^4-B336^4)/4,0)+IF(C336&gt;($B$4*2/10),($B$4*2/10)^2*(1.5*(C336^2-MAX(B336,($B$4*2/10))^2)-($B$4*2/10)*(C336-MAX(B336,($B$4*2/10)))),0))*1000,0)</f>
        <v>0</v>
      </c>
      <c r="AD336" s="120">
        <f>IF(AND(J336="OK",ISNUMBER($B$5),$B$5&gt;0,ISNUMBER($B$3),$B$3&gt;0),F336/(6*$B$3*1000000*$B$5)*(IF(B336&lt;($B$4*3/10),($B$4*3/10)*(MIN(C336,($B$4*3/10))^3-B336^3)-(MIN(C336,($B$4*3/10))^4-B336^4)/4,0)+IF(C336&gt;($B$4*3/10),($B$4*3/10)^2*(1.5*(C336^2-MAX(B336,($B$4*3/10))^2)-($B$4*3/10)*(C336-MAX(B336,($B$4*3/10)))),0))*1000,0)</f>
        <v>0</v>
      </c>
      <c r="AE336" s="120">
        <f>IF(AND(J336="OK",ISNUMBER($B$5),$B$5&gt;0,ISNUMBER($B$3),$B$3&gt;0),F336/(6*$B$3*1000000*$B$5)*(IF(B336&lt;($B$4*4/10),($B$4*4/10)*(MIN(C336,($B$4*4/10))^3-B336^3)-(MIN(C336,($B$4*4/10))^4-B336^4)/4,0)+IF(C336&gt;($B$4*4/10),($B$4*4/10)^2*(1.5*(C336^2-MAX(B336,($B$4*4/10))^2)-($B$4*4/10)*(C336-MAX(B336,($B$4*4/10)))),0))*1000,0)</f>
        <v>0</v>
      </c>
      <c r="AF336" s="120">
        <f>IF(AND(J336="OK",ISNUMBER($B$5),$B$5&gt;0,ISNUMBER($B$3),$B$3&gt;0),F336/(6*$B$3*1000000*$B$5)*(IF(B336&lt;($B$4*5/10),($B$4*5/10)*(MIN(C336,($B$4*5/10))^3-B336^3)-(MIN(C336,($B$4*5/10))^4-B336^4)/4,0)+IF(C336&gt;($B$4*5/10),($B$4*5/10)^2*(1.5*(C336^2-MAX(B336,($B$4*5/10))^2)-($B$4*5/10)*(C336-MAX(B336,($B$4*5/10)))),0))*1000,0)</f>
        <v>0</v>
      </c>
      <c r="AG336" s="120">
        <f>IF(AND(J336="OK",ISNUMBER($B$5),$B$5&gt;0,ISNUMBER($B$3),$B$3&gt;0),F336/(6*$B$3*1000000*$B$5)*(IF(B336&lt;($B$4*6/10),($B$4*6/10)*(MIN(C336,($B$4*6/10))^3-B336^3)-(MIN(C336,($B$4*6/10))^4-B336^4)/4,0)+IF(C336&gt;($B$4*6/10),($B$4*6/10)^2*(1.5*(C336^2-MAX(B336,($B$4*6/10))^2)-($B$4*6/10)*(C336-MAX(B336,($B$4*6/10)))),0))*1000,0)</f>
        <v>0</v>
      </c>
      <c r="AH336" s="120">
        <f>IF(AND(J336="OK",ISNUMBER($B$5),$B$5&gt;0,ISNUMBER($B$3),$B$3&gt;0),F336/(6*$B$3*1000000*$B$5)*(IF(B336&lt;($B$4*7/10),($B$4*7/10)*(MIN(C336,($B$4*7/10))^3-B336^3)-(MIN(C336,($B$4*7/10))^4-B336^4)/4,0)+IF(C336&gt;($B$4*7/10),($B$4*7/10)^2*(1.5*(C336^2-MAX(B336,($B$4*7/10))^2)-($B$4*7/10)*(C336-MAX(B336,($B$4*7/10)))),0))*1000,0)</f>
        <v>0</v>
      </c>
      <c r="AI336" s="120">
        <f>IF(AND(J336="OK",ISNUMBER($B$5),$B$5&gt;0,ISNUMBER($B$3),$B$3&gt;0),F336/(6*$B$3*1000000*$B$5)*(IF(B336&lt;($B$4*8/10),($B$4*8/10)*(MIN(C336,($B$4*8/10))^3-B336^3)-(MIN(C336,($B$4*8/10))^4-B336^4)/4,0)+IF(C336&gt;($B$4*8/10),($B$4*8/10)^2*(1.5*(C336^2-MAX(B336,($B$4*8/10))^2)-($B$4*8/10)*(C336-MAX(B336,($B$4*8/10)))),0))*1000,0)</f>
        <v>0</v>
      </c>
      <c r="AJ336" s="120">
        <f>IF(AND(J336="OK",ISNUMBER($B$5),$B$5&gt;0,ISNUMBER($B$3),$B$3&gt;0),F336/(6*$B$3*1000000*$B$5)*(IF(B336&lt;($B$4*9/10),($B$4*9/10)*(MIN(C336,($B$4*9/10))^3-B336^3)-(MIN(C336,($B$4*9/10))^4-B336^4)/4,0)+IF(C336&gt;($B$4*9/10),($B$4*9/10)^2*(1.5*(C336^2-MAX(B336,($B$4*9/10))^2)-($B$4*9/10)*(C336-MAX(B336,($B$4*9/10)))),0))*1000,0)</f>
        <v>0</v>
      </c>
      <c r="AK336" s="120">
        <f>IF(AND(J336="OK",ISNUMBER($B$5),$B$5&gt;0,ISNUMBER($B$3),$B$3&gt;0),F336/(6*$B$3*1000000*$B$5)*(IF(B336&lt;($B$4*10/10),($B$4*10/10)*(MIN(C336,($B$4*10/10))^3-B336^3)-(MIN(C336,($B$4*10/10))^4-B336^4)/4,0)+IF(C336&gt;($B$4*10/10),($B$4*10/10)^2*(1.5*(C336^2-MAX(B336,($B$4*10/10))^2)-($B$4*10/10)*(C336-MAX(B336,($B$4*10/10)))),0))*1000,0)</f>
        <v>0</v>
      </c>
      <c r="AM336" s="120">
        <f>IF(AND(V336="OK",ISNUMBER($N$5),$N$5&gt;0,ISNUMBER($N$3),$N$3&gt;0),R336/(6*$N$3*1000000*$N$5)*(IF(N336&lt;($N$4*0/10),($N$4*0/10)*(MIN(O336,($N$4*0/10))^3-N336^3)-(MIN(O336,($N$4*0/10))^4-N336^4)/4,0)+IF(O336&gt;($N$4*0/10),($N$4*0/10)^2*(1.5*(O336^2-MAX(N336,($N$4*0/10))^2)-($N$4*0/10)*(O336-MAX(N336,($N$4*0/10)))),0))*1000,0)</f>
        <v>0</v>
      </c>
      <c r="AN336" s="120">
        <f>IF(AND(V336="OK",ISNUMBER($N$5),$N$5&gt;0,ISNUMBER($N$3),$N$3&gt;0),R336/(6*$N$3*1000000*$N$5)*(IF(N336&lt;($N$4*1/10),($N$4*1/10)*(MIN(O336,($N$4*1/10))^3-N336^3)-(MIN(O336,($N$4*1/10))^4-N336^4)/4,0)+IF(O336&gt;($N$4*1/10),($N$4*1/10)^2*(1.5*(O336^2-MAX(N336,($N$4*1/10))^2)-($N$4*1/10)*(O336-MAX(N336,($N$4*1/10)))),0))*1000,0)</f>
        <v>0</v>
      </c>
      <c r="AO336" s="120">
        <f>IF(AND(V336="OK",ISNUMBER($N$5),$N$5&gt;0,ISNUMBER($N$3),$N$3&gt;0),R336/(6*$N$3*1000000*$N$5)*(IF(N336&lt;($N$4*2/10),($N$4*2/10)*(MIN(O336,($N$4*2/10))^3-N336^3)-(MIN(O336,($N$4*2/10))^4-N336^4)/4,0)+IF(O336&gt;($N$4*2/10),($N$4*2/10)^2*(1.5*(O336^2-MAX(N336,($N$4*2/10))^2)-($N$4*2/10)*(O336-MAX(N336,($N$4*2/10)))),0))*1000,0)</f>
        <v>0</v>
      </c>
      <c r="AP336" s="120">
        <f>IF(AND(V336="OK",ISNUMBER($N$5),$N$5&gt;0,ISNUMBER($N$3),$N$3&gt;0),R336/(6*$N$3*1000000*$N$5)*(IF(N336&lt;($N$4*3/10),($N$4*3/10)*(MIN(O336,($N$4*3/10))^3-N336^3)-(MIN(O336,($N$4*3/10))^4-N336^4)/4,0)+IF(O336&gt;($N$4*3/10),($N$4*3/10)^2*(1.5*(O336^2-MAX(N336,($N$4*3/10))^2)-($N$4*3/10)*(O336-MAX(N336,($N$4*3/10)))),0))*1000,0)</f>
        <v>0</v>
      </c>
      <c r="AQ336" s="120">
        <f>IF(AND(V336="OK",ISNUMBER($N$5),$N$5&gt;0,ISNUMBER($N$3),$N$3&gt;0),R336/(6*$N$3*1000000*$N$5)*(IF(N336&lt;($N$4*4/10),($N$4*4/10)*(MIN(O336,($N$4*4/10))^3-N336^3)-(MIN(O336,($N$4*4/10))^4-N336^4)/4,0)+IF(O336&gt;($N$4*4/10),($N$4*4/10)^2*(1.5*(O336^2-MAX(N336,($N$4*4/10))^2)-($N$4*4/10)*(O336-MAX(N336,($N$4*4/10)))),0))*1000,0)</f>
        <v>0</v>
      </c>
      <c r="AR336" s="120">
        <f>IF(AND(V336="OK",ISNUMBER($N$5),$N$5&gt;0,ISNUMBER($N$3),$N$3&gt;0),R336/(6*$N$3*1000000*$N$5)*(IF(N336&lt;($N$4*5/10),($N$4*5/10)*(MIN(O336,($N$4*5/10))^3-N336^3)-(MIN(O336,($N$4*5/10))^4-N336^4)/4,0)+IF(O336&gt;($N$4*5/10),($N$4*5/10)^2*(1.5*(O336^2-MAX(N336,($N$4*5/10))^2)-($N$4*5/10)*(O336-MAX(N336,($N$4*5/10)))),0))*1000,0)</f>
        <v>0</v>
      </c>
      <c r="AS336" s="120">
        <f>IF(AND(V336="OK",ISNUMBER($N$5),$N$5&gt;0,ISNUMBER($N$3),$N$3&gt;0),R336/(6*$N$3*1000000*$N$5)*(IF(N336&lt;($N$4*6/10),($N$4*6/10)*(MIN(O336,($N$4*6/10))^3-N336^3)-(MIN(O336,($N$4*6/10))^4-N336^4)/4,0)+IF(O336&gt;($N$4*6/10),($N$4*6/10)^2*(1.5*(O336^2-MAX(N336,($N$4*6/10))^2)-($N$4*6/10)*(O336-MAX(N336,($N$4*6/10)))),0))*1000,0)</f>
        <v>0</v>
      </c>
      <c r="AT336" s="120">
        <f>IF(AND(V336="OK",ISNUMBER($N$5),$N$5&gt;0,ISNUMBER($N$3),$N$3&gt;0),R336/(6*$N$3*1000000*$N$5)*(IF(N336&lt;($N$4*7/10),($N$4*7/10)*(MIN(O336,($N$4*7/10))^3-N336^3)-(MIN(O336,($N$4*7/10))^4-N336^4)/4,0)+IF(O336&gt;($N$4*7/10),($N$4*7/10)^2*(1.5*(O336^2-MAX(N336,($N$4*7/10))^2)-($N$4*7/10)*(O336-MAX(N336,($N$4*7/10)))),0))*1000,0)</f>
        <v>0</v>
      </c>
      <c r="AU336" s="120">
        <f>IF(AND(V336="OK",ISNUMBER($N$5),$N$5&gt;0,ISNUMBER($N$3),$N$3&gt;0),R336/(6*$N$3*1000000*$N$5)*(IF(N336&lt;($N$4*8/10),($N$4*8/10)*(MIN(O336,($N$4*8/10))^3-N336^3)-(MIN(O336,($N$4*8/10))^4-N336^4)/4,0)+IF(O336&gt;($N$4*8/10),($N$4*8/10)^2*(1.5*(O336^2-MAX(N336,($N$4*8/10))^2)-($N$4*8/10)*(O336-MAX(N336,($N$4*8/10)))),0))*1000,0)</f>
        <v>0</v>
      </c>
      <c r="AV336" s="120">
        <f>IF(AND(V336="OK",ISNUMBER($N$5),$N$5&gt;0,ISNUMBER($N$3),$N$3&gt;0),R336/(6*$N$3*1000000*$N$5)*(IF(N336&lt;($N$4*9/10),($N$4*9/10)*(MIN(O336,($N$4*9/10))^3-N336^3)-(MIN(O336,($N$4*9/10))^4-N336^4)/4,0)+IF(O336&gt;($N$4*9/10),($N$4*9/10)^2*(1.5*(O336^2-MAX(N336,($N$4*9/10))^2)-($N$4*9/10)*(O336-MAX(N336,($N$4*9/10)))),0))*1000,0)</f>
        <v>0</v>
      </c>
      <c r="AW336" s="120">
        <f>IF(AND(V336="OK",ISNUMBER($N$5),$N$5&gt;0,ISNUMBER($N$3),$N$3&gt;0),R336/(6*$N$3*1000000*$N$5)*(IF(N336&lt;($N$4*10/10),($N$4*10/10)*(MIN(O336,($N$4*10/10))^3-N336^3)-(MIN(O336,($N$4*10/10))^4-N336^4)/4,0)+IF(O336&gt;($N$4*10/10),($N$4*10/10)^2*(1.5*(O336^2-MAX(N336,($N$4*10/10))^2)-($N$4*10/10)*(O336-MAX(N336,($N$4*10/10)))),0))*1000,0)</f>
        <v>0</v>
      </c>
    </row>
    <row r="337" spans="1:49">
      <c r="A337" s="124"/>
      <c r="B337" s="125"/>
      <c r="C337" s="125"/>
      <c r="D337" s="125"/>
      <c r="E337" s="125"/>
      <c r="F337" s="126" t="str">
        <f>IF(J337="OK",D337*E337,"")</f>
        <v/>
      </c>
      <c r="G337" s="126" t="str">
        <f>IF(J337="OK",F337*(C337-B337),"")</f>
        <v/>
      </c>
      <c r="H337" s="126" t="str">
        <f>IF(J337="OK",G337*(C337+B337)/2,"")</f>
        <v/>
      </c>
      <c r="I337" s="126" t="str">
        <f>IF(AND(J337="OK",ISNUMBER($B$5),$B$5&gt;0,ISNUMBER($B$3),$B$3&gt;0),F337*(4*$B$4*(C337^3-B337^3)-(C337^4-B337^4))/(24*$B$3*1000000*$B$5)*1000,"")</f>
        <v/>
      </c>
      <c r="J337" s="120" t="str">
        <f>IF(COUNTA(A337:E337)=0,"",IF(AND(COUNT(B337:E337)=4,B337&gt;=0,C337&gt;B337,C337&lt;=$B$4,D337&gt;=0,E337&gt;0),IF(COUNTIFS($B$13:$B$336,"&lt;"&amp;C337,$C$13:$C$336,"&gt;"&amp;B337)&gt;0,"OVERLAP","OK"),"CHECK INPUTS"))</f>
        <v/>
      </c>
      <c r="M337" s="124"/>
      <c r="N337" s="125"/>
      <c r="O337" s="125"/>
      <c r="P337" s="125"/>
      <c r="Q337" s="125"/>
      <c r="R337" s="126" t="str">
        <f>IF(V337="OK",P337*Q337,"")</f>
        <v/>
      </c>
      <c r="S337" s="126" t="str">
        <f>IF(V337="OK",R337*(O337-N337),"")</f>
        <v/>
      </c>
      <c r="T337" s="126" t="str">
        <f>IF(V337="OK",S337*(O337+N337)/2,"")</f>
        <v/>
      </c>
      <c r="U337" s="126" t="str">
        <f>IF(AND(V337="OK",ISNUMBER($N$5),$N$5&gt;0,ISNUMBER($N$3),$N$3&gt;0),R337*(4*$N$4*(O337^3-N337^3)-(O337^4-N337^4))/(24*$N$3*1000000*$N$5)*1000,"")</f>
        <v/>
      </c>
      <c r="V337" s="120" t="str">
        <f>IF(COUNTA(M337:Q337)=0,"",IF(AND(COUNT(N337:Q337)=4,N337&gt;=0,O337&gt;N337,O337&lt;=$N$4,P337&gt;=0,Q337&gt;0),IF(COUNTIFS($N$13:$N$336,"&lt;"&amp;O337,$O$13:$O$336,"&gt;"&amp;N337)&gt;0,"OVERLAP","OK"),"CHECK INPUTS"))</f>
        <v/>
      </c>
      <c r="AA337" s="120">
        <f>IF(AND(J337="OK",ISNUMBER($B$5),$B$5&gt;0,ISNUMBER($B$3),$B$3&gt;0),F337/(6*$B$3*1000000*$B$5)*(IF(B337&lt;($B$4*0/10),($B$4*0/10)*(MIN(C337,($B$4*0/10))^3-B337^3)-(MIN(C337,($B$4*0/10))^4-B337^4)/4,0)+IF(C337&gt;($B$4*0/10),($B$4*0/10)^2*(1.5*(C337^2-MAX(B337,($B$4*0/10))^2)-($B$4*0/10)*(C337-MAX(B337,($B$4*0/10)))),0))*1000,0)</f>
        <v>0</v>
      </c>
      <c r="AB337" s="120">
        <f>IF(AND(J337="OK",ISNUMBER($B$5),$B$5&gt;0,ISNUMBER($B$3),$B$3&gt;0),F337/(6*$B$3*1000000*$B$5)*(IF(B337&lt;($B$4*1/10),($B$4*1/10)*(MIN(C337,($B$4*1/10))^3-B337^3)-(MIN(C337,($B$4*1/10))^4-B337^4)/4,0)+IF(C337&gt;($B$4*1/10),($B$4*1/10)^2*(1.5*(C337^2-MAX(B337,($B$4*1/10))^2)-($B$4*1/10)*(C337-MAX(B337,($B$4*1/10)))),0))*1000,0)</f>
        <v>0</v>
      </c>
      <c r="AC337" s="120">
        <f>IF(AND(J337="OK",ISNUMBER($B$5),$B$5&gt;0,ISNUMBER($B$3),$B$3&gt;0),F337/(6*$B$3*1000000*$B$5)*(IF(B337&lt;($B$4*2/10),($B$4*2/10)*(MIN(C337,($B$4*2/10))^3-B337^3)-(MIN(C337,($B$4*2/10))^4-B337^4)/4,0)+IF(C337&gt;($B$4*2/10),($B$4*2/10)^2*(1.5*(C337^2-MAX(B337,($B$4*2/10))^2)-($B$4*2/10)*(C337-MAX(B337,($B$4*2/10)))),0))*1000,0)</f>
        <v>0</v>
      </c>
      <c r="AD337" s="120">
        <f>IF(AND(J337="OK",ISNUMBER($B$5),$B$5&gt;0,ISNUMBER($B$3),$B$3&gt;0),F337/(6*$B$3*1000000*$B$5)*(IF(B337&lt;($B$4*3/10),($B$4*3/10)*(MIN(C337,($B$4*3/10))^3-B337^3)-(MIN(C337,($B$4*3/10))^4-B337^4)/4,0)+IF(C337&gt;($B$4*3/10),($B$4*3/10)^2*(1.5*(C337^2-MAX(B337,($B$4*3/10))^2)-($B$4*3/10)*(C337-MAX(B337,($B$4*3/10)))),0))*1000,0)</f>
        <v>0</v>
      </c>
      <c r="AE337" s="120">
        <f>IF(AND(J337="OK",ISNUMBER($B$5),$B$5&gt;0,ISNUMBER($B$3),$B$3&gt;0),F337/(6*$B$3*1000000*$B$5)*(IF(B337&lt;($B$4*4/10),($B$4*4/10)*(MIN(C337,($B$4*4/10))^3-B337^3)-(MIN(C337,($B$4*4/10))^4-B337^4)/4,0)+IF(C337&gt;($B$4*4/10),($B$4*4/10)^2*(1.5*(C337^2-MAX(B337,($B$4*4/10))^2)-($B$4*4/10)*(C337-MAX(B337,($B$4*4/10)))),0))*1000,0)</f>
        <v>0</v>
      </c>
      <c r="AF337" s="120">
        <f>IF(AND(J337="OK",ISNUMBER($B$5),$B$5&gt;0,ISNUMBER($B$3),$B$3&gt;0),F337/(6*$B$3*1000000*$B$5)*(IF(B337&lt;($B$4*5/10),($B$4*5/10)*(MIN(C337,($B$4*5/10))^3-B337^3)-(MIN(C337,($B$4*5/10))^4-B337^4)/4,0)+IF(C337&gt;($B$4*5/10),($B$4*5/10)^2*(1.5*(C337^2-MAX(B337,($B$4*5/10))^2)-($B$4*5/10)*(C337-MAX(B337,($B$4*5/10)))),0))*1000,0)</f>
        <v>0</v>
      </c>
      <c r="AG337" s="120">
        <f>IF(AND(J337="OK",ISNUMBER($B$5),$B$5&gt;0,ISNUMBER($B$3),$B$3&gt;0),F337/(6*$B$3*1000000*$B$5)*(IF(B337&lt;($B$4*6/10),($B$4*6/10)*(MIN(C337,($B$4*6/10))^3-B337^3)-(MIN(C337,($B$4*6/10))^4-B337^4)/4,0)+IF(C337&gt;($B$4*6/10),($B$4*6/10)^2*(1.5*(C337^2-MAX(B337,($B$4*6/10))^2)-($B$4*6/10)*(C337-MAX(B337,($B$4*6/10)))),0))*1000,0)</f>
        <v>0</v>
      </c>
      <c r="AH337" s="120">
        <f>IF(AND(J337="OK",ISNUMBER($B$5),$B$5&gt;0,ISNUMBER($B$3),$B$3&gt;0),F337/(6*$B$3*1000000*$B$5)*(IF(B337&lt;($B$4*7/10),($B$4*7/10)*(MIN(C337,($B$4*7/10))^3-B337^3)-(MIN(C337,($B$4*7/10))^4-B337^4)/4,0)+IF(C337&gt;($B$4*7/10),($B$4*7/10)^2*(1.5*(C337^2-MAX(B337,($B$4*7/10))^2)-($B$4*7/10)*(C337-MAX(B337,($B$4*7/10)))),0))*1000,0)</f>
        <v>0</v>
      </c>
      <c r="AI337" s="120">
        <f>IF(AND(J337="OK",ISNUMBER($B$5),$B$5&gt;0,ISNUMBER($B$3),$B$3&gt;0),F337/(6*$B$3*1000000*$B$5)*(IF(B337&lt;($B$4*8/10),($B$4*8/10)*(MIN(C337,($B$4*8/10))^3-B337^3)-(MIN(C337,($B$4*8/10))^4-B337^4)/4,0)+IF(C337&gt;($B$4*8/10),($B$4*8/10)^2*(1.5*(C337^2-MAX(B337,($B$4*8/10))^2)-($B$4*8/10)*(C337-MAX(B337,($B$4*8/10)))),0))*1000,0)</f>
        <v>0</v>
      </c>
      <c r="AJ337" s="120">
        <f>IF(AND(J337="OK",ISNUMBER($B$5),$B$5&gt;0,ISNUMBER($B$3),$B$3&gt;0),F337/(6*$B$3*1000000*$B$5)*(IF(B337&lt;($B$4*9/10),($B$4*9/10)*(MIN(C337,($B$4*9/10))^3-B337^3)-(MIN(C337,($B$4*9/10))^4-B337^4)/4,0)+IF(C337&gt;($B$4*9/10),($B$4*9/10)^2*(1.5*(C337^2-MAX(B337,($B$4*9/10))^2)-($B$4*9/10)*(C337-MAX(B337,($B$4*9/10)))),0))*1000,0)</f>
        <v>0</v>
      </c>
      <c r="AK337" s="120">
        <f>IF(AND(J337="OK",ISNUMBER($B$5),$B$5&gt;0,ISNUMBER($B$3),$B$3&gt;0),F337/(6*$B$3*1000000*$B$5)*(IF(B337&lt;($B$4*10/10),($B$4*10/10)*(MIN(C337,($B$4*10/10))^3-B337^3)-(MIN(C337,($B$4*10/10))^4-B337^4)/4,0)+IF(C337&gt;($B$4*10/10),($B$4*10/10)^2*(1.5*(C337^2-MAX(B337,($B$4*10/10))^2)-($B$4*10/10)*(C337-MAX(B337,($B$4*10/10)))),0))*1000,0)</f>
        <v>0</v>
      </c>
      <c r="AM337" s="120">
        <f>IF(AND(V337="OK",ISNUMBER($N$5),$N$5&gt;0,ISNUMBER($N$3),$N$3&gt;0),R337/(6*$N$3*1000000*$N$5)*(IF(N337&lt;($N$4*0/10),($N$4*0/10)*(MIN(O337,($N$4*0/10))^3-N337^3)-(MIN(O337,($N$4*0/10))^4-N337^4)/4,0)+IF(O337&gt;($N$4*0/10),($N$4*0/10)^2*(1.5*(O337^2-MAX(N337,($N$4*0/10))^2)-($N$4*0/10)*(O337-MAX(N337,($N$4*0/10)))),0))*1000,0)</f>
        <v>0</v>
      </c>
      <c r="AN337" s="120">
        <f>IF(AND(V337="OK",ISNUMBER($N$5),$N$5&gt;0,ISNUMBER($N$3),$N$3&gt;0),R337/(6*$N$3*1000000*$N$5)*(IF(N337&lt;($N$4*1/10),($N$4*1/10)*(MIN(O337,($N$4*1/10))^3-N337^3)-(MIN(O337,($N$4*1/10))^4-N337^4)/4,0)+IF(O337&gt;($N$4*1/10),($N$4*1/10)^2*(1.5*(O337^2-MAX(N337,($N$4*1/10))^2)-($N$4*1/10)*(O337-MAX(N337,($N$4*1/10)))),0))*1000,0)</f>
        <v>0</v>
      </c>
      <c r="AO337" s="120">
        <f>IF(AND(V337="OK",ISNUMBER($N$5),$N$5&gt;0,ISNUMBER($N$3),$N$3&gt;0),R337/(6*$N$3*1000000*$N$5)*(IF(N337&lt;($N$4*2/10),($N$4*2/10)*(MIN(O337,($N$4*2/10))^3-N337^3)-(MIN(O337,($N$4*2/10))^4-N337^4)/4,0)+IF(O337&gt;($N$4*2/10),($N$4*2/10)^2*(1.5*(O337^2-MAX(N337,($N$4*2/10))^2)-($N$4*2/10)*(O337-MAX(N337,($N$4*2/10)))),0))*1000,0)</f>
        <v>0</v>
      </c>
      <c r="AP337" s="120">
        <f>IF(AND(V337="OK",ISNUMBER($N$5),$N$5&gt;0,ISNUMBER($N$3),$N$3&gt;0),R337/(6*$N$3*1000000*$N$5)*(IF(N337&lt;($N$4*3/10),($N$4*3/10)*(MIN(O337,($N$4*3/10))^3-N337^3)-(MIN(O337,($N$4*3/10))^4-N337^4)/4,0)+IF(O337&gt;($N$4*3/10),($N$4*3/10)^2*(1.5*(O337^2-MAX(N337,($N$4*3/10))^2)-($N$4*3/10)*(O337-MAX(N337,($N$4*3/10)))),0))*1000,0)</f>
        <v>0</v>
      </c>
      <c r="AQ337" s="120">
        <f>IF(AND(V337="OK",ISNUMBER($N$5),$N$5&gt;0,ISNUMBER($N$3),$N$3&gt;0),R337/(6*$N$3*1000000*$N$5)*(IF(N337&lt;($N$4*4/10),($N$4*4/10)*(MIN(O337,($N$4*4/10))^3-N337^3)-(MIN(O337,($N$4*4/10))^4-N337^4)/4,0)+IF(O337&gt;($N$4*4/10),($N$4*4/10)^2*(1.5*(O337^2-MAX(N337,($N$4*4/10))^2)-($N$4*4/10)*(O337-MAX(N337,($N$4*4/10)))),0))*1000,0)</f>
        <v>0</v>
      </c>
      <c r="AR337" s="120">
        <f>IF(AND(V337="OK",ISNUMBER($N$5),$N$5&gt;0,ISNUMBER($N$3),$N$3&gt;0),R337/(6*$N$3*1000000*$N$5)*(IF(N337&lt;($N$4*5/10),($N$4*5/10)*(MIN(O337,($N$4*5/10))^3-N337^3)-(MIN(O337,($N$4*5/10))^4-N337^4)/4,0)+IF(O337&gt;($N$4*5/10),($N$4*5/10)^2*(1.5*(O337^2-MAX(N337,($N$4*5/10))^2)-($N$4*5/10)*(O337-MAX(N337,($N$4*5/10)))),0))*1000,0)</f>
        <v>0</v>
      </c>
      <c r="AS337" s="120">
        <f>IF(AND(V337="OK",ISNUMBER($N$5),$N$5&gt;0,ISNUMBER($N$3),$N$3&gt;0),R337/(6*$N$3*1000000*$N$5)*(IF(N337&lt;($N$4*6/10),($N$4*6/10)*(MIN(O337,($N$4*6/10))^3-N337^3)-(MIN(O337,($N$4*6/10))^4-N337^4)/4,0)+IF(O337&gt;($N$4*6/10),($N$4*6/10)^2*(1.5*(O337^2-MAX(N337,($N$4*6/10))^2)-($N$4*6/10)*(O337-MAX(N337,($N$4*6/10)))),0))*1000,0)</f>
        <v>0</v>
      </c>
      <c r="AT337" s="120">
        <f>IF(AND(V337="OK",ISNUMBER($N$5),$N$5&gt;0,ISNUMBER($N$3),$N$3&gt;0),R337/(6*$N$3*1000000*$N$5)*(IF(N337&lt;($N$4*7/10),($N$4*7/10)*(MIN(O337,($N$4*7/10))^3-N337^3)-(MIN(O337,($N$4*7/10))^4-N337^4)/4,0)+IF(O337&gt;($N$4*7/10),($N$4*7/10)^2*(1.5*(O337^2-MAX(N337,($N$4*7/10))^2)-($N$4*7/10)*(O337-MAX(N337,($N$4*7/10)))),0))*1000,0)</f>
        <v>0</v>
      </c>
      <c r="AU337" s="120">
        <f>IF(AND(V337="OK",ISNUMBER($N$5),$N$5&gt;0,ISNUMBER($N$3),$N$3&gt;0),R337/(6*$N$3*1000000*$N$5)*(IF(N337&lt;($N$4*8/10),($N$4*8/10)*(MIN(O337,($N$4*8/10))^3-N337^3)-(MIN(O337,($N$4*8/10))^4-N337^4)/4,0)+IF(O337&gt;($N$4*8/10),($N$4*8/10)^2*(1.5*(O337^2-MAX(N337,($N$4*8/10))^2)-($N$4*8/10)*(O337-MAX(N337,($N$4*8/10)))),0))*1000,0)</f>
        <v>0</v>
      </c>
      <c r="AV337" s="120">
        <f>IF(AND(V337="OK",ISNUMBER($N$5),$N$5&gt;0,ISNUMBER($N$3),$N$3&gt;0),R337/(6*$N$3*1000000*$N$5)*(IF(N337&lt;($N$4*9/10),($N$4*9/10)*(MIN(O337,($N$4*9/10))^3-N337^3)-(MIN(O337,($N$4*9/10))^4-N337^4)/4,0)+IF(O337&gt;($N$4*9/10),($N$4*9/10)^2*(1.5*(O337^2-MAX(N337,($N$4*9/10))^2)-($N$4*9/10)*(O337-MAX(N337,($N$4*9/10)))),0))*1000,0)</f>
        <v>0</v>
      </c>
      <c r="AW337" s="120">
        <f>IF(AND(V337="OK",ISNUMBER($N$5),$N$5&gt;0,ISNUMBER($N$3),$N$3&gt;0),R337/(6*$N$3*1000000*$N$5)*(IF(N337&lt;($N$4*10/10),($N$4*10/10)*(MIN(O337,($N$4*10/10))^3-N337^3)-(MIN(O337,($N$4*10/10))^4-N337^4)/4,0)+IF(O337&gt;($N$4*10/10),($N$4*10/10)^2*(1.5*(O337^2-MAX(N337,($N$4*10/10))^2)-($N$4*10/10)*(O337-MAX(N337,($N$4*10/10)))),0))*1000,0)</f>
        <v>0</v>
      </c>
    </row>
    <row r="338" spans="1:49">
      <c r="A338" s="124"/>
      <c r="B338" s="125"/>
      <c r="C338" s="125"/>
      <c r="D338" s="125"/>
      <c r="E338" s="125"/>
      <c r="F338" s="126" t="str">
        <f>IF(J338="OK",D338*E338,"")</f>
        <v/>
      </c>
      <c r="G338" s="126" t="str">
        <f>IF(J338="OK",F338*(C338-B338),"")</f>
        <v/>
      </c>
      <c r="H338" s="126" t="str">
        <f>IF(J338="OK",G338*(C338+B338)/2,"")</f>
        <v/>
      </c>
      <c r="I338" s="126" t="str">
        <f>IF(AND(J338="OK",ISNUMBER($B$5),$B$5&gt;0,ISNUMBER($B$3),$B$3&gt;0),F338*(4*$B$4*(C338^3-B338^3)-(C338^4-B338^4))/(24*$B$3*1000000*$B$5)*1000,"")</f>
        <v/>
      </c>
      <c r="J338" s="120" t="str">
        <f>IF(COUNTA(A338:E338)=0,"",IF(AND(COUNT(B338:E338)=4,B338&gt;=0,C338&gt;B338,C338&lt;=$B$4,D338&gt;=0,E338&gt;0),IF(COUNTIFS($B$13:$B$337,"&lt;"&amp;C338,$C$13:$C$337,"&gt;"&amp;B338)&gt;0,"OVERLAP","OK"),"CHECK INPUTS"))</f>
        <v/>
      </c>
      <c r="M338" s="124"/>
      <c r="N338" s="125"/>
      <c r="O338" s="125"/>
      <c r="P338" s="125"/>
      <c r="Q338" s="125"/>
      <c r="R338" s="126" t="str">
        <f>IF(V338="OK",P338*Q338,"")</f>
        <v/>
      </c>
      <c r="S338" s="126" t="str">
        <f>IF(V338="OK",R338*(O338-N338),"")</f>
        <v/>
      </c>
      <c r="T338" s="126" t="str">
        <f>IF(V338="OK",S338*(O338+N338)/2,"")</f>
        <v/>
      </c>
      <c r="U338" s="126" t="str">
        <f>IF(AND(V338="OK",ISNUMBER($N$5),$N$5&gt;0,ISNUMBER($N$3),$N$3&gt;0),R338*(4*$N$4*(O338^3-N338^3)-(O338^4-N338^4))/(24*$N$3*1000000*$N$5)*1000,"")</f>
        <v/>
      </c>
      <c r="V338" s="120" t="str">
        <f>IF(COUNTA(M338:Q338)=0,"",IF(AND(COUNT(N338:Q338)=4,N338&gt;=0,O338&gt;N338,O338&lt;=$N$4,P338&gt;=0,Q338&gt;0),IF(COUNTIFS($N$13:$N$337,"&lt;"&amp;O338,$O$13:$O$337,"&gt;"&amp;N338)&gt;0,"OVERLAP","OK"),"CHECK INPUTS"))</f>
        <v/>
      </c>
      <c r="AA338" s="120">
        <f>IF(AND(J338="OK",ISNUMBER($B$5),$B$5&gt;0,ISNUMBER($B$3),$B$3&gt;0),F338/(6*$B$3*1000000*$B$5)*(IF(B338&lt;($B$4*0/10),($B$4*0/10)*(MIN(C338,($B$4*0/10))^3-B338^3)-(MIN(C338,($B$4*0/10))^4-B338^4)/4,0)+IF(C338&gt;($B$4*0/10),($B$4*0/10)^2*(1.5*(C338^2-MAX(B338,($B$4*0/10))^2)-($B$4*0/10)*(C338-MAX(B338,($B$4*0/10)))),0))*1000,0)</f>
        <v>0</v>
      </c>
      <c r="AB338" s="120">
        <f>IF(AND(J338="OK",ISNUMBER($B$5),$B$5&gt;0,ISNUMBER($B$3),$B$3&gt;0),F338/(6*$B$3*1000000*$B$5)*(IF(B338&lt;($B$4*1/10),($B$4*1/10)*(MIN(C338,($B$4*1/10))^3-B338^3)-(MIN(C338,($B$4*1/10))^4-B338^4)/4,0)+IF(C338&gt;($B$4*1/10),($B$4*1/10)^2*(1.5*(C338^2-MAX(B338,($B$4*1/10))^2)-($B$4*1/10)*(C338-MAX(B338,($B$4*1/10)))),0))*1000,0)</f>
        <v>0</v>
      </c>
      <c r="AC338" s="120">
        <f>IF(AND(J338="OK",ISNUMBER($B$5),$B$5&gt;0,ISNUMBER($B$3),$B$3&gt;0),F338/(6*$B$3*1000000*$B$5)*(IF(B338&lt;($B$4*2/10),($B$4*2/10)*(MIN(C338,($B$4*2/10))^3-B338^3)-(MIN(C338,($B$4*2/10))^4-B338^4)/4,0)+IF(C338&gt;($B$4*2/10),($B$4*2/10)^2*(1.5*(C338^2-MAX(B338,($B$4*2/10))^2)-($B$4*2/10)*(C338-MAX(B338,($B$4*2/10)))),0))*1000,0)</f>
        <v>0</v>
      </c>
      <c r="AD338" s="120">
        <f>IF(AND(J338="OK",ISNUMBER($B$5),$B$5&gt;0,ISNUMBER($B$3),$B$3&gt;0),F338/(6*$B$3*1000000*$B$5)*(IF(B338&lt;($B$4*3/10),($B$4*3/10)*(MIN(C338,($B$4*3/10))^3-B338^3)-(MIN(C338,($B$4*3/10))^4-B338^4)/4,0)+IF(C338&gt;($B$4*3/10),($B$4*3/10)^2*(1.5*(C338^2-MAX(B338,($B$4*3/10))^2)-($B$4*3/10)*(C338-MAX(B338,($B$4*3/10)))),0))*1000,0)</f>
        <v>0</v>
      </c>
      <c r="AE338" s="120">
        <f>IF(AND(J338="OK",ISNUMBER($B$5),$B$5&gt;0,ISNUMBER($B$3),$B$3&gt;0),F338/(6*$B$3*1000000*$B$5)*(IF(B338&lt;($B$4*4/10),($B$4*4/10)*(MIN(C338,($B$4*4/10))^3-B338^3)-(MIN(C338,($B$4*4/10))^4-B338^4)/4,0)+IF(C338&gt;($B$4*4/10),($B$4*4/10)^2*(1.5*(C338^2-MAX(B338,($B$4*4/10))^2)-($B$4*4/10)*(C338-MAX(B338,($B$4*4/10)))),0))*1000,0)</f>
        <v>0</v>
      </c>
      <c r="AF338" s="120">
        <f>IF(AND(J338="OK",ISNUMBER($B$5),$B$5&gt;0,ISNUMBER($B$3),$B$3&gt;0),F338/(6*$B$3*1000000*$B$5)*(IF(B338&lt;($B$4*5/10),($B$4*5/10)*(MIN(C338,($B$4*5/10))^3-B338^3)-(MIN(C338,($B$4*5/10))^4-B338^4)/4,0)+IF(C338&gt;($B$4*5/10),($B$4*5/10)^2*(1.5*(C338^2-MAX(B338,($B$4*5/10))^2)-($B$4*5/10)*(C338-MAX(B338,($B$4*5/10)))),0))*1000,0)</f>
        <v>0</v>
      </c>
      <c r="AG338" s="120">
        <f>IF(AND(J338="OK",ISNUMBER($B$5),$B$5&gt;0,ISNUMBER($B$3),$B$3&gt;0),F338/(6*$B$3*1000000*$B$5)*(IF(B338&lt;($B$4*6/10),($B$4*6/10)*(MIN(C338,($B$4*6/10))^3-B338^3)-(MIN(C338,($B$4*6/10))^4-B338^4)/4,0)+IF(C338&gt;($B$4*6/10),($B$4*6/10)^2*(1.5*(C338^2-MAX(B338,($B$4*6/10))^2)-($B$4*6/10)*(C338-MAX(B338,($B$4*6/10)))),0))*1000,0)</f>
        <v>0</v>
      </c>
      <c r="AH338" s="120">
        <f>IF(AND(J338="OK",ISNUMBER($B$5),$B$5&gt;0,ISNUMBER($B$3),$B$3&gt;0),F338/(6*$B$3*1000000*$B$5)*(IF(B338&lt;($B$4*7/10),($B$4*7/10)*(MIN(C338,($B$4*7/10))^3-B338^3)-(MIN(C338,($B$4*7/10))^4-B338^4)/4,0)+IF(C338&gt;($B$4*7/10),($B$4*7/10)^2*(1.5*(C338^2-MAX(B338,($B$4*7/10))^2)-($B$4*7/10)*(C338-MAX(B338,($B$4*7/10)))),0))*1000,0)</f>
        <v>0</v>
      </c>
      <c r="AI338" s="120">
        <f>IF(AND(J338="OK",ISNUMBER($B$5),$B$5&gt;0,ISNUMBER($B$3),$B$3&gt;0),F338/(6*$B$3*1000000*$B$5)*(IF(B338&lt;($B$4*8/10),($B$4*8/10)*(MIN(C338,($B$4*8/10))^3-B338^3)-(MIN(C338,($B$4*8/10))^4-B338^4)/4,0)+IF(C338&gt;($B$4*8/10),($B$4*8/10)^2*(1.5*(C338^2-MAX(B338,($B$4*8/10))^2)-($B$4*8/10)*(C338-MAX(B338,($B$4*8/10)))),0))*1000,0)</f>
        <v>0</v>
      </c>
      <c r="AJ338" s="120">
        <f>IF(AND(J338="OK",ISNUMBER($B$5),$B$5&gt;0,ISNUMBER($B$3),$B$3&gt;0),F338/(6*$B$3*1000000*$B$5)*(IF(B338&lt;($B$4*9/10),($B$4*9/10)*(MIN(C338,($B$4*9/10))^3-B338^3)-(MIN(C338,($B$4*9/10))^4-B338^4)/4,0)+IF(C338&gt;($B$4*9/10),($B$4*9/10)^2*(1.5*(C338^2-MAX(B338,($B$4*9/10))^2)-($B$4*9/10)*(C338-MAX(B338,($B$4*9/10)))),0))*1000,0)</f>
        <v>0</v>
      </c>
      <c r="AK338" s="120">
        <f>IF(AND(J338="OK",ISNUMBER($B$5),$B$5&gt;0,ISNUMBER($B$3),$B$3&gt;0),F338/(6*$B$3*1000000*$B$5)*(IF(B338&lt;($B$4*10/10),($B$4*10/10)*(MIN(C338,($B$4*10/10))^3-B338^3)-(MIN(C338,($B$4*10/10))^4-B338^4)/4,0)+IF(C338&gt;($B$4*10/10),($B$4*10/10)^2*(1.5*(C338^2-MAX(B338,($B$4*10/10))^2)-($B$4*10/10)*(C338-MAX(B338,($B$4*10/10)))),0))*1000,0)</f>
        <v>0</v>
      </c>
      <c r="AM338" s="120">
        <f>IF(AND(V338="OK",ISNUMBER($N$5),$N$5&gt;0,ISNUMBER($N$3),$N$3&gt;0),R338/(6*$N$3*1000000*$N$5)*(IF(N338&lt;($N$4*0/10),($N$4*0/10)*(MIN(O338,($N$4*0/10))^3-N338^3)-(MIN(O338,($N$4*0/10))^4-N338^4)/4,0)+IF(O338&gt;($N$4*0/10),($N$4*0/10)^2*(1.5*(O338^2-MAX(N338,($N$4*0/10))^2)-($N$4*0/10)*(O338-MAX(N338,($N$4*0/10)))),0))*1000,0)</f>
        <v>0</v>
      </c>
      <c r="AN338" s="120">
        <f>IF(AND(V338="OK",ISNUMBER($N$5),$N$5&gt;0,ISNUMBER($N$3),$N$3&gt;0),R338/(6*$N$3*1000000*$N$5)*(IF(N338&lt;($N$4*1/10),($N$4*1/10)*(MIN(O338,($N$4*1/10))^3-N338^3)-(MIN(O338,($N$4*1/10))^4-N338^4)/4,0)+IF(O338&gt;($N$4*1/10),($N$4*1/10)^2*(1.5*(O338^2-MAX(N338,($N$4*1/10))^2)-($N$4*1/10)*(O338-MAX(N338,($N$4*1/10)))),0))*1000,0)</f>
        <v>0</v>
      </c>
      <c r="AO338" s="120">
        <f>IF(AND(V338="OK",ISNUMBER($N$5),$N$5&gt;0,ISNUMBER($N$3),$N$3&gt;0),R338/(6*$N$3*1000000*$N$5)*(IF(N338&lt;($N$4*2/10),($N$4*2/10)*(MIN(O338,($N$4*2/10))^3-N338^3)-(MIN(O338,($N$4*2/10))^4-N338^4)/4,0)+IF(O338&gt;($N$4*2/10),($N$4*2/10)^2*(1.5*(O338^2-MAX(N338,($N$4*2/10))^2)-($N$4*2/10)*(O338-MAX(N338,($N$4*2/10)))),0))*1000,0)</f>
        <v>0</v>
      </c>
      <c r="AP338" s="120">
        <f>IF(AND(V338="OK",ISNUMBER($N$5),$N$5&gt;0,ISNUMBER($N$3),$N$3&gt;0),R338/(6*$N$3*1000000*$N$5)*(IF(N338&lt;($N$4*3/10),($N$4*3/10)*(MIN(O338,($N$4*3/10))^3-N338^3)-(MIN(O338,($N$4*3/10))^4-N338^4)/4,0)+IF(O338&gt;($N$4*3/10),($N$4*3/10)^2*(1.5*(O338^2-MAX(N338,($N$4*3/10))^2)-($N$4*3/10)*(O338-MAX(N338,($N$4*3/10)))),0))*1000,0)</f>
        <v>0</v>
      </c>
      <c r="AQ338" s="120">
        <f>IF(AND(V338="OK",ISNUMBER($N$5),$N$5&gt;0,ISNUMBER($N$3),$N$3&gt;0),R338/(6*$N$3*1000000*$N$5)*(IF(N338&lt;($N$4*4/10),($N$4*4/10)*(MIN(O338,($N$4*4/10))^3-N338^3)-(MIN(O338,($N$4*4/10))^4-N338^4)/4,0)+IF(O338&gt;($N$4*4/10),($N$4*4/10)^2*(1.5*(O338^2-MAX(N338,($N$4*4/10))^2)-($N$4*4/10)*(O338-MAX(N338,($N$4*4/10)))),0))*1000,0)</f>
        <v>0</v>
      </c>
      <c r="AR338" s="120">
        <f>IF(AND(V338="OK",ISNUMBER($N$5),$N$5&gt;0,ISNUMBER($N$3),$N$3&gt;0),R338/(6*$N$3*1000000*$N$5)*(IF(N338&lt;($N$4*5/10),($N$4*5/10)*(MIN(O338,($N$4*5/10))^3-N338^3)-(MIN(O338,($N$4*5/10))^4-N338^4)/4,0)+IF(O338&gt;($N$4*5/10),($N$4*5/10)^2*(1.5*(O338^2-MAX(N338,($N$4*5/10))^2)-($N$4*5/10)*(O338-MAX(N338,($N$4*5/10)))),0))*1000,0)</f>
        <v>0</v>
      </c>
      <c r="AS338" s="120">
        <f>IF(AND(V338="OK",ISNUMBER($N$5),$N$5&gt;0,ISNUMBER($N$3),$N$3&gt;0),R338/(6*$N$3*1000000*$N$5)*(IF(N338&lt;($N$4*6/10),($N$4*6/10)*(MIN(O338,($N$4*6/10))^3-N338^3)-(MIN(O338,($N$4*6/10))^4-N338^4)/4,0)+IF(O338&gt;($N$4*6/10),($N$4*6/10)^2*(1.5*(O338^2-MAX(N338,($N$4*6/10))^2)-($N$4*6/10)*(O338-MAX(N338,($N$4*6/10)))),0))*1000,0)</f>
        <v>0</v>
      </c>
      <c r="AT338" s="120">
        <f>IF(AND(V338="OK",ISNUMBER($N$5),$N$5&gt;0,ISNUMBER($N$3),$N$3&gt;0),R338/(6*$N$3*1000000*$N$5)*(IF(N338&lt;($N$4*7/10),($N$4*7/10)*(MIN(O338,($N$4*7/10))^3-N338^3)-(MIN(O338,($N$4*7/10))^4-N338^4)/4,0)+IF(O338&gt;($N$4*7/10),($N$4*7/10)^2*(1.5*(O338^2-MAX(N338,($N$4*7/10))^2)-($N$4*7/10)*(O338-MAX(N338,($N$4*7/10)))),0))*1000,0)</f>
        <v>0</v>
      </c>
      <c r="AU338" s="120">
        <f>IF(AND(V338="OK",ISNUMBER($N$5),$N$5&gt;0,ISNUMBER($N$3),$N$3&gt;0),R338/(6*$N$3*1000000*$N$5)*(IF(N338&lt;($N$4*8/10),($N$4*8/10)*(MIN(O338,($N$4*8/10))^3-N338^3)-(MIN(O338,($N$4*8/10))^4-N338^4)/4,0)+IF(O338&gt;($N$4*8/10),($N$4*8/10)^2*(1.5*(O338^2-MAX(N338,($N$4*8/10))^2)-($N$4*8/10)*(O338-MAX(N338,($N$4*8/10)))),0))*1000,0)</f>
        <v>0</v>
      </c>
      <c r="AV338" s="120">
        <f>IF(AND(V338="OK",ISNUMBER($N$5),$N$5&gt;0,ISNUMBER($N$3),$N$3&gt;0),R338/(6*$N$3*1000000*$N$5)*(IF(N338&lt;($N$4*9/10),($N$4*9/10)*(MIN(O338,($N$4*9/10))^3-N338^3)-(MIN(O338,($N$4*9/10))^4-N338^4)/4,0)+IF(O338&gt;($N$4*9/10),($N$4*9/10)^2*(1.5*(O338^2-MAX(N338,($N$4*9/10))^2)-($N$4*9/10)*(O338-MAX(N338,($N$4*9/10)))),0))*1000,0)</f>
        <v>0</v>
      </c>
      <c r="AW338" s="120">
        <f>IF(AND(V338="OK",ISNUMBER($N$5),$N$5&gt;0,ISNUMBER($N$3),$N$3&gt;0),R338/(6*$N$3*1000000*$N$5)*(IF(N338&lt;($N$4*10/10),($N$4*10/10)*(MIN(O338,($N$4*10/10))^3-N338^3)-(MIN(O338,($N$4*10/10))^4-N338^4)/4,0)+IF(O338&gt;($N$4*10/10),($N$4*10/10)^2*(1.5*(O338^2-MAX(N338,($N$4*10/10))^2)-($N$4*10/10)*(O338-MAX(N338,($N$4*10/10)))),0))*1000,0)</f>
        <v>0</v>
      </c>
    </row>
    <row r="339" spans="1:49">
      <c r="A339" s="124"/>
      <c r="B339" s="125"/>
      <c r="C339" s="125"/>
      <c r="D339" s="125"/>
      <c r="E339" s="125"/>
      <c r="F339" s="126" t="str">
        <f>IF(J339="OK",D339*E339,"")</f>
        <v/>
      </c>
      <c r="G339" s="126" t="str">
        <f>IF(J339="OK",F339*(C339-B339),"")</f>
        <v/>
      </c>
      <c r="H339" s="126" t="str">
        <f>IF(J339="OK",G339*(C339+B339)/2,"")</f>
        <v/>
      </c>
      <c r="I339" s="126" t="str">
        <f>IF(AND(J339="OK",ISNUMBER($B$5),$B$5&gt;0,ISNUMBER($B$3),$B$3&gt;0),F339*(4*$B$4*(C339^3-B339^3)-(C339^4-B339^4))/(24*$B$3*1000000*$B$5)*1000,"")</f>
        <v/>
      </c>
      <c r="J339" s="120" t="str">
        <f>IF(COUNTA(A339:E339)=0,"",IF(AND(COUNT(B339:E339)=4,B339&gt;=0,C339&gt;B339,C339&lt;=$B$4,D339&gt;=0,E339&gt;0),IF(COUNTIFS($B$13:$B$338,"&lt;"&amp;C339,$C$13:$C$338,"&gt;"&amp;B339)&gt;0,"OVERLAP","OK"),"CHECK INPUTS"))</f>
        <v/>
      </c>
      <c r="M339" s="124"/>
      <c r="N339" s="125"/>
      <c r="O339" s="125"/>
      <c r="P339" s="125"/>
      <c r="Q339" s="125"/>
      <c r="R339" s="126" t="str">
        <f>IF(V339="OK",P339*Q339,"")</f>
        <v/>
      </c>
      <c r="S339" s="126" t="str">
        <f>IF(V339="OK",R339*(O339-N339),"")</f>
        <v/>
      </c>
      <c r="T339" s="126" t="str">
        <f>IF(V339="OK",S339*(O339+N339)/2,"")</f>
        <v/>
      </c>
      <c r="U339" s="126" t="str">
        <f>IF(AND(V339="OK",ISNUMBER($N$5),$N$5&gt;0,ISNUMBER($N$3),$N$3&gt;0),R339*(4*$N$4*(O339^3-N339^3)-(O339^4-N339^4))/(24*$N$3*1000000*$N$5)*1000,"")</f>
        <v/>
      </c>
      <c r="V339" s="120" t="str">
        <f>IF(COUNTA(M339:Q339)=0,"",IF(AND(COUNT(N339:Q339)=4,N339&gt;=0,O339&gt;N339,O339&lt;=$N$4,P339&gt;=0,Q339&gt;0),IF(COUNTIFS($N$13:$N$338,"&lt;"&amp;O339,$O$13:$O$338,"&gt;"&amp;N339)&gt;0,"OVERLAP","OK"),"CHECK INPUTS"))</f>
        <v/>
      </c>
      <c r="AA339" s="120">
        <f>IF(AND(J339="OK",ISNUMBER($B$5),$B$5&gt;0,ISNUMBER($B$3),$B$3&gt;0),F339/(6*$B$3*1000000*$B$5)*(IF(B339&lt;($B$4*0/10),($B$4*0/10)*(MIN(C339,($B$4*0/10))^3-B339^3)-(MIN(C339,($B$4*0/10))^4-B339^4)/4,0)+IF(C339&gt;($B$4*0/10),($B$4*0/10)^2*(1.5*(C339^2-MAX(B339,($B$4*0/10))^2)-($B$4*0/10)*(C339-MAX(B339,($B$4*0/10)))),0))*1000,0)</f>
        <v>0</v>
      </c>
      <c r="AB339" s="120">
        <f>IF(AND(J339="OK",ISNUMBER($B$5),$B$5&gt;0,ISNUMBER($B$3),$B$3&gt;0),F339/(6*$B$3*1000000*$B$5)*(IF(B339&lt;($B$4*1/10),($B$4*1/10)*(MIN(C339,($B$4*1/10))^3-B339^3)-(MIN(C339,($B$4*1/10))^4-B339^4)/4,0)+IF(C339&gt;($B$4*1/10),($B$4*1/10)^2*(1.5*(C339^2-MAX(B339,($B$4*1/10))^2)-($B$4*1/10)*(C339-MAX(B339,($B$4*1/10)))),0))*1000,0)</f>
        <v>0</v>
      </c>
      <c r="AC339" s="120">
        <f>IF(AND(J339="OK",ISNUMBER($B$5),$B$5&gt;0,ISNUMBER($B$3),$B$3&gt;0),F339/(6*$B$3*1000000*$B$5)*(IF(B339&lt;($B$4*2/10),($B$4*2/10)*(MIN(C339,($B$4*2/10))^3-B339^3)-(MIN(C339,($B$4*2/10))^4-B339^4)/4,0)+IF(C339&gt;($B$4*2/10),($B$4*2/10)^2*(1.5*(C339^2-MAX(B339,($B$4*2/10))^2)-($B$4*2/10)*(C339-MAX(B339,($B$4*2/10)))),0))*1000,0)</f>
        <v>0</v>
      </c>
      <c r="AD339" s="120">
        <f>IF(AND(J339="OK",ISNUMBER($B$5),$B$5&gt;0,ISNUMBER($B$3),$B$3&gt;0),F339/(6*$B$3*1000000*$B$5)*(IF(B339&lt;($B$4*3/10),($B$4*3/10)*(MIN(C339,($B$4*3/10))^3-B339^3)-(MIN(C339,($B$4*3/10))^4-B339^4)/4,0)+IF(C339&gt;($B$4*3/10),($B$4*3/10)^2*(1.5*(C339^2-MAX(B339,($B$4*3/10))^2)-($B$4*3/10)*(C339-MAX(B339,($B$4*3/10)))),0))*1000,0)</f>
        <v>0</v>
      </c>
      <c r="AE339" s="120">
        <f>IF(AND(J339="OK",ISNUMBER($B$5),$B$5&gt;0,ISNUMBER($B$3),$B$3&gt;0),F339/(6*$B$3*1000000*$B$5)*(IF(B339&lt;($B$4*4/10),($B$4*4/10)*(MIN(C339,($B$4*4/10))^3-B339^3)-(MIN(C339,($B$4*4/10))^4-B339^4)/4,0)+IF(C339&gt;($B$4*4/10),($B$4*4/10)^2*(1.5*(C339^2-MAX(B339,($B$4*4/10))^2)-($B$4*4/10)*(C339-MAX(B339,($B$4*4/10)))),0))*1000,0)</f>
        <v>0</v>
      </c>
      <c r="AF339" s="120">
        <f>IF(AND(J339="OK",ISNUMBER($B$5),$B$5&gt;0,ISNUMBER($B$3),$B$3&gt;0),F339/(6*$B$3*1000000*$B$5)*(IF(B339&lt;($B$4*5/10),($B$4*5/10)*(MIN(C339,($B$4*5/10))^3-B339^3)-(MIN(C339,($B$4*5/10))^4-B339^4)/4,0)+IF(C339&gt;($B$4*5/10),($B$4*5/10)^2*(1.5*(C339^2-MAX(B339,($B$4*5/10))^2)-($B$4*5/10)*(C339-MAX(B339,($B$4*5/10)))),0))*1000,0)</f>
        <v>0</v>
      </c>
      <c r="AG339" s="120">
        <f>IF(AND(J339="OK",ISNUMBER($B$5),$B$5&gt;0,ISNUMBER($B$3),$B$3&gt;0),F339/(6*$B$3*1000000*$B$5)*(IF(B339&lt;($B$4*6/10),($B$4*6/10)*(MIN(C339,($B$4*6/10))^3-B339^3)-(MIN(C339,($B$4*6/10))^4-B339^4)/4,0)+IF(C339&gt;($B$4*6/10),($B$4*6/10)^2*(1.5*(C339^2-MAX(B339,($B$4*6/10))^2)-($B$4*6/10)*(C339-MAX(B339,($B$4*6/10)))),0))*1000,0)</f>
        <v>0</v>
      </c>
      <c r="AH339" s="120">
        <f>IF(AND(J339="OK",ISNUMBER($B$5),$B$5&gt;0,ISNUMBER($B$3),$B$3&gt;0),F339/(6*$B$3*1000000*$B$5)*(IF(B339&lt;($B$4*7/10),($B$4*7/10)*(MIN(C339,($B$4*7/10))^3-B339^3)-(MIN(C339,($B$4*7/10))^4-B339^4)/4,0)+IF(C339&gt;($B$4*7/10),($B$4*7/10)^2*(1.5*(C339^2-MAX(B339,($B$4*7/10))^2)-($B$4*7/10)*(C339-MAX(B339,($B$4*7/10)))),0))*1000,0)</f>
        <v>0</v>
      </c>
      <c r="AI339" s="120">
        <f>IF(AND(J339="OK",ISNUMBER($B$5),$B$5&gt;0,ISNUMBER($B$3),$B$3&gt;0),F339/(6*$B$3*1000000*$B$5)*(IF(B339&lt;($B$4*8/10),($B$4*8/10)*(MIN(C339,($B$4*8/10))^3-B339^3)-(MIN(C339,($B$4*8/10))^4-B339^4)/4,0)+IF(C339&gt;($B$4*8/10),($B$4*8/10)^2*(1.5*(C339^2-MAX(B339,($B$4*8/10))^2)-($B$4*8/10)*(C339-MAX(B339,($B$4*8/10)))),0))*1000,0)</f>
        <v>0</v>
      </c>
      <c r="AJ339" s="120">
        <f>IF(AND(J339="OK",ISNUMBER($B$5),$B$5&gt;0,ISNUMBER($B$3),$B$3&gt;0),F339/(6*$B$3*1000000*$B$5)*(IF(B339&lt;($B$4*9/10),($B$4*9/10)*(MIN(C339,($B$4*9/10))^3-B339^3)-(MIN(C339,($B$4*9/10))^4-B339^4)/4,0)+IF(C339&gt;($B$4*9/10),($B$4*9/10)^2*(1.5*(C339^2-MAX(B339,($B$4*9/10))^2)-($B$4*9/10)*(C339-MAX(B339,($B$4*9/10)))),0))*1000,0)</f>
        <v>0</v>
      </c>
      <c r="AK339" s="120">
        <f>IF(AND(J339="OK",ISNUMBER($B$5),$B$5&gt;0,ISNUMBER($B$3),$B$3&gt;0),F339/(6*$B$3*1000000*$B$5)*(IF(B339&lt;($B$4*10/10),($B$4*10/10)*(MIN(C339,($B$4*10/10))^3-B339^3)-(MIN(C339,($B$4*10/10))^4-B339^4)/4,0)+IF(C339&gt;($B$4*10/10),($B$4*10/10)^2*(1.5*(C339^2-MAX(B339,($B$4*10/10))^2)-($B$4*10/10)*(C339-MAX(B339,($B$4*10/10)))),0))*1000,0)</f>
        <v>0</v>
      </c>
      <c r="AM339" s="120">
        <f>IF(AND(V339="OK",ISNUMBER($N$5),$N$5&gt;0,ISNUMBER($N$3),$N$3&gt;0),R339/(6*$N$3*1000000*$N$5)*(IF(N339&lt;($N$4*0/10),($N$4*0/10)*(MIN(O339,($N$4*0/10))^3-N339^3)-(MIN(O339,($N$4*0/10))^4-N339^4)/4,0)+IF(O339&gt;($N$4*0/10),($N$4*0/10)^2*(1.5*(O339^2-MAX(N339,($N$4*0/10))^2)-($N$4*0/10)*(O339-MAX(N339,($N$4*0/10)))),0))*1000,0)</f>
        <v>0</v>
      </c>
      <c r="AN339" s="120">
        <f>IF(AND(V339="OK",ISNUMBER($N$5),$N$5&gt;0,ISNUMBER($N$3),$N$3&gt;0),R339/(6*$N$3*1000000*$N$5)*(IF(N339&lt;($N$4*1/10),($N$4*1/10)*(MIN(O339,($N$4*1/10))^3-N339^3)-(MIN(O339,($N$4*1/10))^4-N339^4)/4,0)+IF(O339&gt;($N$4*1/10),($N$4*1/10)^2*(1.5*(O339^2-MAX(N339,($N$4*1/10))^2)-($N$4*1/10)*(O339-MAX(N339,($N$4*1/10)))),0))*1000,0)</f>
        <v>0</v>
      </c>
      <c r="AO339" s="120">
        <f>IF(AND(V339="OK",ISNUMBER($N$5),$N$5&gt;0,ISNUMBER($N$3),$N$3&gt;0),R339/(6*$N$3*1000000*$N$5)*(IF(N339&lt;($N$4*2/10),($N$4*2/10)*(MIN(O339,($N$4*2/10))^3-N339^3)-(MIN(O339,($N$4*2/10))^4-N339^4)/4,0)+IF(O339&gt;($N$4*2/10),($N$4*2/10)^2*(1.5*(O339^2-MAX(N339,($N$4*2/10))^2)-($N$4*2/10)*(O339-MAX(N339,($N$4*2/10)))),0))*1000,0)</f>
        <v>0</v>
      </c>
      <c r="AP339" s="120">
        <f>IF(AND(V339="OK",ISNUMBER($N$5),$N$5&gt;0,ISNUMBER($N$3),$N$3&gt;0),R339/(6*$N$3*1000000*$N$5)*(IF(N339&lt;($N$4*3/10),($N$4*3/10)*(MIN(O339,($N$4*3/10))^3-N339^3)-(MIN(O339,($N$4*3/10))^4-N339^4)/4,0)+IF(O339&gt;($N$4*3/10),($N$4*3/10)^2*(1.5*(O339^2-MAX(N339,($N$4*3/10))^2)-($N$4*3/10)*(O339-MAX(N339,($N$4*3/10)))),0))*1000,0)</f>
        <v>0</v>
      </c>
      <c r="AQ339" s="120">
        <f>IF(AND(V339="OK",ISNUMBER($N$5),$N$5&gt;0,ISNUMBER($N$3),$N$3&gt;0),R339/(6*$N$3*1000000*$N$5)*(IF(N339&lt;($N$4*4/10),($N$4*4/10)*(MIN(O339,($N$4*4/10))^3-N339^3)-(MIN(O339,($N$4*4/10))^4-N339^4)/4,0)+IF(O339&gt;($N$4*4/10),($N$4*4/10)^2*(1.5*(O339^2-MAX(N339,($N$4*4/10))^2)-($N$4*4/10)*(O339-MAX(N339,($N$4*4/10)))),0))*1000,0)</f>
        <v>0</v>
      </c>
      <c r="AR339" s="120">
        <f>IF(AND(V339="OK",ISNUMBER($N$5),$N$5&gt;0,ISNUMBER($N$3),$N$3&gt;0),R339/(6*$N$3*1000000*$N$5)*(IF(N339&lt;($N$4*5/10),($N$4*5/10)*(MIN(O339,($N$4*5/10))^3-N339^3)-(MIN(O339,($N$4*5/10))^4-N339^4)/4,0)+IF(O339&gt;($N$4*5/10),($N$4*5/10)^2*(1.5*(O339^2-MAX(N339,($N$4*5/10))^2)-($N$4*5/10)*(O339-MAX(N339,($N$4*5/10)))),0))*1000,0)</f>
        <v>0</v>
      </c>
      <c r="AS339" s="120">
        <f>IF(AND(V339="OK",ISNUMBER($N$5),$N$5&gt;0,ISNUMBER($N$3),$N$3&gt;0),R339/(6*$N$3*1000000*$N$5)*(IF(N339&lt;($N$4*6/10),($N$4*6/10)*(MIN(O339,($N$4*6/10))^3-N339^3)-(MIN(O339,($N$4*6/10))^4-N339^4)/4,0)+IF(O339&gt;($N$4*6/10),($N$4*6/10)^2*(1.5*(O339^2-MAX(N339,($N$4*6/10))^2)-($N$4*6/10)*(O339-MAX(N339,($N$4*6/10)))),0))*1000,0)</f>
        <v>0</v>
      </c>
      <c r="AT339" s="120">
        <f>IF(AND(V339="OK",ISNUMBER($N$5),$N$5&gt;0,ISNUMBER($N$3),$N$3&gt;0),R339/(6*$N$3*1000000*$N$5)*(IF(N339&lt;($N$4*7/10),($N$4*7/10)*(MIN(O339,($N$4*7/10))^3-N339^3)-(MIN(O339,($N$4*7/10))^4-N339^4)/4,0)+IF(O339&gt;($N$4*7/10),($N$4*7/10)^2*(1.5*(O339^2-MAX(N339,($N$4*7/10))^2)-($N$4*7/10)*(O339-MAX(N339,($N$4*7/10)))),0))*1000,0)</f>
        <v>0</v>
      </c>
      <c r="AU339" s="120">
        <f>IF(AND(V339="OK",ISNUMBER($N$5),$N$5&gt;0,ISNUMBER($N$3),$N$3&gt;0),R339/(6*$N$3*1000000*$N$5)*(IF(N339&lt;($N$4*8/10),($N$4*8/10)*(MIN(O339,($N$4*8/10))^3-N339^3)-(MIN(O339,($N$4*8/10))^4-N339^4)/4,0)+IF(O339&gt;($N$4*8/10),($N$4*8/10)^2*(1.5*(O339^2-MAX(N339,($N$4*8/10))^2)-($N$4*8/10)*(O339-MAX(N339,($N$4*8/10)))),0))*1000,0)</f>
        <v>0</v>
      </c>
      <c r="AV339" s="120">
        <f>IF(AND(V339="OK",ISNUMBER($N$5),$N$5&gt;0,ISNUMBER($N$3),$N$3&gt;0),R339/(6*$N$3*1000000*$N$5)*(IF(N339&lt;($N$4*9/10),($N$4*9/10)*(MIN(O339,($N$4*9/10))^3-N339^3)-(MIN(O339,($N$4*9/10))^4-N339^4)/4,0)+IF(O339&gt;($N$4*9/10),($N$4*9/10)^2*(1.5*(O339^2-MAX(N339,($N$4*9/10))^2)-($N$4*9/10)*(O339-MAX(N339,($N$4*9/10)))),0))*1000,0)</f>
        <v>0</v>
      </c>
      <c r="AW339" s="120">
        <f>IF(AND(V339="OK",ISNUMBER($N$5),$N$5&gt;0,ISNUMBER($N$3),$N$3&gt;0),R339/(6*$N$3*1000000*$N$5)*(IF(N339&lt;($N$4*10/10),($N$4*10/10)*(MIN(O339,($N$4*10/10))^3-N339^3)-(MIN(O339,($N$4*10/10))^4-N339^4)/4,0)+IF(O339&gt;($N$4*10/10),($N$4*10/10)^2*(1.5*(O339^2-MAX(N339,($N$4*10/10))^2)-($N$4*10/10)*(O339-MAX(N339,($N$4*10/10)))),0))*1000,0)</f>
        <v>0</v>
      </c>
    </row>
    <row r="340" spans="1:49">
      <c r="A340" s="124"/>
      <c r="B340" s="125"/>
      <c r="C340" s="125"/>
      <c r="D340" s="125"/>
      <c r="E340" s="125"/>
      <c r="F340" s="126" t="str">
        <f>IF(J340="OK",D340*E340,"")</f>
        <v/>
      </c>
      <c r="G340" s="126" t="str">
        <f>IF(J340="OK",F340*(C340-B340),"")</f>
        <v/>
      </c>
      <c r="H340" s="126" t="str">
        <f>IF(J340="OK",G340*(C340+B340)/2,"")</f>
        <v/>
      </c>
      <c r="I340" s="126" t="str">
        <f>IF(AND(J340="OK",ISNUMBER($B$5),$B$5&gt;0,ISNUMBER($B$3),$B$3&gt;0),F340*(4*$B$4*(C340^3-B340^3)-(C340^4-B340^4))/(24*$B$3*1000000*$B$5)*1000,"")</f>
        <v/>
      </c>
      <c r="J340" s="120" t="str">
        <f>IF(COUNTA(A340:E340)=0,"",IF(AND(COUNT(B340:E340)=4,B340&gt;=0,C340&gt;B340,C340&lt;=$B$4,D340&gt;=0,E340&gt;0),IF(COUNTIFS($B$13:$B$339,"&lt;"&amp;C340,$C$13:$C$339,"&gt;"&amp;B340)&gt;0,"OVERLAP","OK"),"CHECK INPUTS"))</f>
        <v/>
      </c>
      <c r="M340" s="124"/>
      <c r="N340" s="125"/>
      <c r="O340" s="125"/>
      <c r="P340" s="125"/>
      <c r="Q340" s="125"/>
      <c r="R340" s="126" t="str">
        <f>IF(V340="OK",P340*Q340,"")</f>
        <v/>
      </c>
      <c r="S340" s="126" t="str">
        <f>IF(V340="OK",R340*(O340-N340),"")</f>
        <v/>
      </c>
      <c r="T340" s="126" t="str">
        <f>IF(V340="OK",S340*(O340+N340)/2,"")</f>
        <v/>
      </c>
      <c r="U340" s="126" t="str">
        <f>IF(AND(V340="OK",ISNUMBER($N$5),$N$5&gt;0,ISNUMBER($N$3),$N$3&gt;0),R340*(4*$N$4*(O340^3-N340^3)-(O340^4-N340^4))/(24*$N$3*1000000*$N$5)*1000,"")</f>
        <v/>
      </c>
      <c r="V340" s="120" t="str">
        <f>IF(COUNTA(M340:Q340)=0,"",IF(AND(COUNT(N340:Q340)=4,N340&gt;=0,O340&gt;N340,O340&lt;=$N$4,P340&gt;=0,Q340&gt;0),IF(COUNTIFS($N$13:$N$339,"&lt;"&amp;O340,$O$13:$O$339,"&gt;"&amp;N340)&gt;0,"OVERLAP","OK"),"CHECK INPUTS"))</f>
        <v/>
      </c>
      <c r="AA340" s="120">
        <f>IF(AND(J340="OK",ISNUMBER($B$5),$B$5&gt;0,ISNUMBER($B$3),$B$3&gt;0),F340/(6*$B$3*1000000*$B$5)*(IF(B340&lt;($B$4*0/10),($B$4*0/10)*(MIN(C340,($B$4*0/10))^3-B340^3)-(MIN(C340,($B$4*0/10))^4-B340^4)/4,0)+IF(C340&gt;($B$4*0/10),($B$4*0/10)^2*(1.5*(C340^2-MAX(B340,($B$4*0/10))^2)-($B$4*0/10)*(C340-MAX(B340,($B$4*0/10)))),0))*1000,0)</f>
        <v>0</v>
      </c>
      <c r="AB340" s="120">
        <f>IF(AND(J340="OK",ISNUMBER($B$5),$B$5&gt;0,ISNUMBER($B$3),$B$3&gt;0),F340/(6*$B$3*1000000*$B$5)*(IF(B340&lt;($B$4*1/10),($B$4*1/10)*(MIN(C340,($B$4*1/10))^3-B340^3)-(MIN(C340,($B$4*1/10))^4-B340^4)/4,0)+IF(C340&gt;($B$4*1/10),($B$4*1/10)^2*(1.5*(C340^2-MAX(B340,($B$4*1/10))^2)-($B$4*1/10)*(C340-MAX(B340,($B$4*1/10)))),0))*1000,0)</f>
        <v>0</v>
      </c>
      <c r="AC340" s="120">
        <f>IF(AND(J340="OK",ISNUMBER($B$5),$B$5&gt;0,ISNUMBER($B$3),$B$3&gt;0),F340/(6*$B$3*1000000*$B$5)*(IF(B340&lt;($B$4*2/10),($B$4*2/10)*(MIN(C340,($B$4*2/10))^3-B340^3)-(MIN(C340,($B$4*2/10))^4-B340^4)/4,0)+IF(C340&gt;($B$4*2/10),($B$4*2/10)^2*(1.5*(C340^2-MAX(B340,($B$4*2/10))^2)-($B$4*2/10)*(C340-MAX(B340,($B$4*2/10)))),0))*1000,0)</f>
        <v>0</v>
      </c>
      <c r="AD340" s="120">
        <f>IF(AND(J340="OK",ISNUMBER($B$5),$B$5&gt;0,ISNUMBER($B$3),$B$3&gt;0),F340/(6*$B$3*1000000*$B$5)*(IF(B340&lt;($B$4*3/10),($B$4*3/10)*(MIN(C340,($B$4*3/10))^3-B340^3)-(MIN(C340,($B$4*3/10))^4-B340^4)/4,0)+IF(C340&gt;($B$4*3/10),($B$4*3/10)^2*(1.5*(C340^2-MAX(B340,($B$4*3/10))^2)-($B$4*3/10)*(C340-MAX(B340,($B$4*3/10)))),0))*1000,0)</f>
        <v>0</v>
      </c>
      <c r="AE340" s="120">
        <f>IF(AND(J340="OK",ISNUMBER($B$5),$B$5&gt;0,ISNUMBER($B$3),$B$3&gt;0),F340/(6*$B$3*1000000*$B$5)*(IF(B340&lt;($B$4*4/10),($B$4*4/10)*(MIN(C340,($B$4*4/10))^3-B340^3)-(MIN(C340,($B$4*4/10))^4-B340^4)/4,0)+IF(C340&gt;($B$4*4/10),($B$4*4/10)^2*(1.5*(C340^2-MAX(B340,($B$4*4/10))^2)-($B$4*4/10)*(C340-MAX(B340,($B$4*4/10)))),0))*1000,0)</f>
        <v>0</v>
      </c>
      <c r="AF340" s="120">
        <f>IF(AND(J340="OK",ISNUMBER($B$5),$B$5&gt;0,ISNUMBER($B$3),$B$3&gt;0),F340/(6*$B$3*1000000*$B$5)*(IF(B340&lt;($B$4*5/10),($B$4*5/10)*(MIN(C340,($B$4*5/10))^3-B340^3)-(MIN(C340,($B$4*5/10))^4-B340^4)/4,0)+IF(C340&gt;($B$4*5/10),($B$4*5/10)^2*(1.5*(C340^2-MAX(B340,($B$4*5/10))^2)-($B$4*5/10)*(C340-MAX(B340,($B$4*5/10)))),0))*1000,0)</f>
        <v>0</v>
      </c>
      <c r="AG340" s="120">
        <f>IF(AND(J340="OK",ISNUMBER($B$5),$B$5&gt;0,ISNUMBER($B$3),$B$3&gt;0),F340/(6*$B$3*1000000*$B$5)*(IF(B340&lt;($B$4*6/10),($B$4*6/10)*(MIN(C340,($B$4*6/10))^3-B340^3)-(MIN(C340,($B$4*6/10))^4-B340^4)/4,0)+IF(C340&gt;($B$4*6/10),($B$4*6/10)^2*(1.5*(C340^2-MAX(B340,($B$4*6/10))^2)-($B$4*6/10)*(C340-MAX(B340,($B$4*6/10)))),0))*1000,0)</f>
        <v>0</v>
      </c>
      <c r="AH340" s="120">
        <f>IF(AND(J340="OK",ISNUMBER($B$5),$B$5&gt;0,ISNUMBER($B$3),$B$3&gt;0),F340/(6*$B$3*1000000*$B$5)*(IF(B340&lt;($B$4*7/10),($B$4*7/10)*(MIN(C340,($B$4*7/10))^3-B340^3)-(MIN(C340,($B$4*7/10))^4-B340^4)/4,0)+IF(C340&gt;($B$4*7/10),($B$4*7/10)^2*(1.5*(C340^2-MAX(B340,($B$4*7/10))^2)-($B$4*7/10)*(C340-MAX(B340,($B$4*7/10)))),0))*1000,0)</f>
        <v>0</v>
      </c>
      <c r="AI340" s="120">
        <f>IF(AND(J340="OK",ISNUMBER($B$5),$B$5&gt;0,ISNUMBER($B$3),$B$3&gt;0),F340/(6*$B$3*1000000*$B$5)*(IF(B340&lt;($B$4*8/10),($B$4*8/10)*(MIN(C340,($B$4*8/10))^3-B340^3)-(MIN(C340,($B$4*8/10))^4-B340^4)/4,0)+IF(C340&gt;($B$4*8/10),($B$4*8/10)^2*(1.5*(C340^2-MAX(B340,($B$4*8/10))^2)-($B$4*8/10)*(C340-MAX(B340,($B$4*8/10)))),0))*1000,0)</f>
        <v>0</v>
      </c>
      <c r="AJ340" s="120">
        <f>IF(AND(J340="OK",ISNUMBER($B$5),$B$5&gt;0,ISNUMBER($B$3),$B$3&gt;0),F340/(6*$B$3*1000000*$B$5)*(IF(B340&lt;($B$4*9/10),($B$4*9/10)*(MIN(C340,($B$4*9/10))^3-B340^3)-(MIN(C340,($B$4*9/10))^4-B340^4)/4,0)+IF(C340&gt;($B$4*9/10),($B$4*9/10)^2*(1.5*(C340^2-MAX(B340,($B$4*9/10))^2)-($B$4*9/10)*(C340-MAX(B340,($B$4*9/10)))),0))*1000,0)</f>
        <v>0</v>
      </c>
      <c r="AK340" s="120">
        <f>IF(AND(J340="OK",ISNUMBER($B$5),$B$5&gt;0,ISNUMBER($B$3),$B$3&gt;0),F340/(6*$B$3*1000000*$B$5)*(IF(B340&lt;($B$4*10/10),($B$4*10/10)*(MIN(C340,($B$4*10/10))^3-B340^3)-(MIN(C340,($B$4*10/10))^4-B340^4)/4,0)+IF(C340&gt;($B$4*10/10),($B$4*10/10)^2*(1.5*(C340^2-MAX(B340,($B$4*10/10))^2)-($B$4*10/10)*(C340-MAX(B340,($B$4*10/10)))),0))*1000,0)</f>
        <v>0</v>
      </c>
      <c r="AM340" s="120">
        <f>IF(AND(V340="OK",ISNUMBER($N$5),$N$5&gt;0,ISNUMBER($N$3),$N$3&gt;0),R340/(6*$N$3*1000000*$N$5)*(IF(N340&lt;($N$4*0/10),($N$4*0/10)*(MIN(O340,($N$4*0/10))^3-N340^3)-(MIN(O340,($N$4*0/10))^4-N340^4)/4,0)+IF(O340&gt;($N$4*0/10),($N$4*0/10)^2*(1.5*(O340^2-MAX(N340,($N$4*0/10))^2)-($N$4*0/10)*(O340-MAX(N340,($N$4*0/10)))),0))*1000,0)</f>
        <v>0</v>
      </c>
      <c r="AN340" s="120">
        <f>IF(AND(V340="OK",ISNUMBER($N$5),$N$5&gt;0,ISNUMBER($N$3),$N$3&gt;0),R340/(6*$N$3*1000000*$N$5)*(IF(N340&lt;($N$4*1/10),($N$4*1/10)*(MIN(O340,($N$4*1/10))^3-N340^3)-(MIN(O340,($N$4*1/10))^4-N340^4)/4,0)+IF(O340&gt;($N$4*1/10),($N$4*1/10)^2*(1.5*(O340^2-MAX(N340,($N$4*1/10))^2)-($N$4*1/10)*(O340-MAX(N340,($N$4*1/10)))),0))*1000,0)</f>
        <v>0</v>
      </c>
      <c r="AO340" s="120">
        <f>IF(AND(V340="OK",ISNUMBER($N$5),$N$5&gt;0,ISNUMBER($N$3),$N$3&gt;0),R340/(6*$N$3*1000000*$N$5)*(IF(N340&lt;($N$4*2/10),($N$4*2/10)*(MIN(O340,($N$4*2/10))^3-N340^3)-(MIN(O340,($N$4*2/10))^4-N340^4)/4,0)+IF(O340&gt;($N$4*2/10),($N$4*2/10)^2*(1.5*(O340^2-MAX(N340,($N$4*2/10))^2)-($N$4*2/10)*(O340-MAX(N340,($N$4*2/10)))),0))*1000,0)</f>
        <v>0</v>
      </c>
      <c r="AP340" s="120">
        <f>IF(AND(V340="OK",ISNUMBER($N$5),$N$5&gt;0,ISNUMBER($N$3),$N$3&gt;0),R340/(6*$N$3*1000000*$N$5)*(IF(N340&lt;($N$4*3/10),($N$4*3/10)*(MIN(O340,($N$4*3/10))^3-N340^3)-(MIN(O340,($N$4*3/10))^4-N340^4)/4,0)+IF(O340&gt;($N$4*3/10),($N$4*3/10)^2*(1.5*(O340^2-MAX(N340,($N$4*3/10))^2)-($N$4*3/10)*(O340-MAX(N340,($N$4*3/10)))),0))*1000,0)</f>
        <v>0</v>
      </c>
      <c r="AQ340" s="120">
        <f>IF(AND(V340="OK",ISNUMBER($N$5),$N$5&gt;0,ISNUMBER($N$3),$N$3&gt;0),R340/(6*$N$3*1000000*$N$5)*(IF(N340&lt;($N$4*4/10),($N$4*4/10)*(MIN(O340,($N$4*4/10))^3-N340^3)-(MIN(O340,($N$4*4/10))^4-N340^4)/4,0)+IF(O340&gt;($N$4*4/10),($N$4*4/10)^2*(1.5*(O340^2-MAX(N340,($N$4*4/10))^2)-($N$4*4/10)*(O340-MAX(N340,($N$4*4/10)))),0))*1000,0)</f>
        <v>0</v>
      </c>
      <c r="AR340" s="120">
        <f>IF(AND(V340="OK",ISNUMBER($N$5),$N$5&gt;0,ISNUMBER($N$3),$N$3&gt;0),R340/(6*$N$3*1000000*$N$5)*(IF(N340&lt;($N$4*5/10),($N$4*5/10)*(MIN(O340,($N$4*5/10))^3-N340^3)-(MIN(O340,($N$4*5/10))^4-N340^4)/4,0)+IF(O340&gt;($N$4*5/10),($N$4*5/10)^2*(1.5*(O340^2-MAX(N340,($N$4*5/10))^2)-($N$4*5/10)*(O340-MAX(N340,($N$4*5/10)))),0))*1000,0)</f>
        <v>0</v>
      </c>
      <c r="AS340" s="120">
        <f>IF(AND(V340="OK",ISNUMBER($N$5),$N$5&gt;0,ISNUMBER($N$3),$N$3&gt;0),R340/(6*$N$3*1000000*$N$5)*(IF(N340&lt;($N$4*6/10),($N$4*6/10)*(MIN(O340,($N$4*6/10))^3-N340^3)-(MIN(O340,($N$4*6/10))^4-N340^4)/4,0)+IF(O340&gt;($N$4*6/10),($N$4*6/10)^2*(1.5*(O340^2-MAX(N340,($N$4*6/10))^2)-($N$4*6/10)*(O340-MAX(N340,($N$4*6/10)))),0))*1000,0)</f>
        <v>0</v>
      </c>
      <c r="AT340" s="120">
        <f>IF(AND(V340="OK",ISNUMBER($N$5),$N$5&gt;0,ISNUMBER($N$3),$N$3&gt;0),R340/(6*$N$3*1000000*$N$5)*(IF(N340&lt;($N$4*7/10),($N$4*7/10)*(MIN(O340,($N$4*7/10))^3-N340^3)-(MIN(O340,($N$4*7/10))^4-N340^4)/4,0)+IF(O340&gt;($N$4*7/10),($N$4*7/10)^2*(1.5*(O340^2-MAX(N340,($N$4*7/10))^2)-($N$4*7/10)*(O340-MAX(N340,($N$4*7/10)))),0))*1000,0)</f>
        <v>0</v>
      </c>
      <c r="AU340" s="120">
        <f>IF(AND(V340="OK",ISNUMBER($N$5),$N$5&gt;0,ISNUMBER($N$3),$N$3&gt;0),R340/(6*$N$3*1000000*$N$5)*(IF(N340&lt;($N$4*8/10),($N$4*8/10)*(MIN(O340,($N$4*8/10))^3-N340^3)-(MIN(O340,($N$4*8/10))^4-N340^4)/4,0)+IF(O340&gt;($N$4*8/10),($N$4*8/10)^2*(1.5*(O340^2-MAX(N340,($N$4*8/10))^2)-($N$4*8/10)*(O340-MAX(N340,($N$4*8/10)))),0))*1000,0)</f>
        <v>0</v>
      </c>
      <c r="AV340" s="120">
        <f>IF(AND(V340="OK",ISNUMBER($N$5),$N$5&gt;0,ISNUMBER($N$3),$N$3&gt;0),R340/(6*$N$3*1000000*$N$5)*(IF(N340&lt;($N$4*9/10),($N$4*9/10)*(MIN(O340,($N$4*9/10))^3-N340^3)-(MIN(O340,($N$4*9/10))^4-N340^4)/4,0)+IF(O340&gt;($N$4*9/10),($N$4*9/10)^2*(1.5*(O340^2-MAX(N340,($N$4*9/10))^2)-($N$4*9/10)*(O340-MAX(N340,($N$4*9/10)))),0))*1000,0)</f>
        <v>0</v>
      </c>
      <c r="AW340" s="120">
        <f>IF(AND(V340="OK",ISNUMBER($N$5),$N$5&gt;0,ISNUMBER($N$3),$N$3&gt;0),R340/(6*$N$3*1000000*$N$5)*(IF(N340&lt;($N$4*10/10),($N$4*10/10)*(MIN(O340,($N$4*10/10))^3-N340^3)-(MIN(O340,($N$4*10/10))^4-N340^4)/4,0)+IF(O340&gt;($N$4*10/10),($N$4*10/10)^2*(1.5*(O340^2-MAX(N340,($N$4*10/10))^2)-($N$4*10/10)*(O340-MAX(N340,($N$4*10/10)))),0))*1000,0)</f>
        <v>0</v>
      </c>
    </row>
    <row r="341" spans="1:49">
      <c r="A341" s="124"/>
      <c r="B341" s="125"/>
      <c r="C341" s="125"/>
      <c r="D341" s="125"/>
      <c r="E341" s="125"/>
      <c r="F341" s="126" t="str">
        <f>IF(J341="OK",D341*E341,"")</f>
        <v/>
      </c>
      <c r="G341" s="126" t="str">
        <f>IF(J341="OK",F341*(C341-B341),"")</f>
        <v/>
      </c>
      <c r="H341" s="126" t="str">
        <f>IF(J341="OK",G341*(C341+B341)/2,"")</f>
        <v/>
      </c>
      <c r="I341" s="126" t="str">
        <f>IF(AND(J341="OK",ISNUMBER($B$5),$B$5&gt;0,ISNUMBER($B$3),$B$3&gt;0),F341*(4*$B$4*(C341^3-B341^3)-(C341^4-B341^4))/(24*$B$3*1000000*$B$5)*1000,"")</f>
        <v/>
      </c>
      <c r="J341" s="120" t="str">
        <f>IF(COUNTA(A341:E341)=0,"",IF(AND(COUNT(B341:E341)=4,B341&gt;=0,C341&gt;B341,C341&lt;=$B$4,D341&gt;=0,E341&gt;0),IF(COUNTIFS($B$13:$B$340,"&lt;"&amp;C341,$C$13:$C$340,"&gt;"&amp;B341)&gt;0,"OVERLAP","OK"),"CHECK INPUTS"))</f>
        <v/>
      </c>
      <c r="M341" s="124"/>
      <c r="N341" s="125"/>
      <c r="O341" s="125"/>
      <c r="P341" s="125"/>
      <c r="Q341" s="125"/>
      <c r="R341" s="126" t="str">
        <f>IF(V341="OK",P341*Q341,"")</f>
        <v/>
      </c>
      <c r="S341" s="126" t="str">
        <f>IF(V341="OK",R341*(O341-N341),"")</f>
        <v/>
      </c>
      <c r="T341" s="126" t="str">
        <f>IF(V341="OK",S341*(O341+N341)/2,"")</f>
        <v/>
      </c>
      <c r="U341" s="126" t="str">
        <f>IF(AND(V341="OK",ISNUMBER($N$5),$N$5&gt;0,ISNUMBER($N$3),$N$3&gt;0),R341*(4*$N$4*(O341^3-N341^3)-(O341^4-N341^4))/(24*$N$3*1000000*$N$5)*1000,"")</f>
        <v/>
      </c>
      <c r="V341" s="120" t="str">
        <f>IF(COUNTA(M341:Q341)=0,"",IF(AND(COUNT(N341:Q341)=4,N341&gt;=0,O341&gt;N341,O341&lt;=$N$4,P341&gt;=0,Q341&gt;0),IF(COUNTIFS($N$13:$N$340,"&lt;"&amp;O341,$O$13:$O$340,"&gt;"&amp;N341)&gt;0,"OVERLAP","OK"),"CHECK INPUTS"))</f>
        <v/>
      </c>
      <c r="AA341" s="120">
        <f>IF(AND(J341="OK",ISNUMBER($B$5),$B$5&gt;0,ISNUMBER($B$3),$B$3&gt;0),F341/(6*$B$3*1000000*$B$5)*(IF(B341&lt;($B$4*0/10),($B$4*0/10)*(MIN(C341,($B$4*0/10))^3-B341^3)-(MIN(C341,($B$4*0/10))^4-B341^4)/4,0)+IF(C341&gt;($B$4*0/10),($B$4*0/10)^2*(1.5*(C341^2-MAX(B341,($B$4*0/10))^2)-($B$4*0/10)*(C341-MAX(B341,($B$4*0/10)))),0))*1000,0)</f>
        <v>0</v>
      </c>
      <c r="AB341" s="120">
        <f>IF(AND(J341="OK",ISNUMBER($B$5),$B$5&gt;0,ISNUMBER($B$3),$B$3&gt;0),F341/(6*$B$3*1000000*$B$5)*(IF(B341&lt;($B$4*1/10),($B$4*1/10)*(MIN(C341,($B$4*1/10))^3-B341^3)-(MIN(C341,($B$4*1/10))^4-B341^4)/4,0)+IF(C341&gt;($B$4*1/10),($B$4*1/10)^2*(1.5*(C341^2-MAX(B341,($B$4*1/10))^2)-($B$4*1/10)*(C341-MAX(B341,($B$4*1/10)))),0))*1000,0)</f>
        <v>0</v>
      </c>
      <c r="AC341" s="120">
        <f>IF(AND(J341="OK",ISNUMBER($B$5),$B$5&gt;0,ISNUMBER($B$3),$B$3&gt;0),F341/(6*$B$3*1000000*$B$5)*(IF(B341&lt;($B$4*2/10),($B$4*2/10)*(MIN(C341,($B$4*2/10))^3-B341^3)-(MIN(C341,($B$4*2/10))^4-B341^4)/4,0)+IF(C341&gt;($B$4*2/10),($B$4*2/10)^2*(1.5*(C341^2-MAX(B341,($B$4*2/10))^2)-($B$4*2/10)*(C341-MAX(B341,($B$4*2/10)))),0))*1000,0)</f>
        <v>0</v>
      </c>
      <c r="AD341" s="120">
        <f>IF(AND(J341="OK",ISNUMBER($B$5),$B$5&gt;0,ISNUMBER($B$3),$B$3&gt;0),F341/(6*$B$3*1000000*$B$5)*(IF(B341&lt;($B$4*3/10),($B$4*3/10)*(MIN(C341,($B$4*3/10))^3-B341^3)-(MIN(C341,($B$4*3/10))^4-B341^4)/4,0)+IF(C341&gt;($B$4*3/10),($B$4*3/10)^2*(1.5*(C341^2-MAX(B341,($B$4*3/10))^2)-($B$4*3/10)*(C341-MAX(B341,($B$4*3/10)))),0))*1000,0)</f>
        <v>0</v>
      </c>
      <c r="AE341" s="120">
        <f>IF(AND(J341="OK",ISNUMBER($B$5),$B$5&gt;0,ISNUMBER($B$3),$B$3&gt;0),F341/(6*$B$3*1000000*$B$5)*(IF(B341&lt;($B$4*4/10),($B$4*4/10)*(MIN(C341,($B$4*4/10))^3-B341^3)-(MIN(C341,($B$4*4/10))^4-B341^4)/4,0)+IF(C341&gt;($B$4*4/10),($B$4*4/10)^2*(1.5*(C341^2-MAX(B341,($B$4*4/10))^2)-($B$4*4/10)*(C341-MAX(B341,($B$4*4/10)))),0))*1000,0)</f>
        <v>0</v>
      </c>
      <c r="AF341" s="120">
        <f>IF(AND(J341="OK",ISNUMBER($B$5),$B$5&gt;0,ISNUMBER($B$3),$B$3&gt;0),F341/(6*$B$3*1000000*$B$5)*(IF(B341&lt;($B$4*5/10),($B$4*5/10)*(MIN(C341,($B$4*5/10))^3-B341^3)-(MIN(C341,($B$4*5/10))^4-B341^4)/4,0)+IF(C341&gt;($B$4*5/10),($B$4*5/10)^2*(1.5*(C341^2-MAX(B341,($B$4*5/10))^2)-($B$4*5/10)*(C341-MAX(B341,($B$4*5/10)))),0))*1000,0)</f>
        <v>0</v>
      </c>
      <c r="AG341" s="120">
        <f>IF(AND(J341="OK",ISNUMBER($B$5),$B$5&gt;0,ISNUMBER($B$3),$B$3&gt;0),F341/(6*$B$3*1000000*$B$5)*(IF(B341&lt;($B$4*6/10),($B$4*6/10)*(MIN(C341,($B$4*6/10))^3-B341^3)-(MIN(C341,($B$4*6/10))^4-B341^4)/4,0)+IF(C341&gt;($B$4*6/10),($B$4*6/10)^2*(1.5*(C341^2-MAX(B341,($B$4*6/10))^2)-($B$4*6/10)*(C341-MAX(B341,($B$4*6/10)))),0))*1000,0)</f>
        <v>0</v>
      </c>
      <c r="AH341" s="120">
        <f>IF(AND(J341="OK",ISNUMBER($B$5),$B$5&gt;0,ISNUMBER($B$3),$B$3&gt;0),F341/(6*$B$3*1000000*$B$5)*(IF(B341&lt;($B$4*7/10),($B$4*7/10)*(MIN(C341,($B$4*7/10))^3-B341^3)-(MIN(C341,($B$4*7/10))^4-B341^4)/4,0)+IF(C341&gt;($B$4*7/10),($B$4*7/10)^2*(1.5*(C341^2-MAX(B341,($B$4*7/10))^2)-($B$4*7/10)*(C341-MAX(B341,($B$4*7/10)))),0))*1000,0)</f>
        <v>0</v>
      </c>
      <c r="AI341" s="120">
        <f>IF(AND(J341="OK",ISNUMBER($B$5),$B$5&gt;0,ISNUMBER($B$3),$B$3&gt;0),F341/(6*$B$3*1000000*$B$5)*(IF(B341&lt;($B$4*8/10),($B$4*8/10)*(MIN(C341,($B$4*8/10))^3-B341^3)-(MIN(C341,($B$4*8/10))^4-B341^4)/4,0)+IF(C341&gt;($B$4*8/10),($B$4*8/10)^2*(1.5*(C341^2-MAX(B341,($B$4*8/10))^2)-($B$4*8/10)*(C341-MAX(B341,($B$4*8/10)))),0))*1000,0)</f>
        <v>0</v>
      </c>
      <c r="AJ341" s="120">
        <f>IF(AND(J341="OK",ISNUMBER($B$5),$B$5&gt;0,ISNUMBER($B$3),$B$3&gt;0),F341/(6*$B$3*1000000*$B$5)*(IF(B341&lt;($B$4*9/10),($B$4*9/10)*(MIN(C341,($B$4*9/10))^3-B341^3)-(MIN(C341,($B$4*9/10))^4-B341^4)/4,0)+IF(C341&gt;($B$4*9/10),($B$4*9/10)^2*(1.5*(C341^2-MAX(B341,($B$4*9/10))^2)-($B$4*9/10)*(C341-MAX(B341,($B$4*9/10)))),0))*1000,0)</f>
        <v>0</v>
      </c>
      <c r="AK341" s="120">
        <f>IF(AND(J341="OK",ISNUMBER($B$5),$B$5&gt;0,ISNUMBER($B$3),$B$3&gt;0),F341/(6*$B$3*1000000*$B$5)*(IF(B341&lt;($B$4*10/10),($B$4*10/10)*(MIN(C341,($B$4*10/10))^3-B341^3)-(MIN(C341,($B$4*10/10))^4-B341^4)/4,0)+IF(C341&gt;($B$4*10/10),($B$4*10/10)^2*(1.5*(C341^2-MAX(B341,($B$4*10/10))^2)-($B$4*10/10)*(C341-MAX(B341,($B$4*10/10)))),0))*1000,0)</f>
        <v>0</v>
      </c>
      <c r="AM341" s="120">
        <f>IF(AND(V341="OK",ISNUMBER($N$5),$N$5&gt;0,ISNUMBER($N$3),$N$3&gt;0),R341/(6*$N$3*1000000*$N$5)*(IF(N341&lt;($N$4*0/10),($N$4*0/10)*(MIN(O341,($N$4*0/10))^3-N341^3)-(MIN(O341,($N$4*0/10))^4-N341^4)/4,0)+IF(O341&gt;($N$4*0/10),($N$4*0/10)^2*(1.5*(O341^2-MAX(N341,($N$4*0/10))^2)-($N$4*0/10)*(O341-MAX(N341,($N$4*0/10)))),0))*1000,0)</f>
        <v>0</v>
      </c>
      <c r="AN341" s="120">
        <f>IF(AND(V341="OK",ISNUMBER($N$5),$N$5&gt;0,ISNUMBER($N$3),$N$3&gt;0),R341/(6*$N$3*1000000*$N$5)*(IF(N341&lt;($N$4*1/10),($N$4*1/10)*(MIN(O341,($N$4*1/10))^3-N341^3)-(MIN(O341,($N$4*1/10))^4-N341^4)/4,0)+IF(O341&gt;($N$4*1/10),($N$4*1/10)^2*(1.5*(O341^2-MAX(N341,($N$4*1/10))^2)-($N$4*1/10)*(O341-MAX(N341,($N$4*1/10)))),0))*1000,0)</f>
        <v>0</v>
      </c>
      <c r="AO341" s="120">
        <f>IF(AND(V341="OK",ISNUMBER($N$5),$N$5&gt;0,ISNUMBER($N$3),$N$3&gt;0),R341/(6*$N$3*1000000*$N$5)*(IF(N341&lt;($N$4*2/10),($N$4*2/10)*(MIN(O341,($N$4*2/10))^3-N341^3)-(MIN(O341,($N$4*2/10))^4-N341^4)/4,0)+IF(O341&gt;($N$4*2/10),($N$4*2/10)^2*(1.5*(O341^2-MAX(N341,($N$4*2/10))^2)-($N$4*2/10)*(O341-MAX(N341,($N$4*2/10)))),0))*1000,0)</f>
        <v>0</v>
      </c>
      <c r="AP341" s="120">
        <f>IF(AND(V341="OK",ISNUMBER($N$5),$N$5&gt;0,ISNUMBER($N$3),$N$3&gt;0),R341/(6*$N$3*1000000*$N$5)*(IF(N341&lt;($N$4*3/10),($N$4*3/10)*(MIN(O341,($N$4*3/10))^3-N341^3)-(MIN(O341,($N$4*3/10))^4-N341^4)/4,0)+IF(O341&gt;($N$4*3/10),($N$4*3/10)^2*(1.5*(O341^2-MAX(N341,($N$4*3/10))^2)-($N$4*3/10)*(O341-MAX(N341,($N$4*3/10)))),0))*1000,0)</f>
        <v>0</v>
      </c>
      <c r="AQ341" s="120">
        <f>IF(AND(V341="OK",ISNUMBER($N$5),$N$5&gt;0,ISNUMBER($N$3),$N$3&gt;0),R341/(6*$N$3*1000000*$N$5)*(IF(N341&lt;($N$4*4/10),($N$4*4/10)*(MIN(O341,($N$4*4/10))^3-N341^3)-(MIN(O341,($N$4*4/10))^4-N341^4)/4,0)+IF(O341&gt;($N$4*4/10),($N$4*4/10)^2*(1.5*(O341^2-MAX(N341,($N$4*4/10))^2)-($N$4*4/10)*(O341-MAX(N341,($N$4*4/10)))),0))*1000,0)</f>
        <v>0</v>
      </c>
      <c r="AR341" s="120">
        <f>IF(AND(V341="OK",ISNUMBER($N$5),$N$5&gt;0,ISNUMBER($N$3),$N$3&gt;0),R341/(6*$N$3*1000000*$N$5)*(IF(N341&lt;($N$4*5/10),($N$4*5/10)*(MIN(O341,($N$4*5/10))^3-N341^3)-(MIN(O341,($N$4*5/10))^4-N341^4)/4,0)+IF(O341&gt;($N$4*5/10),($N$4*5/10)^2*(1.5*(O341^2-MAX(N341,($N$4*5/10))^2)-($N$4*5/10)*(O341-MAX(N341,($N$4*5/10)))),0))*1000,0)</f>
        <v>0</v>
      </c>
      <c r="AS341" s="120">
        <f>IF(AND(V341="OK",ISNUMBER($N$5),$N$5&gt;0,ISNUMBER($N$3),$N$3&gt;0),R341/(6*$N$3*1000000*$N$5)*(IF(N341&lt;($N$4*6/10),($N$4*6/10)*(MIN(O341,($N$4*6/10))^3-N341^3)-(MIN(O341,($N$4*6/10))^4-N341^4)/4,0)+IF(O341&gt;($N$4*6/10),($N$4*6/10)^2*(1.5*(O341^2-MAX(N341,($N$4*6/10))^2)-($N$4*6/10)*(O341-MAX(N341,($N$4*6/10)))),0))*1000,0)</f>
        <v>0</v>
      </c>
      <c r="AT341" s="120">
        <f>IF(AND(V341="OK",ISNUMBER($N$5),$N$5&gt;0,ISNUMBER($N$3),$N$3&gt;0),R341/(6*$N$3*1000000*$N$5)*(IF(N341&lt;($N$4*7/10),($N$4*7/10)*(MIN(O341,($N$4*7/10))^3-N341^3)-(MIN(O341,($N$4*7/10))^4-N341^4)/4,0)+IF(O341&gt;($N$4*7/10),($N$4*7/10)^2*(1.5*(O341^2-MAX(N341,($N$4*7/10))^2)-($N$4*7/10)*(O341-MAX(N341,($N$4*7/10)))),0))*1000,0)</f>
        <v>0</v>
      </c>
      <c r="AU341" s="120">
        <f>IF(AND(V341="OK",ISNUMBER($N$5),$N$5&gt;0,ISNUMBER($N$3),$N$3&gt;0),R341/(6*$N$3*1000000*$N$5)*(IF(N341&lt;($N$4*8/10),($N$4*8/10)*(MIN(O341,($N$4*8/10))^3-N341^3)-(MIN(O341,($N$4*8/10))^4-N341^4)/4,0)+IF(O341&gt;($N$4*8/10),($N$4*8/10)^2*(1.5*(O341^2-MAX(N341,($N$4*8/10))^2)-($N$4*8/10)*(O341-MAX(N341,($N$4*8/10)))),0))*1000,0)</f>
        <v>0</v>
      </c>
      <c r="AV341" s="120">
        <f>IF(AND(V341="OK",ISNUMBER($N$5),$N$5&gt;0,ISNUMBER($N$3),$N$3&gt;0),R341/(6*$N$3*1000000*$N$5)*(IF(N341&lt;($N$4*9/10),($N$4*9/10)*(MIN(O341,($N$4*9/10))^3-N341^3)-(MIN(O341,($N$4*9/10))^4-N341^4)/4,0)+IF(O341&gt;($N$4*9/10),($N$4*9/10)^2*(1.5*(O341^2-MAX(N341,($N$4*9/10))^2)-($N$4*9/10)*(O341-MAX(N341,($N$4*9/10)))),0))*1000,0)</f>
        <v>0</v>
      </c>
      <c r="AW341" s="120">
        <f>IF(AND(V341="OK",ISNUMBER($N$5),$N$5&gt;0,ISNUMBER($N$3),$N$3&gt;0),R341/(6*$N$3*1000000*$N$5)*(IF(N341&lt;($N$4*10/10),($N$4*10/10)*(MIN(O341,($N$4*10/10))^3-N341^3)-(MIN(O341,($N$4*10/10))^4-N341^4)/4,0)+IF(O341&gt;($N$4*10/10),($N$4*10/10)^2*(1.5*(O341^2-MAX(N341,($N$4*10/10))^2)-($N$4*10/10)*(O341-MAX(N341,($N$4*10/10)))),0))*1000,0)</f>
        <v>0</v>
      </c>
    </row>
    <row r="342" spans="1:49">
      <c r="A342" s="124"/>
      <c r="B342" s="125"/>
      <c r="C342" s="125"/>
      <c r="D342" s="125"/>
      <c r="E342" s="125"/>
      <c r="F342" s="126" t="str">
        <f>IF(J342="OK",D342*E342,"")</f>
        <v/>
      </c>
      <c r="G342" s="126" t="str">
        <f>IF(J342="OK",F342*(C342-B342),"")</f>
        <v/>
      </c>
      <c r="H342" s="126" t="str">
        <f>IF(J342="OK",G342*(C342+B342)/2,"")</f>
        <v/>
      </c>
      <c r="I342" s="126" t="str">
        <f>IF(AND(J342="OK",ISNUMBER($B$5),$B$5&gt;0,ISNUMBER($B$3),$B$3&gt;0),F342*(4*$B$4*(C342^3-B342^3)-(C342^4-B342^4))/(24*$B$3*1000000*$B$5)*1000,"")</f>
        <v/>
      </c>
      <c r="J342" s="120" t="str">
        <f>IF(COUNTA(A342:E342)=0,"",IF(AND(COUNT(B342:E342)=4,B342&gt;=0,C342&gt;B342,C342&lt;=$B$4,D342&gt;=0,E342&gt;0),IF(COUNTIFS($B$13:$B$341,"&lt;"&amp;C342,$C$13:$C$341,"&gt;"&amp;B342)&gt;0,"OVERLAP","OK"),"CHECK INPUTS"))</f>
        <v/>
      </c>
      <c r="M342" s="124"/>
      <c r="N342" s="125"/>
      <c r="O342" s="125"/>
      <c r="P342" s="125"/>
      <c r="Q342" s="125"/>
      <c r="R342" s="126" t="str">
        <f>IF(V342="OK",P342*Q342,"")</f>
        <v/>
      </c>
      <c r="S342" s="126" t="str">
        <f>IF(V342="OK",R342*(O342-N342),"")</f>
        <v/>
      </c>
      <c r="T342" s="126" t="str">
        <f>IF(V342="OK",S342*(O342+N342)/2,"")</f>
        <v/>
      </c>
      <c r="U342" s="126" t="str">
        <f>IF(AND(V342="OK",ISNUMBER($N$5),$N$5&gt;0,ISNUMBER($N$3),$N$3&gt;0),R342*(4*$N$4*(O342^3-N342^3)-(O342^4-N342^4))/(24*$N$3*1000000*$N$5)*1000,"")</f>
        <v/>
      </c>
      <c r="V342" s="120" t="str">
        <f>IF(COUNTA(M342:Q342)=0,"",IF(AND(COUNT(N342:Q342)=4,N342&gt;=0,O342&gt;N342,O342&lt;=$N$4,P342&gt;=0,Q342&gt;0),IF(COUNTIFS($N$13:$N$341,"&lt;"&amp;O342,$O$13:$O$341,"&gt;"&amp;N342)&gt;0,"OVERLAP","OK"),"CHECK INPUTS"))</f>
        <v/>
      </c>
      <c r="AA342" s="120">
        <f>IF(AND(J342="OK",ISNUMBER($B$5),$B$5&gt;0,ISNUMBER($B$3),$B$3&gt;0),F342/(6*$B$3*1000000*$B$5)*(IF(B342&lt;($B$4*0/10),($B$4*0/10)*(MIN(C342,($B$4*0/10))^3-B342^3)-(MIN(C342,($B$4*0/10))^4-B342^4)/4,0)+IF(C342&gt;($B$4*0/10),($B$4*0/10)^2*(1.5*(C342^2-MAX(B342,($B$4*0/10))^2)-($B$4*0/10)*(C342-MAX(B342,($B$4*0/10)))),0))*1000,0)</f>
        <v>0</v>
      </c>
      <c r="AB342" s="120">
        <f>IF(AND(J342="OK",ISNUMBER($B$5),$B$5&gt;0,ISNUMBER($B$3),$B$3&gt;0),F342/(6*$B$3*1000000*$B$5)*(IF(B342&lt;($B$4*1/10),($B$4*1/10)*(MIN(C342,($B$4*1/10))^3-B342^3)-(MIN(C342,($B$4*1/10))^4-B342^4)/4,0)+IF(C342&gt;($B$4*1/10),($B$4*1/10)^2*(1.5*(C342^2-MAX(B342,($B$4*1/10))^2)-($B$4*1/10)*(C342-MAX(B342,($B$4*1/10)))),0))*1000,0)</f>
        <v>0</v>
      </c>
      <c r="AC342" s="120">
        <f>IF(AND(J342="OK",ISNUMBER($B$5),$B$5&gt;0,ISNUMBER($B$3),$B$3&gt;0),F342/(6*$B$3*1000000*$B$5)*(IF(B342&lt;($B$4*2/10),($B$4*2/10)*(MIN(C342,($B$4*2/10))^3-B342^3)-(MIN(C342,($B$4*2/10))^4-B342^4)/4,0)+IF(C342&gt;($B$4*2/10),($B$4*2/10)^2*(1.5*(C342^2-MAX(B342,($B$4*2/10))^2)-($B$4*2/10)*(C342-MAX(B342,($B$4*2/10)))),0))*1000,0)</f>
        <v>0</v>
      </c>
      <c r="AD342" s="120">
        <f>IF(AND(J342="OK",ISNUMBER($B$5),$B$5&gt;0,ISNUMBER($B$3),$B$3&gt;0),F342/(6*$B$3*1000000*$B$5)*(IF(B342&lt;($B$4*3/10),($B$4*3/10)*(MIN(C342,($B$4*3/10))^3-B342^3)-(MIN(C342,($B$4*3/10))^4-B342^4)/4,0)+IF(C342&gt;($B$4*3/10),($B$4*3/10)^2*(1.5*(C342^2-MAX(B342,($B$4*3/10))^2)-($B$4*3/10)*(C342-MAX(B342,($B$4*3/10)))),0))*1000,0)</f>
        <v>0</v>
      </c>
      <c r="AE342" s="120">
        <f>IF(AND(J342="OK",ISNUMBER($B$5),$B$5&gt;0,ISNUMBER($B$3),$B$3&gt;0),F342/(6*$B$3*1000000*$B$5)*(IF(B342&lt;($B$4*4/10),($B$4*4/10)*(MIN(C342,($B$4*4/10))^3-B342^3)-(MIN(C342,($B$4*4/10))^4-B342^4)/4,0)+IF(C342&gt;($B$4*4/10),($B$4*4/10)^2*(1.5*(C342^2-MAX(B342,($B$4*4/10))^2)-($B$4*4/10)*(C342-MAX(B342,($B$4*4/10)))),0))*1000,0)</f>
        <v>0</v>
      </c>
      <c r="AF342" s="120">
        <f>IF(AND(J342="OK",ISNUMBER($B$5),$B$5&gt;0,ISNUMBER($B$3),$B$3&gt;0),F342/(6*$B$3*1000000*$B$5)*(IF(B342&lt;($B$4*5/10),($B$4*5/10)*(MIN(C342,($B$4*5/10))^3-B342^3)-(MIN(C342,($B$4*5/10))^4-B342^4)/4,0)+IF(C342&gt;($B$4*5/10),($B$4*5/10)^2*(1.5*(C342^2-MAX(B342,($B$4*5/10))^2)-($B$4*5/10)*(C342-MAX(B342,($B$4*5/10)))),0))*1000,0)</f>
        <v>0</v>
      </c>
      <c r="AG342" s="120">
        <f>IF(AND(J342="OK",ISNUMBER($B$5),$B$5&gt;0,ISNUMBER($B$3),$B$3&gt;0),F342/(6*$B$3*1000000*$B$5)*(IF(B342&lt;($B$4*6/10),($B$4*6/10)*(MIN(C342,($B$4*6/10))^3-B342^3)-(MIN(C342,($B$4*6/10))^4-B342^4)/4,0)+IF(C342&gt;($B$4*6/10),($B$4*6/10)^2*(1.5*(C342^2-MAX(B342,($B$4*6/10))^2)-($B$4*6/10)*(C342-MAX(B342,($B$4*6/10)))),0))*1000,0)</f>
        <v>0</v>
      </c>
      <c r="AH342" s="120">
        <f>IF(AND(J342="OK",ISNUMBER($B$5),$B$5&gt;0,ISNUMBER($B$3),$B$3&gt;0),F342/(6*$B$3*1000000*$B$5)*(IF(B342&lt;($B$4*7/10),($B$4*7/10)*(MIN(C342,($B$4*7/10))^3-B342^3)-(MIN(C342,($B$4*7/10))^4-B342^4)/4,0)+IF(C342&gt;($B$4*7/10),($B$4*7/10)^2*(1.5*(C342^2-MAX(B342,($B$4*7/10))^2)-($B$4*7/10)*(C342-MAX(B342,($B$4*7/10)))),0))*1000,0)</f>
        <v>0</v>
      </c>
      <c r="AI342" s="120">
        <f>IF(AND(J342="OK",ISNUMBER($B$5),$B$5&gt;0,ISNUMBER($B$3),$B$3&gt;0),F342/(6*$B$3*1000000*$B$5)*(IF(B342&lt;($B$4*8/10),($B$4*8/10)*(MIN(C342,($B$4*8/10))^3-B342^3)-(MIN(C342,($B$4*8/10))^4-B342^4)/4,0)+IF(C342&gt;($B$4*8/10),($B$4*8/10)^2*(1.5*(C342^2-MAX(B342,($B$4*8/10))^2)-($B$4*8/10)*(C342-MAX(B342,($B$4*8/10)))),0))*1000,0)</f>
        <v>0</v>
      </c>
      <c r="AJ342" s="120">
        <f>IF(AND(J342="OK",ISNUMBER($B$5),$B$5&gt;0,ISNUMBER($B$3),$B$3&gt;0),F342/(6*$B$3*1000000*$B$5)*(IF(B342&lt;($B$4*9/10),($B$4*9/10)*(MIN(C342,($B$4*9/10))^3-B342^3)-(MIN(C342,($B$4*9/10))^4-B342^4)/4,0)+IF(C342&gt;($B$4*9/10),($B$4*9/10)^2*(1.5*(C342^2-MAX(B342,($B$4*9/10))^2)-($B$4*9/10)*(C342-MAX(B342,($B$4*9/10)))),0))*1000,0)</f>
        <v>0</v>
      </c>
      <c r="AK342" s="120">
        <f>IF(AND(J342="OK",ISNUMBER($B$5),$B$5&gt;0,ISNUMBER($B$3),$B$3&gt;0),F342/(6*$B$3*1000000*$B$5)*(IF(B342&lt;($B$4*10/10),($B$4*10/10)*(MIN(C342,($B$4*10/10))^3-B342^3)-(MIN(C342,($B$4*10/10))^4-B342^4)/4,0)+IF(C342&gt;($B$4*10/10),($B$4*10/10)^2*(1.5*(C342^2-MAX(B342,($B$4*10/10))^2)-($B$4*10/10)*(C342-MAX(B342,($B$4*10/10)))),0))*1000,0)</f>
        <v>0</v>
      </c>
      <c r="AM342" s="120">
        <f>IF(AND(V342="OK",ISNUMBER($N$5),$N$5&gt;0,ISNUMBER($N$3),$N$3&gt;0),R342/(6*$N$3*1000000*$N$5)*(IF(N342&lt;($N$4*0/10),($N$4*0/10)*(MIN(O342,($N$4*0/10))^3-N342^3)-(MIN(O342,($N$4*0/10))^4-N342^4)/4,0)+IF(O342&gt;($N$4*0/10),($N$4*0/10)^2*(1.5*(O342^2-MAX(N342,($N$4*0/10))^2)-($N$4*0/10)*(O342-MAX(N342,($N$4*0/10)))),0))*1000,0)</f>
        <v>0</v>
      </c>
      <c r="AN342" s="120">
        <f>IF(AND(V342="OK",ISNUMBER($N$5),$N$5&gt;0,ISNUMBER($N$3),$N$3&gt;0),R342/(6*$N$3*1000000*$N$5)*(IF(N342&lt;($N$4*1/10),($N$4*1/10)*(MIN(O342,($N$4*1/10))^3-N342^3)-(MIN(O342,($N$4*1/10))^4-N342^4)/4,0)+IF(O342&gt;($N$4*1/10),($N$4*1/10)^2*(1.5*(O342^2-MAX(N342,($N$4*1/10))^2)-($N$4*1/10)*(O342-MAX(N342,($N$4*1/10)))),0))*1000,0)</f>
        <v>0</v>
      </c>
      <c r="AO342" s="120">
        <f>IF(AND(V342="OK",ISNUMBER($N$5),$N$5&gt;0,ISNUMBER($N$3),$N$3&gt;0),R342/(6*$N$3*1000000*$N$5)*(IF(N342&lt;($N$4*2/10),($N$4*2/10)*(MIN(O342,($N$4*2/10))^3-N342^3)-(MIN(O342,($N$4*2/10))^4-N342^4)/4,0)+IF(O342&gt;($N$4*2/10),($N$4*2/10)^2*(1.5*(O342^2-MAX(N342,($N$4*2/10))^2)-($N$4*2/10)*(O342-MAX(N342,($N$4*2/10)))),0))*1000,0)</f>
        <v>0</v>
      </c>
      <c r="AP342" s="120">
        <f>IF(AND(V342="OK",ISNUMBER($N$5),$N$5&gt;0,ISNUMBER($N$3),$N$3&gt;0),R342/(6*$N$3*1000000*$N$5)*(IF(N342&lt;($N$4*3/10),($N$4*3/10)*(MIN(O342,($N$4*3/10))^3-N342^3)-(MIN(O342,($N$4*3/10))^4-N342^4)/4,0)+IF(O342&gt;($N$4*3/10),($N$4*3/10)^2*(1.5*(O342^2-MAX(N342,($N$4*3/10))^2)-($N$4*3/10)*(O342-MAX(N342,($N$4*3/10)))),0))*1000,0)</f>
        <v>0</v>
      </c>
      <c r="AQ342" s="120">
        <f>IF(AND(V342="OK",ISNUMBER($N$5),$N$5&gt;0,ISNUMBER($N$3),$N$3&gt;0),R342/(6*$N$3*1000000*$N$5)*(IF(N342&lt;($N$4*4/10),($N$4*4/10)*(MIN(O342,($N$4*4/10))^3-N342^3)-(MIN(O342,($N$4*4/10))^4-N342^4)/4,0)+IF(O342&gt;($N$4*4/10),($N$4*4/10)^2*(1.5*(O342^2-MAX(N342,($N$4*4/10))^2)-($N$4*4/10)*(O342-MAX(N342,($N$4*4/10)))),0))*1000,0)</f>
        <v>0</v>
      </c>
      <c r="AR342" s="120">
        <f>IF(AND(V342="OK",ISNUMBER($N$5),$N$5&gt;0,ISNUMBER($N$3),$N$3&gt;0),R342/(6*$N$3*1000000*$N$5)*(IF(N342&lt;($N$4*5/10),($N$4*5/10)*(MIN(O342,($N$4*5/10))^3-N342^3)-(MIN(O342,($N$4*5/10))^4-N342^4)/4,0)+IF(O342&gt;($N$4*5/10),($N$4*5/10)^2*(1.5*(O342^2-MAX(N342,($N$4*5/10))^2)-($N$4*5/10)*(O342-MAX(N342,($N$4*5/10)))),0))*1000,0)</f>
        <v>0</v>
      </c>
      <c r="AS342" s="120">
        <f>IF(AND(V342="OK",ISNUMBER($N$5),$N$5&gt;0,ISNUMBER($N$3),$N$3&gt;0),R342/(6*$N$3*1000000*$N$5)*(IF(N342&lt;($N$4*6/10),($N$4*6/10)*(MIN(O342,($N$4*6/10))^3-N342^3)-(MIN(O342,($N$4*6/10))^4-N342^4)/4,0)+IF(O342&gt;($N$4*6/10),($N$4*6/10)^2*(1.5*(O342^2-MAX(N342,($N$4*6/10))^2)-($N$4*6/10)*(O342-MAX(N342,($N$4*6/10)))),0))*1000,0)</f>
        <v>0</v>
      </c>
      <c r="AT342" s="120">
        <f>IF(AND(V342="OK",ISNUMBER($N$5),$N$5&gt;0,ISNUMBER($N$3),$N$3&gt;0),R342/(6*$N$3*1000000*$N$5)*(IF(N342&lt;($N$4*7/10),($N$4*7/10)*(MIN(O342,($N$4*7/10))^3-N342^3)-(MIN(O342,($N$4*7/10))^4-N342^4)/4,0)+IF(O342&gt;($N$4*7/10),($N$4*7/10)^2*(1.5*(O342^2-MAX(N342,($N$4*7/10))^2)-($N$4*7/10)*(O342-MAX(N342,($N$4*7/10)))),0))*1000,0)</f>
        <v>0</v>
      </c>
      <c r="AU342" s="120">
        <f>IF(AND(V342="OK",ISNUMBER($N$5),$N$5&gt;0,ISNUMBER($N$3),$N$3&gt;0),R342/(6*$N$3*1000000*$N$5)*(IF(N342&lt;($N$4*8/10),($N$4*8/10)*(MIN(O342,($N$4*8/10))^3-N342^3)-(MIN(O342,($N$4*8/10))^4-N342^4)/4,0)+IF(O342&gt;($N$4*8/10),($N$4*8/10)^2*(1.5*(O342^2-MAX(N342,($N$4*8/10))^2)-($N$4*8/10)*(O342-MAX(N342,($N$4*8/10)))),0))*1000,0)</f>
        <v>0</v>
      </c>
      <c r="AV342" s="120">
        <f>IF(AND(V342="OK",ISNUMBER($N$5),$N$5&gt;0,ISNUMBER($N$3),$N$3&gt;0),R342/(6*$N$3*1000000*$N$5)*(IF(N342&lt;($N$4*9/10),($N$4*9/10)*(MIN(O342,($N$4*9/10))^3-N342^3)-(MIN(O342,($N$4*9/10))^4-N342^4)/4,0)+IF(O342&gt;($N$4*9/10),($N$4*9/10)^2*(1.5*(O342^2-MAX(N342,($N$4*9/10))^2)-($N$4*9/10)*(O342-MAX(N342,($N$4*9/10)))),0))*1000,0)</f>
        <v>0</v>
      </c>
      <c r="AW342" s="120">
        <f>IF(AND(V342="OK",ISNUMBER($N$5),$N$5&gt;0,ISNUMBER($N$3),$N$3&gt;0),R342/(6*$N$3*1000000*$N$5)*(IF(N342&lt;($N$4*10/10),($N$4*10/10)*(MIN(O342,($N$4*10/10))^3-N342^3)-(MIN(O342,($N$4*10/10))^4-N342^4)/4,0)+IF(O342&gt;($N$4*10/10),($N$4*10/10)^2*(1.5*(O342^2-MAX(N342,($N$4*10/10))^2)-($N$4*10/10)*(O342-MAX(N342,($N$4*10/10)))),0))*1000,0)</f>
        <v>0</v>
      </c>
    </row>
    <row r="343" spans="1:49">
      <c r="A343" s="124"/>
      <c r="B343" s="125"/>
      <c r="C343" s="125"/>
      <c r="D343" s="125"/>
      <c r="E343" s="125"/>
      <c r="F343" s="126" t="str">
        <f>IF(J343="OK",D343*E343,"")</f>
        <v/>
      </c>
      <c r="G343" s="126" t="str">
        <f>IF(J343="OK",F343*(C343-B343),"")</f>
        <v/>
      </c>
      <c r="H343" s="126" t="str">
        <f>IF(J343="OK",G343*(C343+B343)/2,"")</f>
        <v/>
      </c>
      <c r="I343" s="126" t="str">
        <f>IF(AND(J343="OK",ISNUMBER($B$5),$B$5&gt;0,ISNUMBER($B$3),$B$3&gt;0),F343*(4*$B$4*(C343^3-B343^3)-(C343^4-B343^4))/(24*$B$3*1000000*$B$5)*1000,"")</f>
        <v/>
      </c>
      <c r="J343" s="120" t="str">
        <f>IF(COUNTA(A343:E343)=0,"",IF(AND(COUNT(B343:E343)=4,B343&gt;=0,C343&gt;B343,C343&lt;=$B$4,D343&gt;=0,E343&gt;0),IF(COUNTIFS($B$13:$B$342,"&lt;"&amp;C343,$C$13:$C$342,"&gt;"&amp;B343)&gt;0,"OVERLAP","OK"),"CHECK INPUTS"))</f>
        <v/>
      </c>
      <c r="M343" s="124"/>
      <c r="N343" s="125"/>
      <c r="O343" s="125"/>
      <c r="P343" s="125"/>
      <c r="Q343" s="125"/>
      <c r="R343" s="126" t="str">
        <f>IF(V343="OK",P343*Q343,"")</f>
        <v/>
      </c>
      <c r="S343" s="126" t="str">
        <f>IF(V343="OK",R343*(O343-N343),"")</f>
        <v/>
      </c>
      <c r="T343" s="126" t="str">
        <f>IF(V343="OK",S343*(O343+N343)/2,"")</f>
        <v/>
      </c>
      <c r="U343" s="126" t="str">
        <f>IF(AND(V343="OK",ISNUMBER($N$5),$N$5&gt;0,ISNUMBER($N$3),$N$3&gt;0),R343*(4*$N$4*(O343^3-N343^3)-(O343^4-N343^4))/(24*$N$3*1000000*$N$5)*1000,"")</f>
        <v/>
      </c>
      <c r="V343" s="120" t="str">
        <f>IF(COUNTA(M343:Q343)=0,"",IF(AND(COUNT(N343:Q343)=4,N343&gt;=0,O343&gt;N343,O343&lt;=$N$4,P343&gt;=0,Q343&gt;0),IF(COUNTIFS($N$13:$N$342,"&lt;"&amp;O343,$O$13:$O$342,"&gt;"&amp;N343)&gt;0,"OVERLAP","OK"),"CHECK INPUTS"))</f>
        <v/>
      </c>
      <c r="AA343" s="120">
        <f>IF(AND(J343="OK",ISNUMBER($B$5),$B$5&gt;0,ISNUMBER($B$3),$B$3&gt;0),F343/(6*$B$3*1000000*$B$5)*(IF(B343&lt;($B$4*0/10),($B$4*0/10)*(MIN(C343,($B$4*0/10))^3-B343^3)-(MIN(C343,($B$4*0/10))^4-B343^4)/4,0)+IF(C343&gt;($B$4*0/10),($B$4*0/10)^2*(1.5*(C343^2-MAX(B343,($B$4*0/10))^2)-($B$4*0/10)*(C343-MAX(B343,($B$4*0/10)))),0))*1000,0)</f>
        <v>0</v>
      </c>
      <c r="AB343" s="120">
        <f>IF(AND(J343="OK",ISNUMBER($B$5),$B$5&gt;0,ISNUMBER($B$3),$B$3&gt;0),F343/(6*$B$3*1000000*$B$5)*(IF(B343&lt;($B$4*1/10),($B$4*1/10)*(MIN(C343,($B$4*1/10))^3-B343^3)-(MIN(C343,($B$4*1/10))^4-B343^4)/4,0)+IF(C343&gt;($B$4*1/10),($B$4*1/10)^2*(1.5*(C343^2-MAX(B343,($B$4*1/10))^2)-($B$4*1/10)*(C343-MAX(B343,($B$4*1/10)))),0))*1000,0)</f>
        <v>0</v>
      </c>
      <c r="AC343" s="120">
        <f>IF(AND(J343="OK",ISNUMBER($B$5),$B$5&gt;0,ISNUMBER($B$3),$B$3&gt;0),F343/(6*$B$3*1000000*$B$5)*(IF(B343&lt;($B$4*2/10),($B$4*2/10)*(MIN(C343,($B$4*2/10))^3-B343^3)-(MIN(C343,($B$4*2/10))^4-B343^4)/4,0)+IF(C343&gt;($B$4*2/10),($B$4*2/10)^2*(1.5*(C343^2-MAX(B343,($B$4*2/10))^2)-($B$4*2/10)*(C343-MAX(B343,($B$4*2/10)))),0))*1000,0)</f>
        <v>0</v>
      </c>
      <c r="AD343" s="120">
        <f>IF(AND(J343="OK",ISNUMBER($B$5),$B$5&gt;0,ISNUMBER($B$3),$B$3&gt;0),F343/(6*$B$3*1000000*$B$5)*(IF(B343&lt;($B$4*3/10),($B$4*3/10)*(MIN(C343,($B$4*3/10))^3-B343^3)-(MIN(C343,($B$4*3/10))^4-B343^4)/4,0)+IF(C343&gt;($B$4*3/10),($B$4*3/10)^2*(1.5*(C343^2-MAX(B343,($B$4*3/10))^2)-($B$4*3/10)*(C343-MAX(B343,($B$4*3/10)))),0))*1000,0)</f>
        <v>0</v>
      </c>
      <c r="AE343" s="120">
        <f>IF(AND(J343="OK",ISNUMBER($B$5),$B$5&gt;0,ISNUMBER($B$3),$B$3&gt;0),F343/(6*$B$3*1000000*$B$5)*(IF(B343&lt;($B$4*4/10),($B$4*4/10)*(MIN(C343,($B$4*4/10))^3-B343^3)-(MIN(C343,($B$4*4/10))^4-B343^4)/4,0)+IF(C343&gt;($B$4*4/10),($B$4*4/10)^2*(1.5*(C343^2-MAX(B343,($B$4*4/10))^2)-($B$4*4/10)*(C343-MAX(B343,($B$4*4/10)))),0))*1000,0)</f>
        <v>0</v>
      </c>
      <c r="AF343" s="120">
        <f>IF(AND(J343="OK",ISNUMBER($B$5),$B$5&gt;0,ISNUMBER($B$3),$B$3&gt;0),F343/(6*$B$3*1000000*$B$5)*(IF(B343&lt;($B$4*5/10),($B$4*5/10)*(MIN(C343,($B$4*5/10))^3-B343^3)-(MIN(C343,($B$4*5/10))^4-B343^4)/4,0)+IF(C343&gt;($B$4*5/10),($B$4*5/10)^2*(1.5*(C343^2-MAX(B343,($B$4*5/10))^2)-($B$4*5/10)*(C343-MAX(B343,($B$4*5/10)))),0))*1000,0)</f>
        <v>0</v>
      </c>
      <c r="AG343" s="120">
        <f>IF(AND(J343="OK",ISNUMBER($B$5),$B$5&gt;0,ISNUMBER($B$3),$B$3&gt;0),F343/(6*$B$3*1000000*$B$5)*(IF(B343&lt;($B$4*6/10),($B$4*6/10)*(MIN(C343,($B$4*6/10))^3-B343^3)-(MIN(C343,($B$4*6/10))^4-B343^4)/4,0)+IF(C343&gt;($B$4*6/10),($B$4*6/10)^2*(1.5*(C343^2-MAX(B343,($B$4*6/10))^2)-($B$4*6/10)*(C343-MAX(B343,($B$4*6/10)))),0))*1000,0)</f>
        <v>0</v>
      </c>
      <c r="AH343" s="120">
        <f>IF(AND(J343="OK",ISNUMBER($B$5),$B$5&gt;0,ISNUMBER($B$3),$B$3&gt;0),F343/(6*$B$3*1000000*$B$5)*(IF(B343&lt;($B$4*7/10),($B$4*7/10)*(MIN(C343,($B$4*7/10))^3-B343^3)-(MIN(C343,($B$4*7/10))^4-B343^4)/4,0)+IF(C343&gt;($B$4*7/10),($B$4*7/10)^2*(1.5*(C343^2-MAX(B343,($B$4*7/10))^2)-($B$4*7/10)*(C343-MAX(B343,($B$4*7/10)))),0))*1000,0)</f>
        <v>0</v>
      </c>
      <c r="AI343" s="120">
        <f>IF(AND(J343="OK",ISNUMBER($B$5),$B$5&gt;0,ISNUMBER($B$3),$B$3&gt;0),F343/(6*$B$3*1000000*$B$5)*(IF(B343&lt;($B$4*8/10),($B$4*8/10)*(MIN(C343,($B$4*8/10))^3-B343^3)-(MIN(C343,($B$4*8/10))^4-B343^4)/4,0)+IF(C343&gt;($B$4*8/10),($B$4*8/10)^2*(1.5*(C343^2-MAX(B343,($B$4*8/10))^2)-($B$4*8/10)*(C343-MAX(B343,($B$4*8/10)))),0))*1000,0)</f>
        <v>0</v>
      </c>
      <c r="AJ343" s="120">
        <f>IF(AND(J343="OK",ISNUMBER($B$5),$B$5&gt;0,ISNUMBER($B$3),$B$3&gt;0),F343/(6*$B$3*1000000*$B$5)*(IF(B343&lt;($B$4*9/10),($B$4*9/10)*(MIN(C343,($B$4*9/10))^3-B343^3)-(MIN(C343,($B$4*9/10))^4-B343^4)/4,0)+IF(C343&gt;($B$4*9/10),($B$4*9/10)^2*(1.5*(C343^2-MAX(B343,($B$4*9/10))^2)-($B$4*9/10)*(C343-MAX(B343,($B$4*9/10)))),0))*1000,0)</f>
        <v>0</v>
      </c>
      <c r="AK343" s="120">
        <f>IF(AND(J343="OK",ISNUMBER($B$5),$B$5&gt;0,ISNUMBER($B$3),$B$3&gt;0),F343/(6*$B$3*1000000*$B$5)*(IF(B343&lt;($B$4*10/10),($B$4*10/10)*(MIN(C343,($B$4*10/10))^3-B343^3)-(MIN(C343,($B$4*10/10))^4-B343^4)/4,0)+IF(C343&gt;($B$4*10/10),($B$4*10/10)^2*(1.5*(C343^2-MAX(B343,($B$4*10/10))^2)-($B$4*10/10)*(C343-MAX(B343,($B$4*10/10)))),0))*1000,0)</f>
        <v>0</v>
      </c>
      <c r="AM343" s="120">
        <f>IF(AND(V343="OK",ISNUMBER($N$5),$N$5&gt;0,ISNUMBER($N$3),$N$3&gt;0),R343/(6*$N$3*1000000*$N$5)*(IF(N343&lt;($N$4*0/10),($N$4*0/10)*(MIN(O343,($N$4*0/10))^3-N343^3)-(MIN(O343,($N$4*0/10))^4-N343^4)/4,0)+IF(O343&gt;($N$4*0/10),($N$4*0/10)^2*(1.5*(O343^2-MAX(N343,($N$4*0/10))^2)-($N$4*0/10)*(O343-MAX(N343,($N$4*0/10)))),0))*1000,0)</f>
        <v>0</v>
      </c>
      <c r="AN343" s="120">
        <f>IF(AND(V343="OK",ISNUMBER($N$5),$N$5&gt;0,ISNUMBER($N$3),$N$3&gt;0),R343/(6*$N$3*1000000*$N$5)*(IF(N343&lt;($N$4*1/10),($N$4*1/10)*(MIN(O343,($N$4*1/10))^3-N343^3)-(MIN(O343,($N$4*1/10))^4-N343^4)/4,0)+IF(O343&gt;($N$4*1/10),($N$4*1/10)^2*(1.5*(O343^2-MAX(N343,($N$4*1/10))^2)-($N$4*1/10)*(O343-MAX(N343,($N$4*1/10)))),0))*1000,0)</f>
        <v>0</v>
      </c>
      <c r="AO343" s="120">
        <f>IF(AND(V343="OK",ISNUMBER($N$5),$N$5&gt;0,ISNUMBER($N$3),$N$3&gt;0),R343/(6*$N$3*1000000*$N$5)*(IF(N343&lt;($N$4*2/10),($N$4*2/10)*(MIN(O343,($N$4*2/10))^3-N343^3)-(MIN(O343,($N$4*2/10))^4-N343^4)/4,0)+IF(O343&gt;($N$4*2/10),($N$4*2/10)^2*(1.5*(O343^2-MAX(N343,($N$4*2/10))^2)-($N$4*2/10)*(O343-MAX(N343,($N$4*2/10)))),0))*1000,0)</f>
        <v>0</v>
      </c>
      <c r="AP343" s="120">
        <f>IF(AND(V343="OK",ISNUMBER($N$5),$N$5&gt;0,ISNUMBER($N$3),$N$3&gt;0),R343/(6*$N$3*1000000*$N$5)*(IF(N343&lt;($N$4*3/10),($N$4*3/10)*(MIN(O343,($N$4*3/10))^3-N343^3)-(MIN(O343,($N$4*3/10))^4-N343^4)/4,0)+IF(O343&gt;($N$4*3/10),($N$4*3/10)^2*(1.5*(O343^2-MAX(N343,($N$4*3/10))^2)-($N$4*3/10)*(O343-MAX(N343,($N$4*3/10)))),0))*1000,0)</f>
        <v>0</v>
      </c>
      <c r="AQ343" s="120">
        <f>IF(AND(V343="OK",ISNUMBER($N$5),$N$5&gt;0,ISNUMBER($N$3),$N$3&gt;0),R343/(6*$N$3*1000000*$N$5)*(IF(N343&lt;($N$4*4/10),($N$4*4/10)*(MIN(O343,($N$4*4/10))^3-N343^3)-(MIN(O343,($N$4*4/10))^4-N343^4)/4,0)+IF(O343&gt;($N$4*4/10),($N$4*4/10)^2*(1.5*(O343^2-MAX(N343,($N$4*4/10))^2)-($N$4*4/10)*(O343-MAX(N343,($N$4*4/10)))),0))*1000,0)</f>
        <v>0</v>
      </c>
      <c r="AR343" s="120">
        <f>IF(AND(V343="OK",ISNUMBER($N$5),$N$5&gt;0,ISNUMBER($N$3),$N$3&gt;0),R343/(6*$N$3*1000000*$N$5)*(IF(N343&lt;($N$4*5/10),($N$4*5/10)*(MIN(O343,($N$4*5/10))^3-N343^3)-(MIN(O343,($N$4*5/10))^4-N343^4)/4,0)+IF(O343&gt;($N$4*5/10),($N$4*5/10)^2*(1.5*(O343^2-MAX(N343,($N$4*5/10))^2)-($N$4*5/10)*(O343-MAX(N343,($N$4*5/10)))),0))*1000,0)</f>
        <v>0</v>
      </c>
      <c r="AS343" s="120">
        <f>IF(AND(V343="OK",ISNUMBER($N$5),$N$5&gt;0,ISNUMBER($N$3),$N$3&gt;0),R343/(6*$N$3*1000000*$N$5)*(IF(N343&lt;($N$4*6/10),($N$4*6/10)*(MIN(O343,($N$4*6/10))^3-N343^3)-(MIN(O343,($N$4*6/10))^4-N343^4)/4,0)+IF(O343&gt;($N$4*6/10),($N$4*6/10)^2*(1.5*(O343^2-MAX(N343,($N$4*6/10))^2)-($N$4*6/10)*(O343-MAX(N343,($N$4*6/10)))),0))*1000,0)</f>
        <v>0</v>
      </c>
      <c r="AT343" s="120">
        <f>IF(AND(V343="OK",ISNUMBER($N$5),$N$5&gt;0,ISNUMBER($N$3),$N$3&gt;0),R343/(6*$N$3*1000000*$N$5)*(IF(N343&lt;($N$4*7/10),($N$4*7/10)*(MIN(O343,($N$4*7/10))^3-N343^3)-(MIN(O343,($N$4*7/10))^4-N343^4)/4,0)+IF(O343&gt;($N$4*7/10),($N$4*7/10)^2*(1.5*(O343^2-MAX(N343,($N$4*7/10))^2)-($N$4*7/10)*(O343-MAX(N343,($N$4*7/10)))),0))*1000,0)</f>
        <v>0</v>
      </c>
      <c r="AU343" s="120">
        <f>IF(AND(V343="OK",ISNUMBER($N$5),$N$5&gt;0,ISNUMBER($N$3),$N$3&gt;0),R343/(6*$N$3*1000000*$N$5)*(IF(N343&lt;($N$4*8/10),($N$4*8/10)*(MIN(O343,($N$4*8/10))^3-N343^3)-(MIN(O343,($N$4*8/10))^4-N343^4)/4,0)+IF(O343&gt;($N$4*8/10),($N$4*8/10)^2*(1.5*(O343^2-MAX(N343,($N$4*8/10))^2)-($N$4*8/10)*(O343-MAX(N343,($N$4*8/10)))),0))*1000,0)</f>
        <v>0</v>
      </c>
      <c r="AV343" s="120">
        <f>IF(AND(V343="OK",ISNUMBER($N$5),$N$5&gt;0,ISNUMBER($N$3),$N$3&gt;0),R343/(6*$N$3*1000000*$N$5)*(IF(N343&lt;($N$4*9/10),($N$4*9/10)*(MIN(O343,($N$4*9/10))^3-N343^3)-(MIN(O343,($N$4*9/10))^4-N343^4)/4,0)+IF(O343&gt;($N$4*9/10),($N$4*9/10)^2*(1.5*(O343^2-MAX(N343,($N$4*9/10))^2)-($N$4*9/10)*(O343-MAX(N343,($N$4*9/10)))),0))*1000,0)</f>
        <v>0</v>
      </c>
      <c r="AW343" s="120">
        <f>IF(AND(V343="OK",ISNUMBER($N$5),$N$5&gt;0,ISNUMBER($N$3),$N$3&gt;0),R343/(6*$N$3*1000000*$N$5)*(IF(N343&lt;($N$4*10/10),($N$4*10/10)*(MIN(O343,($N$4*10/10))^3-N343^3)-(MIN(O343,($N$4*10/10))^4-N343^4)/4,0)+IF(O343&gt;($N$4*10/10),($N$4*10/10)^2*(1.5*(O343^2-MAX(N343,($N$4*10/10))^2)-($N$4*10/10)*(O343-MAX(N343,($N$4*10/10)))),0))*1000,0)</f>
        <v>0</v>
      </c>
    </row>
    <row r="344" spans="1:49">
      <c r="A344" s="124"/>
      <c r="B344" s="125"/>
      <c r="C344" s="125"/>
      <c r="D344" s="125"/>
      <c r="E344" s="125"/>
      <c r="F344" s="126" t="str">
        <f>IF(J344="OK",D344*E344,"")</f>
        <v/>
      </c>
      <c r="G344" s="126" t="str">
        <f>IF(J344="OK",F344*(C344-B344),"")</f>
        <v/>
      </c>
      <c r="H344" s="126" t="str">
        <f>IF(J344="OK",G344*(C344+B344)/2,"")</f>
        <v/>
      </c>
      <c r="I344" s="126" t="str">
        <f>IF(AND(J344="OK",ISNUMBER($B$5),$B$5&gt;0,ISNUMBER($B$3),$B$3&gt;0),F344*(4*$B$4*(C344^3-B344^3)-(C344^4-B344^4))/(24*$B$3*1000000*$B$5)*1000,"")</f>
        <v/>
      </c>
      <c r="J344" s="120" t="str">
        <f>IF(COUNTA(A344:E344)=0,"",IF(AND(COUNT(B344:E344)=4,B344&gt;=0,C344&gt;B344,C344&lt;=$B$4,D344&gt;=0,E344&gt;0),IF(COUNTIFS($B$13:$B$343,"&lt;"&amp;C344,$C$13:$C$343,"&gt;"&amp;B344)&gt;0,"OVERLAP","OK"),"CHECK INPUTS"))</f>
        <v/>
      </c>
      <c r="M344" s="124"/>
      <c r="N344" s="125"/>
      <c r="O344" s="125"/>
      <c r="P344" s="125"/>
      <c r="Q344" s="125"/>
      <c r="R344" s="126" t="str">
        <f>IF(V344="OK",P344*Q344,"")</f>
        <v/>
      </c>
      <c r="S344" s="126" t="str">
        <f>IF(V344="OK",R344*(O344-N344),"")</f>
        <v/>
      </c>
      <c r="T344" s="126" t="str">
        <f>IF(V344="OK",S344*(O344+N344)/2,"")</f>
        <v/>
      </c>
      <c r="U344" s="126" t="str">
        <f>IF(AND(V344="OK",ISNUMBER($N$5),$N$5&gt;0,ISNUMBER($N$3),$N$3&gt;0),R344*(4*$N$4*(O344^3-N344^3)-(O344^4-N344^4))/(24*$N$3*1000000*$N$5)*1000,"")</f>
        <v/>
      </c>
      <c r="V344" s="120" t="str">
        <f>IF(COUNTA(M344:Q344)=0,"",IF(AND(COUNT(N344:Q344)=4,N344&gt;=0,O344&gt;N344,O344&lt;=$N$4,P344&gt;=0,Q344&gt;0),IF(COUNTIFS($N$13:$N$343,"&lt;"&amp;O344,$O$13:$O$343,"&gt;"&amp;N344)&gt;0,"OVERLAP","OK"),"CHECK INPUTS"))</f>
        <v/>
      </c>
      <c r="AA344" s="120">
        <f>IF(AND(J344="OK",ISNUMBER($B$5),$B$5&gt;0,ISNUMBER($B$3),$B$3&gt;0),F344/(6*$B$3*1000000*$B$5)*(IF(B344&lt;($B$4*0/10),($B$4*0/10)*(MIN(C344,($B$4*0/10))^3-B344^3)-(MIN(C344,($B$4*0/10))^4-B344^4)/4,0)+IF(C344&gt;($B$4*0/10),($B$4*0/10)^2*(1.5*(C344^2-MAX(B344,($B$4*0/10))^2)-($B$4*0/10)*(C344-MAX(B344,($B$4*0/10)))),0))*1000,0)</f>
        <v>0</v>
      </c>
      <c r="AB344" s="120">
        <f>IF(AND(J344="OK",ISNUMBER($B$5),$B$5&gt;0,ISNUMBER($B$3),$B$3&gt;0),F344/(6*$B$3*1000000*$B$5)*(IF(B344&lt;($B$4*1/10),($B$4*1/10)*(MIN(C344,($B$4*1/10))^3-B344^3)-(MIN(C344,($B$4*1/10))^4-B344^4)/4,0)+IF(C344&gt;($B$4*1/10),($B$4*1/10)^2*(1.5*(C344^2-MAX(B344,($B$4*1/10))^2)-($B$4*1/10)*(C344-MAX(B344,($B$4*1/10)))),0))*1000,0)</f>
        <v>0</v>
      </c>
      <c r="AC344" s="120">
        <f>IF(AND(J344="OK",ISNUMBER($B$5),$B$5&gt;0,ISNUMBER($B$3),$B$3&gt;0),F344/(6*$B$3*1000000*$B$5)*(IF(B344&lt;($B$4*2/10),($B$4*2/10)*(MIN(C344,($B$4*2/10))^3-B344^3)-(MIN(C344,($B$4*2/10))^4-B344^4)/4,0)+IF(C344&gt;($B$4*2/10),($B$4*2/10)^2*(1.5*(C344^2-MAX(B344,($B$4*2/10))^2)-($B$4*2/10)*(C344-MAX(B344,($B$4*2/10)))),0))*1000,0)</f>
        <v>0</v>
      </c>
      <c r="AD344" s="120">
        <f>IF(AND(J344="OK",ISNUMBER($B$5),$B$5&gt;0,ISNUMBER($B$3),$B$3&gt;0),F344/(6*$B$3*1000000*$B$5)*(IF(B344&lt;($B$4*3/10),($B$4*3/10)*(MIN(C344,($B$4*3/10))^3-B344^3)-(MIN(C344,($B$4*3/10))^4-B344^4)/4,0)+IF(C344&gt;($B$4*3/10),($B$4*3/10)^2*(1.5*(C344^2-MAX(B344,($B$4*3/10))^2)-($B$4*3/10)*(C344-MAX(B344,($B$4*3/10)))),0))*1000,0)</f>
        <v>0</v>
      </c>
      <c r="AE344" s="120">
        <f>IF(AND(J344="OK",ISNUMBER($B$5),$B$5&gt;0,ISNUMBER($B$3),$B$3&gt;0),F344/(6*$B$3*1000000*$B$5)*(IF(B344&lt;($B$4*4/10),($B$4*4/10)*(MIN(C344,($B$4*4/10))^3-B344^3)-(MIN(C344,($B$4*4/10))^4-B344^4)/4,0)+IF(C344&gt;($B$4*4/10),($B$4*4/10)^2*(1.5*(C344^2-MAX(B344,($B$4*4/10))^2)-($B$4*4/10)*(C344-MAX(B344,($B$4*4/10)))),0))*1000,0)</f>
        <v>0</v>
      </c>
      <c r="AF344" s="120">
        <f>IF(AND(J344="OK",ISNUMBER($B$5),$B$5&gt;0,ISNUMBER($B$3),$B$3&gt;0),F344/(6*$B$3*1000000*$B$5)*(IF(B344&lt;($B$4*5/10),($B$4*5/10)*(MIN(C344,($B$4*5/10))^3-B344^3)-(MIN(C344,($B$4*5/10))^4-B344^4)/4,0)+IF(C344&gt;($B$4*5/10),($B$4*5/10)^2*(1.5*(C344^2-MAX(B344,($B$4*5/10))^2)-($B$4*5/10)*(C344-MAX(B344,($B$4*5/10)))),0))*1000,0)</f>
        <v>0</v>
      </c>
      <c r="AG344" s="120">
        <f>IF(AND(J344="OK",ISNUMBER($B$5),$B$5&gt;0,ISNUMBER($B$3),$B$3&gt;0),F344/(6*$B$3*1000000*$B$5)*(IF(B344&lt;($B$4*6/10),($B$4*6/10)*(MIN(C344,($B$4*6/10))^3-B344^3)-(MIN(C344,($B$4*6/10))^4-B344^4)/4,0)+IF(C344&gt;($B$4*6/10),($B$4*6/10)^2*(1.5*(C344^2-MAX(B344,($B$4*6/10))^2)-($B$4*6/10)*(C344-MAX(B344,($B$4*6/10)))),0))*1000,0)</f>
        <v>0</v>
      </c>
      <c r="AH344" s="120">
        <f>IF(AND(J344="OK",ISNUMBER($B$5),$B$5&gt;0,ISNUMBER($B$3),$B$3&gt;0),F344/(6*$B$3*1000000*$B$5)*(IF(B344&lt;($B$4*7/10),($B$4*7/10)*(MIN(C344,($B$4*7/10))^3-B344^3)-(MIN(C344,($B$4*7/10))^4-B344^4)/4,0)+IF(C344&gt;($B$4*7/10),($B$4*7/10)^2*(1.5*(C344^2-MAX(B344,($B$4*7/10))^2)-($B$4*7/10)*(C344-MAX(B344,($B$4*7/10)))),0))*1000,0)</f>
        <v>0</v>
      </c>
      <c r="AI344" s="120">
        <f>IF(AND(J344="OK",ISNUMBER($B$5),$B$5&gt;0,ISNUMBER($B$3),$B$3&gt;0),F344/(6*$B$3*1000000*$B$5)*(IF(B344&lt;($B$4*8/10),($B$4*8/10)*(MIN(C344,($B$4*8/10))^3-B344^3)-(MIN(C344,($B$4*8/10))^4-B344^4)/4,0)+IF(C344&gt;($B$4*8/10),($B$4*8/10)^2*(1.5*(C344^2-MAX(B344,($B$4*8/10))^2)-($B$4*8/10)*(C344-MAX(B344,($B$4*8/10)))),0))*1000,0)</f>
        <v>0</v>
      </c>
      <c r="AJ344" s="120">
        <f>IF(AND(J344="OK",ISNUMBER($B$5),$B$5&gt;0,ISNUMBER($B$3),$B$3&gt;0),F344/(6*$B$3*1000000*$B$5)*(IF(B344&lt;($B$4*9/10),($B$4*9/10)*(MIN(C344,($B$4*9/10))^3-B344^3)-(MIN(C344,($B$4*9/10))^4-B344^4)/4,0)+IF(C344&gt;($B$4*9/10),($B$4*9/10)^2*(1.5*(C344^2-MAX(B344,($B$4*9/10))^2)-($B$4*9/10)*(C344-MAX(B344,($B$4*9/10)))),0))*1000,0)</f>
        <v>0</v>
      </c>
      <c r="AK344" s="120">
        <f>IF(AND(J344="OK",ISNUMBER($B$5),$B$5&gt;0,ISNUMBER($B$3),$B$3&gt;0),F344/(6*$B$3*1000000*$B$5)*(IF(B344&lt;($B$4*10/10),($B$4*10/10)*(MIN(C344,($B$4*10/10))^3-B344^3)-(MIN(C344,($B$4*10/10))^4-B344^4)/4,0)+IF(C344&gt;($B$4*10/10),($B$4*10/10)^2*(1.5*(C344^2-MAX(B344,($B$4*10/10))^2)-($B$4*10/10)*(C344-MAX(B344,($B$4*10/10)))),0))*1000,0)</f>
        <v>0</v>
      </c>
      <c r="AM344" s="120">
        <f>IF(AND(V344="OK",ISNUMBER($N$5),$N$5&gt;0,ISNUMBER($N$3),$N$3&gt;0),R344/(6*$N$3*1000000*$N$5)*(IF(N344&lt;($N$4*0/10),($N$4*0/10)*(MIN(O344,($N$4*0/10))^3-N344^3)-(MIN(O344,($N$4*0/10))^4-N344^4)/4,0)+IF(O344&gt;($N$4*0/10),($N$4*0/10)^2*(1.5*(O344^2-MAX(N344,($N$4*0/10))^2)-($N$4*0/10)*(O344-MAX(N344,($N$4*0/10)))),0))*1000,0)</f>
        <v>0</v>
      </c>
      <c r="AN344" s="120">
        <f>IF(AND(V344="OK",ISNUMBER($N$5),$N$5&gt;0,ISNUMBER($N$3),$N$3&gt;0),R344/(6*$N$3*1000000*$N$5)*(IF(N344&lt;($N$4*1/10),($N$4*1/10)*(MIN(O344,($N$4*1/10))^3-N344^3)-(MIN(O344,($N$4*1/10))^4-N344^4)/4,0)+IF(O344&gt;($N$4*1/10),($N$4*1/10)^2*(1.5*(O344^2-MAX(N344,($N$4*1/10))^2)-($N$4*1/10)*(O344-MAX(N344,($N$4*1/10)))),0))*1000,0)</f>
        <v>0</v>
      </c>
      <c r="AO344" s="120">
        <f>IF(AND(V344="OK",ISNUMBER($N$5),$N$5&gt;0,ISNUMBER($N$3),$N$3&gt;0),R344/(6*$N$3*1000000*$N$5)*(IF(N344&lt;($N$4*2/10),($N$4*2/10)*(MIN(O344,($N$4*2/10))^3-N344^3)-(MIN(O344,($N$4*2/10))^4-N344^4)/4,0)+IF(O344&gt;($N$4*2/10),($N$4*2/10)^2*(1.5*(O344^2-MAX(N344,($N$4*2/10))^2)-($N$4*2/10)*(O344-MAX(N344,($N$4*2/10)))),0))*1000,0)</f>
        <v>0</v>
      </c>
      <c r="AP344" s="120">
        <f>IF(AND(V344="OK",ISNUMBER($N$5),$N$5&gt;0,ISNUMBER($N$3),$N$3&gt;0),R344/(6*$N$3*1000000*$N$5)*(IF(N344&lt;($N$4*3/10),($N$4*3/10)*(MIN(O344,($N$4*3/10))^3-N344^3)-(MIN(O344,($N$4*3/10))^4-N344^4)/4,0)+IF(O344&gt;($N$4*3/10),($N$4*3/10)^2*(1.5*(O344^2-MAX(N344,($N$4*3/10))^2)-($N$4*3/10)*(O344-MAX(N344,($N$4*3/10)))),0))*1000,0)</f>
        <v>0</v>
      </c>
      <c r="AQ344" s="120">
        <f>IF(AND(V344="OK",ISNUMBER($N$5),$N$5&gt;0,ISNUMBER($N$3),$N$3&gt;0),R344/(6*$N$3*1000000*$N$5)*(IF(N344&lt;($N$4*4/10),($N$4*4/10)*(MIN(O344,($N$4*4/10))^3-N344^3)-(MIN(O344,($N$4*4/10))^4-N344^4)/4,0)+IF(O344&gt;($N$4*4/10),($N$4*4/10)^2*(1.5*(O344^2-MAX(N344,($N$4*4/10))^2)-($N$4*4/10)*(O344-MAX(N344,($N$4*4/10)))),0))*1000,0)</f>
        <v>0</v>
      </c>
      <c r="AR344" s="120">
        <f>IF(AND(V344="OK",ISNUMBER($N$5),$N$5&gt;0,ISNUMBER($N$3),$N$3&gt;0),R344/(6*$N$3*1000000*$N$5)*(IF(N344&lt;($N$4*5/10),($N$4*5/10)*(MIN(O344,($N$4*5/10))^3-N344^3)-(MIN(O344,($N$4*5/10))^4-N344^4)/4,0)+IF(O344&gt;($N$4*5/10),($N$4*5/10)^2*(1.5*(O344^2-MAX(N344,($N$4*5/10))^2)-($N$4*5/10)*(O344-MAX(N344,($N$4*5/10)))),0))*1000,0)</f>
        <v>0</v>
      </c>
      <c r="AS344" s="120">
        <f>IF(AND(V344="OK",ISNUMBER($N$5),$N$5&gt;0,ISNUMBER($N$3),$N$3&gt;0),R344/(6*$N$3*1000000*$N$5)*(IF(N344&lt;($N$4*6/10),($N$4*6/10)*(MIN(O344,($N$4*6/10))^3-N344^3)-(MIN(O344,($N$4*6/10))^4-N344^4)/4,0)+IF(O344&gt;($N$4*6/10),($N$4*6/10)^2*(1.5*(O344^2-MAX(N344,($N$4*6/10))^2)-($N$4*6/10)*(O344-MAX(N344,($N$4*6/10)))),0))*1000,0)</f>
        <v>0</v>
      </c>
      <c r="AT344" s="120">
        <f>IF(AND(V344="OK",ISNUMBER($N$5),$N$5&gt;0,ISNUMBER($N$3),$N$3&gt;0),R344/(6*$N$3*1000000*$N$5)*(IF(N344&lt;($N$4*7/10),($N$4*7/10)*(MIN(O344,($N$4*7/10))^3-N344^3)-(MIN(O344,($N$4*7/10))^4-N344^4)/4,0)+IF(O344&gt;($N$4*7/10),($N$4*7/10)^2*(1.5*(O344^2-MAX(N344,($N$4*7/10))^2)-($N$4*7/10)*(O344-MAX(N344,($N$4*7/10)))),0))*1000,0)</f>
        <v>0</v>
      </c>
      <c r="AU344" s="120">
        <f>IF(AND(V344="OK",ISNUMBER($N$5),$N$5&gt;0,ISNUMBER($N$3),$N$3&gt;0),R344/(6*$N$3*1000000*$N$5)*(IF(N344&lt;($N$4*8/10),($N$4*8/10)*(MIN(O344,($N$4*8/10))^3-N344^3)-(MIN(O344,($N$4*8/10))^4-N344^4)/4,0)+IF(O344&gt;($N$4*8/10),($N$4*8/10)^2*(1.5*(O344^2-MAX(N344,($N$4*8/10))^2)-($N$4*8/10)*(O344-MAX(N344,($N$4*8/10)))),0))*1000,0)</f>
        <v>0</v>
      </c>
      <c r="AV344" s="120">
        <f>IF(AND(V344="OK",ISNUMBER($N$5),$N$5&gt;0,ISNUMBER($N$3),$N$3&gt;0),R344/(6*$N$3*1000000*$N$5)*(IF(N344&lt;($N$4*9/10),($N$4*9/10)*(MIN(O344,($N$4*9/10))^3-N344^3)-(MIN(O344,($N$4*9/10))^4-N344^4)/4,0)+IF(O344&gt;($N$4*9/10),($N$4*9/10)^2*(1.5*(O344^2-MAX(N344,($N$4*9/10))^2)-($N$4*9/10)*(O344-MAX(N344,($N$4*9/10)))),0))*1000,0)</f>
        <v>0</v>
      </c>
      <c r="AW344" s="120">
        <f>IF(AND(V344="OK",ISNUMBER($N$5),$N$5&gt;0,ISNUMBER($N$3),$N$3&gt;0),R344/(6*$N$3*1000000*$N$5)*(IF(N344&lt;($N$4*10/10),($N$4*10/10)*(MIN(O344,($N$4*10/10))^3-N344^3)-(MIN(O344,($N$4*10/10))^4-N344^4)/4,0)+IF(O344&gt;($N$4*10/10),($N$4*10/10)^2*(1.5*(O344^2-MAX(N344,($N$4*10/10))^2)-($N$4*10/10)*(O344-MAX(N344,($N$4*10/10)))),0))*1000,0)</f>
        <v>0</v>
      </c>
    </row>
    <row r="345" spans="1:49">
      <c r="A345" s="124"/>
      <c r="B345" s="125"/>
      <c r="C345" s="125"/>
      <c r="D345" s="125"/>
      <c r="E345" s="125"/>
      <c r="F345" s="126" t="str">
        <f>IF(J345="OK",D345*E345,"")</f>
        <v/>
      </c>
      <c r="G345" s="126" t="str">
        <f>IF(J345="OK",F345*(C345-B345),"")</f>
        <v/>
      </c>
      <c r="H345" s="126" t="str">
        <f>IF(J345="OK",G345*(C345+B345)/2,"")</f>
        <v/>
      </c>
      <c r="I345" s="126" t="str">
        <f>IF(AND(J345="OK",ISNUMBER($B$5),$B$5&gt;0,ISNUMBER($B$3),$B$3&gt;0),F345*(4*$B$4*(C345^3-B345^3)-(C345^4-B345^4))/(24*$B$3*1000000*$B$5)*1000,"")</f>
        <v/>
      </c>
      <c r="J345" s="120" t="str">
        <f>IF(COUNTA(A345:E345)=0,"",IF(AND(COUNT(B345:E345)=4,B345&gt;=0,C345&gt;B345,C345&lt;=$B$4,D345&gt;=0,E345&gt;0),IF(COUNTIFS($B$13:$B$344,"&lt;"&amp;C345,$C$13:$C$344,"&gt;"&amp;B345)&gt;0,"OVERLAP","OK"),"CHECK INPUTS"))</f>
        <v/>
      </c>
      <c r="M345" s="124"/>
      <c r="N345" s="125"/>
      <c r="O345" s="125"/>
      <c r="P345" s="125"/>
      <c r="Q345" s="125"/>
      <c r="R345" s="126" t="str">
        <f>IF(V345="OK",P345*Q345,"")</f>
        <v/>
      </c>
      <c r="S345" s="126" t="str">
        <f>IF(V345="OK",R345*(O345-N345),"")</f>
        <v/>
      </c>
      <c r="T345" s="126" t="str">
        <f>IF(V345="OK",S345*(O345+N345)/2,"")</f>
        <v/>
      </c>
      <c r="U345" s="126" t="str">
        <f>IF(AND(V345="OK",ISNUMBER($N$5),$N$5&gt;0,ISNUMBER($N$3),$N$3&gt;0),R345*(4*$N$4*(O345^3-N345^3)-(O345^4-N345^4))/(24*$N$3*1000000*$N$5)*1000,"")</f>
        <v/>
      </c>
      <c r="V345" s="120" t="str">
        <f>IF(COUNTA(M345:Q345)=0,"",IF(AND(COUNT(N345:Q345)=4,N345&gt;=0,O345&gt;N345,O345&lt;=$N$4,P345&gt;=0,Q345&gt;0),IF(COUNTIFS($N$13:$N$344,"&lt;"&amp;O345,$O$13:$O$344,"&gt;"&amp;N345)&gt;0,"OVERLAP","OK"),"CHECK INPUTS"))</f>
        <v/>
      </c>
      <c r="AA345" s="120">
        <f>IF(AND(J345="OK",ISNUMBER($B$5),$B$5&gt;0,ISNUMBER($B$3),$B$3&gt;0),F345/(6*$B$3*1000000*$B$5)*(IF(B345&lt;($B$4*0/10),($B$4*0/10)*(MIN(C345,($B$4*0/10))^3-B345^3)-(MIN(C345,($B$4*0/10))^4-B345^4)/4,0)+IF(C345&gt;($B$4*0/10),($B$4*0/10)^2*(1.5*(C345^2-MAX(B345,($B$4*0/10))^2)-($B$4*0/10)*(C345-MAX(B345,($B$4*0/10)))),0))*1000,0)</f>
        <v>0</v>
      </c>
      <c r="AB345" s="120">
        <f>IF(AND(J345="OK",ISNUMBER($B$5),$B$5&gt;0,ISNUMBER($B$3),$B$3&gt;0),F345/(6*$B$3*1000000*$B$5)*(IF(B345&lt;($B$4*1/10),($B$4*1/10)*(MIN(C345,($B$4*1/10))^3-B345^3)-(MIN(C345,($B$4*1/10))^4-B345^4)/4,0)+IF(C345&gt;($B$4*1/10),($B$4*1/10)^2*(1.5*(C345^2-MAX(B345,($B$4*1/10))^2)-($B$4*1/10)*(C345-MAX(B345,($B$4*1/10)))),0))*1000,0)</f>
        <v>0</v>
      </c>
      <c r="AC345" s="120">
        <f>IF(AND(J345="OK",ISNUMBER($B$5),$B$5&gt;0,ISNUMBER($B$3),$B$3&gt;0),F345/(6*$B$3*1000000*$B$5)*(IF(B345&lt;($B$4*2/10),($B$4*2/10)*(MIN(C345,($B$4*2/10))^3-B345^3)-(MIN(C345,($B$4*2/10))^4-B345^4)/4,0)+IF(C345&gt;($B$4*2/10),($B$4*2/10)^2*(1.5*(C345^2-MAX(B345,($B$4*2/10))^2)-($B$4*2/10)*(C345-MAX(B345,($B$4*2/10)))),0))*1000,0)</f>
        <v>0</v>
      </c>
      <c r="AD345" s="120">
        <f>IF(AND(J345="OK",ISNUMBER($B$5),$B$5&gt;0,ISNUMBER($B$3),$B$3&gt;0),F345/(6*$B$3*1000000*$B$5)*(IF(B345&lt;($B$4*3/10),($B$4*3/10)*(MIN(C345,($B$4*3/10))^3-B345^3)-(MIN(C345,($B$4*3/10))^4-B345^4)/4,0)+IF(C345&gt;($B$4*3/10),($B$4*3/10)^2*(1.5*(C345^2-MAX(B345,($B$4*3/10))^2)-($B$4*3/10)*(C345-MAX(B345,($B$4*3/10)))),0))*1000,0)</f>
        <v>0</v>
      </c>
      <c r="AE345" s="120">
        <f>IF(AND(J345="OK",ISNUMBER($B$5),$B$5&gt;0,ISNUMBER($B$3),$B$3&gt;0),F345/(6*$B$3*1000000*$B$5)*(IF(B345&lt;($B$4*4/10),($B$4*4/10)*(MIN(C345,($B$4*4/10))^3-B345^3)-(MIN(C345,($B$4*4/10))^4-B345^4)/4,0)+IF(C345&gt;($B$4*4/10),($B$4*4/10)^2*(1.5*(C345^2-MAX(B345,($B$4*4/10))^2)-($B$4*4/10)*(C345-MAX(B345,($B$4*4/10)))),0))*1000,0)</f>
        <v>0</v>
      </c>
      <c r="AF345" s="120">
        <f>IF(AND(J345="OK",ISNUMBER($B$5),$B$5&gt;0,ISNUMBER($B$3),$B$3&gt;0),F345/(6*$B$3*1000000*$B$5)*(IF(B345&lt;($B$4*5/10),($B$4*5/10)*(MIN(C345,($B$4*5/10))^3-B345^3)-(MIN(C345,($B$4*5/10))^4-B345^4)/4,0)+IF(C345&gt;($B$4*5/10),($B$4*5/10)^2*(1.5*(C345^2-MAX(B345,($B$4*5/10))^2)-($B$4*5/10)*(C345-MAX(B345,($B$4*5/10)))),0))*1000,0)</f>
        <v>0</v>
      </c>
      <c r="AG345" s="120">
        <f>IF(AND(J345="OK",ISNUMBER($B$5),$B$5&gt;0,ISNUMBER($B$3),$B$3&gt;0),F345/(6*$B$3*1000000*$B$5)*(IF(B345&lt;($B$4*6/10),($B$4*6/10)*(MIN(C345,($B$4*6/10))^3-B345^3)-(MIN(C345,($B$4*6/10))^4-B345^4)/4,0)+IF(C345&gt;($B$4*6/10),($B$4*6/10)^2*(1.5*(C345^2-MAX(B345,($B$4*6/10))^2)-($B$4*6/10)*(C345-MAX(B345,($B$4*6/10)))),0))*1000,0)</f>
        <v>0</v>
      </c>
      <c r="AH345" s="120">
        <f>IF(AND(J345="OK",ISNUMBER($B$5),$B$5&gt;0,ISNUMBER($B$3),$B$3&gt;0),F345/(6*$B$3*1000000*$B$5)*(IF(B345&lt;($B$4*7/10),($B$4*7/10)*(MIN(C345,($B$4*7/10))^3-B345^3)-(MIN(C345,($B$4*7/10))^4-B345^4)/4,0)+IF(C345&gt;($B$4*7/10),($B$4*7/10)^2*(1.5*(C345^2-MAX(B345,($B$4*7/10))^2)-($B$4*7/10)*(C345-MAX(B345,($B$4*7/10)))),0))*1000,0)</f>
        <v>0</v>
      </c>
      <c r="AI345" s="120">
        <f>IF(AND(J345="OK",ISNUMBER($B$5),$B$5&gt;0,ISNUMBER($B$3),$B$3&gt;0),F345/(6*$B$3*1000000*$B$5)*(IF(B345&lt;($B$4*8/10),($B$4*8/10)*(MIN(C345,($B$4*8/10))^3-B345^3)-(MIN(C345,($B$4*8/10))^4-B345^4)/4,0)+IF(C345&gt;($B$4*8/10),($B$4*8/10)^2*(1.5*(C345^2-MAX(B345,($B$4*8/10))^2)-($B$4*8/10)*(C345-MAX(B345,($B$4*8/10)))),0))*1000,0)</f>
        <v>0</v>
      </c>
      <c r="AJ345" s="120">
        <f>IF(AND(J345="OK",ISNUMBER($B$5),$B$5&gt;0,ISNUMBER($B$3),$B$3&gt;0),F345/(6*$B$3*1000000*$B$5)*(IF(B345&lt;($B$4*9/10),($B$4*9/10)*(MIN(C345,($B$4*9/10))^3-B345^3)-(MIN(C345,($B$4*9/10))^4-B345^4)/4,0)+IF(C345&gt;($B$4*9/10),($B$4*9/10)^2*(1.5*(C345^2-MAX(B345,($B$4*9/10))^2)-($B$4*9/10)*(C345-MAX(B345,($B$4*9/10)))),0))*1000,0)</f>
        <v>0</v>
      </c>
      <c r="AK345" s="120">
        <f>IF(AND(J345="OK",ISNUMBER($B$5),$B$5&gt;0,ISNUMBER($B$3),$B$3&gt;0),F345/(6*$B$3*1000000*$B$5)*(IF(B345&lt;($B$4*10/10),($B$4*10/10)*(MIN(C345,($B$4*10/10))^3-B345^3)-(MIN(C345,($B$4*10/10))^4-B345^4)/4,0)+IF(C345&gt;($B$4*10/10),($B$4*10/10)^2*(1.5*(C345^2-MAX(B345,($B$4*10/10))^2)-($B$4*10/10)*(C345-MAX(B345,($B$4*10/10)))),0))*1000,0)</f>
        <v>0</v>
      </c>
      <c r="AM345" s="120">
        <f>IF(AND(V345="OK",ISNUMBER($N$5),$N$5&gt;0,ISNUMBER($N$3),$N$3&gt;0),R345/(6*$N$3*1000000*$N$5)*(IF(N345&lt;($N$4*0/10),($N$4*0/10)*(MIN(O345,($N$4*0/10))^3-N345^3)-(MIN(O345,($N$4*0/10))^4-N345^4)/4,0)+IF(O345&gt;($N$4*0/10),($N$4*0/10)^2*(1.5*(O345^2-MAX(N345,($N$4*0/10))^2)-($N$4*0/10)*(O345-MAX(N345,($N$4*0/10)))),0))*1000,0)</f>
        <v>0</v>
      </c>
      <c r="AN345" s="120">
        <f>IF(AND(V345="OK",ISNUMBER($N$5),$N$5&gt;0,ISNUMBER($N$3),$N$3&gt;0),R345/(6*$N$3*1000000*$N$5)*(IF(N345&lt;($N$4*1/10),($N$4*1/10)*(MIN(O345,($N$4*1/10))^3-N345^3)-(MIN(O345,($N$4*1/10))^4-N345^4)/4,0)+IF(O345&gt;($N$4*1/10),($N$4*1/10)^2*(1.5*(O345^2-MAX(N345,($N$4*1/10))^2)-($N$4*1/10)*(O345-MAX(N345,($N$4*1/10)))),0))*1000,0)</f>
        <v>0</v>
      </c>
      <c r="AO345" s="120">
        <f>IF(AND(V345="OK",ISNUMBER($N$5),$N$5&gt;0,ISNUMBER($N$3),$N$3&gt;0),R345/(6*$N$3*1000000*$N$5)*(IF(N345&lt;($N$4*2/10),($N$4*2/10)*(MIN(O345,($N$4*2/10))^3-N345^3)-(MIN(O345,($N$4*2/10))^4-N345^4)/4,0)+IF(O345&gt;($N$4*2/10),($N$4*2/10)^2*(1.5*(O345^2-MAX(N345,($N$4*2/10))^2)-($N$4*2/10)*(O345-MAX(N345,($N$4*2/10)))),0))*1000,0)</f>
        <v>0</v>
      </c>
      <c r="AP345" s="120">
        <f>IF(AND(V345="OK",ISNUMBER($N$5),$N$5&gt;0,ISNUMBER($N$3),$N$3&gt;0),R345/(6*$N$3*1000000*$N$5)*(IF(N345&lt;($N$4*3/10),($N$4*3/10)*(MIN(O345,($N$4*3/10))^3-N345^3)-(MIN(O345,($N$4*3/10))^4-N345^4)/4,0)+IF(O345&gt;($N$4*3/10),($N$4*3/10)^2*(1.5*(O345^2-MAX(N345,($N$4*3/10))^2)-($N$4*3/10)*(O345-MAX(N345,($N$4*3/10)))),0))*1000,0)</f>
        <v>0</v>
      </c>
      <c r="AQ345" s="120">
        <f>IF(AND(V345="OK",ISNUMBER($N$5),$N$5&gt;0,ISNUMBER($N$3),$N$3&gt;0),R345/(6*$N$3*1000000*$N$5)*(IF(N345&lt;($N$4*4/10),($N$4*4/10)*(MIN(O345,($N$4*4/10))^3-N345^3)-(MIN(O345,($N$4*4/10))^4-N345^4)/4,0)+IF(O345&gt;($N$4*4/10),($N$4*4/10)^2*(1.5*(O345^2-MAX(N345,($N$4*4/10))^2)-($N$4*4/10)*(O345-MAX(N345,($N$4*4/10)))),0))*1000,0)</f>
        <v>0</v>
      </c>
      <c r="AR345" s="120">
        <f>IF(AND(V345="OK",ISNUMBER($N$5),$N$5&gt;0,ISNUMBER($N$3),$N$3&gt;0),R345/(6*$N$3*1000000*$N$5)*(IF(N345&lt;($N$4*5/10),($N$4*5/10)*(MIN(O345,($N$4*5/10))^3-N345^3)-(MIN(O345,($N$4*5/10))^4-N345^4)/4,0)+IF(O345&gt;($N$4*5/10),($N$4*5/10)^2*(1.5*(O345^2-MAX(N345,($N$4*5/10))^2)-($N$4*5/10)*(O345-MAX(N345,($N$4*5/10)))),0))*1000,0)</f>
        <v>0</v>
      </c>
      <c r="AS345" s="120">
        <f>IF(AND(V345="OK",ISNUMBER($N$5),$N$5&gt;0,ISNUMBER($N$3),$N$3&gt;0),R345/(6*$N$3*1000000*$N$5)*(IF(N345&lt;($N$4*6/10),($N$4*6/10)*(MIN(O345,($N$4*6/10))^3-N345^3)-(MIN(O345,($N$4*6/10))^4-N345^4)/4,0)+IF(O345&gt;($N$4*6/10),($N$4*6/10)^2*(1.5*(O345^2-MAX(N345,($N$4*6/10))^2)-($N$4*6/10)*(O345-MAX(N345,($N$4*6/10)))),0))*1000,0)</f>
        <v>0</v>
      </c>
      <c r="AT345" s="120">
        <f>IF(AND(V345="OK",ISNUMBER($N$5),$N$5&gt;0,ISNUMBER($N$3),$N$3&gt;0),R345/(6*$N$3*1000000*$N$5)*(IF(N345&lt;($N$4*7/10),($N$4*7/10)*(MIN(O345,($N$4*7/10))^3-N345^3)-(MIN(O345,($N$4*7/10))^4-N345^4)/4,0)+IF(O345&gt;($N$4*7/10),($N$4*7/10)^2*(1.5*(O345^2-MAX(N345,($N$4*7/10))^2)-($N$4*7/10)*(O345-MAX(N345,($N$4*7/10)))),0))*1000,0)</f>
        <v>0</v>
      </c>
      <c r="AU345" s="120">
        <f>IF(AND(V345="OK",ISNUMBER($N$5),$N$5&gt;0,ISNUMBER($N$3),$N$3&gt;0),R345/(6*$N$3*1000000*$N$5)*(IF(N345&lt;($N$4*8/10),($N$4*8/10)*(MIN(O345,($N$4*8/10))^3-N345^3)-(MIN(O345,($N$4*8/10))^4-N345^4)/4,0)+IF(O345&gt;($N$4*8/10),($N$4*8/10)^2*(1.5*(O345^2-MAX(N345,($N$4*8/10))^2)-($N$4*8/10)*(O345-MAX(N345,($N$4*8/10)))),0))*1000,0)</f>
        <v>0</v>
      </c>
      <c r="AV345" s="120">
        <f>IF(AND(V345="OK",ISNUMBER($N$5),$N$5&gt;0,ISNUMBER($N$3),$N$3&gt;0),R345/(6*$N$3*1000000*$N$5)*(IF(N345&lt;($N$4*9/10),($N$4*9/10)*(MIN(O345,($N$4*9/10))^3-N345^3)-(MIN(O345,($N$4*9/10))^4-N345^4)/4,0)+IF(O345&gt;($N$4*9/10),($N$4*9/10)^2*(1.5*(O345^2-MAX(N345,($N$4*9/10))^2)-($N$4*9/10)*(O345-MAX(N345,($N$4*9/10)))),0))*1000,0)</f>
        <v>0</v>
      </c>
      <c r="AW345" s="120">
        <f>IF(AND(V345="OK",ISNUMBER($N$5),$N$5&gt;0,ISNUMBER($N$3),$N$3&gt;0),R345/(6*$N$3*1000000*$N$5)*(IF(N345&lt;($N$4*10/10),($N$4*10/10)*(MIN(O345,($N$4*10/10))^3-N345^3)-(MIN(O345,($N$4*10/10))^4-N345^4)/4,0)+IF(O345&gt;($N$4*10/10),($N$4*10/10)^2*(1.5*(O345^2-MAX(N345,($N$4*10/10))^2)-($N$4*10/10)*(O345-MAX(N345,($N$4*10/10)))),0))*1000,0)</f>
        <v>0</v>
      </c>
    </row>
    <row r="346" spans="1:49">
      <c r="A346" s="124"/>
      <c r="B346" s="125"/>
      <c r="C346" s="125"/>
      <c r="D346" s="125"/>
      <c r="E346" s="125"/>
      <c r="F346" s="126" t="str">
        <f>IF(J346="OK",D346*E346,"")</f>
        <v/>
      </c>
      <c r="G346" s="126" t="str">
        <f>IF(J346="OK",F346*(C346-B346),"")</f>
        <v/>
      </c>
      <c r="H346" s="126" t="str">
        <f>IF(J346="OK",G346*(C346+B346)/2,"")</f>
        <v/>
      </c>
      <c r="I346" s="126" t="str">
        <f>IF(AND(J346="OK",ISNUMBER($B$5),$B$5&gt;0,ISNUMBER($B$3),$B$3&gt;0),F346*(4*$B$4*(C346^3-B346^3)-(C346^4-B346^4))/(24*$B$3*1000000*$B$5)*1000,"")</f>
        <v/>
      </c>
      <c r="J346" s="120" t="str">
        <f>IF(COUNTA(A346:E346)=0,"",IF(AND(COUNT(B346:E346)=4,B346&gt;=0,C346&gt;B346,C346&lt;=$B$4,D346&gt;=0,E346&gt;0),IF(COUNTIFS($B$13:$B$345,"&lt;"&amp;C346,$C$13:$C$345,"&gt;"&amp;B346)&gt;0,"OVERLAP","OK"),"CHECK INPUTS"))</f>
        <v/>
      </c>
      <c r="M346" s="124"/>
      <c r="N346" s="125"/>
      <c r="O346" s="125"/>
      <c r="P346" s="125"/>
      <c r="Q346" s="125"/>
      <c r="R346" s="126" t="str">
        <f>IF(V346="OK",P346*Q346,"")</f>
        <v/>
      </c>
      <c r="S346" s="126" t="str">
        <f>IF(V346="OK",R346*(O346-N346),"")</f>
        <v/>
      </c>
      <c r="T346" s="126" t="str">
        <f>IF(V346="OK",S346*(O346+N346)/2,"")</f>
        <v/>
      </c>
      <c r="U346" s="126" t="str">
        <f>IF(AND(V346="OK",ISNUMBER($N$5),$N$5&gt;0,ISNUMBER($N$3),$N$3&gt;0),R346*(4*$N$4*(O346^3-N346^3)-(O346^4-N346^4))/(24*$N$3*1000000*$N$5)*1000,"")</f>
        <v/>
      </c>
      <c r="V346" s="120" t="str">
        <f>IF(COUNTA(M346:Q346)=0,"",IF(AND(COUNT(N346:Q346)=4,N346&gt;=0,O346&gt;N346,O346&lt;=$N$4,P346&gt;=0,Q346&gt;0),IF(COUNTIFS($N$13:$N$345,"&lt;"&amp;O346,$O$13:$O$345,"&gt;"&amp;N346)&gt;0,"OVERLAP","OK"),"CHECK INPUTS"))</f>
        <v/>
      </c>
      <c r="AA346" s="120">
        <f>IF(AND(J346="OK",ISNUMBER($B$5),$B$5&gt;0,ISNUMBER($B$3),$B$3&gt;0),F346/(6*$B$3*1000000*$B$5)*(IF(B346&lt;($B$4*0/10),($B$4*0/10)*(MIN(C346,($B$4*0/10))^3-B346^3)-(MIN(C346,($B$4*0/10))^4-B346^4)/4,0)+IF(C346&gt;($B$4*0/10),($B$4*0/10)^2*(1.5*(C346^2-MAX(B346,($B$4*0/10))^2)-($B$4*0/10)*(C346-MAX(B346,($B$4*0/10)))),0))*1000,0)</f>
        <v>0</v>
      </c>
      <c r="AB346" s="120">
        <f>IF(AND(J346="OK",ISNUMBER($B$5),$B$5&gt;0,ISNUMBER($B$3),$B$3&gt;0),F346/(6*$B$3*1000000*$B$5)*(IF(B346&lt;($B$4*1/10),($B$4*1/10)*(MIN(C346,($B$4*1/10))^3-B346^3)-(MIN(C346,($B$4*1/10))^4-B346^4)/4,0)+IF(C346&gt;($B$4*1/10),($B$4*1/10)^2*(1.5*(C346^2-MAX(B346,($B$4*1/10))^2)-($B$4*1/10)*(C346-MAX(B346,($B$4*1/10)))),0))*1000,0)</f>
        <v>0</v>
      </c>
      <c r="AC346" s="120">
        <f>IF(AND(J346="OK",ISNUMBER($B$5),$B$5&gt;0,ISNUMBER($B$3),$B$3&gt;0),F346/(6*$B$3*1000000*$B$5)*(IF(B346&lt;($B$4*2/10),($B$4*2/10)*(MIN(C346,($B$4*2/10))^3-B346^3)-(MIN(C346,($B$4*2/10))^4-B346^4)/4,0)+IF(C346&gt;($B$4*2/10),($B$4*2/10)^2*(1.5*(C346^2-MAX(B346,($B$4*2/10))^2)-($B$4*2/10)*(C346-MAX(B346,($B$4*2/10)))),0))*1000,0)</f>
        <v>0</v>
      </c>
      <c r="AD346" s="120">
        <f>IF(AND(J346="OK",ISNUMBER($B$5),$B$5&gt;0,ISNUMBER($B$3),$B$3&gt;0),F346/(6*$B$3*1000000*$B$5)*(IF(B346&lt;($B$4*3/10),($B$4*3/10)*(MIN(C346,($B$4*3/10))^3-B346^3)-(MIN(C346,($B$4*3/10))^4-B346^4)/4,0)+IF(C346&gt;($B$4*3/10),($B$4*3/10)^2*(1.5*(C346^2-MAX(B346,($B$4*3/10))^2)-($B$4*3/10)*(C346-MAX(B346,($B$4*3/10)))),0))*1000,0)</f>
        <v>0</v>
      </c>
      <c r="AE346" s="120">
        <f>IF(AND(J346="OK",ISNUMBER($B$5),$B$5&gt;0,ISNUMBER($B$3),$B$3&gt;0),F346/(6*$B$3*1000000*$B$5)*(IF(B346&lt;($B$4*4/10),($B$4*4/10)*(MIN(C346,($B$4*4/10))^3-B346^3)-(MIN(C346,($B$4*4/10))^4-B346^4)/4,0)+IF(C346&gt;($B$4*4/10),($B$4*4/10)^2*(1.5*(C346^2-MAX(B346,($B$4*4/10))^2)-($B$4*4/10)*(C346-MAX(B346,($B$4*4/10)))),0))*1000,0)</f>
        <v>0</v>
      </c>
      <c r="AF346" s="120">
        <f>IF(AND(J346="OK",ISNUMBER($B$5),$B$5&gt;0,ISNUMBER($B$3),$B$3&gt;0),F346/(6*$B$3*1000000*$B$5)*(IF(B346&lt;($B$4*5/10),($B$4*5/10)*(MIN(C346,($B$4*5/10))^3-B346^3)-(MIN(C346,($B$4*5/10))^4-B346^4)/4,0)+IF(C346&gt;($B$4*5/10),($B$4*5/10)^2*(1.5*(C346^2-MAX(B346,($B$4*5/10))^2)-($B$4*5/10)*(C346-MAX(B346,($B$4*5/10)))),0))*1000,0)</f>
        <v>0</v>
      </c>
      <c r="AG346" s="120">
        <f>IF(AND(J346="OK",ISNUMBER($B$5),$B$5&gt;0,ISNUMBER($B$3),$B$3&gt;0),F346/(6*$B$3*1000000*$B$5)*(IF(B346&lt;($B$4*6/10),($B$4*6/10)*(MIN(C346,($B$4*6/10))^3-B346^3)-(MIN(C346,($B$4*6/10))^4-B346^4)/4,0)+IF(C346&gt;($B$4*6/10),($B$4*6/10)^2*(1.5*(C346^2-MAX(B346,($B$4*6/10))^2)-($B$4*6/10)*(C346-MAX(B346,($B$4*6/10)))),0))*1000,0)</f>
        <v>0</v>
      </c>
      <c r="AH346" s="120">
        <f>IF(AND(J346="OK",ISNUMBER($B$5),$B$5&gt;0,ISNUMBER($B$3),$B$3&gt;0),F346/(6*$B$3*1000000*$B$5)*(IF(B346&lt;($B$4*7/10),($B$4*7/10)*(MIN(C346,($B$4*7/10))^3-B346^3)-(MIN(C346,($B$4*7/10))^4-B346^4)/4,0)+IF(C346&gt;($B$4*7/10),($B$4*7/10)^2*(1.5*(C346^2-MAX(B346,($B$4*7/10))^2)-($B$4*7/10)*(C346-MAX(B346,($B$4*7/10)))),0))*1000,0)</f>
        <v>0</v>
      </c>
      <c r="AI346" s="120">
        <f>IF(AND(J346="OK",ISNUMBER($B$5),$B$5&gt;0,ISNUMBER($B$3),$B$3&gt;0),F346/(6*$B$3*1000000*$B$5)*(IF(B346&lt;($B$4*8/10),($B$4*8/10)*(MIN(C346,($B$4*8/10))^3-B346^3)-(MIN(C346,($B$4*8/10))^4-B346^4)/4,0)+IF(C346&gt;($B$4*8/10),($B$4*8/10)^2*(1.5*(C346^2-MAX(B346,($B$4*8/10))^2)-($B$4*8/10)*(C346-MAX(B346,($B$4*8/10)))),0))*1000,0)</f>
        <v>0</v>
      </c>
      <c r="AJ346" s="120">
        <f>IF(AND(J346="OK",ISNUMBER($B$5),$B$5&gt;0,ISNUMBER($B$3),$B$3&gt;0),F346/(6*$B$3*1000000*$B$5)*(IF(B346&lt;($B$4*9/10),($B$4*9/10)*(MIN(C346,($B$4*9/10))^3-B346^3)-(MIN(C346,($B$4*9/10))^4-B346^4)/4,0)+IF(C346&gt;($B$4*9/10),($B$4*9/10)^2*(1.5*(C346^2-MAX(B346,($B$4*9/10))^2)-($B$4*9/10)*(C346-MAX(B346,($B$4*9/10)))),0))*1000,0)</f>
        <v>0</v>
      </c>
      <c r="AK346" s="120">
        <f>IF(AND(J346="OK",ISNUMBER($B$5),$B$5&gt;0,ISNUMBER($B$3),$B$3&gt;0),F346/(6*$B$3*1000000*$B$5)*(IF(B346&lt;($B$4*10/10),($B$4*10/10)*(MIN(C346,($B$4*10/10))^3-B346^3)-(MIN(C346,($B$4*10/10))^4-B346^4)/4,0)+IF(C346&gt;($B$4*10/10),($B$4*10/10)^2*(1.5*(C346^2-MAX(B346,($B$4*10/10))^2)-($B$4*10/10)*(C346-MAX(B346,($B$4*10/10)))),0))*1000,0)</f>
        <v>0</v>
      </c>
      <c r="AM346" s="120">
        <f>IF(AND(V346="OK",ISNUMBER($N$5),$N$5&gt;0,ISNUMBER($N$3),$N$3&gt;0),R346/(6*$N$3*1000000*$N$5)*(IF(N346&lt;($N$4*0/10),($N$4*0/10)*(MIN(O346,($N$4*0/10))^3-N346^3)-(MIN(O346,($N$4*0/10))^4-N346^4)/4,0)+IF(O346&gt;($N$4*0/10),($N$4*0/10)^2*(1.5*(O346^2-MAX(N346,($N$4*0/10))^2)-($N$4*0/10)*(O346-MAX(N346,($N$4*0/10)))),0))*1000,0)</f>
        <v>0</v>
      </c>
      <c r="AN346" s="120">
        <f>IF(AND(V346="OK",ISNUMBER($N$5),$N$5&gt;0,ISNUMBER($N$3),$N$3&gt;0),R346/(6*$N$3*1000000*$N$5)*(IF(N346&lt;($N$4*1/10),($N$4*1/10)*(MIN(O346,($N$4*1/10))^3-N346^3)-(MIN(O346,($N$4*1/10))^4-N346^4)/4,0)+IF(O346&gt;($N$4*1/10),($N$4*1/10)^2*(1.5*(O346^2-MAX(N346,($N$4*1/10))^2)-($N$4*1/10)*(O346-MAX(N346,($N$4*1/10)))),0))*1000,0)</f>
        <v>0</v>
      </c>
      <c r="AO346" s="120">
        <f>IF(AND(V346="OK",ISNUMBER($N$5),$N$5&gt;0,ISNUMBER($N$3),$N$3&gt;0),R346/(6*$N$3*1000000*$N$5)*(IF(N346&lt;($N$4*2/10),($N$4*2/10)*(MIN(O346,($N$4*2/10))^3-N346^3)-(MIN(O346,($N$4*2/10))^4-N346^4)/4,0)+IF(O346&gt;($N$4*2/10),($N$4*2/10)^2*(1.5*(O346^2-MAX(N346,($N$4*2/10))^2)-($N$4*2/10)*(O346-MAX(N346,($N$4*2/10)))),0))*1000,0)</f>
        <v>0</v>
      </c>
      <c r="AP346" s="120">
        <f>IF(AND(V346="OK",ISNUMBER($N$5),$N$5&gt;0,ISNUMBER($N$3),$N$3&gt;0),R346/(6*$N$3*1000000*$N$5)*(IF(N346&lt;($N$4*3/10),($N$4*3/10)*(MIN(O346,($N$4*3/10))^3-N346^3)-(MIN(O346,($N$4*3/10))^4-N346^4)/4,0)+IF(O346&gt;($N$4*3/10),($N$4*3/10)^2*(1.5*(O346^2-MAX(N346,($N$4*3/10))^2)-($N$4*3/10)*(O346-MAX(N346,($N$4*3/10)))),0))*1000,0)</f>
        <v>0</v>
      </c>
      <c r="AQ346" s="120">
        <f>IF(AND(V346="OK",ISNUMBER($N$5),$N$5&gt;0,ISNUMBER($N$3),$N$3&gt;0),R346/(6*$N$3*1000000*$N$5)*(IF(N346&lt;($N$4*4/10),($N$4*4/10)*(MIN(O346,($N$4*4/10))^3-N346^3)-(MIN(O346,($N$4*4/10))^4-N346^4)/4,0)+IF(O346&gt;($N$4*4/10),($N$4*4/10)^2*(1.5*(O346^2-MAX(N346,($N$4*4/10))^2)-($N$4*4/10)*(O346-MAX(N346,($N$4*4/10)))),0))*1000,0)</f>
        <v>0</v>
      </c>
      <c r="AR346" s="120">
        <f>IF(AND(V346="OK",ISNUMBER($N$5),$N$5&gt;0,ISNUMBER($N$3),$N$3&gt;0),R346/(6*$N$3*1000000*$N$5)*(IF(N346&lt;($N$4*5/10),($N$4*5/10)*(MIN(O346,($N$4*5/10))^3-N346^3)-(MIN(O346,($N$4*5/10))^4-N346^4)/4,0)+IF(O346&gt;($N$4*5/10),($N$4*5/10)^2*(1.5*(O346^2-MAX(N346,($N$4*5/10))^2)-($N$4*5/10)*(O346-MAX(N346,($N$4*5/10)))),0))*1000,0)</f>
        <v>0</v>
      </c>
      <c r="AS346" s="120">
        <f>IF(AND(V346="OK",ISNUMBER($N$5),$N$5&gt;0,ISNUMBER($N$3),$N$3&gt;0),R346/(6*$N$3*1000000*$N$5)*(IF(N346&lt;($N$4*6/10),($N$4*6/10)*(MIN(O346,($N$4*6/10))^3-N346^3)-(MIN(O346,($N$4*6/10))^4-N346^4)/4,0)+IF(O346&gt;($N$4*6/10),($N$4*6/10)^2*(1.5*(O346^2-MAX(N346,($N$4*6/10))^2)-($N$4*6/10)*(O346-MAX(N346,($N$4*6/10)))),0))*1000,0)</f>
        <v>0</v>
      </c>
      <c r="AT346" s="120">
        <f>IF(AND(V346="OK",ISNUMBER($N$5),$N$5&gt;0,ISNUMBER($N$3),$N$3&gt;0),R346/(6*$N$3*1000000*$N$5)*(IF(N346&lt;($N$4*7/10),($N$4*7/10)*(MIN(O346,($N$4*7/10))^3-N346^3)-(MIN(O346,($N$4*7/10))^4-N346^4)/4,0)+IF(O346&gt;($N$4*7/10),($N$4*7/10)^2*(1.5*(O346^2-MAX(N346,($N$4*7/10))^2)-($N$4*7/10)*(O346-MAX(N346,($N$4*7/10)))),0))*1000,0)</f>
        <v>0</v>
      </c>
      <c r="AU346" s="120">
        <f>IF(AND(V346="OK",ISNUMBER($N$5),$N$5&gt;0,ISNUMBER($N$3),$N$3&gt;0),R346/(6*$N$3*1000000*$N$5)*(IF(N346&lt;($N$4*8/10),($N$4*8/10)*(MIN(O346,($N$4*8/10))^3-N346^3)-(MIN(O346,($N$4*8/10))^4-N346^4)/4,0)+IF(O346&gt;($N$4*8/10),($N$4*8/10)^2*(1.5*(O346^2-MAX(N346,($N$4*8/10))^2)-($N$4*8/10)*(O346-MAX(N346,($N$4*8/10)))),0))*1000,0)</f>
        <v>0</v>
      </c>
      <c r="AV346" s="120">
        <f>IF(AND(V346="OK",ISNUMBER($N$5),$N$5&gt;0,ISNUMBER($N$3),$N$3&gt;0),R346/(6*$N$3*1000000*$N$5)*(IF(N346&lt;($N$4*9/10),($N$4*9/10)*(MIN(O346,($N$4*9/10))^3-N346^3)-(MIN(O346,($N$4*9/10))^4-N346^4)/4,0)+IF(O346&gt;($N$4*9/10),($N$4*9/10)^2*(1.5*(O346^2-MAX(N346,($N$4*9/10))^2)-($N$4*9/10)*(O346-MAX(N346,($N$4*9/10)))),0))*1000,0)</f>
        <v>0</v>
      </c>
      <c r="AW346" s="120">
        <f>IF(AND(V346="OK",ISNUMBER($N$5),$N$5&gt;0,ISNUMBER($N$3),$N$3&gt;0),R346/(6*$N$3*1000000*$N$5)*(IF(N346&lt;($N$4*10/10),($N$4*10/10)*(MIN(O346,($N$4*10/10))^3-N346^3)-(MIN(O346,($N$4*10/10))^4-N346^4)/4,0)+IF(O346&gt;($N$4*10/10),($N$4*10/10)^2*(1.5*(O346^2-MAX(N346,($N$4*10/10))^2)-($N$4*10/10)*(O346-MAX(N346,($N$4*10/10)))),0))*1000,0)</f>
        <v>0</v>
      </c>
    </row>
    <row r="347" spans="1:49">
      <c r="A347" s="124"/>
      <c r="B347" s="125"/>
      <c r="C347" s="125"/>
      <c r="D347" s="125"/>
      <c r="E347" s="125"/>
      <c r="F347" s="126" t="str">
        <f>IF(J347="OK",D347*E347,"")</f>
        <v/>
      </c>
      <c r="G347" s="126" t="str">
        <f>IF(J347="OK",F347*(C347-B347),"")</f>
        <v/>
      </c>
      <c r="H347" s="126" t="str">
        <f>IF(J347="OK",G347*(C347+B347)/2,"")</f>
        <v/>
      </c>
      <c r="I347" s="126" t="str">
        <f>IF(AND(J347="OK",ISNUMBER($B$5),$B$5&gt;0,ISNUMBER($B$3),$B$3&gt;0),F347*(4*$B$4*(C347^3-B347^3)-(C347^4-B347^4))/(24*$B$3*1000000*$B$5)*1000,"")</f>
        <v/>
      </c>
      <c r="J347" s="120" t="str">
        <f>IF(COUNTA(A347:E347)=0,"",IF(AND(COUNT(B347:E347)=4,B347&gt;=0,C347&gt;B347,C347&lt;=$B$4,D347&gt;=0,E347&gt;0),IF(COUNTIFS($B$13:$B$346,"&lt;"&amp;C347,$C$13:$C$346,"&gt;"&amp;B347)&gt;0,"OVERLAP","OK"),"CHECK INPUTS"))</f>
        <v/>
      </c>
      <c r="M347" s="124"/>
      <c r="N347" s="125"/>
      <c r="O347" s="125"/>
      <c r="P347" s="125"/>
      <c r="Q347" s="125"/>
      <c r="R347" s="126" t="str">
        <f>IF(V347="OK",P347*Q347,"")</f>
        <v/>
      </c>
      <c r="S347" s="126" t="str">
        <f>IF(V347="OK",R347*(O347-N347),"")</f>
        <v/>
      </c>
      <c r="T347" s="126" t="str">
        <f>IF(V347="OK",S347*(O347+N347)/2,"")</f>
        <v/>
      </c>
      <c r="U347" s="126" t="str">
        <f>IF(AND(V347="OK",ISNUMBER($N$5),$N$5&gt;0,ISNUMBER($N$3),$N$3&gt;0),R347*(4*$N$4*(O347^3-N347^3)-(O347^4-N347^4))/(24*$N$3*1000000*$N$5)*1000,"")</f>
        <v/>
      </c>
      <c r="V347" s="120" t="str">
        <f>IF(COUNTA(M347:Q347)=0,"",IF(AND(COUNT(N347:Q347)=4,N347&gt;=0,O347&gt;N347,O347&lt;=$N$4,P347&gt;=0,Q347&gt;0),IF(COUNTIFS($N$13:$N$346,"&lt;"&amp;O347,$O$13:$O$346,"&gt;"&amp;N347)&gt;0,"OVERLAP","OK"),"CHECK INPUTS"))</f>
        <v/>
      </c>
      <c r="AA347" s="120">
        <f>IF(AND(J347="OK",ISNUMBER($B$5),$B$5&gt;0,ISNUMBER($B$3),$B$3&gt;0),F347/(6*$B$3*1000000*$B$5)*(IF(B347&lt;($B$4*0/10),($B$4*0/10)*(MIN(C347,($B$4*0/10))^3-B347^3)-(MIN(C347,($B$4*0/10))^4-B347^4)/4,0)+IF(C347&gt;($B$4*0/10),($B$4*0/10)^2*(1.5*(C347^2-MAX(B347,($B$4*0/10))^2)-($B$4*0/10)*(C347-MAX(B347,($B$4*0/10)))),0))*1000,0)</f>
        <v>0</v>
      </c>
      <c r="AB347" s="120">
        <f>IF(AND(J347="OK",ISNUMBER($B$5),$B$5&gt;0,ISNUMBER($B$3),$B$3&gt;0),F347/(6*$B$3*1000000*$B$5)*(IF(B347&lt;($B$4*1/10),($B$4*1/10)*(MIN(C347,($B$4*1/10))^3-B347^3)-(MIN(C347,($B$4*1/10))^4-B347^4)/4,0)+IF(C347&gt;($B$4*1/10),($B$4*1/10)^2*(1.5*(C347^2-MAX(B347,($B$4*1/10))^2)-($B$4*1/10)*(C347-MAX(B347,($B$4*1/10)))),0))*1000,0)</f>
        <v>0</v>
      </c>
      <c r="AC347" s="120">
        <f>IF(AND(J347="OK",ISNUMBER($B$5),$B$5&gt;0,ISNUMBER($B$3),$B$3&gt;0),F347/(6*$B$3*1000000*$B$5)*(IF(B347&lt;($B$4*2/10),($B$4*2/10)*(MIN(C347,($B$4*2/10))^3-B347^3)-(MIN(C347,($B$4*2/10))^4-B347^4)/4,0)+IF(C347&gt;($B$4*2/10),($B$4*2/10)^2*(1.5*(C347^2-MAX(B347,($B$4*2/10))^2)-($B$4*2/10)*(C347-MAX(B347,($B$4*2/10)))),0))*1000,0)</f>
        <v>0</v>
      </c>
      <c r="AD347" s="120">
        <f>IF(AND(J347="OK",ISNUMBER($B$5),$B$5&gt;0,ISNUMBER($B$3),$B$3&gt;0),F347/(6*$B$3*1000000*$B$5)*(IF(B347&lt;($B$4*3/10),($B$4*3/10)*(MIN(C347,($B$4*3/10))^3-B347^3)-(MIN(C347,($B$4*3/10))^4-B347^4)/4,0)+IF(C347&gt;($B$4*3/10),($B$4*3/10)^2*(1.5*(C347^2-MAX(B347,($B$4*3/10))^2)-($B$4*3/10)*(C347-MAX(B347,($B$4*3/10)))),0))*1000,0)</f>
        <v>0</v>
      </c>
      <c r="AE347" s="120">
        <f>IF(AND(J347="OK",ISNUMBER($B$5),$B$5&gt;0,ISNUMBER($B$3),$B$3&gt;0),F347/(6*$B$3*1000000*$B$5)*(IF(B347&lt;($B$4*4/10),($B$4*4/10)*(MIN(C347,($B$4*4/10))^3-B347^3)-(MIN(C347,($B$4*4/10))^4-B347^4)/4,0)+IF(C347&gt;($B$4*4/10),($B$4*4/10)^2*(1.5*(C347^2-MAX(B347,($B$4*4/10))^2)-($B$4*4/10)*(C347-MAX(B347,($B$4*4/10)))),0))*1000,0)</f>
        <v>0</v>
      </c>
      <c r="AF347" s="120">
        <f>IF(AND(J347="OK",ISNUMBER($B$5),$B$5&gt;0,ISNUMBER($B$3),$B$3&gt;0),F347/(6*$B$3*1000000*$B$5)*(IF(B347&lt;($B$4*5/10),($B$4*5/10)*(MIN(C347,($B$4*5/10))^3-B347^3)-(MIN(C347,($B$4*5/10))^4-B347^4)/4,0)+IF(C347&gt;($B$4*5/10),($B$4*5/10)^2*(1.5*(C347^2-MAX(B347,($B$4*5/10))^2)-($B$4*5/10)*(C347-MAX(B347,($B$4*5/10)))),0))*1000,0)</f>
        <v>0</v>
      </c>
      <c r="AG347" s="120">
        <f>IF(AND(J347="OK",ISNUMBER($B$5),$B$5&gt;0,ISNUMBER($B$3),$B$3&gt;0),F347/(6*$B$3*1000000*$B$5)*(IF(B347&lt;($B$4*6/10),($B$4*6/10)*(MIN(C347,($B$4*6/10))^3-B347^3)-(MIN(C347,($B$4*6/10))^4-B347^4)/4,0)+IF(C347&gt;($B$4*6/10),($B$4*6/10)^2*(1.5*(C347^2-MAX(B347,($B$4*6/10))^2)-($B$4*6/10)*(C347-MAX(B347,($B$4*6/10)))),0))*1000,0)</f>
        <v>0</v>
      </c>
      <c r="AH347" s="120">
        <f>IF(AND(J347="OK",ISNUMBER($B$5),$B$5&gt;0,ISNUMBER($B$3),$B$3&gt;0),F347/(6*$B$3*1000000*$B$5)*(IF(B347&lt;($B$4*7/10),($B$4*7/10)*(MIN(C347,($B$4*7/10))^3-B347^3)-(MIN(C347,($B$4*7/10))^4-B347^4)/4,0)+IF(C347&gt;($B$4*7/10),($B$4*7/10)^2*(1.5*(C347^2-MAX(B347,($B$4*7/10))^2)-($B$4*7/10)*(C347-MAX(B347,($B$4*7/10)))),0))*1000,0)</f>
        <v>0</v>
      </c>
      <c r="AI347" s="120">
        <f>IF(AND(J347="OK",ISNUMBER($B$5),$B$5&gt;0,ISNUMBER($B$3),$B$3&gt;0),F347/(6*$B$3*1000000*$B$5)*(IF(B347&lt;($B$4*8/10),($B$4*8/10)*(MIN(C347,($B$4*8/10))^3-B347^3)-(MIN(C347,($B$4*8/10))^4-B347^4)/4,0)+IF(C347&gt;($B$4*8/10),($B$4*8/10)^2*(1.5*(C347^2-MAX(B347,($B$4*8/10))^2)-($B$4*8/10)*(C347-MAX(B347,($B$4*8/10)))),0))*1000,0)</f>
        <v>0</v>
      </c>
      <c r="AJ347" s="120">
        <f>IF(AND(J347="OK",ISNUMBER($B$5),$B$5&gt;0,ISNUMBER($B$3),$B$3&gt;0),F347/(6*$B$3*1000000*$B$5)*(IF(B347&lt;($B$4*9/10),($B$4*9/10)*(MIN(C347,($B$4*9/10))^3-B347^3)-(MIN(C347,($B$4*9/10))^4-B347^4)/4,0)+IF(C347&gt;($B$4*9/10),($B$4*9/10)^2*(1.5*(C347^2-MAX(B347,($B$4*9/10))^2)-($B$4*9/10)*(C347-MAX(B347,($B$4*9/10)))),0))*1000,0)</f>
        <v>0</v>
      </c>
      <c r="AK347" s="120">
        <f>IF(AND(J347="OK",ISNUMBER($B$5),$B$5&gt;0,ISNUMBER($B$3),$B$3&gt;0),F347/(6*$B$3*1000000*$B$5)*(IF(B347&lt;($B$4*10/10),($B$4*10/10)*(MIN(C347,($B$4*10/10))^3-B347^3)-(MIN(C347,($B$4*10/10))^4-B347^4)/4,0)+IF(C347&gt;($B$4*10/10),($B$4*10/10)^2*(1.5*(C347^2-MAX(B347,($B$4*10/10))^2)-($B$4*10/10)*(C347-MAX(B347,($B$4*10/10)))),0))*1000,0)</f>
        <v>0</v>
      </c>
      <c r="AM347" s="120">
        <f>IF(AND(V347="OK",ISNUMBER($N$5),$N$5&gt;0,ISNUMBER($N$3),$N$3&gt;0),R347/(6*$N$3*1000000*$N$5)*(IF(N347&lt;($N$4*0/10),($N$4*0/10)*(MIN(O347,($N$4*0/10))^3-N347^3)-(MIN(O347,($N$4*0/10))^4-N347^4)/4,0)+IF(O347&gt;($N$4*0/10),($N$4*0/10)^2*(1.5*(O347^2-MAX(N347,($N$4*0/10))^2)-($N$4*0/10)*(O347-MAX(N347,($N$4*0/10)))),0))*1000,0)</f>
        <v>0</v>
      </c>
      <c r="AN347" s="120">
        <f>IF(AND(V347="OK",ISNUMBER($N$5),$N$5&gt;0,ISNUMBER($N$3),$N$3&gt;0),R347/(6*$N$3*1000000*$N$5)*(IF(N347&lt;($N$4*1/10),($N$4*1/10)*(MIN(O347,($N$4*1/10))^3-N347^3)-(MIN(O347,($N$4*1/10))^4-N347^4)/4,0)+IF(O347&gt;($N$4*1/10),($N$4*1/10)^2*(1.5*(O347^2-MAX(N347,($N$4*1/10))^2)-($N$4*1/10)*(O347-MAX(N347,($N$4*1/10)))),0))*1000,0)</f>
        <v>0</v>
      </c>
      <c r="AO347" s="120">
        <f>IF(AND(V347="OK",ISNUMBER($N$5),$N$5&gt;0,ISNUMBER($N$3),$N$3&gt;0),R347/(6*$N$3*1000000*$N$5)*(IF(N347&lt;($N$4*2/10),($N$4*2/10)*(MIN(O347,($N$4*2/10))^3-N347^3)-(MIN(O347,($N$4*2/10))^4-N347^4)/4,0)+IF(O347&gt;($N$4*2/10),($N$4*2/10)^2*(1.5*(O347^2-MAX(N347,($N$4*2/10))^2)-($N$4*2/10)*(O347-MAX(N347,($N$4*2/10)))),0))*1000,0)</f>
        <v>0</v>
      </c>
      <c r="AP347" s="120">
        <f>IF(AND(V347="OK",ISNUMBER($N$5),$N$5&gt;0,ISNUMBER($N$3),$N$3&gt;0),R347/(6*$N$3*1000000*$N$5)*(IF(N347&lt;($N$4*3/10),($N$4*3/10)*(MIN(O347,($N$4*3/10))^3-N347^3)-(MIN(O347,($N$4*3/10))^4-N347^4)/4,0)+IF(O347&gt;($N$4*3/10),($N$4*3/10)^2*(1.5*(O347^2-MAX(N347,($N$4*3/10))^2)-($N$4*3/10)*(O347-MAX(N347,($N$4*3/10)))),0))*1000,0)</f>
        <v>0</v>
      </c>
      <c r="AQ347" s="120">
        <f>IF(AND(V347="OK",ISNUMBER($N$5),$N$5&gt;0,ISNUMBER($N$3),$N$3&gt;0),R347/(6*$N$3*1000000*$N$5)*(IF(N347&lt;($N$4*4/10),($N$4*4/10)*(MIN(O347,($N$4*4/10))^3-N347^3)-(MIN(O347,($N$4*4/10))^4-N347^4)/4,0)+IF(O347&gt;($N$4*4/10),($N$4*4/10)^2*(1.5*(O347^2-MAX(N347,($N$4*4/10))^2)-($N$4*4/10)*(O347-MAX(N347,($N$4*4/10)))),0))*1000,0)</f>
        <v>0</v>
      </c>
      <c r="AR347" s="120">
        <f>IF(AND(V347="OK",ISNUMBER($N$5),$N$5&gt;0,ISNUMBER($N$3),$N$3&gt;0),R347/(6*$N$3*1000000*$N$5)*(IF(N347&lt;($N$4*5/10),($N$4*5/10)*(MIN(O347,($N$4*5/10))^3-N347^3)-(MIN(O347,($N$4*5/10))^4-N347^4)/4,0)+IF(O347&gt;($N$4*5/10),($N$4*5/10)^2*(1.5*(O347^2-MAX(N347,($N$4*5/10))^2)-($N$4*5/10)*(O347-MAX(N347,($N$4*5/10)))),0))*1000,0)</f>
        <v>0</v>
      </c>
      <c r="AS347" s="120">
        <f>IF(AND(V347="OK",ISNUMBER($N$5),$N$5&gt;0,ISNUMBER($N$3),$N$3&gt;0),R347/(6*$N$3*1000000*$N$5)*(IF(N347&lt;($N$4*6/10),($N$4*6/10)*(MIN(O347,($N$4*6/10))^3-N347^3)-(MIN(O347,($N$4*6/10))^4-N347^4)/4,0)+IF(O347&gt;($N$4*6/10),($N$4*6/10)^2*(1.5*(O347^2-MAX(N347,($N$4*6/10))^2)-($N$4*6/10)*(O347-MAX(N347,($N$4*6/10)))),0))*1000,0)</f>
        <v>0</v>
      </c>
      <c r="AT347" s="120">
        <f>IF(AND(V347="OK",ISNUMBER($N$5),$N$5&gt;0,ISNUMBER($N$3),$N$3&gt;0),R347/(6*$N$3*1000000*$N$5)*(IF(N347&lt;($N$4*7/10),($N$4*7/10)*(MIN(O347,($N$4*7/10))^3-N347^3)-(MIN(O347,($N$4*7/10))^4-N347^4)/4,0)+IF(O347&gt;($N$4*7/10),($N$4*7/10)^2*(1.5*(O347^2-MAX(N347,($N$4*7/10))^2)-($N$4*7/10)*(O347-MAX(N347,($N$4*7/10)))),0))*1000,0)</f>
        <v>0</v>
      </c>
      <c r="AU347" s="120">
        <f>IF(AND(V347="OK",ISNUMBER($N$5),$N$5&gt;0,ISNUMBER($N$3),$N$3&gt;0),R347/(6*$N$3*1000000*$N$5)*(IF(N347&lt;($N$4*8/10),($N$4*8/10)*(MIN(O347,($N$4*8/10))^3-N347^3)-(MIN(O347,($N$4*8/10))^4-N347^4)/4,0)+IF(O347&gt;($N$4*8/10),($N$4*8/10)^2*(1.5*(O347^2-MAX(N347,($N$4*8/10))^2)-($N$4*8/10)*(O347-MAX(N347,($N$4*8/10)))),0))*1000,0)</f>
        <v>0</v>
      </c>
      <c r="AV347" s="120">
        <f>IF(AND(V347="OK",ISNUMBER($N$5),$N$5&gt;0,ISNUMBER($N$3),$N$3&gt;0),R347/(6*$N$3*1000000*$N$5)*(IF(N347&lt;($N$4*9/10),($N$4*9/10)*(MIN(O347,($N$4*9/10))^3-N347^3)-(MIN(O347,($N$4*9/10))^4-N347^4)/4,0)+IF(O347&gt;($N$4*9/10),($N$4*9/10)^2*(1.5*(O347^2-MAX(N347,($N$4*9/10))^2)-($N$4*9/10)*(O347-MAX(N347,($N$4*9/10)))),0))*1000,0)</f>
        <v>0</v>
      </c>
      <c r="AW347" s="120">
        <f>IF(AND(V347="OK",ISNUMBER($N$5),$N$5&gt;0,ISNUMBER($N$3),$N$3&gt;0),R347/(6*$N$3*1000000*$N$5)*(IF(N347&lt;($N$4*10/10),($N$4*10/10)*(MIN(O347,($N$4*10/10))^3-N347^3)-(MIN(O347,($N$4*10/10))^4-N347^4)/4,0)+IF(O347&gt;($N$4*10/10),($N$4*10/10)^2*(1.5*(O347^2-MAX(N347,($N$4*10/10))^2)-($N$4*10/10)*(O347-MAX(N347,($N$4*10/10)))),0))*1000,0)</f>
        <v>0</v>
      </c>
    </row>
    <row r="348" spans="1:49">
      <c r="A348" s="124"/>
      <c r="B348" s="125"/>
      <c r="C348" s="125"/>
      <c r="D348" s="125"/>
      <c r="E348" s="125"/>
      <c r="F348" s="126" t="str">
        <f>IF(J348="OK",D348*E348,"")</f>
        <v/>
      </c>
      <c r="G348" s="126" t="str">
        <f>IF(J348="OK",F348*(C348-B348),"")</f>
        <v/>
      </c>
      <c r="H348" s="126" t="str">
        <f>IF(J348="OK",G348*(C348+B348)/2,"")</f>
        <v/>
      </c>
      <c r="I348" s="126" t="str">
        <f>IF(AND(J348="OK",ISNUMBER($B$5),$B$5&gt;0,ISNUMBER($B$3),$B$3&gt;0),F348*(4*$B$4*(C348^3-B348^3)-(C348^4-B348^4))/(24*$B$3*1000000*$B$5)*1000,"")</f>
        <v/>
      </c>
      <c r="J348" s="120" t="str">
        <f>IF(COUNTA(A348:E348)=0,"",IF(AND(COUNT(B348:E348)=4,B348&gt;=0,C348&gt;B348,C348&lt;=$B$4,D348&gt;=0,E348&gt;0),IF(COUNTIFS($B$13:$B$347,"&lt;"&amp;C348,$C$13:$C$347,"&gt;"&amp;B348)&gt;0,"OVERLAP","OK"),"CHECK INPUTS"))</f>
        <v/>
      </c>
      <c r="M348" s="124"/>
      <c r="N348" s="125"/>
      <c r="O348" s="125"/>
      <c r="P348" s="125"/>
      <c r="Q348" s="125"/>
      <c r="R348" s="126" t="str">
        <f>IF(V348="OK",P348*Q348,"")</f>
        <v/>
      </c>
      <c r="S348" s="126" t="str">
        <f>IF(V348="OK",R348*(O348-N348),"")</f>
        <v/>
      </c>
      <c r="T348" s="126" t="str">
        <f>IF(V348="OK",S348*(O348+N348)/2,"")</f>
        <v/>
      </c>
      <c r="U348" s="126" t="str">
        <f>IF(AND(V348="OK",ISNUMBER($N$5),$N$5&gt;0,ISNUMBER($N$3),$N$3&gt;0),R348*(4*$N$4*(O348^3-N348^3)-(O348^4-N348^4))/(24*$N$3*1000000*$N$5)*1000,"")</f>
        <v/>
      </c>
      <c r="V348" s="120" t="str">
        <f>IF(COUNTA(M348:Q348)=0,"",IF(AND(COUNT(N348:Q348)=4,N348&gt;=0,O348&gt;N348,O348&lt;=$N$4,P348&gt;=0,Q348&gt;0),IF(COUNTIFS($N$13:$N$347,"&lt;"&amp;O348,$O$13:$O$347,"&gt;"&amp;N348)&gt;0,"OVERLAP","OK"),"CHECK INPUTS"))</f>
        <v/>
      </c>
      <c r="AA348" s="120">
        <f>IF(AND(J348="OK",ISNUMBER($B$5),$B$5&gt;0,ISNUMBER($B$3),$B$3&gt;0),F348/(6*$B$3*1000000*$B$5)*(IF(B348&lt;($B$4*0/10),($B$4*0/10)*(MIN(C348,($B$4*0/10))^3-B348^3)-(MIN(C348,($B$4*0/10))^4-B348^4)/4,0)+IF(C348&gt;($B$4*0/10),($B$4*0/10)^2*(1.5*(C348^2-MAX(B348,($B$4*0/10))^2)-($B$4*0/10)*(C348-MAX(B348,($B$4*0/10)))),0))*1000,0)</f>
        <v>0</v>
      </c>
      <c r="AB348" s="120">
        <f>IF(AND(J348="OK",ISNUMBER($B$5),$B$5&gt;0,ISNUMBER($B$3),$B$3&gt;0),F348/(6*$B$3*1000000*$B$5)*(IF(B348&lt;($B$4*1/10),($B$4*1/10)*(MIN(C348,($B$4*1/10))^3-B348^3)-(MIN(C348,($B$4*1/10))^4-B348^4)/4,0)+IF(C348&gt;($B$4*1/10),($B$4*1/10)^2*(1.5*(C348^2-MAX(B348,($B$4*1/10))^2)-($B$4*1/10)*(C348-MAX(B348,($B$4*1/10)))),0))*1000,0)</f>
        <v>0</v>
      </c>
      <c r="AC348" s="120">
        <f>IF(AND(J348="OK",ISNUMBER($B$5),$B$5&gt;0,ISNUMBER($B$3),$B$3&gt;0),F348/(6*$B$3*1000000*$B$5)*(IF(B348&lt;($B$4*2/10),($B$4*2/10)*(MIN(C348,($B$4*2/10))^3-B348^3)-(MIN(C348,($B$4*2/10))^4-B348^4)/4,0)+IF(C348&gt;($B$4*2/10),($B$4*2/10)^2*(1.5*(C348^2-MAX(B348,($B$4*2/10))^2)-($B$4*2/10)*(C348-MAX(B348,($B$4*2/10)))),0))*1000,0)</f>
        <v>0</v>
      </c>
      <c r="AD348" s="120">
        <f>IF(AND(J348="OK",ISNUMBER($B$5),$B$5&gt;0,ISNUMBER($B$3),$B$3&gt;0),F348/(6*$B$3*1000000*$B$5)*(IF(B348&lt;($B$4*3/10),($B$4*3/10)*(MIN(C348,($B$4*3/10))^3-B348^3)-(MIN(C348,($B$4*3/10))^4-B348^4)/4,0)+IF(C348&gt;($B$4*3/10),($B$4*3/10)^2*(1.5*(C348^2-MAX(B348,($B$4*3/10))^2)-($B$4*3/10)*(C348-MAX(B348,($B$4*3/10)))),0))*1000,0)</f>
        <v>0</v>
      </c>
      <c r="AE348" s="120">
        <f>IF(AND(J348="OK",ISNUMBER($B$5),$B$5&gt;0,ISNUMBER($B$3),$B$3&gt;0),F348/(6*$B$3*1000000*$B$5)*(IF(B348&lt;($B$4*4/10),($B$4*4/10)*(MIN(C348,($B$4*4/10))^3-B348^3)-(MIN(C348,($B$4*4/10))^4-B348^4)/4,0)+IF(C348&gt;($B$4*4/10),($B$4*4/10)^2*(1.5*(C348^2-MAX(B348,($B$4*4/10))^2)-($B$4*4/10)*(C348-MAX(B348,($B$4*4/10)))),0))*1000,0)</f>
        <v>0</v>
      </c>
      <c r="AF348" s="120">
        <f>IF(AND(J348="OK",ISNUMBER($B$5),$B$5&gt;0,ISNUMBER($B$3),$B$3&gt;0),F348/(6*$B$3*1000000*$B$5)*(IF(B348&lt;($B$4*5/10),($B$4*5/10)*(MIN(C348,($B$4*5/10))^3-B348^3)-(MIN(C348,($B$4*5/10))^4-B348^4)/4,0)+IF(C348&gt;($B$4*5/10),($B$4*5/10)^2*(1.5*(C348^2-MAX(B348,($B$4*5/10))^2)-($B$4*5/10)*(C348-MAX(B348,($B$4*5/10)))),0))*1000,0)</f>
        <v>0</v>
      </c>
      <c r="AG348" s="120">
        <f>IF(AND(J348="OK",ISNUMBER($B$5),$B$5&gt;0,ISNUMBER($B$3),$B$3&gt;0),F348/(6*$B$3*1000000*$B$5)*(IF(B348&lt;($B$4*6/10),($B$4*6/10)*(MIN(C348,($B$4*6/10))^3-B348^3)-(MIN(C348,($B$4*6/10))^4-B348^4)/4,0)+IF(C348&gt;($B$4*6/10),($B$4*6/10)^2*(1.5*(C348^2-MAX(B348,($B$4*6/10))^2)-($B$4*6/10)*(C348-MAX(B348,($B$4*6/10)))),0))*1000,0)</f>
        <v>0</v>
      </c>
      <c r="AH348" s="120">
        <f>IF(AND(J348="OK",ISNUMBER($B$5),$B$5&gt;0,ISNUMBER($B$3),$B$3&gt;0),F348/(6*$B$3*1000000*$B$5)*(IF(B348&lt;($B$4*7/10),($B$4*7/10)*(MIN(C348,($B$4*7/10))^3-B348^3)-(MIN(C348,($B$4*7/10))^4-B348^4)/4,0)+IF(C348&gt;($B$4*7/10),($B$4*7/10)^2*(1.5*(C348^2-MAX(B348,($B$4*7/10))^2)-($B$4*7/10)*(C348-MAX(B348,($B$4*7/10)))),0))*1000,0)</f>
        <v>0</v>
      </c>
      <c r="AI348" s="120">
        <f>IF(AND(J348="OK",ISNUMBER($B$5),$B$5&gt;0,ISNUMBER($B$3),$B$3&gt;0),F348/(6*$B$3*1000000*$B$5)*(IF(B348&lt;($B$4*8/10),($B$4*8/10)*(MIN(C348,($B$4*8/10))^3-B348^3)-(MIN(C348,($B$4*8/10))^4-B348^4)/4,0)+IF(C348&gt;($B$4*8/10),($B$4*8/10)^2*(1.5*(C348^2-MAX(B348,($B$4*8/10))^2)-($B$4*8/10)*(C348-MAX(B348,($B$4*8/10)))),0))*1000,0)</f>
        <v>0</v>
      </c>
      <c r="AJ348" s="120">
        <f>IF(AND(J348="OK",ISNUMBER($B$5),$B$5&gt;0,ISNUMBER($B$3),$B$3&gt;0),F348/(6*$B$3*1000000*$B$5)*(IF(B348&lt;($B$4*9/10),($B$4*9/10)*(MIN(C348,($B$4*9/10))^3-B348^3)-(MIN(C348,($B$4*9/10))^4-B348^4)/4,0)+IF(C348&gt;($B$4*9/10),($B$4*9/10)^2*(1.5*(C348^2-MAX(B348,($B$4*9/10))^2)-($B$4*9/10)*(C348-MAX(B348,($B$4*9/10)))),0))*1000,0)</f>
        <v>0</v>
      </c>
      <c r="AK348" s="120">
        <f>IF(AND(J348="OK",ISNUMBER($B$5),$B$5&gt;0,ISNUMBER($B$3),$B$3&gt;0),F348/(6*$B$3*1000000*$B$5)*(IF(B348&lt;($B$4*10/10),($B$4*10/10)*(MIN(C348,($B$4*10/10))^3-B348^3)-(MIN(C348,($B$4*10/10))^4-B348^4)/4,0)+IF(C348&gt;($B$4*10/10),($B$4*10/10)^2*(1.5*(C348^2-MAX(B348,($B$4*10/10))^2)-($B$4*10/10)*(C348-MAX(B348,($B$4*10/10)))),0))*1000,0)</f>
        <v>0</v>
      </c>
      <c r="AM348" s="120">
        <f>IF(AND(V348="OK",ISNUMBER($N$5),$N$5&gt;0,ISNUMBER($N$3),$N$3&gt;0),R348/(6*$N$3*1000000*$N$5)*(IF(N348&lt;($N$4*0/10),($N$4*0/10)*(MIN(O348,($N$4*0/10))^3-N348^3)-(MIN(O348,($N$4*0/10))^4-N348^4)/4,0)+IF(O348&gt;($N$4*0/10),($N$4*0/10)^2*(1.5*(O348^2-MAX(N348,($N$4*0/10))^2)-($N$4*0/10)*(O348-MAX(N348,($N$4*0/10)))),0))*1000,0)</f>
        <v>0</v>
      </c>
      <c r="AN348" s="120">
        <f>IF(AND(V348="OK",ISNUMBER($N$5),$N$5&gt;0,ISNUMBER($N$3),$N$3&gt;0),R348/(6*$N$3*1000000*$N$5)*(IF(N348&lt;($N$4*1/10),($N$4*1/10)*(MIN(O348,($N$4*1/10))^3-N348^3)-(MIN(O348,($N$4*1/10))^4-N348^4)/4,0)+IF(O348&gt;($N$4*1/10),($N$4*1/10)^2*(1.5*(O348^2-MAX(N348,($N$4*1/10))^2)-($N$4*1/10)*(O348-MAX(N348,($N$4*1/10)))),0))*1000,0)</f>
        <v>0</v>
      </c>
      <c r="AO348" s="120">
        <f>IF(AND(V348="OK",ISNUMBER($N$5),$N$5&gt;0,ISNUMBER($N$3),$N$3&gt;0),R348/(6*$N$3*1000000*$N$5)*(IF(N348&lt;($N$4*2/10),($N$4*2/10)*(MIN(O348,($N$4*2/10))^3-N348^3)-(MIN(O348,($N$4*2/10))^4-N348^4)/4,0)+IF(O348&gt;($N$4*2/10),($N$4*2/10)^2*(1.5*(O348^2-MAX(N348,($N$4*2/10))^2)-($N$4*2/10)*(O348-MAX(N348,($N$4*2/10)))),0))*1000,0)</f>
        <v>0</v>
      </c>
      <c r="AP348" s="120">
        <f>IF(AND(V348="OK",ISNUMBER($N$5),$N$5&gt;0,ISNUMBER($N$3),$N$3&gt;0),R348/(6*$N$3*1000000*$N$5)*(IF(N348&lt;($N$4*3/10),($N$4*3/10)*(MIN(O348,($N$4*3/10))^3-N348^3)-(MIN(O348,($N$4*3/10))^4-N348^4)/4,0)+IF(O348&gt;($N$4*3/10),($N$4*3/10)^2*(1.5*(O348^2-MAX(N348,($N$4*3/10))^2)-($N$4*3/10)*(O348-MAX(N348,($N$4*3/10)))),0))*1000,0)</f>
        <v>0</v>
      </c>
      <c r="AQ348" s="120">
        <f>IF(AND(V348="OK",ISNUMBER($N$5),$N$5&gt;0,ISNUMBER($N$3),$N$3&gt;0),R348/(6*$N$3*1000000*$N$5)*(IF(N348&lt;($N$4*4/10),($N$4*4/10)*(MIN(O348,($N$4*4/10))^3-N348^3)-(MIN(O348,($N$4*4/10))^4-N348^4)/4,0)+IF(O348&gt;($N$4*4/10),($N$4*4/10)^2*(1.5*(O348^2-MAX(N348,($N$4*4/10))^2)-($N$4*4/10)*(O348-MAX(N348,($N$4*4/10)))),0))*1000,0)</f>
        <v>0</v>
      </c>
      <c r="AR348" s="120">
        <f>IF(AND(V348="OK",ISNUMBER($N$5),$N$5&gt;0,ISNUMBER($N$3),$N$3&gt;0),R348/(6*$N$3*1000000*$N$5)*(IF(N348&lt;($N$4*5/10),($N$4*5/10)*(MIN(O348,($N$4*5/10))^3-N348^3)-(MIN(O348,($N$4*5/10))^4-N348^4)/4,0)+IF(O348&gt;($N$4*5/10),($N$4*5/10)^2*(1.5*(O348^2-MAX(N348,($N$4*5/10))^2)-($N$4*5/10)*(O348-MAX(N348,($N$4*5/10)))),0))*1000,0)</f>
        <v>0</v>
      </c>
      <c r="AS348" s="120">
        <f>IF(AND(V348="OK",ISNUMBER($N$5),$N$5&gt;0,ISNUMBER($N$3),$N$3&gt;0),R348/(6*$N$3*1000000*$N$5)*(IF(N348&lt;($N$4*6/10),($N$4*6/10)*(MIN(O348,($N$4*6/10))^3-N348^3)-(MIN(O348,($N$4*6/10))^4-N348^4)/4,0)+IF(O348&gt;($N$4*6/10),($N$4*6/10)^2*(1.5*(O348^2-MAX(N348,($N$4*6/10))^2)-($N$4*6/10)*(O348-MAX(N348,($N$4*6/10)))),0))*1000,0)</f>
        <v>0</v>
      </c>
      <c r="AT348" s="120">
        <f>IF(AND(V348="OK",ISNUMBER($N$5),$N$5&gt;0,ISNUMBER($N$3),$N$3&gt;0),R348/(6*$N$3*1000000*$N$5)*(IF(N348&lt;($N$4*7/10),($N$4*7/10)*(MIN(O348,($N$4*7/10))^3-N348^3)-(MIN(O348,($N$4*7/10))^4-N348^4)/4,0)+IF(O348&gt;($N$4*7/10),($N$4*7/10)^2*(1.5*(O348^2-MAX(N348,($N$4*7/10))^2)-($N$4*7/10)*(O348-MAX(N348,($N$4*7/10)))),0))*1000,0)</f>
        <v>0</v>
      </c>
      <c r="AU348" s="120">
        <f>IF(AND(V348="OK",ISNUMBER($N$5),$N$5&gt;0,ISNUMBER($N$3),$N$3&gt;0),R348/(6*$N$3*1000000*$N$5)*(IF(N348&lt;($N$4*8/10),($N$4*8/10)*(MIN(O348,($N$4*8/10))^3-N348^3)-(MIN(O348,($N$4*8/10))^4-N348^4)/4,0)+IF(O348&gt;($N$4*8/10),($N$4*8/10)^2*(1.5*(O348^2-MAX(N348,($N$4*8/10))^2)-($N$4*8/10)*(O348-MAX(N348,($N$4*8/10)))),0))*1000,0)</f>
        <v>0</v>
      </c>
      <c r="AV348" s="120">
        <f>IF(AND(V348="OK",ISNUMBER($N$5),$N$5&gt;0,ISNUMBER($N$3),$N$3&gt;0),R348/(6*$N$3*1000000*$N$5)*(IF(N348&lt;($N$4*9/10),($N$4*9/10)*(MIN(O348,($N$4*9/10))^3-N348^3)-(MIN(O348,($N$4*9/10))^4-N348^4)/4,0)+IF(O348&gt;($N$4*9/10),($N$4*9/10)^2*(1.5*(O348^2-MAX(N348,($N$4*9/10))^2)-($N$4*9/10)*(O348-MAX(N348,($N$4*9/10)))),0))*1000,0)</f>
        <v>0</v>
      </c>
      <c r="AW348" s="120">
        <f>IF(AND(V348="OK",ISNUMBER($N$5),$N$5&gt;0,ISNUMBER($N$3),$N$3&gt;0),R348/(6*$N$3*1000000*$N$5)*(IF(N348&lt;($N$4*10/10),($N$4*10/10)*(MIN(O348,($N$4*10/10))^3-N348^3)-(MIN(O348,($N$4*10/10))^4-N348^4)/4,0)+IF(O348&gt;($N$4*10/10),($N$4*10/10)^2*(1.5*(O348^2-MAX(N348,($N$4*10/10))^2)-($N$4*10/10)*(O348-MAX(N348,($N$4*10/10)))),0))*1000,0)</f>
        <v>0</v>
      </c>
    </row>
    <row r="349" spans="1:49">
      <c r="A349" s="124"/>
      <c r="B349" s="125"/>
      <c r="C349" s="125"/>
      <c r="D349" s="125"/>
      <c r="E349" s="125"/>
      <c r="F349" s="126" t="str">
        <f>IF(J349="OK",D349*E349,"")</f>
        <v/>
      </c>
      <c r="G349" s="126" t="str">
        <f>IF(J349="OK",F349*(C349-B349),"")</f>
        <v/>
      </c>
      <c r="H349" s="126" t="str">
        <f>IF(J349="OK",G349*(C349+B349)/2,"")</f>
        <v/>
      </c>
      <c r="I349" s="126" t="str">
        <f>IF(AND(J349="OK",ISNUMBER($B$5),$B$5&gt;0,ISNUMBER($B$3),$B$3&gt;0),F349*(4*$B$4*(C349^3-B349^3)-(C349^4-B349^4))/(24*$B$3*1000000*$B$5)*1000,"")</f>
        <v/>
      </c>
      <c r="J349" s="120" t="str">
        <f>IF(COUNTA(A349:E349)=0,"",IF(AND(COUNT(B349:E349)=4,B349&gt;=0,C349&gt;B349,C349&lt;=$B$4,D349&gt;=0,E349&gt;0),IF(COUNTIFS($B$13:$B$348,"&lt;"&amp;C349,$C$13:$C$348,"&gt;"&amp;B349)&gt;0,"OVERLAP","OK"),"CHECK INPUTS"))</f>
        <v/>
      </c>
      <c r="M349" s="124"/>
      <c r="N349" s="125"/>
      <c r="O349" s="125"/>
      <c r="P349" s="125"/>
      <c r="Q349" s="125"/>
      <c r="R349" s="126" t="str">
        <f>IF(V349="OK",P349*Q349,"")</f>
        <v/>
      </c>
      <c r="S349" s="126" t="str">
        <f>IF(V349="OK",R349*(O349-N349),"")</f>
        <v/>
      </c>
      <c r="T349" s="126" t="str">
        <f>IF(V349="OK",S349*(O349+N349)/2,"")</f>
        <v/>
      </c>
      <c r="U349" s="126" t="str">
        <f>IF(AND(V349="OK",ISNUMBER($N$5),$N$5&gt;0,ISNUMBER($N$3),$N$3&gt;0),R349*(4*$N$4*(O349^3-N349^3)-(O349^4-N349^4))/(24*$N$3*1000000*$N$5)*1000,"")</f>
        <v/>
      </c>
      <c r="V349" s="120" t="str">
        <f>IF(COUNTA(M349:Q349)=0,"",IF(AND(COUNT(N349:Q349)=4,N349&gt;=0,O349&gt;N349,O349&lt;=$N$4,P349&gt;=0,Q349&gt;0),IF(COUNTIFS($N$13:$N$348,"&lt;"&amp;O349,$O$13:$O$348,"&gt;"&amp;N349)&gt;0,"OVERLAP","OK"),"CHECK INPUTS"))</f>
        <v/>
      </c>
      <c r="AA349" s="120">
        <f>IF(AND(J349="OK",ISNUMBER($B$5),$B$5&gt;0,ISNUMBER($B$3),$B$3&gt;0),F349/(6*$B$3*1000000*$B$5)*(IF(B349&lt;($B$4*0/10),($B$4*0/10)*(MIN(C349,($B$4*0/10))^3-B349^3)-(MIN(C349,($B$4*0/10))^4-B349^4)/4,0)+IF(C349&gt;($B$4*0/10),($B$4*0/10)^2*(1.5*(C349^2-MAX(B349,($B$4*0/10))^2)-($B$4*0/10)*(C349-MAX(B349,($B$4*0/10)))),0))*1000,0)</f>
        <v>0</v>
      </c>
      <c r="AB349" s="120">
        <f>IF(AND(J349="OK",ISNUMBER($B$5),$B$5&gt;0,ISNUMBER($B$3),$B$3&gt;0),F349/(6*$B$3*1000000*$B$5)*(IF(B349&lt;($B$4*1/10),($B$4*1/10)*(MIN(C349,($B$4*1/10))^3-B349^3)-(MIN(C349,($B$4*1/10))^4-B349^4)/4,0)+IF(C349&gt;($B$4*1/10),($B$4*1/10)^2*(1.5*(C349^2-MAX(B349,($B$4*1/10))^2)-($B$4*1/10)*(C349-MAX(B349,($B$4*1/10)))),0))*1000,0)</f>
        <v>0</v>
      </c>
      <c r="AC349" s="120">
        <f>IF(AND(J349="OK",ISNUMBER($B$5),$B$5&gt;0,ISNUMBER($B$3),$B$3&gt;0),F349/(6*$B$3*1000000*$B$5)*(IF(B349&lt;($B$4*2/10),($B$4*2/10)*(MIN(C349,($B$4*2/10))^3-B349^3)-(MIN(C349,($B$4*2/10))^4-B349^4)/4,0)+IF(C349&gt;($B$4*2/10),($B$4*2/10)^2*(1.5*(C349^2-MAX(B349,($B$4*2/10))^2)-($B$4*2/10)*(C349-MAX(B349,($B$4*2/10)))),0))*1000,0)</f>
        <v>0</v>
      </c>
      <c r="AD349" s="120">
        <f>IF(AND(J349="OK",ISNUMBER($B$5),$B$5&gt;0,ISNUMBER($B$3),$B$3&gt;0),F349/(6*$B$3*1000000*$B$5)*(IF(B349&lt;($B$4*3/10),($B$4*3/10)*(MIN(C349,($B$4*3/10))^3-B349^3)-(MIN(C349,($B$4*3/10))^4-B349^4)/4,0)+IF(C349&gt;($B$4*3/10),($B$4*3/10)^2*(1.5*(C349^2-MAX(B349,($B$4*3/10))^2)-($B$4*3/10)*(C349-MAX(B349,($B$4*3/10)))),0))*1000,0)</f>
        <v>0</v>
      </c>
      <c r="AE349" s="120">
        <f>IF(AND(J349="OK",ISNUMBER($B$5),$B$5&gt;0,ISNUMBER($B$3),$B$3&gt;0),F349/(6*$B$3*1000000*$B$5)*(IF(B349&lt;($B$4*4/10),($B$4*4/10)*(MIN(C349,($B$4*4/10))^3-B349^3)-(MIN(C349,($B$4*4/10))^4-B349^4)/4,0)+IF(C349&gt;($B$4*4/10),($B$4*4/10)^2*(1.5*(C349^2-MAX(B349,($B$4*4/10))^2)-($B$4*4/10)*(C349-MAX(B349,($B$4*4/10)))),0))*1000,0)</f>
        <v>0</v>
      </c>
      <c r="AF349" s="120">
        <f>IF(AND(J349="OK",ISNUMBER($B$5),$B$5&gt;0,ISNUMBER($B$3),$B$3&gt;0),F349/(6*$B$3*1000000*$B$5)*(IF(B349&lt;($B$4*5/10),($B$4*5/10)*(MIN(C349,($B$4*5/10))^3-B349^3)-(MIN(C349,($B$4*5/10))^4-B349^4)/4,0)+IF(C349&gt;($B$4*5/10),($B$4*5/10)^2*(1.5*(C349^2-MAX(B349,($B$4*5/10))^2)-($B$4*5/10)*(C349-MAX(B349,($B$4*5/10)))),0))*1000,0)</f>
        <v>0</v>
      </c>
      <c r="AG349" s="120">
        <f>IF(AND(J349="OK",ISNUMBER($B$5),$B$5&gt;0,ISNUMBER($B$3),$B$3&gt;0),F349/(6*$B$3*1000000*$B$5)*(IF(B349&lt;($B$4*6/10),($B$4*6/10)*(MIN(C349,($B$4*6/10))^3-B349^3)-(MIN(C349,($B$4*6/10))^4-B349^4)/4,0)+IF(C349&gt;($B$4*6/10),($B$4*6/10)^2*(1.5*(C349^2-MAX(B349,($B$4*6/10))^2)-($B$4*6/10)*(C349-MAX(B349,($B$4*6/10)))),0))*1000,0)</f>
        <v>0</v>
      </c>
      <c r="AH349" s="120">
        <f>IF(AND(J349="OK",ISNUMBER($B$5),$B$5&gt;0,ISNUMBER($B$3),$B$3&gt;0),F349/(6*$B$3*1000000*$B$5)*(IF(B349&lt;($B$4*7/10),($B$4*7/10)*(MIN(C349,($B$4*7/10))^3-B349^3)-(MIN(C349,($B$4*7/10))^4-B349^4)/4,0)+IF(C349&gt;($B$4*7/10),($B$4*7/10)^2*(1.5*(C349^2-MAX(B349,($B$4*7/10))^2)-($B$4*7/10)*(C349-MAX(B349,($B$4*7/10)))),0))*1000,0)</f>
        <v>0</v>
      </c>
      <c r="AI349" s="120">
        <f>IF(AND(J349="OK",ISNUMBER($B$5),$B$5&gt;0,ISNUMBER($B$3),$B$3&gt;0),F349/(6*$B$3*1000000*$B$5)*(IF(B349&lt;($B$4*8/10),($B$4*8/10)*(MIN(C349,($B$4*8/10))^3-B349^3)-(MIN(C349,($B$4*8/10))^4-B349^4)/4,0)+IF(C349&gt;($B$4*8/10),($B$4*8/10)^2*(1.5*(C349^2-MAX(B349,($B$4*8/10))^2)-($B$4*8/10)*(C349-MAX(B349,($B$4*8/10)))),0))*1000,0)</f>
        <v>0</v>
      </c>
      <c r="AJ349" s="120">
        <f>IF(AND(J349="OK",ISNUMBER($B$5),$B$5&gt;0,ISNUMBER($B$3),$B$3&gt;0),F349/(6*$B$3*1000000*$B$5)*(IF(B349&lt;($B$4*9/10),($B$4*9/10)*(MIN(C349,($B$4*9/10))^3-B349^3)-(MIN(C349,($B$4*9/10))^4-B349^4)/4,0)+IF(C349&gt;($B$4*9/10),($B$4*9/10)^2*(1.5*(C349^2-MAX(B349,($B$4*9/10))^2)-($B$4*9/10)*(C349-MAX(B349,($B$4*9/10)))),0))*1000,0)</f>
        <v>0</v>
      </c>
      <c r="AK349" s="120">
        <f>IF(AND(J349="OK",ISNUMBER($B$5),$B$5&gt;0,ISNUMBER($B$3),$B$3&gt;0),F349/(6*$B$3*1000000*$B$5)*(IF(B349&lt;($B$4*10/10),($B$4*10/10)*(MIN(C349,($B$4*10/10))^3-B349^3)-(MIN(C349,($B$4*10/10))^4-B349^4)/4,0)+IF(C349&gt;($B$4*10/10),($B$4*10/10)^2*(1.5*(C349^2-MAX(B349,($B$4*10/10))^2)-($B$4*10/10)*(C349-MAX(B349,($B$4*10/10)))),0))*1000,0)</f>
        <v>0</v>
      </c>
      <c r="AM349" s="120">
        <f>IF(AND(V349="OK",ISNUMBER($N$5),$N$5&gt;0,ISNUMBER($N$3),$N$3&gt;0),R349/(6*$N$3*1000000*$N$5)*(IF(N349&lt;($N$4*0/10),($N$4*0/10)*(MIN(O349,($N$4*0/10))^3-N349^3)-(MIN(O349,($N$4*0/10))^4-N349^4)/4,0)+IF(O349&gt;($N$4*0/10),($N$4*0/10)^2*(1.5*(O349^2-MAX(N349,($N$4*0/10))^2)-($N$4*0/10)*(O349-MAX(N349,($N$4*0/10)))),0))*1000,0)</f>
        <v>0</v>
      </c>
      <c r="AN349" s="120">
        <f>IF(AND(V349="OK",ISNUMBER($N$5),$N$5&gt;0,ISNUMBER($N$3),$N$3&gt;0),R349/(6*$N$3*1000000*$N$5)*(IF(N349&lt;($N$4*1/10),($N$4*1/10)*(MIN(O349,($N$4*1/10))^3-N349^3)-(MIN(O349,($N$4*1/10))^4-N349^4)/4,0)+IF(O349&gt;($N$4*1/10),($N$4*1/10)^2*(1.5*(O349^2-MAX(N349,($N$4*1/10))^2)-($N$4*1/10)*(O349-MAX(N349,($N$4*1/10)))),0))*1000,0)</f>
        <v>0</v>
      </c>
      <c r="AO349" s="120">
        <f>IF(AND(V349="OK",ISNUMBER($N$5),$N$5&gt;0,ISNUMBER($N$3),$N$3&gt;0),R349/(6*$N$3*1000000*$N$5)*(IF(N349&lt;($N$4*2/10),($N$4*2/10)*(MIN(O349,($N$4*2/10))^3-N349^3)-(MIN(O349,($N$4*2/10))^4-N349^4)/4,0)+IF(O349&gt;($N$4*2/10),($N$4*2/10)^2*(1.5*(O349^2-MAX(N349,($N$4*2/10))^2)-($N$4*2/10)*(O349-MAX(N349,($N$4*2/10)))),0))*1000,0)</f>
        <v>0</v>
      </c>
      <c r="AP349" s="120">
        <f>IF(AND(V349="OK",ISNUMBER($N$5),$N$5&gt;0,ISNUMBER($N$3),$N$3&gt;0),R349/(6*$N$3*1000000*$N$5)*(IF(N349&lt;($N$4*3/10),($N$4*3/10)*(MIN(O349,($N$4*3/10))^3-N349^3)-(MIN(O349,($N$4*3/10))^4-N349^4)/4,0)+IF(O349&gt;($N$4*3/10),($N$4*3/10)^2*(1.5*(O349^2-MAX(N349,($N$4*3/10))^2)-($N$4*3/10)*(O349-MAX(N349,($N$4*3/10)))),0))*1000,0)</f>
        <v>0</v>
      </c>
      <c r="AQ349" s="120">
        <f>IF(AND(V349="OK",ISNUMBER($N$5),$N$5&gt;0,ISNUMBER($N$3),$N$3&gt;0),R349/(6*$N$3*1000000*$N$5)*(IF(N349&lt;($N$4*4/10),($N$4*4/10)*(MIN(O349,($N$4*4/10))^3-N349^3)-(MIN(O349,($N$4*4/10))^4-N349^4)/4,0)+IF(O349&gt;($N$4*4/10),($N$4*4/10)^2*(1.5*(O349^2-MAX(N349,($N$4*4/10))^2)-($N$4*4/10)*(O349-MAX(N349,($N$4*4/10)))),0))*1000,0)</f>
        <v>0</v>
      </c>
      <c r="AR349" s="120">
        <f>IF(AND(V349="OK",ISNUMBER($N$5),$N$5&gt;0,ISNUMBER($N$3),$N$3&gt;0),R349/(6*$N$3*1000000*$N$5)*(IF(N349&lt;($N$4*5/10),($N$4*5/10)*(MIN(O349,($N$4*5/10))^3-N349^3)-(MIN(O349,($N$4*5/10))^4-N349^4)/4,0)+IF(O349&gt;($N$4*5/10),($N$4*5/10)^2*(1.5*(O349^2-MAX(N349,($N$4*5/10))^2)-($N$4*5/10)*(O349-MAX(N349,($N$4*5/10)))),0))*1000,0)</f>
        <v>0</v>
      </c>
      <c r="AS349" s="120">
        <f>IF(AND(V349="OK",ISNUMBER($N$5),$N$5&gt;0,ISNUMBER($N$3),$N$3&gt;0),R349/(6*$N$3*1000000*$N$5)*(IF(N349&lt;($N$4*6/10),($N$4*6/10)*(MIN(O349,($N$4*6/10))^3-N349^3)-(MIN(O349,($N$4*6/10))^4-N349^4)/4,0)+IF(O349&gt;($N$4*6/10),($N$4*6/10)^2*(1.5*(O349^2-MAX(N349,($N$4*6/10))^2)-($N$4*6/10)*(O349-MAX(N349,($N$4*6/10)))),0))*1000,0)</f>
        <v>0</v>
      </c>
      <c r="AT349" s="120">
        <f>IF(AND(V349="OK",ISNUMBER($N$5),$N$5&gt;0,ISNUMBER($N$3),$N$3&gt;0),R349/(6*$N$3*1000000*$N$5)*(IF(N349&lt;($N$4*7/10),($N$4*7/10)*(MIN(O349,($N$4*7/10))^3-N349^3)-(MIN(O349,($N$4*7/10))^4-N349^4)/4,0)+IF(O349&gt;($N$4*7/10),($N$4*7/10)^2*(1.5*(O349^2-MAX(N349,($N$4*7/10))^2)-($N$4*7/10)*(O349-MAX(N349,($N$4*7/10)))),0))*1000,0)</f>
        <v>0</v>
      </c>
      <c r="AU349" s="120">
        <f>IF(AND(V349="OK",ISNUMBER($N$5),$N$5&gt;0,ISNUMBER($N$3),$N$3&gt;0),R349/(6*$N$3*1000000*$N$5)*(IF(N349&lt;($N$4*8/10),($N$4*8/10)*(MIN(O349,($N$4*8/10))^3-N349^3)-(MIN(O349,($N$4*8/10))^4-N349^4)/4,0)+IF(O349&gt;($N$4*8/10),($N$4*8/10)^2*(1.5*(O349^2-MAX(N349,($N$4*8/10))^2)-($N$4*8/10)*(O349-MAX(N349,($N$4*8/10)))),0))*1000,0)</f>
        <v>0</v>
      </c>
      <c r="AV349" s="120">
        <f>IF(AND(V349="OK",ISNUMBER($N$5),$N$5&gt;0,ISNUMBER($N$3),$N$3&gt;0),R349/(6*$N$3*1000000*$N$5)*(IF(N349&lt;($N$4*9/10),($N$4*9/10)*(MIN(O349,($N$4*9/10))^3-N349^3)-(MIN(O349,($N$4*9/10))^4-N349^4)/4,0)+IF(O349&gt;($N$4*9/10),($N$4*9/10)^2*(1.5*(O349^2-MAX(N349,($N$4*9/10))^2)-($N$4*9/10)*(O349-MAX(N349,($N$4*9/10)))),0))*1000,0)</f>
        <v>0</v>
      </c>
      <c r="AW349" s="120">
        <f>IF(AND(V349="OK",ISNUMBER($N$5),$N$5&gt;0,ISNUMBER($N$3),$N$3&gt;0),R349/(6*$N$3*1000000*$N$5)*(IF(N349&lt;($N$4*10/10),($N$4*10/10)*(MIN(O349,($N$4*10/10))^3-N349^3)-(MIN(O349,($N$4*10/10))^4-N349^4)/4,0)+IF(O349&gt;($N$4*10/10),($N$4*10/10)^2*(1.5*(O349^2-MAX(N349,($N$4*10/10))^2)-($N$4*10/10)*(O349-MAX(N349,($N$4*10/10)))),0))*1000,0)</f>
        <v>0</v>
      </c>
    </row>
    <row r="350" spans="1:49">
      <c r="A350" s="124"/>
      <c r="B350" s="125"/>
      <c r="C350" s="125"/>
      <c r="D350" s="125"/>
      <c r="E350" s="125"/>
      <c r="F350" s="126" t="str">
        <f>IF(J350="OK",D350*E350,"")</f>
        <v/>
      </c>
      <c r="G350" s="126" t="str">
        <f>IF(J350="OK",F350*(C350-B350),"")</f>
        <v/>
      </c>
      <c r="H350" s="126" t="str">
        <f>IF(J350="OK",G350*(C350+B350)/2,"")</f>
        <v/>
      </c>
      <c r="I350" s="126" t="str">
        <f>IF(AND(J350="OK",ISNUMBER($B$5),$B$5&gt;0,ISNUMBER($B$3),$B$3&gt;0),F350*(4*$B$4*(C350^3-B350^3)-(C350^4-B350^4))/(24*$B$3*1000000*$B$5)*1000,"")</f>
        <v/>
      </c>
      <c r="J350" s="120" t="str">
        <f>IF(COUNTA(A350:E350)=0,"",IF(AND(COUNT(B350:E350)=4,B350&gt;=0,C350&gt;B350,C350&lt;=$B$4,D350&gt;=0,E350&gt;0),IF(COUNTIFS($B$13:$B$349,"&lt;"&amp;C350,$C$13:$C$349,"&gt;"&amp;B350)&gt;0,"OVERLAP","OK"),"CHECK INPUTS"))</f>
        <v/>
      </c>
      <c r="M350" s="124"/>
      <c r="N350" s="125"/>
      <c r="O350" s="125"/>
      <c r="P350" s="125"/>
      <c r="Q350" s="125"/>
      <c r="R350" s="126" t="str">
        <f>IF(V350="OK",P350*Q350,"")</f>
        <v/>
      </c>
      <c r="S350" s="126" t="str">
        <f>IF(V350="OK",R350*(O350-N350),"")</f>
        <v/>
      </c>
      <c r="T350" s="126" t="str">
        <f>IF(V350="OK",S350*(O350+N350)/2,"")</f>
        <v/>
      </c>
      <c r="U350" s="126" t="str">
        <f>IF(AND(V350="OK",ISNUMBER($N$5),$N$5&gt;0,ISNUMBER($N$3),$N$3&gt;0),R350*(4*$N$4*(O350^3-N350^3)-(O350^4-N350^4))/(24*$N$3*1000000*$N$5)*1000,"")</f>
        <v/>
      </c>
      <c r="V350" s="120" t="str">
        <f>IF(COUNTA(M350:Q350)=0,"",IF(AND(COUNT(N350:Q350)=4,N350&gt;=0,O350&gt;N350,O350&lt;=$N$4,P350&gt;=0,Q350&gt;0),IF(COUNTIFS($N$13:$N$349,"&lt;"&amp;O350,$O$13:$O$349,"&gt;"&amp;N350)&gt;0,"OVERLAP","OK"),"CHECK INPUTS"))</f>
        <v/>
      </c>
      <c r="AA350" s="120">
        <f>IF(AND(J350="OK",ISNUMBER($B$5),$B$5&gt;0,ISNUMBER($B$3),$B$3&gt;0),F350/(6*$B$3*1000000*$B$5)*(IF(B350&lt;($B$4*0/10),($B$4*0/10)*(MIN(C350,($B$4*0/10))^3-B350^3)-(MIN(C350,($B$4*0/10))^4-B350^4)/4,0)+IF(C350&gt;($B$4*0/10),($B$4*0/10)^2*(1.5*(C350^2-MAX(B350,($B$4*0/10))^2)-($B$4*0/10)*(C350-MAX(B350,($B$4*0/10)))),0))*1000,0)</f>
        <v>0</v>
      </c>
      <c r="AB350" s="120">
        <f>IF(AND(J350="OK",ISNUMBER($B$5),$B$5&gt;0,ISNUMBER($B$3),$B$3&gt;0),F350/(6*$B$3*1000000*$B$5)*(IF(B350&lt;($B$4*1/10),($B$4*1/10)*(MIN(C350,($B$4*1/10))^3-B350^3)-(MIN(C350,($B$4*1/10))^4-B350^4)/4,0)+IF(C350&gt;($B$4*1/10),($B$4*1/10)^2*(1.5*(C350^2-MAX(B350,($B$4*1/10))^2)-($B$4*1/10)*(C350-MAX(B350,($B$4*1/10)))),0))*1000,0)</f>
        <v>0</v>
      </c>
      <c r="AC350" s="120">
        <f>IF(AND(J350="OK",ISNUMBER($B$5),$B$5&gt;0,ISNUMBER($B$3),$B$3&gt;0),F350/(6*$B$3*1000000*$B$5)*(IF(B350&lt;($B$4*2/10),($B$4*2/10)*(MIN(C350,($B$4*2/10))^3-B350^3)-(MIN(C350,($B$4*2/10))^4-B350^4)/4,0)+IF(C350&gt;($B$4*2/10),($B$4*2/10)^2*(1.5*(C350^2-MAX(B350,($B$4*2/10))^2)-($B$4*2/10)*(C350-MAX(B350,($B$4*2/10)))),0))*1000,0)</f>
        <v>0</v>
      </c>
      <c r="AD350" s="120">
        <f>IF(AND(J350="OK",ISNUMBER($B$5),$B$5&gt;0,ISNUMBER($B$3),$B$3&gt;0),F350/(6*$B$3*1000000*$B$5)*(IF(B350&lt;($B$4*3/10),($B$4*3/10)*(MIN(C350,($B$4*3/10))^3-B350^3)-(MIN(C350,($B$4*3/10))^4-B350^4)/4,0)+IF(C350&gt;($B$4*3/10),($B$4*3/10)^2*(1.5*(C350^2-MAX(B350,($B$4*3/10))^2)-($B$4*3/10)*(C350-MAX(B350,($B$4*3/10)))),0))*1000,0)</f>
        <v>0</v>
      </c>
      <c r="AE350" s="120">
        <f>IF(AND(J350="OK",ISNUMBER($B$5),$B$5&gt;0,ISNUMBER($B$3),$B$3&gt;0),F350/(6*$B$3*1000000*$B$5)*(IF(B350&lt;($B$4*4/10),($B$4*4/10)*(MIN(C350,($B$4*4/10))^3-B350^3)-(MIN(C350,($B$4*4/10))^4-B350^4)/4,0)+IF(C350&gt;($B$4*4/10),($B$4*4/10)^2*(1.5*(C350^2-MAX(B350,($B$4*4/10))^2)-($B$4*4/10)*(C350-MAX(B350,($B$4*4/10)))),0))*1000,0)</f>
        <v>0</v>
      </c>
      <c r="AF350" s="120">
        <f>IF(AND(J350="OK",ISNUMBER($B$5),$B$5&gt;0,ISNUMBER($B$3),$B$3&gt;0),F350/(6*$B$3*1000000*$B$5)*(IF(B350&lt;($B$4*5/10),($B$4*5/10)*(MIN(C350,($B$4*5/10))^3-B350^3)-(MIN(C350,($B$4*5/10))^4-B350^4)/4,0)+IF(C350&gt;($B$4*5/10),($B$4*5/10)^2*(1.5*(C350^2-MAX(B350,($B$4*5/10))^2)-($B$4*5/10)*(C350-MAX(B350,($B$4*5/10)))),0))*1000,0)</f>
        <v>0</v>
      </c>
      <c r="AG350" s="120">
        <f>IF(AND(J350="OK",ISNUMBER($B$5),$B$5&gt;0,ISNUMBER($B$3),$B$3&gt;0),F350/(6*$B$3*1000000*$B$5)*(IF(B350&lt;($B$4*6/10),($B$4*6/10)*(MIN(C350,($B$4*6/10))^3-B350^3)-(MIN(C350,($B$4*6/10))^4-B350^4)/4,0)+IF(C350&gt;($B$4*6/10),($B$4*6/10)^2*(1.5*(C350^2-MAX(B350,($B$4*6/10))^2)-($B$4*6/10)*(C350-MAX(B350,($B$4*6/10)))),0))*1000,0)</f>
        <v>0</v>
      </c>
      <c r="AH350" s="120">
        <f>IF(AND(J350="OK",ISNUMBER($B$5),$B$5&gt;0,ISNUMBER($B$3),$B$3&gt;0),F350/(6*$B$3*1000000*$B$5)*(IF(B350&lt;($B$4*7/10),($B$4*7/10)*(MIN(C350,($B$4*7/10))^3-B350^3)-(MIN(C350,($B$4*7/10))^4-B350^4)/4,0)+IF(C350&gt;($B$4*7/10),($B$4*7/10)^2*(1.5*(C350^2-MAX(B350,($B$4*7/10))^2)-($B$4*7/10)*(C350-MAX(B350,($B$4*7/10)))),0))*1000,0)</f>
        <v>0</v>
      </c>
      <c r="AI350" s="120">
        <f>IF(AND(J350="OK",ISNUMBER($B$5),$B$5&gt;0,ISNUMBER($B$3),$B$3&gt;0),F350/(6*$B$3*1000000*$B$5)*(IF(B350&lt;($B$4*8/10),($B$4*8/10)*(MIN(C350,($B$4*8/10))^3-B350^3)-(MIN(C350,($B$4*8/10))^4-B350^4)/4,0)+IF(C350&gt;($B$4*8/10),($B$4*8/10)^2*(1.5*(C350^2-MAX(B350,($B$4*8/10))^2)-($B$4*8/10)*(C350-MAX(B350,($B$4*8/10)))),0))*1000,0)</f>
        <v>0</v>
      </c>
      <c r="AJ350" s="120">
        <f>IF(AND(J350="OK",ISNUMBER($B$5),$B$5&gt;0,ISNUMBER($B$3),$B$3&gt;0),F350/(6*$B$3*1000000*$B$5)*(IF(B350&lt;($B$4*9/10),($B$4*9/10)*(MIN(C350,($B$4*9/10))^3-B350^3)-(MIN(C350,($B$4*9/10))^4-B350^4)/4,0)+IF(C350&gt;($B$4*9/10),($B$4*9/10)^2*(1.5*(C350^2-MAX(B350,($B$4*9/10))^2)-($B$4*9/10)*(C350-MAX(B350,($B$4*9/10)))),0))*1000,0)</f>
        <v>0</v>
      </c>
      <c r="AK350" s="120">
        <f>IF(AND(J350="OK",ISNUMBER($B$5),$B$5&gt;0,ISNUMBER($B$3),$B$3&gt;0),F350/(6*$B$3*1000000*$B$5)*(IF(B350&lt;($B$4*10/10),($B$4*10/10)*(MIN(C350,($B$4*10/10))^3-B350^3)-(MIN(C350,($B$4*10/10))^4-B350^4)/4,0)+IF(C350&gt;($B$4*10/10),($B$4*10/10)^2*(1.5*(C350^2-MAX(B350,($B$4*10/10))^2)-($B$4*10/10)*(C350-MAX(B350,($B$4*10/10)))),0))*1000,0)</f>
        <v>0</v>
      </c>
      <c r="AM350" s="120">
        <f>IF(AND(V350="OK",ISNUMBER($N$5),$N$5&gt;0,ISNUMBER($N$3),$N$3&gt;0),R350/(6*$N$3*1000000*$N$5)*(IF(N350&lt;($N$4*0/10),($N$4*0/10)*(MIN(O350,($N$4*0/10))^3-N350^3)-(MIN(O350,($N$4*0/10))^4-N350^4)/4,0)+IF(O350&gt;($N$4*0/10),($N$4*0/10)^2*(1.5*(O350^2-MAX(N350,($N$4*0/10))^2)-($N$4*0/10)*(O350-MAX(N350,($N$4*0/10)))),0))*1000,0)</f>
        <v>0</v>
      </c>
      <c r="AN350" s="120">
        <f>IF(AND(V350="OK",ISNUMBER($N$5),$N$5&gt;0,ISNUMBER($N$3),$N$3&gt;0),R350/(6*$N$3*1000000*$N$5)*(IF(N350&lt;($N$4*1/10),($N$4*1/10)*(MIN(O350,($N$4*1/10))^3-N350^3)-(MIN(O350,($N$4*1/10))^4-N350^4)/4,0)+IF(O350&gt;($N$4*1/10),($N$4*1/10)^2*(1.5*(O350^2-MAX(N350,($N$4*1/10))^2)-($N$4*1/10)*(O350-MAX(N350,($N$4*1/10)))),0))*1000,0)</f>
        <v>0</v>
      </c>
      <c r="AO350" s="120">
        <f>IF(AND(V350="OK",ISNUMBER($N$5),$N$5&gt;0,ISNUMBER($N$3),$N$3&gt;0),R350/(6*$N$3*1000000*$N$5)*(IF(N350&lt;($N$4*2/10),($N$4*2/10)*(MIN(O350,($N$4*2/10))^3-N350^3)-(MIN(O350,($N$4*2/10))^4-N350^4)/4,0)+IF(O350&gt;($N$4*2/10),($N$4*2/10)^2*(1.5*(O350^2-MAX(N350,($N$4*2/10))^2)-($N$4*2/10)*(O350-MAX(N350,($N$4*2/10)))),0))*1000,0)</f>
        <v>0</v>
      </c>
      <c r="AP350" s="120">
        <f>IF(AND(V350="OK",ISNUMBER($N$5),$N$5&gt;0,ISNUMBER($N$3),$N$3&gt;0),R350/(6*$N$3*1000000*$N$5)*(IF(N350&lt;($N$4*3/10),($N$4*3/10)*(MIN(O350,($N$4*3/10))^3-N350^3)-(MIN(O350,($N$4*3/10))^4-N350^4)/4,0)+IF(O350&gt;($N$4*3/10),($N$4*3/10)^2*(1.5*(O350^2-MAX(N350,($N$4*3/10))^2)-($N$4*3/10)*(O350-MAX(N350,($N$4*3/10)))),0))*1000,0)</f>
        <v>0</v>
      </c>
      <c r="AQ350" s="120">
        <f>IF(AND(V350="OK",ISNUMBER($N$5),$N$5&gt;0,ISNUMBER($N$3),$N$3&gt;0),R350/(6*$N$3*1000000*$N$5)*(IF(N350&lt;($N$4*4/10),($N$4*4/10)*(MIN(O350,($N$4*4/10))^3-N350^3)-(MIN(O350,($N$4*4/10))^4-N350^4)/4,0)+IF(O350&gt;($N$4*4/10),($N$4*4/10)^2*(1.5*(O350^2-MAX(N350,($N$4*4/10))^2)-($N$4*4/10)*(O350-MAX(N350,($N$4*4/10)))),0))*1000,0)</f>
        <v>0</v>
      </c>
      <c r="AR350" s="120">
        <f>IF(AND(V350="OK",ISNUMBER($N$5),$N$5&gt;0,ISNUMBER($N$3),$N$3&gt;0),R350/(6*$N$3*1000000*$N$5)*(IF(N350&lt;($N$4*5/10),($N$4*5/10)*(MIN(O350,($N$4*5/10))^3-N350^3)-(MIN(O350,($N$4*5/10))^4-N350^4)/4,0)+IF(O350&gt;($N$4*5/10),($N$4*5/10)^2*(1.5*(O350^2-MAX(N350,($N$4*5/10))^2)-($N$4*5/10)*(O350-MAX(N350,($N$4*5/10)))),0))*1000,0)</f>
        <v>0</v>
      </c>
      <c r="AS350" s="120">
        <f>IF(AND(V350="OK",ISNUMBER($N$5),$N$5&gt;0,ISNUMBER($N$3),$N$3&gt;0),R350/(6*$N$3*1000000*$N$5)*(IF(N350&lt;($N$4*6/10),($N$4*6/10)*(MIN(O350,($N$4*6/10))^3-N350^3)-(MIN(O350,($N$4*6/10))^4-N350^4)/4,0)+IF(O350&gt;($N$4*6/10),($N$4*6/10)^2*(1.5*(O350^2-MAX(N350,($N$4*6/10))^2)-($N$4*6/10)*(O350-MAX(N350,($N$4*6/10)))),0))*1000,0)</f>
        <v>0</v>
      </c>
      <c r="AT350" s="120">
        <f>IF(AND(V350="OK",ISNUMBER($N$5),$N$5&gt;0,ISNUMBER($N$3),$N$3&gt;0),R350/(6*$N$3*1000000*$N$5)*(IF(N350&lt;($N$4*7/10),($N$4*7/10)*(MIN(O350,($N$4*7/10))^3-N350^3)-(MIN(O350,($N$4*7/10))^4-N350^4)/4,0)+IF(O350&gt;($N$4*7/10),($N$4*7/10)^2*(1.5*(O350^2-MAX(N350,($N$4*7/10))^2)-($N$4*7/10)*(O350-MAX(N350,($N$4*7/10)))),0))*1000,0)</f>
        <v>0</v>
      </c>
      <c r="AU350" s="120">
        <f>IF(AND(V350="OK",ISNUMBER($N$5),$N$5&gt;0,ISNUMBER($N$3),$N$3&gt;0),R350/(6*$N$3*1000000*$N$5)*(IF(N350&lt;($N$4*8/10),($N$4*8/10)*(MIN(O350,($N$4*8/10))^3-N350^3)-(MIN(O350,($N$4*8/10))^4-N350^4)/4,0)+IF(O350&gt;($N$4*8/10),($N$4*8/10)^2*(1.5*(O350^2-MAX(N350,($N$4*8/10))^2)-($N$4*8/10)*(O350-MAX(N350,($N$4*8/10)))),0))*1000,0)</f>
        <v>0</v>
      </c>
      <c r="AV350" s="120">
        <f>IF(AND(V350="OK",ISNUMBER($N$5),$N$5&gt;0,ISNUMBER($N$3),$N$3&gt;0),R350/(6*$N$3*1000000*$N$5)*(IF(N350&lt;($N$4*9/10),($N$4*9/10)*(MIN(O350,($N$4*9/10))^3-N350^3)-(MIN(O350,($N$4*9/10))^4-N350^4)/4,0)+IF(O350&gt;($N$4*9/10),($N$4*9/10)^2*(1.5*(O350^2-MAX(N350,($N$4*9/10))^2)-($N$4*9/10)*(O350-MAX(N350,($N$4*9/10)))),0))*1000,0)</f>
        <v>0</v>
      </c>
      <c r="AW350" s="120">
        <f>IF(AND(V350="OK",ISNUMBER($N$5),$N$5&gt;0,ISNUMBER($N$3),$N$3&gt;0),R350/(6*$N$3*1000000*$N$5)*(IF(N350&lt;($N$4*10/10),($N$4*10/10)*(MIN(O350,($N$4*10/10))^3-N350^3)-(MIN(O350,($N$4*10/10))^4-N350^4)/4,0)+IF(O350&gt;($N$4*10/10),($N$4*10/10)^2*(1.5*(O350^2-MAX(N350,($N$4*10/10))^2)-($N$4*10/10)*(O350-MAX(N350,($N$4*10/10)))),0))*1000,0)</f>
        <v>0</v>
      </c>
    </row>
    <row r="351" spans="1:49">
      <c r="A351" s="124"/>
      <c r="B351" s="125"/>
      <c r="C351" s="125"/>
      <c r="D351" s="125"/>
      <c r="E351" s="125"/>
      <c r="F351" s="126" t="str">
        <f>IF(J351="OK",D351*E351,"")</f>
        <v/>
      </c>
      <c r="G351" s="126" t="str">
        <f>IF(J351="OK",F351*(C351-B351),"")</f>
        <v/>
      </c>
      <c r="H351" s="126" t="str">
        <f>IF(J351="OK",G351*(C351+B351)/2,"")</f>
        <v/>
      </c>
      <c r="I351" s="126" t="str">
        <f>IF(AND(J351="OK",ISNUMBER($B$5),$B$5&gt;0,ISNUMBER($B$3),$B$3&gt;0),F351*(4*$B$4*(C351^3-B351^3)-(C351^4-B351^4))/(24*$B$3*1000000*$B$5)*1000,"")</f>
        <v/>
      </c>
      <c r="J351" s="120" t="str">
        <f>IF(COUNTA(A351:E351)=0,"",IF(AND(COUNT(B351:E351)=4,B351&gt;=0,C351&gt;B351,C351&lt;=$B$4,D351&gt;=0,E351&gt;0),IF(COUNTIFS($B$13:$B$350,"&lt;"&amp;C351,$C$13:$C$350,"&gt;"&amp;B351)&gt;0,"OVERLAP","OK"),"CHECK INPUTS"))</f>
        <v/>
      </c>
      <c r="M351" s="124"/>
      <c r="N351" s="125"/>
      <c r="O351" s="125"/>
      <c r="P351" s="125"/>
      <c r="Q351" s="125"/>
      <c r="R351" s="126" t="str">
        <f>IF(V351="OK",P351*Q351,"")</f>
        <v/>
      </c>
      <c r="S351" s="126" t="str">
        <f>IF(V351="OK",R351*(O351-N351),"")</f>
        <v/>
      </c>
      <c r="T351" s="126" t="str">
        <f>IF(V351="OK",S351*(O351+N351)/2,"")</f>
        <v/>
      </c>
      <c r="U351" s="126" t="str">
        <f>IF(AND(V351="OK",ISNUMBER($N$5),$N$5&gt;0,ISNUMBER($N$3),$N$3&gt;0),R351*(4*$N$4*(O351^3-N351^3)-(O351^4-N351^4))/(24*$N$3*1000000*$N$5)*1000,"")</f>
        <v/>
      </c>
      <c r="V351" s="120" t="str">
        <f>IF(COUNTA(M351:Q351)=0,"",IF(AND(COUNT(N351:Q351)=4,N351&gt;=0,O351&gt;N351,O351&lt;=$N$4,P351&gt;=0,Q351&gt;0),IF(COUNTIFS($N$13:$N$350,"&lt;"&amp;O351,$O$13:$O$350,"&gt;"&amp;N351)&gt;0,"OVERLAP","OK"),"CHECK INPUTS"))</f>
        <v/>
      </c>
      <c r="AA351" s="120">
        <f>IF(AND(J351="OK",ISNUMBER($B$5),$B$5&gt;0,ISNUMBER($B$3),$B$3&gt;0),F351/(6*$B$3*1000000*$B$5)*(IF(B351&lt;($B$4*0/10),($B$4*0/10)*(MIN(C351,($B$4*0/10))^3-B351^3)-(MIN(C351,($B$4*0/10))^4-B351^4)/4,0)+IF(C351&gt;($B$4*0/10),($B$4*0/10)^2*(1.5*(C351^2-MAX(B351,($B$4*0/10))^2)-($B$4*0/10)*(C351-MAX(B351,($B$4*0/10)))),0))*1000,0)</f>
        <v>0</v>
      </c>
      <c r="AB351" s="120">
        <f>IF(AND(J351="OK",ISNUMBER($B$5),$B$5&gt;0,ISNUMBER($B$3),$B$3&gt;0),F351/(6*$B$3*1000000*$B$5)*(IF(B351&lt;($B$4*1/10),($B$4*1/10)*(MIN(C351,($B$4*1/10))^3-B351^3)-(MIN(C351,($B$4*1/10))^4-B351^4)/4,0)+IF(C351&gt;($B$4*1/10),($B$4*1/10)^2*(1.5*(C351^2-MAX(B351,($B$4*1/10))^2)-($B$4*1/10)*(C351-MAX(B351,($B$4*1/10)))),0))*1000,0)</f>
        <v>0</v>
      </c>
      <c r="AC351" s="120">
        <f>IF(AND(J351="OK",ISNUMBER($B$5),$B$5&gt;0,ISNUMBER($B$3),$B$3&gt;0),F351/(6*$B$3*1000000*$B$5)*(IF(B351&lt;($B$4*2/10),($B$4*2/10)*(MIN(C351,($B$4*2/10))^3-B351^3)-(MIN(C351,($B$4*2/10))^4-B351^4)/4,0)+IF(C351&gt;($B$4*2/10),($B$4*2/10)^2*(1.5*(C351^2-MAX(B351,($B$4*2/10))^2)-($B$4*2/10)*(C351-MAX(B351,($B$4*2/10)))),0))*1000,0)</f>
        <v>0</v>
      </c>
      <c r="AD351" s="120">
        <f>IF(AND(J351="OK",ISNUMBER($B$5),$B$5&gt;0,ISNUMBER($B$3),$B$3&gt;0),F351/(6*$B$3*1000000*$B$5)*(IF(B351&lt;($B$4*3/10),($B$4*3/10)*(MIN(C351,($B$4*3/10))^3-B351^3)-(MIN(C351,($B$4*3/10))^4-B351^4)/4,0)+IF(C351&gt;($B$4*3/10),($B$4*3/10)^2*(1.5*(C351^2-MAX(B351,($B$4*3/10))^2)-($B$4*3/10)*(C351-MAX(B351,($B$4*3/10)))),0))*1000,0)</f>
        <v>0</v>
      </c>
      <c r="AE351" s="120">
        <f>IF(AND(J351="OK",ISNUMBER($B$5),$B$5&gt;0,ISNUMBER($B$3),$B$3&gt;0),F351/(6*$B$3*1000000*$B$5)*(IF(B351&lt;($B$4*4/10),($B$4*4/10)*(MIN(C351,($B$4*4/10))^3-B351^3)-(MIN(C351,($B$4*4/10))^4-B351^4)/4,0)+IF(C351&gt;($B$4*4/10),($B$4*4/10)^2*(1.5*(C351^2-MAX(B351,($B$4*4/10))^2)-($B$4*4/10)*(C351-MAX(B351,($B$4*4/10)))),0))*1000,0)</f>
        <v>0</v>
      </c>
      <c r="AF351" s="120">
        <f>IF(AND(J351="OK",ISNUMBER($B$5),$B$5&gt;0,ISNUMBER($B$3),$B$3&gt;0),F351/(6*$B$3*1000000*$B$5)*(IF(B351&lt;($B$4*5/10),($B$4*5/10)*(MIN(C351,($B$4*5/10))^3-B351^3)-(MIN(C351,($B$4*5/10))^4-B351^4)/4,0)+IF(C351&gt;($B$4*5/10),($B$4*5/10)^2*(1.5*(C351^2-MAX(B351,($B$4*5/10))^2)-($B$4*5/10)*(C351-MAX(B351,($B$4*5/10)))),0))*1000,0)</f>
        <v>0</v>
      </c>
      <c r="AG351" s="120">
        <f>IF(AND(J351="OK",ISNUMBER($B$5),$B$5&gt;0,ISNUMBER($B$3),$B$3&gt;0),F351/(6*$B$3*1000000*$B$5)*(IF(B351&lt;($B$4*6/10),($B$4*6/10)*(MIN(C351,($B$4*6/10))^3-B351^3)-(MIN(C351,($B$4*6/10))^4-B351^4)/4,0)+IF(C351&gt;($B$4*6/10),($B$4*6/10)^2*(1.5*(C351^2-MAX(B351,($B$4*6/10))^2)-($B$4*6/10)*(C351-MAX(B351,($B$4*6/10)))),0))*1000,0)</f>
        <v>0</v>
      </c>
      <c r="AH351" s="120">
        <f>IF(AND(J351="OK",ISNUMBER($B$5),$B$5&gt;0,ISNUMBER($B$3),$B$3&gt;0),F351/(6*$B$3*1000000*$B$5)*(IF(B351&lt;($B$4*7/10),($B$4*7/10)*(MIN(C351,($B$4*7/10))^3-B351^3)-(MIN(C351,($B$4*7/10))^4-B351^4)/4,0)+IF(C351&gt;($B$4*7/10),($B$4*7/10)^2*(1.5*(C351^2-MAX(B351,($B$4*7/10))^2)-($B$4*7/10)*(C351-MAX(B351,($B$4*7/10)))),0))*1000,0)</f>
        <v>0</v>
      </c>
      <c r="AI351" s="120">
        <f>IF(AND(J351="OK",ISNUMBER($B$5),$B$5&gt;0,ISNUMBER($B$3),$B$3&gt;0),F351/(6*$B$3*1000000*$B$5)*(IF(B351&lt;($B$4*8/10),($B$4*8/10)*(MIN(C351,($B$4*8/10))^3-B351^3)-(MIN(C351,($B$4*8/10))^4-B351^4)/4,0)+IF(C351&gt;($B$4*8/10),($B$4*8/10)^2*(1.5*(C351^2-MAX(B351,($B$4*8/10))^2)-($B$4*8/10)*(C351-MAX(B351,($B$4*8/10)))),0))*1000,0)</f>
        <v>0</v>
      </c>
      <c r="AJ351" s="120">
        <f>IF(AND(J351="OK",ISNUMBER($B$5),$B$5&gt;0,ISNUMBER($B$3),$B$3&gt;0),F351/(6*$B$3*1000000*$B$5)*(IF(B351&lt;($B$4*9/10),($B$4*9/10)*(MIN(C351,($B$4*9/10))^3-B351^3)-(MIN(C351,($B$4*9/10))^4-B351^4)/4,0)+IF(C351&gt;($B$4*9/10),($B$4*9/10)^2*(1.5*(C351^2-MAX(B351,($B$4*9/10))^2)-($B$4*9/10)*(C351-MAX(B351,($B$4*9/10)))),0))*1000,0)</f>
        <v>0</v>
      </c>
      <c r="AK351" s="120">
        <f>IF(AND(J351="OK",ISNUMBER($B$5),$B$5&gt;0,ISNUMBER($B$3),$B$3&gt;0),F351/(6*$B$3*1000000*$B$5)*(IF(B351&lt;($B$4*10/10),($B$4*10/10)*(MIN(C351,($B$4*10/10))^3-B351^3)-(MIN(C351,($B$4*10/10))^4-B351^4)/4,0)+IF(C351&gt;($B$4*10/10),($B$4*10/10)^2*(1.5*(C351^2-MAX(B351,($B$4*10/10))^2)-($B$4*10/10)*(C351-MAX(B351,($B$4*10/10)))),0))*1000,0)</f>
        <v>0</v>
      </c>
      <c r="AM351" s="120">
        <f>IF(AND(V351="OK",ISNUMBER($N$5),$N$5&gt;0,ISNUMBER($N$3),$N$3&gt;0),R351/(6*$N$3*1000000*$N$5)*(IF(N351&lt;($N$4*0/10),($N$4*0/10)*(MIN(O351,($N$4*0/10))^3-N351^3)-(MIN(O351,($N$4*0/10))^4-N351^4)/4,0)+IF(O351&gt;($N$4*0/10),($N$4*0/10)^2*(1.5*(O351^2-MAX(N351,($N$4*0/10))^2)-($N$4*0/10)*(O351-MAX(N351,($N$4*0/10)))),0))*1000,0)</f>
        <v>0</v>
      </c>
      <c r="AN351" s="120">
        <f>IF(AND(V351="OK",ISNUMBER($N$5),$N$5&gt;0,ISNUMBER($N$3),$N$3&gt;0),R351/(6*$N$3*1000000*$N$5)*(IF(N351&lt;($N$4*1/10),($N$4*1/10)*(MIN(O351,($N$4*1/10))^3-N351^3)-(MIN(O351,($N$4*1/10))^4-N351^4)/4,0)+IF(O351&gt;($N$4*1/10),($N$4*1/10)^2*(1.5*(O351^2-MAX(N351,($N$4*1/10))^2)-($N$4*1/10)*(O351-MAX(N351,($N$4*1/10)))),0))*1000,0)</f>
        <v>0</v>
      </c>
      <c r="AO351" s="120">
        <f>IF(AND(V351="OK",ISNUMBER($N$5),$N$5&gt;0,ISNUMBER($N$3),$N$3&gt;0),R351/(6*$N$3*1000000*$N$5)*(IF(N351&lt;($N$4*2/10),($N$4*2/10)*(MIN(O351,($N$4*2/10))^3-N351^3)-(MIN(O351,($N$4*2/10))^4-N351^4)/4,0)+IF(O351&gt;($N$4*2/10),($N$4*2/10)^2*(1.5*(O351^2-MAX(N351,($N$4*2/10))^2)-($N$4*2/10)*(O351-MAX(N351,($N$4*2/10)))),0))*1000,0)</f>
        <v>0</v>
      </c>
      <c r="AP351" s="120">
        <f>IF(AND(V351="OK",ISNUMBER($N$5),$N$5&gt;0,ISNUMBER($N$3),$N$3&gt;0),R351/(6*$N$3*1000000*$N$5)*(IF(N351&lt;($N$4*3/10),($N$4*3/10)*(MIN(O351,($N$4*3/10))^3-N351^3)-(MIN(O351,($N$4*3/10))^4-N351^4)/4,0)+IF(O351&gt;($N$4*3/10),($N$4*3/10)^2*(1.5*(O351^2-MAX(N351,($N$4*3/10))^2)-($N$4*3/10)*(O351-MAX(N351,($N$4*3/10)))),0))*1000,0)</f>
        <v>0</v>
      </c>
      <c r="AQ351" s="120">
        <f>IF(AND(V351="OK",ISNUMBER($N$5),$N$5&gt;0,ISNUMBER($N$3),$N$3&gt;0),R351/(6*$N$3*1000000*$N$5)*(IF(N351&lt;($N$4*4/10),($N$4*4/10)*(MIN(O351,($N$4*4/10))^3-N351^3)-(MIN(O351,($N$4*4/10))^4-N351^4)/4,0)+IF(O351&gt;($N$4*4/10),($N$4*4/10)^2*(1.5*(O351^2-MAX(N351,($N$4*4/10))^2)-($N$4*4/10)*(O351-MAX(N351,($N$4*4/10)))),0))*1000,0)</f>
        <v>0</v>
      </c>
      <c r="AR351" s="120">
        <f>IF(AND(V351="OK",ISNUMBER($N$5),$N$5&gt;0,ISNUMBER($N$3),$N$3&gt;0),R351/(6*$N$3*1000000*$N$5)*(IF(N351&lt;($N$4*5/10),($N$4*5/10)*(MIN(O351,($N$4*5/10))^3-N351^3)-(MIN(O351,($N$4*5/10))^4-N351^4)/4,0)+IF(O351&gt;($N$4*5/10),($N$4*5/10)^2*(1.5*(O351^2-MAX(N351,($N$4*5/10))^2)-($N$4*5/10)*(O351-MAX(N351,($N$4*5/10)))),0))*1000,0)</f>
        <v>0</v>
      </c>
      <c r="AS351" s="120">
        <f>IF(AND(V351="OK",ISNUMBER($N$5),$N$5&gt;0,ISNUMBER($N$3),$N$3&gt;0),R351/(6*$N$3*1000000*$N$5)*(IF(N351&lt;($N$4*6/10),($N$4*6/10)*(MIN(O351,($N$4*6/10))^3-N351^3)-(MIN(O351,($N$4*6/10))^4-N351^4)/4,0)+IF(O351&gt;($N$4*6/10),($N$4*6/10)^2*(1.5*(O351^2-MAX(N351,($N$4*6/10))^2)-($N$4*6/10)*(O351-MAX(N351,($N$4*6/10)))),0))*1000,0)</f>
        <v>0</v>
      </c>
      <c r="AT351" s="120">
        <f>IF(AND(V351="OK",ISNUMBER($N$5),$N$5&gt;0,ISNUMBER($N$3),$N$3&gt;0),R351/(6*$N$3*1000000*$N$5)*(IF(N351&lt;($N$4*7/10),($N$4*7/10)*(MIN(O351,($N$4*7/10))^3-N351^3)-(MIN(O351,($N$4*7/10))^4-N351^4)/4,0)+IF(O351&gt;($N$4*7/10),($N$4*7/10)^2*(1.5*(O351^2-MAX(N351,($N$4*7/10))^2)-($N$4*7/10)*(O351-MAX(N351,($N$4*7/10)))),0))*1000,0)</f>
        <v>0</v>
      </c>
      <c r="AU351" s="120">
        <f>IF(AND(V351="OK",ISNUMBER($N$5),$N$5&gt;0,ISNUMBER($N$3),$N$3&gt;0),R351/(6*$N$3*1000000*$N$5)*(IF(N351&lt;($N$4*8/10),($N$4*8/10)*(MIN(O351,($N$4*8/10))^3-N351^3)-(MIN(O351,($N$4*8/10))^4-N351^4)/4,0)+IF(O351&gt;($N$4*8/10),($N$4*8/10)^2*(1.5*(O351^2-MAX(N351,($N$4*8/10))^2)-($N$4*8/10)*(O351-MAX(N351,($N$4*8/10)))),0))*1000,0)</f>
        <v>0</v>
      </c>
      <c r="AV351" s="120">
        <f>IF(AND(V351="OK",ISNUMBER($N$5),$N$5&gt;0,ISNUMBER($N$3),$N$3&gt;0),R351/(6*$N$3*1000000*$N$5)*(IF(N351&lt;($N$4*9/10),($N$4*9/10)*(MIN(O351,($N$4*9/10))^3-N351^3)-(MIN(O351,($N$4*9/10))^4-N351^4)/4,0)+IF(O351&gt;($N$4*9/10),($N$4*9/10)^2*(1.5*(O351^2-MAX(N351,($N$4*9/10))^2)-($N$4*9/10)*(O351-MAX(N351,($N$4*9/10)))),0))*1000,0)</f>
        <v>0</v>
      </c>
      <c r="AW351" s="120">
        <f>IF(AND(V351="OK",ISNUMBER($N$5),$N$5&gt;0,ISNUMBER($N$3),$N$3&gt;0),R351/(6*$N$3*1000000*$N$5)*(IF(N351&lt;($N$4*10/10),($N$4*10/10)*(MIN(O351,($N$4*10/10))^3-N351^3)-(MIN(O351,($N$4*10/10))^4-N351^4)/4,0)+IF(O351&gt;($N$4*10/10),($N$4*10/10)^2*(1.5*(O351^2-MAX(N351,($N$4*10/10))^2)-($N$4*10/10)*(O351-MAX(N351,($N$4*10/10)))),0))*1000,0)</f>
        <v>0</v>
      </c>
    </row>
    <row r="352" spans="1:49">
      <c r="A352" s="124"/>
      <c r="B352" s="125"/>
      <c r="C352" s="125"/>
      <c r="D352" s="125"/>
      <c r="E352" s="125"/>
      <c r="F352" s="126" t="str">
        <f>IF(J352="OK",D352*E352,"")</f>
        <v/>
      </c>
      <c r="G352" s="126" t="str">
        <f>IF(J352="OK",F352*(C352-B352),"")</f>
        <v/>
      </c>
      <c r="H352" s="126" t="str">
        <f>IF(J352="OK",G352*(C352+B352)/2,"")</f>
        <v/>
      </c>
      <c r="I352" s="126" t="str">
        <f>IF(AND(J352="OK",ISNUMBER($B$5),$B$5&gt;0,ISNUMBER($B$3),$B$3&gt;0),F352*(4*$B$4*(C352^3-B352^3)-(C352^4-B352^4))/(24*$B$3*1000000*$B$5)*1000,"")</f>
        <v/>
      </c>
      <c r="J352" s="120" t="str">
        <f>IF(COUNTA(A352:E352)=0,"",IF(AND(COUNT(B352:E352)=4,B352&gt;=0,C352&gt;B352,C352&lt;=$B$4,D352&gt;=0,E352&gt;0),IF(COUNTIFS($B$13:$B$351,"&lt;"&amp;C352,$C$13:$C$351,"&gt;"&amp;B352)&gt;0,"OVERLAP","OK"),"CHECK INPUTS"))</f>
        <v/>
      </c>
      <c r="M352" s="124"/>
      <c r="N352" s="125"/>
      <c r="O352" s="125"/>
      <c r="P352" s="125"/>
      <c r="Q352" s="125"/>
      <c r="R352" s="126" t="str">
        <f>IF(V352="OK",P352*Q352,"")</f>
        <v/>
      </c>
      <c r="S352" s="126" t="str">
        <f>IF(V352="OK",R352*(O352-N352),"")</f>
        <v/>
      </c>
      <c r="T352" s="126" t="str">
        <f>IF(V352="OK",S352*(O352+N352)/2,"")</f>
        <v/>
      </c>
      <c r="U352" s="126" t="str">
        <f>IF(AND(V352="OK",ISNUMBER($N$5),$N$5&gt;0,ISNUMBER($N$3),$N$3&gt;0),R352*(4*$N$4*(O352^3-N352^3)-(O352^4-N352^4))/(24*$N$3*1000000*$N$5)*1000,"")</f>
        <v/>
      </c>
      <c r="V352" s="120" t="str">
        <f>IF(COUNTA(M352:Q352)=0,"",IF(AND(COUNT(N352:Q352)=4,N352&gt;=0,O352&gt;N352,O352&lt;=$N$4,P352&gt;=0,Q352&gt;0),IF(COUNTIFS($N$13:$N$351,"&lt;"&amp;O352,$O$13:$O$351,"&gt;"&amp;N352)&gt;0,"OVERLAP","OK"),"CHECK INPUTS"))</f>
        <v/>
      </c>
      <c r="AA352" s="120">
        <f>IF(AND(J352="OK",ISNUMBER($B$5),$B$5&gt;0,ISNUMBER($B$3),$B$3&gt;0),F352/(6*$B$3*1000000*$B$5)*(IF(B352&lt;($B$4*0/10),($B$4*0/10)*(MIN(C352,($B$4*0/10))^3-B352^3)-(MIN(C352,($B$4*0/10))^4-B352^4)/4,0)+IF(C352&gt;($B$4*0/10),($B$4*0/10)^2*(1.5*(C352^2-MAX(B352,($B$4*0/10))^2)-($B$4*0/10)*(C352-MAX(B352,($B$4*0/10)))),0))*1000,0)</f>
        <v>0</v>
      </c>
      <c r="AB352" s="120">
        <f>IF(AND(J352="OK",ISNUMBER($B$5),$B$5&gt;0,ISNUMBER($B$3),$B$3&gt;0),F352/(6*$B$3*1000000*$B$5)*(IF(B352&lt;($B$4*1/10),($B$4*1/10)*(MIN(C352,($B$4*1/10))^3-B352^3)-(MIN(C352,($B$4*1/10))^4-B352^4)/4,0)+IF(C352&gt;($B$4*1/10),($B$4*1/10)^2*(1.5*(C352^2-MAX(B352,($B$4*1/10))^2)-($B$4*1/10)*(C352-MAX(B352,($B$4*1/10)))),0))*1000,0)</f>
        <v>0</v>
      </c>
      <c r="AC352" s="120">
        <f>IF(AND(J352="OK",ISNUMBER($B$5),$B$5&gt;0,ISNUMBER($B$3),$B$3&gt;0),F352/(6*$B$3*1000000*$B$5)*(IF(B352&lt;($B$4*2/10),($B$4*2/10)*(MIN(C352,($B$4*2/10))^3-B352^3)-(MIN(C352,($B$4*2/10))^4-B352^4)/4,0)+IF(C352&gt;($B$4*2/10),($B$4*2/10)^2*(1.5*(C352^2-MAX(B352,($B$4*2/10))^2)-($B$4*2/10)*(C352-MAX(B352,($B$4*2/10)))),0))*1000,0)</f>
        <v>0</v>
      </c>
      <c r="AD352" s="120">
        <f>IF(AND(J352="OK",ISNUMBER($B$5),$B$5&gt;0,ISNUMBER($B$3),$B$3&gt;0),F352/(6*$B$3*1000000*$B$5)*(IF(B352&lt;($B$4*3/10),($B$4*3/10)*(MIN(C352,($B$4*3/10))^3-B352^3)-(MIN(C352,($B$4*3/10))^4-B352^4)/4,0)+IF(C352&gt;($B$4*3/10),($B$4*3/10)^2*(1.5*(C352^2-MAX(B352,($B$4*3/10))^2)-($B$4*3/10)*(C352-MAX(B352,($B$4*3/10)))),0))*1000,0)</f>
        <v>0</v>
      </c>
      <c r="AE352" s="120">
        <f>IF(AND(J352="OK",ISNUMBER($B$5),$B$5&gt;0,ISNUMBER($B$3),$B$3&gt;0),F352/(6*$B$3*1000000*$B$5)*(IF(B352&lt;($B$4*4/10),($B$4*4/10)*(MIN(C352,($B$4*4/10))^3-B352^3)-(MIN(C352,($B$4*4/10))^4-B352^4)/4,0)+IF(C352&gt;($B$4*4/10),($B$4*4/10)^2*(1.5*(C352^2-MAX(B352,($B$4*4/10))^2)-($B$4*4/10)*(C352-MAX(B352,($B$4*4/10)))),0))*1000,0)</f>
        <v>0</v>
      </c>
      <c r="AF352" s="120">
        <f>IF(AND(J352="OK",ISNUMBER($B$5),$B$5&gt;0,ISNUMBER($B$3),$B$3&gt;0),F352/(6*$B$3*1000000*$B$5)*(IF(B352&lt;($B$4*5/10),($B$4*5/10)*(MIN(C352,($B$4*5/10))^3-B352^3)-(MIN(C352,($B$4*5/10))^4-B352^4)/4,0)+IF(C352&gt;($B$4*5/10),($B$4*5/10)^2*(1.5*(C352^2-MAX(B352,($B$4*5/10))^2)-($B$4*5/10)*(C352-MAX(B352,($B$4*5/10)))),0))*1000,0)</f>
        <v>0</v>
      </c>
      <c r="AG352" s="120">
        <f>IF(AND(J352="OK",ISNUMBER($B$5),$B$5&gt;0,ISNUMBER($B$3),$B$3&gt;0),F352/(6*$B$3*1000000*$B$5)*(IF(B352&lt;($B$4*6/10),($B$4*6/10)*(MIN(C352,($B$4*6/10))^3-B352^3)-(MIN(C352,($B$4*6/10))^4-B352^4)/4,0)+IF(C352&gt;($B$4*6/10),($B$4*6/10)^2*(1.5*(C352^2-MAX(B352,($B$4*6/10))^2)-($B$4*6/10)*(C352-MAX(B352,($B$4*6/10)))),0))*1000,0)</f>
        <v>0</v>
      </c>
      <c r="AH352" s="120">
        <f>IF(AND(J352="OK",ISNUMBER($B$5),$B$5&gt;0,ISNUMBER($B$3),$B$3&gt;0),F352/(6*$B$3*1000000*$B$5)*(IF(B352&lt;($B$4*7/10),($B$4*7/10)*(MIN(C352,($B$4*7/10))^3-B352^3)-(MIN(C352,($B$4*7/10))^4-B352^4)/4,0)+IF(C352&gt;($B$4*7/10),($B$4*7/10)^2*(1.5*(C352^2-MAX(B352,($B$4*7/10))^2)-($B$4*7/10)*(C352-MAX(B352,($B$4*7/10)))),0))*1000,0)</f>
        <v>0</v>
      </c>
      <c r="AI352" s="120">
        <f>IF(AND(J352="OK",ISNUMBER($B$5),$B$5&gt;0,ISNUMBER($B$3),$B$3&gt;0),F352/(6*$B$3*1000000*$B$5)*(IF(B352&lt;($B$4*8/10),($B$4*8/10)*(MIN(C352,($B$4*8/10))^3-B352^3)-(MIN(C352,($B$4*8/10))^4-B352^4)/4,0)+IF(C352&gt;($B$4*8/10),($B$4*8/10)^2*(1.5*(C352^2-MAX(B352,($B$4*8/10))^2)-($B$4*8/10)*(C352-MAX(B352,($B$4*8/10)))),0))*1000,0)</f>
        <v>0</v>
      </c>
      <c r="AJ352" s="120">
        <f>IF(AND(J352="OK",ISNUMBER($B$5),$B$5&gt;0,ISNUMBER($B$3),$B$3&gt;0),F352/(6*$B$3*1000000*$B$5)*(IF(B352&lt;($B$4*9/10),($B$4*9/10)*(MIN(C352,($B$4*9/10))^3-B352^3)-(MIN(C352,($B$4*9/10))^4-B352^4)/4,0)+IF(C352&gt;($B$4*9/10),($B$4*9/10)^2*(1.5*(C352^2-MAX(B352,($B$4*9/10))^2)-($B$4*9/10)*(C352-MAX(B352,($B$4*9/10)))),0))*1000,0)</f>
        <v>0</v>
      </c>
      <c r="AK352" s="120">
        <f>IF(AND(J352="OK",ISNUMBER($B$5),$B$5&gt;0,ISNUMBER($B$3),$B$3&gt;0),F352/(6*$B$3*1000000*$B$5)*(IF(B352&lt;($B$4*10/10),($B$4*10/10)*(MIN(C352,($B$4*10/10))^3-B352^3)-(MIN(C352,($B$4*10/10))^4-B352^4)/4,0)+IF(C352&gt;($B$4*10/10),($B$4*10/10)^2*(1.5*(C352^2-MAX(B352,($B$4*10/10))^2)-($B$4*10/10)*(C352-MAX(B352,($B$4*10/10)))),0))*1000,0)</f>
        <v>0</v>
      </c>
      <c r="AM352" s="120">
        <f>IF(AND(V352="OK",ISNUMBER($N$5),$N$5&gt;0,ISNUMBER($N$3),$N$3&gt;0),R352/(6*$N$3*1000000*$N$5)*(IF(N352&lt;($N$4*0/10),($N$4*0/10)*(MIN(O352,($N$4*0/10))^3-N352^3)-(MIN(O352,($N$4*0/10))^4-N352^4)/4,0)+IF(O352&gt;($N$4*0/10),($N$4*0/10)^2*(1.5*(O352^2-MAX(N352,($N$4*0/10))^2)-($N$4*0/10)*(O352-MAX(N352,($N$4*0/10)))),0))*1000,0)</f>
        <v>0</v>
      </c>
      <c r="AN352" s="120">
        <f>IF(AND(V352="OK",ISNUMBER($N$5),$N$5&gt;0,ISNUMBER($N$3),$N$3&gt;0),R352/(6*$N$3*1000000*$N$5)*(IF(N352&lt;($N$4*1/10),($N$4*1/10)*(MIN(O352,($N$4*1/10))^3-N352^3)-(MIN(O352,($N$4*1/10))^4-N352^4)/4,0)+IF(O352&gt;($N$4*1/10),($N$4*1/10)^2*(1.5*(O352^2-MAX(N352,($N$4*1/10))^2)-($N$4*1/10)*(O352-MAX(N352,($N$4*1/10)))),0))*1000,0)</f>
        <v>0</v>
      </c>
      <c r="AO352" s="120">
        <f>IF(AND(V352="OK",ISNUMBER($N$5),$N$5&gt;0,ISNUMBER($N$3),$N$3&gt;0),R352/(6*$N$3*1000000*$N$5)*(IF(N352&lt;($N$4*2/10),($N$4*2/10)*(MIN(O352,($N$4*2/10))^3-N352^3)-(MIN(O352,($N$4*2/10))^4-N352^4)/4,0)+IF(O352&gt;($N$4*2/10),($N$4*2/10)^2*(1.5*(O352^2-MAX(N352,($N$4*2/10))^2)-($N$4*2/10)*(O352-MAX(N352,($N$4*2/10)))),0))*1000,0)</f>
        <v>0</v>
      </c>
      <c r="AP352" s="120">
        <f>IF(AND(V352="OK",ISNUMBER($N$5),$N$5&gt;0,ISNUMBER($N$3),$N$3&gt;0),R352/(6*$N$3*1000000*$N$5)*(IF(N352&lt;($N$4*3/10),($N$4*3/10)*(MIN(O352,($N$4*3/10))^3-N352^3)-(MIN(O352,($N$4*3/10))^4-N352^4)/4,0)+IF(O352&gt;($N$4*3/10),($N$4*3/10)^2*(1.5*(O352^2-MAX(N352,($N$4*3/10))^2)-($N$4*3/10)*(O352-MAX(N352,($N$4*3/10)))),0))*1000,0)</f>
        <v>0</v>
      </c>
      <c r="AQ352" s="120">
        <f>IF(AND(V352="OK",ISNUMBER($N$5),$N$5&gt;0,ISNUMBER($N$3),$N$3&gt;0),R352/(6*$N$3*1000000*$N$5)*(IF(N352&lt;($N$4*4/10),($N$4*4/10)*(MIN(O352,($N$4*4/10))^3-N352^3)-(MIN(O352,($N$4*4/10))^4-N352^4)/4,0)+IF(O352&gt;($N$4*4/10),($N$4*4/10)^2*(1.5*(O352^2-MAX(N352,($N$4*4/10))^2)-($N$4*4/10)*(O352-MAX(N352,($N$4*4/10)))),0))*1000,0)</f>
        <v>0</v>
      </c>
      <c r="AR352" s="120">
        <f>IF(AND(V352="OK",ISNUMBER($N$5),$N$5&gt;0,ISNUMBER($N$3),$N$3&gt;0),R352/(6*$N$3*1000000*$N$5)*(IF(N352&lt;($N$4*5/10),($N$4*5/10)*(MIN(O352,($N$4*5/10))^3-N352^3)-(MIN(O352,($N$4*5/10))^4-N352^4)/4,0)+IF(O352&gt;($N$4*5/10),($N$4*5/10)^2*(1.5*(O352^2-MAX(N352,($N$4*5/10))^2)-($N$4*5/10)*(O352-MAX(N352,($N$4*5/10)))),0))*1000,0)</f>
        <v>0</v>
      </c>
      <c r="AS352" s="120">
        <f>IF(AND(V352="OK",ISNUMBER($N$5),$N$5&gt;0,ISNUMBER($N$3),$N$3&gt;0),R352/(6*$N$3*1000000*$N$5)*(IF(N352&lt;($N$4*6/10),($N$4*6/10)*(MIN(O352,($N$4*6/10))^3-N352^3)-(MIN(O352,($N$4*6/10))^4-N352^4)/4,0)+IF(O352&gt;($N$4*6/10),($N$4*6/10)^2*(1.5*(O352^2-MAX(N352,($N$4*6/10))^2)-($N$4*6/10)*(O352-MAX(N352,($N$4*6/10)))),0))*1000,0)</f>
        <v>0</v>
      </c>
      <c r="AT352" s="120">
        <f>IF(AND(V352="OK",ISNUMBER($N$5),$N$5&gt;0,ISNUMBER($N$3),$N$3&gt;0),R352/(6*$N$3*1000000*$N$5)*(IF(N352&lt;($N$4*7/10),($N$4*7/10)*(MIN(O352,($N$4*7/10))^3-N352^3)-(MIN(O352,($N$4*7/10))^4-N352^4)/4,0)+IF(O352&gt;($N$4*7/10),($N$4*7/10)^2*(1.5*(O352^2-MAX(N352,($N$4*7/10))^2)-($N$4*7/10)*(O352-MAX(N352,($N$4*7/10)))),0))*1000,0)</f>
        <v>0</v>
      </c>
      <c r="AU352" s="120">
        <f>IF(AND(V352="OK",ISNUMBER($N$5),$N$5&gt;0,ISNUMBER($N$3),$N$3&gt;0),R352/(6*$N$3*1000000*$N$5)*(IF(N352&lt;($N$4*8/10),($N$4*8/10)*(MIN(O352,($N$4*8/10))^3-N352^3)-(MIN(O352,($N$4*8/10))^4-N352^4)/4,0)+IF(O352&gt;($N$4*8/10),($N$4*8/10)^2*(1.5*(O352^2-MAX(N352,($N$4*8/10))^2)-($N$4*8/10)*(O352-MAX(N352,($N$4*8/10)))),0))*1000,0)</f>
        <v>0</v>
      </c>
      <c r="AV352" s="120">
        <f>IF(AND(V352="OK",ISNUMBER($N$5),$N$5&gt;0,ISNUMBER($N$3),$N$3&gt;0),R352/(6*$N$3*1000000*$N$5)*(IF(N352&lt;($N$4*9/10),($N$4*9/10)*(MIN(O352,($N$4*9/10))^3-N352^3)-(MIN(O352,($N$4*9/10))^4-N352^4)/4,0)+IF(O352&gt;($N$4*9/10),($N$4*9/10)^2*(1.5*(O352^2-MAX(N352,($N$4*9/10))^2)-($N$4*9/10)*(O352-MAX(N352,($N$4*9/10)))),0))*1000,0)</f>
        <v>0</v>
      </c>
      <c r="AW352" s="120">
        <f>IF(AND(V352="OK",ISNUMBER($N$5),$N$5&gt;0,ISNUMBER($N$3),$N$3&gt;0),R352/(6*$N$3*1000000*$N$5)*(IF(N352&lt;($N$4*10/10),($N$4*10/10)*(MIN(O352,($N$4*10/10))^3-N352^3)-(MIN(O352,($N$4*10/10))^4-N352^4)/4,0)+IF(O352&gt;($N$4*10/10),($N$4*10/10)^2*(1.5*(O352^2-MAX(N352,($N$4*10/10))^2)-($N$4*10/10)*(O352-MAX(N352,($N$4*10/10)))),0))*1000,0)</f>
        <v>0</v>
      </c>
    </row>
    <row r="353" spans="1:49">
      <c r="A353" s="124"/>
      <c r="B353" s="125"/>
      <c r="C353" s="125"/>
      <c r="D353" s="125"/>
      <c r="E353" s="125"/>
      <c r="F353" s="126" t="str">
        <f>IF(J353="OK",D353*E353,"")</f>
        <v/>
      </c>
      <c r="G353" s="126" t="str">
        <f>IF(J353="OK",F353*(C353-B353),"")</f>
        <v/>
      </c>
      <c r="H353" s="126" t="str">
        <f>IF(J353="OK",G353*(C353+B353)/2,"")</f>
        <v/>
      </c>
      <c r="I353" s="126" t="str">
        <f>IF(AND(J353="OK",ISNUMBER($B$5),$B$5&gt;0,ISNUMBER($B$3),$B$3&gt;0),F353*(4*$B$4*(C353^3-B353^3)-(C353^4-B353^4))/(24*$B$3*1000000*$B$5)*1000,"")</f>
        <v/>
      </c>
      <c r="J353" s="120" t="str">
        <f>IF(COUNTA(A353:E353)=0,"",IF(AND(COUNT(B353:E353)=4,B353&gt;=0,C353&gt;B353,C353&lt;=$B$4,D353&gt;=0,E353&gt;0),IF(COUNTIFS($B$13:$B$352,"&lt;"&amp;C353,$C$13:$C$352,"&gt;"&amp;B353)&gt;0,"OVERLAP","OK"),"CHECK INPUTS"))</f>
        <v/>
      </c>
      <c r="M353" s="124"/>
      <c r="N353" s="125"/>
      <c r="O353" s="125"/>
      <c r="P353" s="125"/>
      <c r="Q353" s="125"/>
      <c r="R353" s="126" t="str">
        <f>IF(V353="OK",P353*Q353,"")</f>
        <v/>
      </c>
      <c r="S353" s="126" t="str">
        <f>IF(V353="OK",R353*(O353-N353),"")</f>
        <v/>
      </c>
      <c r="T353" s="126" t="str">
        <f>IF(V353="OK",S353*(O353+N353)/2,"")</f>
        <v/>
      </c>
      <c r="U353" s="126" t="str">
        <f>IF(AND(V353="OK",ISNUMBER($N$5),$N$5&gt;0,ISNUMBER($N$3),$N$3&gt;0),R353*(4*$N$4*(O353^3-N353^3)-(O353^4-N353^4))/(24*$N$3*1000000*$N$5)*1000,"")</f>
        <v/>
      </c>
      <c r="V353" s="120" t="str">
        <f>IF(COUNTA(M353:Q353)=0,"",IF(AND(COUNT(N353:Q353)=4,N353&gt;=0,O353&gt;N353,O353&lt;=$N$4,P353&gt;=0,Q353&gt;0),IF(COUNTIFS($N$13:$N$352,"&lt;"&amp;O353,$O$13:$O$352,"&gt;"&amp;N353)&gt;0,"OVERLAP","OK"),"CHECK INPUTS"))</f>
        <v/>
      </c>
      <c r="AA353" s="120">
        <f>IF(AND(J353="OK",ISNUMBER($B$5),$B$5&gt;0,ISNUMBER($B$3),$B$3&gt;0),F353/(6*$B$3*1000000*$B$5)*(IF(B353&lt;($B$4*0/10),($B$4*0/10)*(MIN(C353,($B$4*0/10))^3-B353^3)-(MIN(C353,($B$4*0/10))^4-B353^4)/4,0)+IF(C353&gt;($B$4*0/10),($B$4*0/10)^2*(1.5*(C353^2-MAX(B353,($B$4*0/10))^2)-($B$4*0/10)*(C353-MAX(B353,($B$4*0/10)))),0))*1000,0)</f>
        <v>0</v>
      </c>
      <c r="AB353" s="120">
        <f>IF(AND(J353="OK",ISNUMBER($B$5),$B$5&gt;0,ISNUMBER($B$3),$B$3&gt;0),F353/(6*$B$3*1000000*$B$5)*(IF(B353&lt;($B$4*1/10),($B$4*1/10)*(MIN(C353,($B$4*1/10))^3-B353^3)-(MIN(C353,($B$4*1/10))^4-B353^4)/4,0)+IF(C353&gt;($B$4*1/10),($B$4*1/10)^2*(1.5*(C353^2-MAX(B353,($B$4*1/10))^2)-($B$4*1/10)*(C353-MAX(B353,($B$4*1/10)))),0))*1000,0)</f>
        <v>0</v>
      </c>
      <c r="AC353" s="120">
        <f>IF(AND(J353="OK",ISNUMBER($B$5),$B$5&gt;0,ISNUMBER($B$3),$B$3&gt;0),F353/(6*$B$3*1000000*$B$5)*(IF(B353&lt;($B$4*2/10),($B$4*2/10)*(MIN(C353,($B$4*2/10))^3-B353^3)-(MIN(C353,($B$4*2/10))^4-B353^4)/4,0)+IF(C353&gt;($B$4*2/10),($B$4*2/10)^2*(1.5*(C353^2-MAX(B353,($B$4*2/10))^2)-($B$4*2/10)*(C353-MAX(B353,($B$4*2/10)))),0))*1000,0)</f>
        <v>0</v>
      </c>
      <c r="AD353" s="120">
        <f>IF(AND(J353="OK",ISNUMBER($B$5),$B$5&gt;0,ISNUMBER($B$3),$B$3&gt;0),F353/(6*$B$3*1000000*$B$5)*(IF(B353&lt;($B$4*3/10),($B$4*3/10)*(MIN(C353,($B$4*3/10))^3-B353^3)-(MIN(C353,($B$4*3/10))^4-B353^4)/4,0)+IF(C353&gt;($B$4*3/10),($B$4*3/10)^2*(1.5*(C353^2-MAX(B353,($B$4*3/10))^2)-($B$4*3/10)*(C353-MAX(B353,($B$4*3/10)))),0))*1000,0)</f>
        <v>0</v>
      </c>
      <c r="AE353" s="120">
        <f>IF(AND(J353="OK",ISNUMBER($B$5),$B$5&gt;0,ISNUMBER($B$3),$B$3&gt;0),F353/(6*$B$3*1000000*$B$5)*(IF(B353&lt;($B$4*4/10),($B$4*4/10)*(MIN(C353,($B$4*4/10))^3-B353^3)-(MIN(C353,($B$4*4/10))^4-B353^4)/4,0)+IF(C353&gt;($B$4*4/10),($B$4*4/10)^2*(1.5*(C353^2-MAX(B353,($B$4*4/10))^2)-($B$4*4/10)*(C353-MAX(B353,($B$4*4/10)))),0))*1000,0)</f>
        <v>0</v>
      </c>
      <c r="AF353" s="120">
        <f>IF(AND(J353="OK",ISNUMBER($B$5),$B$5&gt;0,ISNUMBER($B$3),$B$3&gt;0),F353/(6*$B$3*1000000*$B$5)*(IF(B353&lt;($B$4*5/10),($B$4*5/10)*(MIN(C353,($B$4*5/10))^3-B353^3)-(MIN(C353,($B$4*5/10))^4-B353^4)/4,0)+IF(C353&gt;($B$4*5/10),($B$4*5/10)^2*(1.5*(C353^2-MAX(B353,($B$4*5/10))^2)-($B$4*5/10)*(C353-MAX(B353,($B$4*5/10)))),0))*1000,0)</f>
        <v>0</v>
      </c>
      <c r="AG353" s="120">
        <f>IF(AND(J353="OK",ISNUMBER($B$5),$B$5&gt;0,ISNUMBER($B$3),$B$3&gt;0),F353/(6*$B$3*1000000*$B$5)*(IF(B353&lt;($B$4*6/10),($B$4*6/10)*(MIN(C353,($B$4*6/10))^3-B353^3)-(MIN(C353,($B$4*6/10))^4-B353^4)/4,0)+IF(C353&gt;($B$4*6/10),($B$4*6/10)^2*(1.5*(C353^2-MAX(B353,($B$4*6/10))^2)-($B$4*6/10)*(C353-MAX(B353,($B$4*6/10)))),0))*1000,0)</f>
        <v>0</v>
      </c>
      <c r="AH353" s="120">
        <f>IF(AND(J353="OK",ISNUMBER($B$5),$B$5&gt;0,ISNUMBER($B$3),$B$3&gt;0),F353/(6*$B$3*1000000*$B$5)*(IF(B353&lt;($B$4*7/10),($B$4*7/10)*(MIN(C353,($B$4*7/10))^3-B353^3)-(MIN(C353,($B$4*7/10))^4-B353^4)/4,0)+IF(C353&gt;($B$4*7/10),($B$4*7/10)^2*(1.5*(C353^2-MAX(B353,($B$4*7/10))^2)-($B$4*7/10)*(C353-MAX(B353,($B$4*7/10)))),0))*1000,0)</f>
        <v>0</v>
      </c>
      <c r="AI353" s="120">
        <f>IF(AND(J353="OK",ISNUMBER($B$5),$B$5&gt;0,ISNUMBER($B$3),$B$3&gt;0),F353/(6*$B$3*1000000*$B$5)*(IF(B353&lt;($B$4*8/10),($B$4*8/10)*(MIN(C353,($B$4*8/10))^3-B353^3)-(MIN(C353,($B$4*8/10))^4-B353^4)/4,0)+IF(C353&gt;($B$4*8/10),($B$4*8/10)^2*(1.5*(C353^2-MAX(B353,($B$4*8/10))^2)-($B$4*8/10)*(C353-MAX(B353,($B$4*8/10)))),0))*1000,0)</f>
        <v>0</v>
      </c>
      <c r="AJ353" s="120">
        <f>IF(AND(J353="OK",ISNUMBER($B$5),$B$5&gt;0,ISNUMBER($B$3),$B$3&gt;0),F353/(6*$B$3*1000000*$B$5)*(IF(B353&lt;($B$4*9/10),($B$4*9/10)*(MIN(C353,($B$4*9/10))^3-B353^3)-(MIN(C353,($B$4*9/10))^4-B353^4)/4,0)+IF(C353&gt;($B$4*9/10),($B$4*9/10)^2*(1.5*(C353^2-MAX(B353,($B$4*9/10))^2)-($B$4*9/10)*(C353-MAX(B353,($B$4*9/10)))),0))*1000,0)</f>
        <v>0</v>
      </c>
      <c r="AK353" s="120">
        <f>IF(AND(J353="OK",ISNUMBER($B$5),$B$5&gt;0,ISNUMBER($B$3),$B$3&gt;0),F353/(6*$B$3*1000000*$B$5)*(IF(B353&lt;($B$4*10/10),($B$4*10/10)*(MIN(C353,($B$4*10/10))^3-B353^3)-(MIN(C353,($B$4*10/10))^4-B353^4)/4,0)+IF(C353&gt;($B$4*10/10),($B$4*10/10)^2*(1.5*(C353^2-MAX(B353,($B$4*10/10))^2)-($B$4*10/10)*(C353-MAX(B353,($B$4*10/10)))),0))*1000,0)</f>
        <v>0</v>
      </c>
      <c r="AM353" s="120">
        <f>IF(AND(V353="OK",ISNUMBER($N$5),$N$5&gt;0,ISNUMBER($N$3),$N$3&gt;0),R353/(6*$N$3*1000000*$N$5)*(IF(N353&lt;($N$4*0/10),($N$4*0/10)*(MIN(O353,($N$4*0/10))^3-N353^3)-(MIN(O353,($N$4*0/10))^4-N353^4)/4,0)+IF(O353&gt;($N$4*0/10),($N$4*0/10)^2*(1.5*(O353^2-MAX(N353,($N$4*0/10))^2)-($N$4*0/10)*(O353-MAX(N353,($N$4*0/10)))),0))*1000,0)</f>
        <v>0</v>
      </c>
      <c r="AN353" s="120">
        <f>IF(AND(V353="OK",ISNUMBER($N$5),$N$5&gt;0,ISNUMBER($N$3),$N$3&gt;0),R353/(6*$N$3*1000000*$N$5)*(IF(N353&lt;($N$4*1/10),($N$4*1/10)*(MIN(O353,($N$4*1/10))^3-N353^3)-(MIN(O353,($N$4*1/10))^4-N353^4)/4,0)+IF(O353&gt;($N$4*1/10),($N$4*1/10)^2*(1.5*(O353^2-MAX(N353,($N$4*1/10))^2)-($N$4*1/10)*(O353-MAX(N353,($N$4*1/10)))),0))*1000,0)</f>
        <v>0</v>
      </c>
      <c r="AO353" s="120">
        <f>IF(AND(V353="OK",ISNUMBER($N$5),$N$5&gt;0,ISNUMBER($N$3),$N$3&gt;0),R353/(6*$N$3*1000000*$N$5)*(IF(N353&lt;($N$4*2/10),($N$4*2/10)*(MIN(O353,($N$4*2/10))^3-N353^3)-(MIN(O353,($N$4*2/10))^4-N353^4)/4,0)+IF(O353&gt;($N$4*2/10),($N$4*2/10)^2*(1.5*(O353^2-MAX(N353,($N$4*2/10))^2)-($N$4*2/10)*(O353-MAX(N353,($N$4*2/10)))),0))*1000,0)</f>
        <v>0</v>
      </c>
      <c r="AP353" s="120">
        <f>IF(AND(V353="OK",ISNUMBER($N$5),$N$5&gt;0,ISNUMBER($N$3),$N$3&gt;0),R353/(6*$N$3*1000000*$N$5)*(IF(N353&lt;($N$4*3/10),($N$4*3/10)*(MIN(O353,($N$4*3/10))^3-N353^3)-(MIN(O353,($N$4*3/10))^4-N353^4)/4,0)+IF(O353&gt;($N$4*3/10),($N$4*3/10)^2*(1.5*(O353^2-MAX(N353,($N$4*3/10))^2)-($N$4*3/10)*(O353-MAX(N353,($N$4*3/10)))),0))*1000,0)</f>
        <v>0</v>
      </c>
      <c r="AQ353" s="120">
        <f>IF(AND(V353="OK",ISNUMBER($N$5),$N$5&gt;0,ISNUMBER($N$3),$N$3&gt;0),R353/(6*$N$3*1000000*$N$5)*(IF(N353&lt;($N$4*4/10),($N$4*4/10)*(MIN(O353,($N$4*4/10))^3-N353^3)-(MIN(O353,($N$4*4/10))^4-N353^4)/4,0)+IF(O353&gt;($N$4*4/10),($N$4*4/10)^2*(1.5*(O353^2-MAX(N353,($N$4*4/10))^2)-($N$4*4/10)*(O353-MAX(N353,($N$4*4/10)))),0))*1000,0)</f>
        <v>0</v>
      </c>
      <c r="AR353" s="120">
        <f>IF(AND(V353="OK",ISNUMBER($N$5),$N$5&gt;0,ISNUMBER($N$3),$N$3&gt;0),R353/(6*$N$3*1000000*$N$5)*(IF(N353&lt;($N$4*5/10),($N$4*5/10)*(MIN(O353,($N$4*5/10))^3-N353^3)-(MIN(O353,($N$4*5/10))^4-N353^4)/4,0)+IF(O353&gt;($N$4*5/10),($N$4*5/10)^2*(1.5*(O353^2-MAX(N353,($N$4*5/10))^2)-($N$4*5/10)*(O353-MAX(N353,($N$4*5/10)))),0))*1000,0)</f>
        <v>0</v>
      </c>
      <c r="AS353" s="120">
        <f>IF(AND(V353="OK",ISNUMBER($N$5),$N$5&gt;0,ISNUMBER($N$3),$N$3&gt;0),R353/(6*$N$3*1000000*$N$5)*(IF(N353&lt;($N$4*6/10),($N$4*6/10)*(MIN(O353,($N$4*6/10))^3-N353^3)-(MIN(O353,($N$4*6/10))^4-N353^4)/4,0)+IF(O353&gt;($N$4*6/10),($N$4*6/10)^2*(1.5*(O353^2-MAX(N353,($N$4*6/10))^2)-($N$4*6/10)*(O353-MAX(N353,($N$4*6/10)))),0))*1000,0)</f>
        <v>0</v>
      </c>
      <c r="AT353" s="120">
        <f>IF(AND(V353="OK",ISNUMBER($N$5),$N$5&gt;0,ISNUMBER($N$3),$N$3&gt;0),R353/(6*$N$3*1000000*$N$5)*(IF(N353&lt;($N$4*7/10),($N$4*7/10)*(MIN(O353,($N$4*7/10))^3-N353^3)-(MIN(O353,($N$4*7/10))^4-N353^4)/4,0)+IF(O353&gt;($N$4*7/10),($N$4*7/10)^2*(1.5*(O353^2-MAX(N353,($N$4*7/10))^2)-($N$4*7/10)*(O353-MAX(N353,($N$4*7/10)))),0))*1000,0)</f>
        <v>0</v>
      </c>
      <c r="AU353" s="120">
        <f>IF(AND(V353="OK",ISNUMBER($N$5),$N$5&gt;0,ISNUMBER($N$3),$N$3&gt;0),R353/(6*$N$3*1000000*$N$5)*(IF(N353&lt;($N$4*8/10),($N$4*8/10)*(MIN(O353,($N$4*8/10))^3-N353^3)-(MIN(O353,($N$4*8/10))^4-N353^4)/4,0)+IF(O353&gt;($N$4*8/10),($N$4*8/10)^2*(1.5*(O353^2-MAX(N353,($N$4*8/10))^2)-($N$4*8/10)*(O353-MAX(N353,($N$4*8/10)))),0))*1000,0)</f>
        <v>0</v>
      </c>
      <c r="AV353" s="120">
        <f>IF(AND(V353="OK",ISNUMBER($N$5),$N$5&gt;0,ISNUMBER($N$3),$N$3&gt;0),R353/(6*$N$3*1000000*$N$5)*(IF(N353&lt;($N$4*9/10),($N$4*9/10)*(MIN(O353,($N$4*9/10))^3-N353^3)-(MIN(O353,($N$4*9/10))^4-N353^4)/4,0)+IF(O353&gt;($N$4*9/10),($N$4*9/10)^2*(1.5*(O353^2-MAX(N353,($N$4*9/10))^2)-($N$4*9/10)*(O353-MAX(N353,($N$4*9/10)))),0))*1000,0)</f>
        <v>0</v>
      </c>
      <c r="AW353" s="120">
        <f>IF(AND(V353="OK",ISNUMBER($N$5),$N$5&gt;0,ISNUMBER($N$3),$N$3&gt;0),R353/(6*$N$3*1000000*$N$5)*(IF(N353&lt;($N$4*10/10),($N$4*10/10)*(MIN(O353,($N$4*10/10))^3-N353^3)-(MIN(O353,($N$4*10/10))^4-N353^4)/4,0)+IF(O353&gt;($N$4*10/10),($N$4*10/10)^2*(1.5*(O353^2-MAX(N353,($N$4*10/10))^2)-($N$4*10/10)*(O353-MAX(N353,($N$4*10/10)))),0))*1000,0)</f>
        <v>0</v>
      </c>
    </row>
    <row r="354" spans="1:49">
      <c r="A354" s="124"/>
      <c r="B354" s="125"/>
      <c r="C354" s="125"/>
      <c r="D354" s="125"/>
      <c r="E354" s="125"/>
      <c r="F354" s="126" t="str">
        <f>IF(J354="OK",D354*E354,"")</f>
        <v/>
      </c>
      <c r="G354" s="126" t="str">
        <f>IF(J354="OK",F354*(C354-B354),"")</f>
        <v/>
      </c>
      <c r="H354" s="126" t="str">
        <f>IF(J354="OK",G354*(C354+B354)/2,"")</f>
        <v/>
      </c>
      <c r="I354" s="126" t="str">
        <f>IF(AND(J354="OK",ISNUMBER($B$5),$B$5&gt;0,ISNUMBER($B$3),$B$3&gt;0),F354*(4*$B$4*(C354^3-B354^3)-(C354^4-B354^4))/(24*$B$3*1000000*$B$5)*1000,"")</f>
        <v/>
      </c>
      <c r="J354" s="120" t="str">
        <f>IF(COUNTA(A354:E354)=0,"",IF(AND(COUNT(B354:E354)=4,B354&gt;=0,C354&gt;B354,C354&lt;=$B$4,D354&gt;=0,E354&gt;0),IF(COUNTIFS($B$13:$B$353,"&lt;"&amp;C354,$C$13:$C$353,"&gt;"&amp;B354)&gt;0,"OVERLAP","OK"),"CHECK INPUTS"))</f>
        <v/>
      </c>
      <c r="M354" s="124"/>
      <c r="N354" s="125"/>
      <c r="O354" s="125"/>
      <c r="P354" s="125"/>
      <c r="Q354" s="125"/>
      <c r="R354" s="126" t="str">
        <f>IF(V354="OK",P354*Q354,"")</f>
        <v/>
      </c>
      <c r="S354" s="126" t="str">
        <f>IF(V354="OK",R354*(O354-N354),"")</f>
        <v/>
      </c>
      <c r="T354" s="126" t="str">
        <f>IF(V354="OK",S354*(O354+N354)/2,"")</f>
        <v/>
      </c>
      <c r="U354" s="126" t="str">
        <f>IF(AND(V354="OK",ISNUMBER($N$5),$N$5&gt;0,ISNUMBER($N$3),$N$3&gt;0),R354*(4*$N$4*(O354^3-N354^3)-(O354^4-N354^4))/(24*$N$3*1000000*$N$5)*1000,"")</f>
        <v/>
      </c>
      <c r="V354" s="120" t="str">
        <f>IF(COUNTA(M354:Q354)=0,"",IF(AND(COUNT(N354:Q354)=4,N354&gt;=0,O354&gt;N354,O354&lt;=$N$4,P354&gt;=0,Q354&gt;0),IF(COUNTIFS($N$13:$N$353,"&lt;"&amp;O354,$O$13:$O$353,"&gt;"&amp;N354)&gt;0,"OVERLAP","OK"),"CHECK INPUTS"))</f>
        <v/>
      </c>
      <c r="AA354" s="120">
        <f>IF(AND(J354="OK",ISNUMBER($B$5),$B$5&gt;0,ISNUMBER($B$3),$B$3&gt;0),F354/(6*$B$3*1000000*$B$5)*(IF(B354&lt;($B$4*0/10),($B$4*0/10)*(MIN(C354,($B$4*0/10))^3-B354^3)-(MIN(C354,($B$4*0/10))^4-B354^4)/4,0)+IF(C354&gt;($B$4*0/10),($B$4*0/10)^2*(1.5*(C354^2-MAX(B354,($B$4*0/10))^2)-($B$4*0/10)*(C354-MAX(B354,($B$4*0/10)))),0))*1000,0)</f>
        <v>0</v>
      </c>
      <c r="AB354" s="120">
        <f>IF(AND(J354="OK",ISNUMBER($B$5),$B$5&gt;0,ISNUMBER($B$3),$B$3&gt;0),F354/(6*$B$3*1000000*$B$5)*(IF(B354&lt;($B$4*1/10),($B$4*1/10)*(MIN(C354,($B$4*1/10))^3-B354^3)-(MIN(C354,($B$4*1/10))^4-B354^4)/4,0)+IF(C354&gt;($B$4*1/10),($B$4*1/10)^2*(1.5*(C354^2-MAX(B354,($B$4*1/10))^2)-($B$4*1/10)*(C354-MAX(B354,($B$4*1/10)))),0))*1000,0)</f>
        <v>0</v>
      </c>
      <c r="AC354" s="120">
        <f>IF(AND(J354="OK",ISNUMBER($B$5),$B$5&gt;0,ISNUMBER($B$3),$B$3&gt;0),F354/(6*$B$3*1000000*$B$5)*(IF(B354&lt;($B$4*2/10),($B$4*2/10)*(MIN(C354,($B$4*2/10))^3-B354^3)-(MIN(C354,($B$4*2/10))^4-B354^4)/4,0)+IF(C354&gt;($B$4*2/10),($B$4*2/10)^2*(1.5*(C354^2-MAX(B354,($B$4*2/10))^2)-($B$4*2/10)*(C354-MAX(B354,($B$4*2/10)))),0))*1000,0)</f>
        <v>0</v>
      </c>
      <c r="AD354" s="120">
        <f>IF(AND(J354="OK",ISNUMBER($B$5),$B$5&gt;0,ISNUMBER($B$3),$B$3&gt;0),F354/(6*$B$3*1000000*$B$5)*(IF(B354&lt;($B$4*3/10),($B$4*3/10)*(MIN(C354,($B$4*3/10))^3-B354^3)-(MIN(C354,($B$4*3/10))^4-B354^4)/4,0)+IF(C354&gt;($B$4*3/10),($B$4*3/10)^2*(1.5*(C354^2-MAX(B354,($B$4*3/10))^2)-($B$4*3/10)*(C354-MAX(B354,($B$4*3/10)))),0))*1000,0)</f>
        <v>0</v>
      </c>
      <c r="AE354" s="120">
        <f>IF(AND(J354="OK",ISNUMBER($B$5),$B$5&gt;0,ISNUMBER($B$3),$B$3&gt;0),F354/(6*$B$3*1000000*$B$5)*(IF(B354&lt;($B$4*4/10),($B$4*4/10)*(MIN(C354,($B$4*4/10))^3-B354^3)-(MIN(C354,($B$4*4/10))^4-B354^4)/4,0)+IF(C354&gt;($B$4*4/10),($B$4*4/10)^2*(1.5*(C354^2-MAX(B354,($B$4*4/10))^2)-($B$4*4/10)*(C354-MAX(B354,($B$4*4/10)))),0))*1000,0)</f>
        <v>0</v>
      </c>
      <c r="AF354" s="120">
        <f>IF(AND(J354="OK",ISNUMBER($B$5),$B$5&gt;0,ISNUMBER($B$3),$B$3&gt;0),F354/(6*$B$3*1000000*$B$5)*(IF(B354&lt;($B$4*5/10),($B$4*5/10)*(MIN(C354,($B$4*5/10))^3-B354^3)-(MIN(C354,($B$4*5/10))^4-B354^4)/4,0)+IF(C354&gt;($B$4*5/10),($B$4*5/10)^2*(1.5*(C354^2-MAX(B354,($B$4*5/10))^2)-($B$4*5/10)*(C354-MAX(B354,($B$4*5/10)))),0))*1000,0)</f>
        <v>0</v>
      </c>
      <c r="AG354" s="120">
        <f>IF(AND(J354="OK",ISNUMBER($B$5),$B$5&gt;0,ISNUMBER($B$3),$B$3&gt;0),F354/(6*$B$3*1000000*$B$5)*(IF(B354&lt;($B$4*6/10),($B$4*6/10)*(MIN(C354,($B$4*6/10))^3-B354^3)-(MIN(C354,($B$4*6/10))^4-B354^4)/4,0)+IF(C354&gt;($B$4*6/10),($B$4*6/10)^2*(1.5*(C354^2-MAX(B354,($B$4*6/10))^2)-($B$4*6/10)*(C354-MAX(B354,($B$4*6/10)))),0))*1000,0)</f>
        <v>0</v>
      </c>
      <c r="AH354" s="120">
        <f>IF(AND(J354="OK",ISNUMBER($B$5),$B$5&gt;0,ISNUMBER($B$3),$B$3&gt;0),F354/(6*$B$3*1000000*$B$5)*(IF(B354&lt;($B$4*7/10),($B$4*7/10)*(MIN(C354,($B$4*7/10))^3-B354^3)-(MIN(C354,($B$4*7/10))^4-B354^4)/4,0)+IF(C354&gt;($B$4*7/10),($B$4*7/10)^2*(1.5*(C354^2-MAX(B354,($B$4*7/10))^2)-($B$4*7/10)*(C354-MAX(B354,($B$4*7/10)))),0))*1000,0)</f>
        <v>0</v>
      </c>
      <c r="AI354" s="120">
        <f>IF(AND(J354="OK",ISNUMBER($B$5),$B$5&gt;0,ISNUMBER($B$3),$B$3&gt;0),F354/(6*$B$3*1000000*$B$5)*(IF(B354&lt;($B$4*8/10),($B$4*8/10)*(MIN(C354,($B$4*8/10))^3-B354^3)-(MIN(C354,($B$4*8/10))^4-B354^4)/4,0)+IF(C354&gt;($B$4*8/10),($B$4*8/10)^2*(1.5*(C354^2-MAX(B354,($B$4*8/10))^2)-($B$4*8/10)*(C354-MAX(B354,($B$4*8/10)))),0))*1000,0)</f>
        <v>0</v>
      </c>
      <c r="AJ354" s="120">
        <f>IF(AND(J354="OK",ISNUMBER($B$5),$B$5&gt;0,ISNUMBER($B$3),$B$3&gt;0),F354/(6*$B$3*1000000*$B$5)*(IF(B354&lt;($B$4*9/10),($B$4*9/10)*(MIN(C354,($B$4*9/10))^3-B354^3)-(MIN(C354,($B$4*9/10))^4-B354^4)/4,0)+IF(C354&gt;($B$4*9/10),($B$4*9/10)^2*(1.5*(C354^2-MAX(B354,($B$4*9/10))^2)-($B$4*9/10)*(C354-MAX(B354,($B$4*9/10)))),0))*1000,0)</f>
        <v>0</v>
      </c>
      <c r="AK354" s="120">
        <f>IF(AND(J354="OK",ISNUMBER($B$5),$B$5&gt;0,ISNUMBER($B$3),$B$3&gt;0),F354/(6*$B$3*1000000*$B$5)*(IF(B354&lt;($B$4*10/10),($B$4*10/10)*(MIN(C354,($B$4*10/10))^3-B354^3)-(MIN(C354,($B$4*10/10))^4-B354^4)/4,0)+IF(C354&gt;($B$4*10/10),($B$4*10/10)^2*(1.5*(C354^2-MAX(B354,($B$4*10/10))^2)-($B$4*10/10)*(C354-MAX(B354,($B$4*10/10)))),0))*1000,0)</f>
        <v>0</v>
      </c>
      <c r="AM354" s="120">
        <f>IF(AND(V354="OK",ISNUMBER($N$5),$N$5&gt;0,ISNUMBER($N$3),$N$3&gt;0),R354/(6*$N$3*1000000*$N$5)*(IF(N354&lt;($N$4*0/10),($N$4*0/10)*(MIN(O354,($N$4*0/10))^3-N354^3)-(MIN(O354,($N$4*0/10))^4-N354^4)/4,0)+IF(O354&gt;($N$4*0/10),($N$4*0/10)^2*(1.5*(O354^2-MAX(N354,($N$4*0/10))^2)-($N$4*0/10)*(O354-MAX(N354,($N$4*0/10)))),0))*1000,0)</f>
        <v>0</v>
      </c>
      <c r="AN354" s="120">
        <f>IF(AND(V354="OK",ISNUMBER($N$5),$N$5&gt;0,ISNUMBER($N$3),$N$3&gt;0),R354/(6*$N$3*1000000*$N$5)*(IF(N354&lt;($N$4*1/10),($N$4*1/10)*(MIN(O354,($N$4*1/10))^3-N354^3)-(MIN(O354,($N$4*1/10))^4-N354^4)/4,0)+IF(O354&gt;($N$4*1/10),($N$4*1/10)^2*(1.5*(O354^2-MAX(N354,($N$4*1/10))^2)-($N$4*1/10)*(O354-MAX(N354,($N$4*1/10)))),0))*1000,0)</f>
        <v>0</v>
      </c>
      <c r="AO354" s="120">
        <f>IF(AND(V354="OK",ISNUMBER($N$5),$N$5&gt;0,ISNUMBER($N$3),$N$3&gt;0),R354/(6*$N$3*1000000*$N$5)*(IF(N354&lt;($N$4*2/10),($N$4*2/10)*(MIN(O354,($N$4*2/10))^3-N354^3)-(MIN(O354,($N$4*2/10))^4-N354^4)/4,0)+IF(O354&gt;($N$4*2/10),($N$4*2/10)^2*(1.5*(O354^2-MAX(N354,($N$4*2/10))^2)-($N$4*2/10)*(O354-MAX(N354,($N$4*2/10)))),0))*1000,0)</f>
        <v>0</v>
      </c>
      <c r="AP354" s="120">
        <f>IF(AND(V354="OK",ISNUMBER($N$5),$N$5&gt;0,ISNUMBER($N$3),$N$3&gt;0),R354/(6*$N$3*1000000*$N$5)*(IF(N354&lt;($N$4*3/10),($N$4*3/10)*(MIN(O354,($N$4*3/10))^3-N354^3)-(MIN(O354,($N$4*3/10))^4-N354^4)/4,0)+IF(O354&gt;($N$4*3/10),($N$4*3/10)^2*(1.5*(O354^2-MAX(N354,($N$4*3/10))^2)-($N$4*3/10)*(O354-MAX(N354,($N$4*3/10)))),0))*1000,0)</f>
        <v>0</v>
      </c>
      <c r="AQ354" s="120">
        <f>IF(AND(V354="OK",ISNUMBER($N$5),$N$5&gt;0,ISNUMBER($N$3),$N$3&gt;0),R354/(6*$N$3*1000000*$N$5)*(IF(N354&lt;($N$4*4/10),($N$4*4/10)*(MIN(O354,($N$4*4/10))^3-N354^3)-(MIN(O354,($N$4*4/10))^4-N354^4)/4,0)+IF(O354&gt;($N$4*4/10),($N$4*4/10)^2*(1.5*(O354^2-MAX(N354,($N$4*4/10))^2)-($N$4*4/10)*(O354-MAX(N354,($N$4*4/10)))),0))*1000,0)</f>
        <v>0</v>
      </c>
      <c r="AR354" s="120">
        <f>IF(AND(V354="OK",ISNUMBER($N$5),$N$5&gt;0,ISNUMBER($N$3),$N$3&gt;0),R354/(6*$N$3*1000000*$N$5)*(IF(N354&lt;($N$4*5/10),($N$4*5/10)*(MIN(O354,($N$4*5/10))^3-N354^3)-(MIN(O354,($N$4*5/10))^4-N354^4)/4,0)+IF(O354&gt;($N$4*5/10),($N$4*5/10)^2*(1.5*(O354^2-MAX(N354,($N$4*5/10))^2)-($N$4*5/10)*(O354-MAX(N354,($N$4*5/10)))),0))*1000,0)</f>
        <v>0</v>
      </c>
      <c r="AS354" s="120">
        <f>IF(AND(V354="OK",ISNUMBER($N$5),$N$5&gt;0,ISNUMBER($N$3),$N$3&gt;0),R354/(6*$N$3*1000000*$N$5)*(IF(N354&lt;($N$4*6/10),($N$4*6/10)*(MIN(O354,($N$4*6/10))^3-N354^3)-(MIN(O354,($N$4*6/10))^4-N354^4)/4,0)+IF(O354&gt;($N$4*6/10),($N$4*6/10)^2*(1.5*(O354^2-MAX(N354,($N$4*6/10))^2)-($N$4*6/10)*(O354-MAX(N354,($N$4*6/10)))),0))*1000,0)</f>
        <v>0</v>
      </c>
      <c r="AT354" s="120">
        <f>IF(AND(V354="OK",ISNUMBER($N$5),$N$5&gt;0,ISNUMBER($N$3),$N$3&gt;0),R354/(6*$N$3*1000000*$N$5)*(IF(N354&lt;($N$4*7/10),($N$4*7/10)*(MIN(O354,($N$4*7/10))^3-N354^3)-(MIN(O354,($N$4*7/10))^4-N354^4)/4,0)+IF(O354&gt;($N$4*7/10),($N$4*7/10)^2*(1.5*(O354^2-MAX(N354,($N$4*7/10))^2)-($N$4*7/10)*(O354-MAX(N354,($N$4*7/10)))),0))*1000,0)</f>
        <v>0</v>
      </c>
      <c r="AU354" s="120">
        <f>IF(AND(V354="OK",ISNUMBER($N$5),$N$5&gt;0,ISNUMBER($N$3),$N$3&gt;0),R354/(6*$N$3*1000000*$N$5)*(IF(N354&lt;($N$4*8/10),($N$4*8/10)*(MIN(O354,($N$4*8/10))^3-N354^3)-(MIN(O354,($N$4*8/10))^4-N354^4)/4,0)+IF(O354&gt;($N$4*8/10),($N$4*8/10)^2*(1.5*(O354^2-MAX(N354,($N$4*8/10))^2)-($N$4*8/10)*(O354-MAX(N354,($N$4*8/10)))),0))*1000,0)</f>
        <v>0</v>
      </c>
      <c r="AV354" s="120">
        <f>IF(AND(V354="OK",ISNUMBER($N$5),$N$5&gt;0,ISNUMBER($N$3),$N$3&gt;0),R354/(6*$N$3*1000000*$N$5)*(IF(N354&lt;($N$4*9/10),($N$4*9/10)*(MIN(O354,($N$4*9/10))^3-N354^3)-(MIN(O354,($N$4*9/10))^4-N354^4)/4,0)+IF(O354&gt;($N$4*9/10),($N$4*9/10)^2*(1.5*(O354^2-MAX(N354,($N$4*9/10))^2)-($N$4*9/10)*(O354-MAX(N354,($N$4*9/10)))),0))*1000,0)</f>
        <v>0</v>
      </c>
      <c r="AW354" s="120">
        <f>IF(AND(V354="OK",ISNUMBER($N$5),$N$5&gt;0,ISNUMBER($N$3),$N$3&gt;0),R354/(6*$N$3*1000000*$N$5)*(IF(N354&lt;($N$4*10/10),($N$4*10/10)*(MIN(O354,($N$4*10/10))^3-N354^3)-(MIN(O354,($N$4*10/10))^4-N354^4)/4,0)+IF(O354&gt;($N$4*10/10),($N$4*10/10)^2*(1.5*(O354^2-MAX(N354,($N$4*10/10))^2)-($N$4*10/10)*(O354-MAX(N354,($N$4*10/10)))),0))*1000,0)</f>
        <v>0</v>
      </c>
    </row>
    <row r="355" spans="1:49">
      <c r="A355" s="124"/>
      <c r="B355" s="125"/>
      <c r="C355" s="125"/>
      <c r="D355" s="125"/>
      <c r="E355" s="125"/>
      <c r="F355" s="126" t="str">
        <f>IF(J355="OK",D355*E355,"")</f>
        <v/>
      </c>
      <c r="G355" s="126" t="str">
        <f>IF(J355="OK",F355*(C355-B355),"")</f>
        <v/>
      </c>
      <c r="H355" s="126" t="str">
        <f>IF(J355="OK",G355*(C355+B355)/2,"")</f>
        <v/>
      </c>
      <c r="I355" s="126" t="str">
        <f>IF(AND(J355="OK",ISNUMBER($B$5),$B$5&gt;0,ISNUMBER($B$3),$B$3&gt;0),F355*(4*$B$4*(C355^3-B355^3)-(C355^4-B355^4))/(24*$B$3*1000000*$B$5)*1000,"")</f>
        <v/>
      </c>
      <c r="J355" s="120" t="str">
        <f>IF(COUNTA(A355:E355)=0,"",IF(AND(COUNT(B355:E355)=4,B355&gt;=0,C355&gt;B355,C355&lt;=$B$4,D355&gt;=0,E355&gt;0),IF(COUNTIFS($B$13:$B$354,"&lt;"&amp;C355,$C$13:$C$354,"&gt;"&amp;B355)&gt;0,"OVERLAP","OK"),"CHECK INPUTS"))</f>
        <v/>
      </c>
      <c r="M355" s="124"/>
      <c r="N355" s="125"/>
      <c r="O355" s="125"/>
      <c r="P355" s="125"/>
      <c r="Q355" s="125"/>
      <c r="R355" s="126" t="str">
        <f>IF(V355="OK",P355*Q355,"")</f>
        <v/>
      </c>
      <c r="S355" s="126" t="str">
        <f>IF(V355="OK",R355*(O355-N355),"")</f>
        <v/>
      </c>
      <c r="T355" s="126" t="str">
        <f>IF(V355="OK",S355*(O355+N355)/2,"")</f>
        <v/>
      </c>
      <c r="U355" s="126" t="str">
        <f>IF(AND(V355="OK",ISNUMBER($N$5),$N$5&gt;0,ISNUMBER($N$3),$N$3&gt;0),R355*(4*$N$4*(O355^3-N355^3)-(O355^4-N355^4))/(24*$N$3*1000000*$N$5)*1000,"")</f>
        <v/>
      </c>
      <c r="V355" s="120" t="str">
        <f>IF(COUNTA(M355:Q355)=0,"",IF(AND(COUNT(N355:Q355)=4,N355&gt;=0,O355&gt;N355,O355&lt;=$N$4,P355&gt;=0,Q355&gt;0),IF(COUNTIFS($N$13:$N$354,"&lt;"&amp;O355,$O$13:$O$354,"&gt;"&amp;N355)&gt;0,"OVERLAP","OK"),"CHECK INPUTS"))</f>
        <v/>
      </c>
      <c r="AA355" s="120">
        <f>IF(AND(J355="OK",ISNUMBER($B$5),$B$5&gt;0,ISNUMBER($B$3),$B$3&gt;0),F355/(6*$B$3*1000000*$B$5)*(IF(B355&lt;($B$4*0/10),($B$4*0/10)*(MIN(C355,($B$4*0/10))^3-B355^3)-(MIN(C355,($B$4*0/10))^4-B355^4)/4,0)+IF(C355&gt;($B$4*0/10),($B$4*0/10)^2*(1.5*(C355^2-MAX(B355,($B$4*0/10))^2)-($B$4*0/10)*(C355-MAX(B355,($B$4*0/10)))),0))*1000,0)</f>
        <v>0</v>
      </c>
      <c r="AB355" s="120">
        <f>IF(AND(J355="OK",ISNUMBER($B$5),$B$5&gt;0,ISNUMBER($B$3),$B$3&gt;0),F355/(6*$B$3*1000000*$B$5)*(IF(B355&lt;($B$4*1/10),($B$4*1/10)*(MIN(C355,($B$4*1/10))^3-B355^3)-(MIN(C355,($B$4*1/10))^4-B355^4)/4,0)+IF(C355&gt;($B$4*1/10),($B$4*1/10)^2*(1.5*(C355^2-MAX(B355,($B$4*1/10))^2)-($B$4*1/10)*(C355-MAX(B355,($B$4*1/10)))),0))*1000,0)</f>
        <v>0</v>
      </c>
      <c r="AC355" s="120">
        <f>IF(AND(J355="OK",ISNUMBER($B$5),$B$5&gt;0,ISNUMBER($B$3),$B$3&gt;0),F355/(6*$B$3*1000000*$B$5)*(IF(B355&lt;($B$4*2/10),($B$4*2/10)*(MIN(C355,($B$4*2/10))^3-B355^3)-(MIN(C355,($B$4*2/10))^4-B355^4)/4,0)+IF(C355&gt;($B$4*2/10),($B$4*2/10)^2*(1.5*(C355^2-MAX(B355,($B$4*2/10))^2)-($B$4*2/10)*(C355-MAX(B355,($B$4*2/10)))),0))*1000,0)</f>
        <v>0</v>
      </c>
      <c r="AD355" s="120">
        <f>IF(AND(J355="OK",ISNUMBER($B$5),$B$5&gt;0,ISNUMBER($B$3),$B$3&gt;0),F355/(6*$B$3*1000000*$B$5)*(IF(B355&lt;($B$4*3/10),($B$4*3/10)*(MIN(C355,($B$4*3/10))^3-B355^3)-(MIN(C355,($B$4*3/10))^4-B355^4)/4,0)+IF(C355&gt;($B$4*3/10),($B$4*3/10)^2*(1.5*(C355^2-MAX(B355,($B$4*3/10))^2)-($B$4*3/10)*(C355-MAX(B355,($B$4*3/10)))),0))*1000,0)</f>
        <v>0</v>
      </c>
      <c r="AE355" s="120">
        <f>IF(AND(J355="OK",ISNUMBER($B$5),$B$5&gt;0,ISNUMBER($B$3),$B$3&gt;0),F355/(6*$B$3*1000000*$B$5)*(IF(B355&lt;($B$4*4/10),($B$4*4/10)*(MIN(C355,($B$4*4/10))^3-B355^3)-(MIN(C355,($B$4*4/10))^4-B355^4)/4,0)+IF(C355&gt;($B$4*4/10),($B$4*4/10)^2*(1.5*(C355^2-MAX(B355,($B$4*4/10))^2)-($B$4*4/10)*(C355-MAX(B355,($B$4*4/10)))),0))*1000,0)</f>
        <v>0</v>
      </c>
      <c r="AF355" s="120">
        <f>IF(AND(J355="OK",ISNUMBER($B$5),$B$5&gt;0,ISNUMBER($B$3),$B$3&gt;0),F355/(6*$B$3*1000000*$B$5)*(IF(B355&lt;($B$4*5/10),($B$4*5/10)*(MIN(C355,($B$4*5/10))^3-B355^3)-(MIN(C355,($B$4*5/10))^4-B355^4)/4,0)+IF(C355&gt;($B$4*5/10),($B$4*5/10)^2*(1.5*(C355^2-MAX(B355,($B$4*5/10))^2)-($B$4*5/10)*(C355-MAX(B355,($B$4*5/10)))),0))*1000,0)</f>
        <v>0</v>
      </c>
      <c r="AG355" s="120">
        <f>IF(AND(J355="OK",ISNUMBER($B$5),$B$5&gt;0,ISNUMBER($B$3),$B$3&gt;0),F355/(6*$B$3*1000000*$B$5)*(IF(B355&lt;($B$4*6/10),($B$4*6/10)*(MIN(C355,($B$4*6/10))^3-B355^3)-(MIN(C355,($B$4*6/10))^4-B355^4)/4,0)+IF(C355&gt;($B$4*6/10),($B$4*6/10)^2*(1.5*(C355^2-MAX(B355,($B$4*6/10))^2)-($B$4*6/10)*(C355-MAX(B355,($B$4*6/10)))),0))*1000,0)</f>
        <v>0</v>
      </c>
      <c r="AH355" s="120">
        <f>IF(AND(J355="OK",ISNUMBER($B$5),$B$5&gt;0,ISNUMBER($B$3),$B$3&gt;0),F355/(6*$B$3*1000000*$B$5)*(IF(B355&lt;($B$4*7/10),($B$4*7/10)*(MIN(C355,($B$4*7/10))^3-B355^3)-(MIN(C355,($B$4*7/10))^4-B355^4)/4,0)+IF(C355&gt;($B$4*7/10),($B$4*7/10)^2*(1.5*(C355^2-MAX(B355,($B$4*7/10))^2)-($B$4*7/10)*(C355-MAX(B355,($B$4*7/10)))),0))*1000,0)</f>
        <v>0</v>
      </c>
      <c r="AI355" s="120">
        <f>IF(AND(J355="OK",ISNUMBER($B$5),$B$5&gt;0,ISNUMBER($B$3),$B$3&gt;0),F355/(6*$B$3*1000000*$B$5)*(IF(B355&lt;($B$4*8/10),($B$4*8/10)*(MIN(C355,($B$4*8/10))^3-B355^3)-(MIN(C355,($B$4*8/10))^4-B355^4)/4,0)+IF(C355&gt;($B$4*8/10),($B$4*8/10)^2*(1.5*(C355^2-MAX(B355,($B$4*8/10))^2)-($B$4*8/10)*(C355-MAX(B355,($B$4*8/10)))),0))*1000,0)</f>
        <v>0</v>
      </c>
      <c r="AJ355" s="120">
        <f>IF(AND(J355="OK",ISNUMBER($B$5),$B$5&gt;0,ISNUMBER($B$3),$B$3&gt;0),F355/(6*$B$3*1000000*$B$5)*(IF(B355&lt;($B$4*9/10),($B$4*9/10)*(MIN(C355,($B$4*9/10))^3-B355^3)-(MIN(C355,($B$4*9/10))^4-B355^4)/4,0)+IF(C355&gt;($B$4*9/10),($B$4*9/10)^2*(1.5*(C355^2-MAX(B355,($B$4*9/10))^2)-($B$4*9/10)*(C355-MAX(B355,($B$4*9/10)))),0))*1000,0)</f>
        <v>0</v>
      </c>
      <c r="AK355" s="120">
        <f>IF(AND(J355="OK",ISNUMBER($B$5),$B$5&gt;0,ISNUMBER($B$3),$B$3&gt;0),F355/(6*$B$3*1000000*$B$5)*(IF(B355&lt;($B$4*10/10),($B$4*10/10)*(MIN(C355,($B$4*10/10))^3-B355^3)-(MIN(C355,($B$4*10/10))^4-B355^4)/4,0)+IF(C355&gt;($B$4*10/10),($B$4*10/10)^2*(1.5*(C355^2-MAX(B355,($B$4*10/10))^2)-($B$4*10/10)*(C355-MAX(B355,($B$4*10/10)))),0))*1000,0)</f>
        <v>0</v>
      </c>
      <c r="AM355" s="120">
        <f>IF(AND(V355="OK",ISNUMBER($N$5),$N$5&gt;0,ISNUMBER($N$3),$N$3&gt;0),R355/(6*$N$3*1000000*$N$5)*(IF(N355&lt;($N$4*0/10),($N$4*0/10)*(MIN(O355,($N$4*0/10))^3-N355^3)-(MIN(O355,($N$4*0/10))^4-N355^4)/4,0)+IF(O355&gt;($N$4*0/10),($N$4*0/10)^2*(1.5*(O355^2-MAX(N355,($N$4*0/10))^2)-($N$4*0/10)*(O355-MAX(N355,($N$4*0/10)))),0))*1000,0)</f>
        <v>0</v>
      </c>
      <c r="AN355" s="120">
        <f>IF(AND(V355="OK",ISNUMBER($N$5),$N$5&gt;0,ISNUMBER($N$3),$N$3&gt;0),R355/(6*$N$3*1000000*$N$5)*(IF(N355&lt;($N$4*1/10),($N$4*1/10)*(MIN(O355,($N$4*1/10))^3-N355^3)-(MIN(O355,($N$4*1/10))^4-N355^4)/4,0)+IF(O355&gt;($N$4*1/10),($N$4*1/10)^2*(1.5*(O355^2-MAX(N355,($N$4*1/10))^2)-($N$4*1/10)*(O355-MAX(N355,($N$4*1/10)))),0))*1000,0)</f>
        <v>0</v>
      </c>
      <c r="AO355" s="120">
        <f>IF(AND(V355="OK",ISNUMBER($N$5),$N$5&gt;0,ISNUMBER($N$3),$N$3&gt;0),R355/(6*$N$3*1000000*$N$5)*(IF(N355&lt;($N$4*2/10),($N$4*2/10)*(MIN(O355,($N$4*2/10))^3-N355^3)-(MIN(O355,($N$4*2/10))^4-N355^4)/4,0)+IF(O355&gt;($N$4*2/10),($N$4*2/10)^2*(1.5*(O355^2-MAX(N355,($N$4*2/10))^2)-($N$4*2/10)*(O355-MAX(N355,($N$4*2/10)))),0))*1000,0)</f>
        <v>0</v>
      </c>
      <c r="AP355" s="120">
        <f>IF(AND(V355="OK",ISNUMBER($N$5),$N$5&gt;0,ISNUMBER($N$3),$N$3&gt;0),R355/(6*$N$3*1000000*$N$5)*(IF(N355&lt;($N$4*3/10),($N$4*3/10)*(MIN(O355,($N$4*3/10))^3-N355^3)-(MIN(O355,($N$4*3/10))^4-N355^4)/4,0)+IF(O355&gt;($N$4*3/10),($N$4*3/10)^2*(1.5*(O355^2-MAX(N355,($N$4*3/10))^2)-($N$4*3/10)*(O355-MAX(N355,($N$4*3/10)))),0))*1000,0)</f>
        <v>0</v>
      </c>
      <c r="AQ355" s="120">
        <f>IF(AND(V355="OK",ISNUMBER($N$5),$N$5&gt;0,ISNUMBER($N$3),$N$3&gt;0),R355/(6*$N$3*1000000*$N$5)*(IF(N355&lt;($N$4*4/10),($N$4*4/10)*(MIN(O355,($N$4*4/10))^3-N355^3)-(MIN(O355,($N$4*4/10))^4-N355^4)/4,0)+IF(O355&gt;($N$4*4/10),($N$4*4/10)^2*(1.5*(O355^2-MAX(N355,($N$4*4/10))^2)-($N$4*4/10)*(O355-MAX(N355,($N$4*4/10)))),0))*1000,0)</f>
        <v>0</v>
      </c>
      <c r="AR355" s="120">
        <f>IF(AND(V355="OK",ISNUMBER($N$5),$N$5&gt;0,ISNUMBER($N$3),$N$3&gt;0),R355/(6*$N$3*1000000*$N$5)*(IF(N355&lt;($N$4*5/10),($N$4*5/10)*(MIN(O355,($N$4*5/10))^3-N355^3)-(MIN(O355,($N$4*5/10))^4-N355^4)/4,0)+IF(O355&gt;($N$4*5/10),($N$4*5/10)^2*(1.5*(O355^2-MAX(N355,($N$4*5/10))^2)-($N$4*5/10)*(O355-MAX(N355,($N$4*5/10)))),0))*1000,0)</f>
        <v>0</v>
      </c>
      <c r="AS355" s="120">
        <f>IF(AND(V355="OK",ISNUMBER($N$5),$N$5&gt;0,ISNUMBER($N$3),$N$3&gt;0),R355/(6*$N$3*1000000*$N$5)*(IF(N355&lt;($N$4*6/10),($N$4*6/10)*(MIN(O355,($N$4*6/10))^3-N355^3)-(MIN(O355,($N$4*6/10))^4-N355^4)/4,0)+IF(O355&gt;($N$4*6/10),($N$4*6/10)^2*(1.5*(O355^2-MAX(N355,($N$4*6/10))^2)-($N$4*6/10)*(O355-MAX(N355,($N$4*6/10)))),0))*1000,0)</f>
        <v>0</v>
      </c>
      <c r="AT355" s="120">
        <f>IF(AND(V355="OK",ISNUMBER($N$5),$N$5&gt;0,ISNUMBER($N$3),$N$3&gt;0),R355/(6*$N$3*1000000*$N$5)*(IF(N355&lt;($N$4*7/10),($N$4*7/10)*(MIN(O355,($N$4*7/10))^3-N355^3)-(MIN(O355,($N$4*7/10))^4-N355^4)/4,0)+IF(O355&gt;($N$4*7/10),($N$4*7/10)^2*(1.5*(O355^2-MAX(N355,($N$4*7/10))^2)-($N$4*7/10)*(O355-MAX(N355,($N$4*7/10)))),0))*1000,0)</f>
        <v>0</v>
      </c>
      <c r="AU355" s="120">
        <f>IF(AND(V355="OK",ISNUMBER($N$5),$N$5&gt;0,ISNUMBER($N$3),$N$3&gt;0),R355/(6*$N$3*1000000*$N$5)*(IF(N355&lt;($N$4*8/10),($N$4*8/10)*(MIN(O355,($N$4*8/10))^3-N355^3)-(MIN(O355,($N$4*8/10))^4-N355^4)/4,0)+IF(O355&gt;($N$4*8/10),($N$4*8/10)^2*(1.5*(O355^2-MAX(N355,($N$4*8/10))^2)-($N$4*8/10)*(O355-MAX(N355,($N$4*8/10)))),0))*1000,0)</f>
        <v>0</v>
      </c>
      <c r="AV355" s="120">
        <f>IF(AND(V355="OK",ISNUMBER($N$5),$N$5&gt;0,ISNUMBER($N$3),$N$3&gt;0),R355/(6*$N$3*1000000*$N$5)*(IF(N355&lt;($N$4*9/10),($N$4*9/10)*(MIN(O355,($N$4*9/10))^3-N355^3)-(MIN(O355,($N$4*9/10))^4-N355^4)/4,0)+IF(O355&gt;($N$4*9/10),($N$4*9/10)^2*(1.5*(O355^2-MAX(N355,($N$4*9/10))^2)-($N$4*9/10)*(O355-MAX(N355,($N$4*9/10)))),0))*1000,0)</f>
        <v>0</v>
      </c>
      <c r="AW355" s="120">
        <f>IF(AND(V355="OK",ISNUMBER($N$5),$N$5&gt;0,ISNUMBER($N$3),$N$3&gt;0),R355/(6*$N$3*1000000*$N$5)*(IF(N355&lt;($N$4*10/10),($N$4*10/10)*(MIN(O355,($N$4*10/10))^3-N355^3)-(MIN(O355,($N$4*10/10))^4-N355^4)/4,0)+IF(O355&gt;($N$4*10/10),($N$4*10/10)^2*(1.5*(O355^2-MAX(N355,($N$4*10/10))^2)-($N$4*10/10)*(O355-MAX(N355,($N$4*10/10)))),0))*1000,0)</f>
        <v>0</v>
      </c>
    </row>
    <row r="356" spans="1:49">
      <c r="A356" s="124"/>
      <c r="B356" s="125"/>
      <c r="C356" s="125"/>
      <c r="D356" s="125"/>
      <c r="E356" s="125"/>
      <c r="F356" s="126" t="str">
        <f>IF(J356="OK",D356*E356,"")</f>
        <v/>
      </c>
      <c r="G356" s="126" t="str">
        <f>IF(J356="OK",F356*(C356-B356),"")</f>
        <v/>
      </c>
      <c r="H356" s="126" t="str">
        <f>IF(J356="OK",G356*(C356+B356)/2,"")</f>
        <v/>
      </c>
      <c r="I356" s="126" t="str">
        <f>IF(AND(J356="OK",ISNUMBER($B$5),$B$5&gt;0,ISNUMBER($B$3),$B$3&gt;0),F356*(4*$B$4*(C356^3-B356^3)-(C356^4-B356^4))/(24*$B$3*1000000*$B$5)*1000,"")</f>
        <v/>
      </c>
      <c r="J356" s="120" t="str">
        <f>IF(COUNTA(A356:E356)=0,"",IF(AND(COUNT(B356:E356)=4,B356&gt;=0,C356&gt;B356,C356&lt;=$B$4,D356&gt;=0,E356&gt;0),IF(COUNTIFS($B$13:$B$355,"&lt;"&amp;C356,$C$13:$C$355,"&gt;"&amp;B356)&gt;0,"OVERLAP","OK"),"CHECK INPUTS"))</f>
        <v/>
      </c>
      <c r="M356" s="124"/>
      <c r="N356" s="125"/>
      <c r="O356" s="125"/>
      <c r="P356" s="125"/>
      <c r="Q356" s="125"/>
      <c r="R356" s="126" t="str">
        <f>IF(V356="OK",P356*Q356,"")</f>
        <v/>
      </c>
      <c r="S356" s="126" t="str">
        <f>IF(V356="OK",R356*(O356-N356),"")</f>
        <v/>
      </c>
      <c r="T356" s="126" t="str">
        <f>IF(V356="OK",S356*(O356+N356)/2,"")</f>
        <v/>
      </c>
      <c r="U356" s="126" t="str">
        <f>IF(AND(V356="OK",ISNUMBER($N$5),$N$5&gt;0,ISNUMBER($N$3),$N$3&gt;0),R356*(4*$N$4*(O356^3-N356^3)-(O356^4-N356^4))/(24*$N$3*1000000*$N$5)*1000,"")</f>
        <v/>
      </c>
      <c r="V356" s="120" t="str">
        <f>IF(COUNTA(M356:Q356)=0,"",IF(AND(COUNT(N356:Q356)=4,N356&gt;=0,O356&gt;N356,O356&lt;=$N$4,P356&gt;=0,Q356&gt;0),IF(COUNTIFS($N$13:$N$355,"&lt;"&amp;O356,$O$13:$O$355,"&gt;"&amp;N356)&gt;0,"OVERLAP","OK"),"CHECK INPUTS"))</f>
        <v/>
      </c>
      <c r="AA356" s="120">
        <f>IF(AND(J356="OK",ISNUMBER($B$5),$B$5&gt;0,ISNUMBER($B$3),$B$3&gt;0),F356/(6*$B$3*1000000*$B$5)*(IF(B356&lt;($B$4*0/10),($B$4*0/10)*(MIN(C356,($B$4*0/10))^3-B356^3)-(MIN(C356,($B$4*0/10))^4-B356^4)/4,0)+IF(C356&gt;($B$4*0/10),($B$4*0/10)^2*(1.5*(C356^2-MAX(B356,($B$4*0/10))^2)-($B$4*0/10)*(C356-MAX(B356,($B$4*0/10)))),0))*1000,0)</f>
        <v>0</v>
      </c>
      <c r="AB356" s="120">
        <f>IF(AND(J356="OK",ISNUMBER($B$5),$B$5&gt;0,ISNUMBER($B$3),$B$3&gt;0),F356/(6*$B$3*1000000*$B$5)*(IF(B356&lt;($B$4*1/10),($B$4*1/10)*(MIN(C356,($B$4*1/10))^3-B356^3)-(MIN(C356,($B$4*1/10))^4-B356^4)/4,0)+IF(C356&gt;($B$4*1/10),($B$4*1/10)^2*(1.5*(C356^2-MAX(B356,($B$4*1/10))^2)-($B$4*1/10)*(C356-MAX(B356,($B$4*1/10)))),0))*1000,0)</f>
        <v>0</v>
      </c>
      <c r="AC356" s="120">
        <f>IF(AND(J356="OK",ISNUMBER($B$5),$B$5&gt;0,ISNUMBER($B$3),$B$3&gt;0),F356/(6*$B$3*1000000*$B$5)*(IF(B356&lt;($B$4*2/10),($B$4*2/10)*(MIN(C356,($B$4*2/10))^3-B356^3)-(MIN(C356,($B$4*2/10))^4-B356^4)/4,0)+IF(C356&gt;($B$4*2/10),($B$4*2/10)^2*(1.5*(C356^2-MAX(B356,($B$4*2/10))^2)-($B$4*2/10)*(C356-MAX(B356,($B$4*2/10)))),0))*1000,0)</f>
        <v>0</v>
      </c>
      <c r="AD356" s="120">
        <f>IF(AND(J356="OK",ISNUMBER($B$5),$B$5&gt;0,ISNUMBER($B$3),$B$3&gt;0),F356/(6*$B$3*1000000*$B$5)*(IF(B356&lt;($B$4*3/10),($B$4*3/10)*(MIN(C356,($B$4*3/10))^3-B356^3)-(MIN(C356,($B$4*3/10))^4-B356^4)/4,0)+IF(C356&gt;($B$4*3/10),($B$4*3/10)^2*(1.5*(C356^2-MAX(B356,($B$4*3/10))^2)-($B$4*3/10)*(C356-MAX(B356,($B$4*3/10)))),0))*1000,0)</f>
        <v>0</v>
      </c>
      <c r="AE356" s="120">
        <f>IF(AND(J356="OK",ISNUMBER($B$5),$B$5&gt;0,ISNUMBER($B$3),$B$3&gt;0),F356/(6*$B$3*1000000*$B$5)*(IF(B356&lt;($B$4*4/10),($B$4*4/10)*(MIN(C356,($B$4*4/10))^3-B356^3)-(MIN(C356,($B$4*4/10))^4-B356^4)/4,0)+IF(C356&gt;($B$4*4/10),($B$4*4/10)^2*(1.5*(C356^2-MAX(B356,($B$4*4/10))^2)-($B$4*4/10)*(C356-MAX(B356,($B$4*4/10)))),0))*1000,0)</f>
        <v>0</v>
      </c>
      <c r="AF356" s="120">
        <f>IF(AND(J356="OK",ISNUMBER($B$5),$B$5&gt;0,ISNUMBER($B$3),$B$3&gt;0),F356/(6*$B$3*1000000*$B$5)*(IF(B356&lt;($B$4*5/10),($B$4*5/10)*(MIN(C356,($B$4*5/10))^3-B356^3)-(MIN(C356,($B$4*5/10))^4-B356^4)/4,0)+IF(C356&gt;($B$4*5/10),($B$4*5/10)^2*(1.5*(C356^2-MAX(B356,($B$4*5/10))^2)-($B$4*5/10)*(C356-MAX(B356,($B$4*5/10)))),0))*1000,0)</f>
        <v>0</v>
      </c>
      <c r="AG356" s="120">
        <f>IF(AND(J356="OK",ISNUMBER($B$5),$B$5&gt;0,ISNUMBER($B$3),$B$3&gt;0),F356/(6*$B$3*1000000*$B$5)*(IF(B356&lt;($B$4*6/10),($B$4*6/10)*(MIN(C356,($B$4*6/10))^3-B356^3)-(MIN(C356,($B$4*6/10))^4-B356^4)/4,0)+IF(C356&gt;($B$4*6/10),($B$4*6/10)^2*(1.5*(C356^2-MAX(B356,($B$4*6/10))^2)-($B$4*6/10)*(C356-MAX(B356,($B$4*6/10)))),0))*1000,0)</f>
        <v>0</v>
      </c>
      <c r="AH356" s="120">
        <f>IF(AND(J356="OK",ISNUMBER($B$5),$B$5&gt;0,ISNUMBER($B$3),$B$3&gt;0),F356/(6*$B$3*1000000*$B$5)*(IF(B356&lt;($B$4*7/10),($B$4*7/10)*(MIN(C356,($B$4*7/10))^3-B356^3)-(MIN(C356,($B$4*7/10))^4-B356^4)/4,0)+IF(C356&gt;($B$4*7/10),($B$4*7/10)^2*(1.5*(C356^2-MAX(B356,($B$4*7/10))^2)-($B$4*7/10)*(C356-MAX(B356,($B$4*7/10)))),0))*1000,0)</f>
        <v>0</v>
      </c>
      <c r="AI356" s="120">
        <f>IF(AND(J356="OK",ISNUMBER($B$5),$B$5&gt;0,ISNUMBER($B$3),$B$3&gt;0),F356/(6*$B$3*1000000*$B$5)*(IF(B356&lt;($B$4*8/10),($B$4*8/10)*(MIN(C356,($B$4*8/10))^3-B356^3)-(MIN(C356,($B$4*8/10))^4-B356^4)/4,0)+IF(C356&gt;($B$4*8/10),($B$4*8/10)^2*(1.5*(C356^2-MAX(B356,($B$4*8/10))^2)-($B$4*8/10)*(C356-MAX(B356,($B$4*8/10)))),0))*1000,0)</f>
        <v>0</v>
      </c>
      <c r="AJ356" s="120">
        <f>IF(AND(J356="OK",ISNUMBER($B$5),$B$5&gt;0,ISNUMBER($B$3),$B$3&gt;0),F356/(6*$B$3*1000000*$B$5)*(IF(B356&lt;($B$4*9/10),($B$4*9/10)*(MIN(C356,($B$4*9/10))^3-B356^3)-(MIN(C356,($B$4*9/10))^4-B356^4)/4,0)+IF(C356&gt;($B$4*9/10),($B$4*9/10)^2*(1.5*(C356^2-MAX(B356,($B$4*9/10))^2)-($B$4*9/10)*(C356-MAX(B356,($B$4*9/10)))),0))*1000,0)</f>
        <v>0</v>
      </c>
      <c r="AK356" s="120">
        <f>IF(AND(J356="OK",ISNUMBER($B$5),$B$5&gt;0,ISNUMBER($B$3),$B$3&gt;0),F356/(6*$B$3*1000000*$B$5)*(IF(B356&lt;($B$4*10/10),($B$4*10/10)*(MIN(C356,($B$4*10/10))^3-B356^3)-(MIN(C356,($B$4*10/10))^4-B356^4)/4,0)+IF(C356&gt;($B$4*10/10),($B$4*10/10)^2*(1.5*(C356^2-MAX(B356,($B$4*10/10))^2)-($B$4*10/10)*(C356-MAX(B356,($B$4*10/10)))),0))*1000,0)</f>
        <v>0</v>
      </c>
      <c r="AM356" s="120">
        <f>IF(AND(V356="OK",ISNUMBER($N$5),$N$5&gt;0,ISNUMBER($N$3),$N$3&gt;0),R356/(6*$N$3*1000000*$N$5)*(IF(N356&lt;($N$4*0/10),($N$4*0/10)*(MIN(O356,($N$4*0/10))^3-N356^3)-(MIN(O356,($N$4*0/10))^4-N356^4)/4,0)+IF(O356&gt;($N$4*0/10),($N$4*0/10)^2*(1.5*(O356^2-MAX(N356,($N$4*0/10))^2)-($N$4*0/10)*(O356-MAX(N356,($N$4*0/10)))),0))*1000,0)</f>
        <v>0</v>
      </c>
      <c r="AN356" s="120">
        <f>IF(AND(V356="OK",ISNUMBER($N$5),$N$5&gt;0,ISNUMBER($N$3),$N$3&gt;0),R356/(6*$N$3*1000000*$N$5)*(IF(N356&lt;($N$4*1/10),($N$4*1/10)*(MIN(O356,($N$4*1/10))^3-N356^3)-(MIN(O356,($N$4*1/10))^4-N356^4)/4,0)+IF(O356&gt;($N$4*1/10),($N$4*1/10)^2*(1.5*(O356^2-MAX(N356,($N$4*1/10))^2)-($N$4*1/10)*(O356-MAX(N356,($N$4*1/10)))),0))*1000,0)</f>
        <v>0</v>
      </c>
      <c r="AO356" s="120">
        <f>IF(AND(V356="OK",ISNUMBER($N$5),$N$5&gt;0,ISNUMBER($N$3),$N$3&gt;0),R356/(6*$N$3*1000000*$N$5)*(IF(N356&lt;($N$4*2/10),($N$4*2/10)*(MIN(O356,($N$4*2/10))^3-N356^3)-(MIN(O356,($N$4*2/10))^4-N356^4)/4,0)+IF(O356&gt;($N$4*2/10),($N$4*2/10)^2*(1.5*(O356^2-MAX(N356,($N$4*2/10))^2)-($N$4*2/10)*(O356-MAX(N356,($N$4*2/10)))),0))*1000,0)</f>
        <v>0</v>
      </c>
      <c r="AP356" s="120">
        <f>IF(AND(V356="OK",ISNUMBER($N$5),$N$5&gt;0,ISNUMBER($N$3),$N$3&gt;0),R356/(6*$N$3*1000000*$N$5)*(IF(N356&lt;($N$4*3/10),($N$4*3/10)*(MIN(O356,($N$4*3/10))^3-N356^3)-(MIN(O356,($N$4*3/10))^4-N356^4)/4,0)+IF(O356&gt;($N$4*3/10),($N$4*3/10)^2*(1.5*(O356^2-MAX(N356,($N$4*3/10))^2)-($N$4*3/10)*(O356-MAX(N356,($N$4*3/10)))),0))*1000,0)</f>
        <v>0</v>
      </c>
      <c r="AQ356" s="120">
        <f>IF(AND(V356="OK",ISNUMBER($N$5),$N$5&gt;0,ISNUMBER($N$3),$N$3&gt;0),R356/(6*$N$3*1000000*$N$5)*(IF(N356&lt;($N$4*4/10),($N$4*4/10)*(MIN(O356,($N$4*4/10))^3-N356^3)-(MIN(O356,($N$4*4/10))^4-N356^4)/4,0)+IF(O356&gt;($N$4*4/10),($N$4*4/10)^2*(1.5*(O356^2-MAX(N356,($N$4*4/10))^2)-($N$4*4/10)*(O356-MAX(N356,($N$4*4/10)))),0))*1000,0)</f>
        <v>0</v>
      </c>
      <c r="AR356" s="120">
        <f>IF(AND(V356="OK",ISNUMBER($N$5),$N$5&gt;0,ISNUMBER($N$3),$N$3&gt;0),R356/(6*$N$3*1000000*$N$5)*(IF(N356&lt;($N$4*5/10),($N$4*5/10)*(MIN(O356,($N$4*5/10))^3-N356^3)-(MIN(O356,($N$4*5/10))^4-N356^4)/4,0)+IF(O356&gt;($N$4*5/10),($N$4*5/10)^2*(1.5*(O356^2-MAX(N356,($N$4*5/10))^2)-($N$4*5/10)*(O356-MAX(N356,($N$4*5/10)))),0))*1000,0)</f>
        <v>0</v>
      </c>
      <c r="AS356" s="120">
        <f>IF(AND(V356="OK",ISNUMBER($N$5),$N$5&gt;0,ISNUMBER($N$3),$N$3&gt;0),R356/(6*$N$3*1000000*$N$5)*(IF(N356&lt;($N$4*6/10),($N$4*6/10)*(MIN(O356,($N$4*6/10))^3-N356^3)-(MIN(O356,($N$4*6/10))^4-N356^4)/4,0)+IF(O356&gt;($N$4*6/10),($N$4*6/10)^2*(1.5*(O356^2-MAX(N356,($N$4*6/10))^2)-($N$4*6/10)*(O356-MAX(N356,($N$4*6/10)))),0))*1000,0)</f>
        <v>0</v>
      </c>
      <c r="AT356" s="120">
        <f>IF(AND(V356="OK",ISNUMBER($N$5),$N$5&gt;0,ISNUMBER($N$3),$N$3&gt;0),R356/(6*$N$3*1000000*$N$5)*(IF(N356&lt;($N$4*7/10),($N$4*7/10)*(MIN(O356,($N$4*7/10))^3-N356^3)-(MIN(O356,($N$4*7/10))^4-N356^4)/4,0)+IF(O356&gt;($N$4*7/10),($N$4*7/10)^2*(1.5*(O356^2-MAX(N356,($N$4*7/10))^2)-($N$4*7/10)*(O356-MAX(N356,($N$4*7/10)))),0))*1000,0)</f>
        <v>0</v>
      </c>
      <c r="AU356" s="120">
        <f>IF(AND(V356="OK",ISNUMBER($N$5),$N$5&gt;0,ISNUMBER($N$3),$N$3&gt;0),R356/(6*$N$3*1000000*$N$5)*(IF(N356&lt;($N$4*8/10),($N$4*8/10)*(MIN(O356,($N$4*8/10))^3-N356^3)-(MIN(O356,($N$4*8/10))^4-N356^4)/4,0)+IF(O356&gt;($N$4*8/10),($N$4*8/10)^2*(1.5*(O356^2-MAX(N356,($N$4*8/10))^2)-($N$4*8/10)*(O356-MAX(N356,($N$4*8/10)))),0))*1000,0)</f>
        <v>0</v>
      </c>
      <c r="AV356" s="120">
        <f>IF(AND(V356="OK",ISNUMBER($N$5),$N$5&gt;0,ISNUMBER($N$3),$N$3&gt;0),R356/(6*$N$3*1000000*$N$5)*(IF(N356&lt;($N$4*9/10),($N$4*9/10)*(MIN(O356,($N$4*9/10))^3-N356^3)-(MIN(O356,($N$4*9/10))^4-N356^4)/4,0)+IF(O356&gt;($N$4*9/10),($N$4*9/10)^2*(1.5*(O356^2-MAX(N356,($N$4*9/10))^2)-($N$4*9/10)*(O356-MAX(N356,($N$4*9/10)))),0))*1000,0)</f>
        <v>0</v>
      </c>
      <c r="AW356" s="120">
        <f>IF(AND(V356="OK",ISNUMBER($N$5),$N$5&gt;0,ISNUMBER($N$3),$N$3&gt;0),R356/(6*$N$3*1000000*$N$5)*(IF(N356&lt;($N$4*10/10),($N$4*10/10)*(MIN(O356,($N$4*10/10))^3-N356^3)-(MIN(O356,($N$4*10/10))^4-N356^4)/4,0)+IF(O356&gt;($N$4*10/10),($N$4*10/10)^2*(1.5*(O356^2-MAX(N356,($N$4*10/10))^2)-($N$4*10/10)*(O356-MAX(N356,($N$4*10/10)))),0))*1000,0)</f>
        <v>0</v>
      </c>
    </row>
    <row r="357" spans="1:49">
      <c r="A357" s="124"/>
      <c r="B357" s="125"/>
      <c r="C357" s="125"/>
      <c r="D357" s="125"/>
      <c r="E357" s="125"/>
      <c r="F357" s="126" t="str">
        <f>IF(J357="OK",D357*E357,"")</f>
        <v/>
      </c>
      <c r="G357" s="126" t="str">
        <f>IF(J357="OK",F357*(C357-B357),"")</f>
        <v/>
      </c>
      <c r="H357" s="126" t="str">
        <f>IF(J357="OK",G357*(C357+B357)/2,"")</f>
        <v/>
      </c>
      <c r="I357" s="126" t="str">
        <f>IF(AND(J357="OK",ISNUMBER($B$5),$B$5&gt;0,ISNUMBER($B$3),$B$3&gt;0),F357*(4*$B$4*(C357^3-B357^3)-(C357^4-B357^4))/(24*$B$3*1000000*$B$5)*1000,"")</f>
        <v/>
      </c>
      <c r="J357" s="120" t="str">
        <f>IF(COUNTA(A357:E357)=0,"",IF(AND(COUNT(B357:E357)=4,B357&gt;=0,C357&gt;B357,C357&lt;=$B$4,D357&gt;=0,E357&gt;0),IF(COUNTIFS($B$13:$B$356,"&lt;"&amp;C357,$C$13:$C$356,"&gt;"&amp;B357)&gt;0,"OVERLAP","OK"),"CHECK INPUTS"))</f>
        <v/>
      </c>
      <c r="M357" s="124"/>
      <c r="N357" s="125"/>
      <c r="O357" s="125"/>
      <c r="P357" s="125"/>
      <c r="Q357" s="125"/>
      <c r="R357" s="126" t="str">
        <f>IF(V357="OK",P357*Q357,"")</f>
        <v/>
      </c>
      <c r="S357" s="126" t="str">
        <f>IF(V357="OK",R357*(O357-N357),"")</f>
        <v/>
      </c>
      <c r="T357" s="126" t="str">
        <f>IF(V357="OK",S357*(O357+N357)/2,"")</f>
        <v/>
      </c>
      <c r="U357" s="126" t="str">
        <f>IF(AND(V357="OK",ISNUMBER($N$5),$N$5&gt;0,ISNUMBER($N$3),$N$3&gt;0),R357*(4*$N$4*(O357^3-N357^3)-(O357^4-N357^4))/(24*$N$3*1000000*$N$5)*1000,"")</f>
        <v/>
      </c>
      <c r="V357" s="120" t="str">
        <f>IF(COUNTA(M357:Q357)=0,"",IF(AND(COUNT(N357:Q357)=4,N357&gt;=0,O357&gt;N357,O357&lt;=$N$4,P357&gt;=0,Q357&gt;0),IF(COUNTIFS($N$13:$N$356,"&lt;"&amp;O357,$O$13:$O$356,"&gt;"&amp;N357)&gt;0,"OVERLAP","OK"),"CHECK INPUTS"))</f>
        <v/>
      </c>
      <c r="AA357" s="120">
        <f>IF(AND(J357="OK",ISNUMBER($B$5),$B$5&gt;0,ISNUMBER($B$3),$B$3&gt;0),F357/(6*$B$3*1000000*$B$5)*(IF(B357&lt;($B$4*0/10),($B$4*0/10)*(MIN(C357,($B$4*0/10))^3-B357^3)-(MIN(C357,($B$4*0/10))^4-B357^4)/4,0)+IF(C357&gt;($B$4*0/10),($B$4*0/10)^2*(1.5*(C357^2-MAX(B357,($B$4*0/10))^2)-($B$4*0/10)*(C357-MAX(B357,($B$4*0/10)))),0))*1000,0)</f>
        <v>0</v>
      </c>
      <c r="AB357" s="120">
        <f>IF(AND(J357="OK",ISNUMBER($B$5),$B$5&gt;0,ISNUMBER($B$3),$B$3&gt;0),F357/(6*$B$3*1000000*$B$5)*(IF(B357&lt;($B$4*1/10),($B$4*1/10)*(MIN(C357,($B$4*1/10))^3-B357^3)-(MIN(C357,($B$4*1/10))^4-B357^4)/4,0)+IF(C357&gt;($B$4*1/10),($B$4*1/10)^2*(1.5*(C357^2-MAX(B357,($B$4*1/10))^2)-($B$4*1/10)*(C357-MAX(B357,($B$4*1/10)))),0))*1000,0)</f>
        <v>0</v>
      </c>
      <c r="AC357" s="120">
        <f>IF(AND(J357="OK",ISNUMBER($B$5),$B$5&gt;0,ISNUMBER($B$3),$B$3&gt;0),F357/(6*$B$3*1000000*$B$5)*(IF(B357&lt;($B$4*2/10),($B$4*2/10)*(MIN(C357,($B$4*2/10))^3-B357^3)-(MIN(C357,($B$4*2/10))^4-B357^4)/4,0)+IF(C357&gt;($B$4*2/10),($B$4*2/10)^2*(1.5*(C357^2-MAX(B357,($B$4*2/10))^2)-($B$4*2/10)*(C357-MAX(B357,($B$4*2/10)))),0))*1000,0)</f>
        <v>0</v>
      </c>
      <c r="AD357" s="120">
        <f>IF(AND(J357="OK",ISNUMBER($B$5),$B$5&gt;0,ISNUMBER($B$3),$B$3&gt;0),F357/(6*$B$3*1000000*$B$5)*(IF(B357&lt;($B$4*3/10),($B$4*3/10)*(MIN(C357,($B$4*3/10))^3-B357^3)-(MIN(C357,($B$4*3/10))^4-B357^4)/4,0)+IF(C357&gt;($B$4*3/10),($B$4*3/10)^2*(1.5*(C357^2-MAX(B357,($B$4*3/10))^2)-($B$4*3/10)*(C357-MAX(B357,($B$4*3/10)))),0))*1000,0)</f>
        <v>0</v>
      </c>
      <c r="AE357" s="120">
        <f>IF(AND(J357="OK",ISNUMBER($B$5),$B$5&gt;0,ISNUMBER($B$3),$B$3&gt;0),F357/(6*$B$3*1000000*$B$5)*(IF(B357&lt;($B$4*4/10),($B$4*4/10)*(MIN(C357,($B$4*4/10))^3-B357^3)-(MIN(C357,($B$4*4/10))^4-B357^4)/4,0)+IF(C357&gt;($B$4*4/10),($B$4*4/10)^2*(1.5*(C357^2-MAX(B357,($B$4*4/10))^2)-($B$4*4/10)*(C357-MAX(B357,($B$4*4/10)))),0))*1000,0)</f>
        <v>0</v>
      </c>
      <c r="AF357" s="120">
        <f>IF(AND(J357="OK",ISNUMBER($B$5),$B$5&gt;0,ISNUMBER($B$3),$B$3&gt;0),F357/(6*$B$3*1000000*$B$5)*(IF(B357&lt;($B$4*5/10),($B$4*5/10)*(MIN(C357,($B$4*5/10))^3-B357^3)-(MIN(C357,($B$4*5/10))^4-B357^4)/4,0)+IF(C357&gt;($B$4*5/10),($B$4*5/10)^2*(1.5*(C357^2-MAX(B357,($B$4*5/10))^2)-($B$4*5/10)*(C357-MAX(B357,($B$4*5/10)))),0))*1000,0)</f>
        <v>0</v>
      </c>
      <c r="AG357" s="120">
        <f>IF(AND(J357="OK",ISNUMBER($B$5),$B$5&gt;0,ISNUMBER($B$3),$B$3&gt;0),F357/(6*$B$3*1000000*$B$5)*(IF(B357&lt;($B$4*6/10),($B$4*6/10)*(MIN(C357,($B$4*6/10))^3-B357^3)-(MIN(C357,($B$4*6/10))^4-B357^4)/4,0)+IF(C357&gt;($B$4*6/10),($B$4*6/10)^2*(1.5*(C357^2-MAX(B357,($B$4*6/10))^2)-($B$4*6/10)*(C357-MAX(B357,($B$4*6/10)))),0))*1000,0)</f>
        <v>0</v>
      </c>
      <c r="AH357" s="120">
        <f>IF(AND(J357="OK",ISNUMBER($B$5),$B$5&gt;0,ISNUMBER($B$3),$B$3&gt;0),F357/(6*$B$3*1000000*$B$5)*(IF(B357&lt;($B$4*7/10),($B$4*7/10)*(MIN(C357,($B$4*7/10))^3-B357^3)-(MIN(C357,($B$4*7/10))^4-B357^4)/4,0)+IF(C357&gt;($B$4*7/10),($B$4*7/10)^2*(1.5*(C357^2-MAX(B357,($B$4*7/10))^2)-($B$4*7/10)*(C357-MAX(B357,($B$4*7/10)))),0))*1000,0)</f>
        <v>0</v>
      </c>
      <c r="AI357" s="120">
        <f>IF(AND(J357="OK",ISNUMBER($B$5),$B$5&gt;0,ISNUMBER($B$3),$B$3&gt;0),F357/(6*$B$3*1000000*$B$5)*(IF(B357&lt;($B$4*8/10),($B$4*8/10)*(MIN(C357,($B$4*8/10))^3-B357^3)-(MIN(C357,($B$4*8/10))^4-B357^4)/4,0)+IF(C357&gt;($B$4*8/10),($B$4*8/10)^2*(1.5*(C357^2-MAX(B357,($B$4*8/10))^2)-($B$4*8/10)*(C357-MAX(B357,($B$4*8/10)))),0))*1000,0)</f>
        <v>0</v>
      </c>
      <c r="AJ357" s="120">
        <f>IF(AND(J357="OK",ISNUMBER($B$5),$B$5&gt;0,ISNUMBER($B$3),$B$3&gt;0),F357/(6*$B$3*1000000*$B$5)*(IF(B357&lt;($B$4*9/10),($B$4*9/10)*(MIN(C357,($B$4*9/10))^3-B357^3)-(MIN(C357,($B$4*9/10))^4-B357^4)/4,0)+IF(C357&gt;($B$4*9/10),($B$4*9/10)^2*(1.5*(C357^2-MAX(B357,($B$4*9/10))^2)-($B$4*9/10)*(C357-MAX(B357,($B$4*9/10)))),0))*1000,0)</f>
        <v>0</v>
      </c>
      <c r="AK357" s="120">
        <f>IF(AND(J357="OK",ISNUMBER($B$5),$B$5&gt;0,ISNUMBER($B$3),$B$3&gt;0),F357/(6*$B$3*1000000*$B$5)*(IF(B357&lt;($B$4*10/10),($B$4*10/10)*(MIN(C357,($B$4*10/10))^3-B357^3)-(MIN(C357,($B$4*10/10))^4-B357^4)/4,0)+IF(C357&gt;($B$4*10/10),($B$4*10/10)^2*(1.5*(C357^2-MAX(B357,($B$4*10/10))^2)-($B$4*10/10)*(C357-MAX(B357,($B$4*10/10)))),0))*1000,0)</f>
        <v>0</v>
      </c>
      <c r="AM357" s="120">
        <f>IF(AND(V357="OK",ISNUMBER($N$5),$N$5&gt;0,ISNUMBER($N$3),$N$3&gt;0),R357/(6*$N$3*1000000*$N$5)*(IF(N357&lt;($N$4*0/10),($N$4*0/10)*(MIN(O357,($N$4*0/10))^3-N357^3)-(MIN(O357,($N$4*0/10))^4-N357^4)/4,0)+IF(O357&gt;($N$4*0/10),($N$4*0/10)^2*(1.5*(O357^2-MAX(N357,($N$4*0/10))^2)-($N$4*0/10)*(O357-MAX(N357,($N$4*0/10)))),0))*1000,0)</f>
        <v>0</v>
      </c>
      <c r="AN357" s="120">
        <f>IF(AND(V357="OK",ISNUMBER($N$5),$N$5&gt;0,ISNUMBER($N$3),$N$3&gt;0),R357/(6*$N$3*1000000*$N$5)*(IF(N357&lt;($N$4*1/10),($N$4*1/10)*(MIN(O357,($N$4*1/10))^3-N357^3)-(MIN(O357,($N$4*1/10))^4-N357^4)/4,0)+IF(O357&gt;($N$4*1/10),($N$4*1/10)^2*(1.5*(O357^2-MAX(N357,($N$4*1/10))^2)-($N$4*1/10)*(O357-MAX(N357,($N$4*1/10)))),0))*1000,0)</f>
        <v>0</v>
      </c>
      <c r="AO357" s="120">
        <f>IF(AND(V357="OK",ISNUMBER($N$5),$N$5&gt;0,ISNUMBER($N$3),$N$3&gt;0),R357/(6*$N$3*1000000*$N$5)*(IF(N357&lt;($N$4*2/10),($N$4*2/10)*(MIN(O357,($N$4*2/10))^3-N357^3)-(MIN(O357,($N$4*2/10))^4-N357^4)/4,0)+IF(O357&gt;($N$4*2/10),($N$4*2/10)^2*(1.5*(O357^2-MAX(N357,($N$4*2/10))^2)-($N$4*2/10)*(O357-MAX(N357,($N$4*2/10)))),0))*1000,0)</f>
        <v>0</v>
      </c>
      <c r="AP357" s="120">
        <f>IF(AND(V357="OK",ISNUMBER($N$5),$N$5&gt;0,ISNUMBER($N$3),$N$3&gt;0),R357/(6*$N$3*1000000*$N$5)*(IF(N357&lt;($N$4*3/10),($N$4*3/10)*(MIN(O357,($N$4*3/10))^3-N357^3)-(MIN(O357,($N$4*3/10))^4-N357^4)/4,0)+IF(O357&gt;($N$4*3/10),($N$4*3/10)^2*(1.5*(O357^2-MAX(N357,($N$4*3/10))^2)-($N$4*3/10)*(O357-MAX(N357,($N$4*3/10)))),0))*1000,0)</f>
        <v>0</v>
      </c>
      <c r="AQ357" s="120">
        <f>IF(AND(V357="OK",ISNUMBER($N$5),$N$5&gt;0,ISNUMBER($N$3),$N$3&gt;0),R357/(6*$N$3*1000000*$N$5)*(IF(N357&lt;($N$4*4/10),($N$4*4/10)*(MIN(O357,($N$4*4/10))^3-N357^3)-(MIN(O357,($N$4*4/10))^4-N357^4)/4,0)+IF(O357&gt;($N$4*4/10),($N$4*4/10)^2*(1.5*(O357^2-MAX(N357,($N$4*4/10))^2)-($N$4*4/10)*(O357-MAX(N357,($N$4*4/10)))),0))*1000,0)</f>
        <v>0</v>
      </c>
      <c r="AR357" s="120">
        <f>IF(AND(V357="OK",ISNUMBER($N$5),$N$5&gt;0,ISNUMBER($N$3),$N$3&gt;0),R357/(6*$N$3*1000000*$N$5)*(IF(N357&lt;($N$4*5/10),($N$4*5/10)*(MIN(O357,($N$4*5/10))^3-N357^3)-(MIN(O357,($N$4*5/10))^4-N357^4)/4,0)+IF(O357&gt;($N$4*5/10),($N$4*5/10)^2*(1.5*(O357^2-MAX(N357,($N$4*5/10))^2)-($N$4*5/10)*(O357-MAX(N357,($N$4*5/10)))),0))*1000,0)</f>
        <v>0</v>
      </c>
      <c r="AS357" s="120">
        <f>IF(AND(V357="OK",ISNUMBER($N$5),$N$5&gt;0,ISNUMBER($N$3),$N$3&gt;0),R357/(6*$N$3*1000000*$N$5)*(IF(N357&lt;($N$4*6/10),($N$4*6/10)*(MIN(O357,($N$4*6/10))^3-N357^3)-(MIN(O357,($N$4*6/10))^4-N357^4)/4,0)+IF(O357&gt;($N$4*6/10),($N$4*6/10)^2*(1.5*(O357^2-MAX(N357,($N$4*6/10))^2)-($N$4*6/10)*(O357-MAX(N357,($N$4*6/10)))),0))*1000,0)</f>
        <v>0</v>
      </c>
      <c r="AT357" s="120">
        <f>IF(AND(V357="OK",ISNUMBER($N$5),$N$5&gt;0,ISNUMBER($N$3),$N$3&gt;0),R357/(6*$N$3*1000000*$N$5)*(IF(N357&lt;($N$4*7/10),($N$4*7/10)*(MIN(O357,($N$4*7/10))^3-N357^3)-(MIN(O357,($N$4*7/10))^4-N357^4)/4,0)+IF(O357&gt;($N$4*7/10),($N$4*7/10)^2*(1.5*(O357^2-MAX(N357,($N$4*7/10))^2)-($N$4*7/10)*(O357-MAX(N357,($N$4*7/10)))),0))*1000,0)</f>
        <v>0</v>
      </c>
      <c r="AU357" s="120">
        <f>IF(AND(V357="OK",ISNUMBER($N$5),$N$5&gt;0,ISNUMBER($N$3),$N$3&gt;0),R357/(6*$N$3*1000000*$N$5)*(IF(N357&lt;($N$4*8/10),($N$4*8/10)*(MIN(O357,($N$4*8/10))^3-N357^3)-(MIN(O357,($N$4*8/10))^4-N357^4)/4,0)+IF(O357&gt;($N$4*8/10),($N$4*8/10)^2*(1.5*(O357^2-MAX(N357,($N$4*8/10))^2)-($N$4*8/10)*(O357-MAX(N357,($N$4*8/10)))),0))*1000,0)</f>
        <v>0</v>
      </c>
      <c r="AV357" s="120">
        <f>IF(AND(V357="OK",ISNUMBER($N$5),$N$5&gt;0,ISNUMBER($N$3),$N$3&gt;0),R357/(6*$N$3*1000000*$N$5)*(IF(N357&lt;($N$4*9/10),($N$4*9/10)*(MIN(O357,($N$4*9/10))^3-N357^3)-(MIN(O357,($N$4*9/10))^4-N357^4)/4,0)+IF(O357&gt;($N$4*9/10),($N$4*9/10)^2*(1.5*(O357^2-MAX(N357,($N$4*9/10))^2)-($N$4*9/10)*(O357-MAX(N357,($N$4*9/10)))),0))*1000,0)</f>
        <v>0</v>
      </c>
      <c r="AW357" s="120">
        <f>IF(AND(V357="OK",ISNUMBER($N$5),$N$5&gt;0,ISNUMBER($N$3),$N$3&gt;0),R357/(6*$N$3*1000000*$N$5)*(IF(N357&lt;($N$4*10/10),($N$4*10/10)*(MIN(O357,($N$4*10/10))^3-N357^3)-(MIN(O357,($N$4*10/10))^4-N357^4)/4,0)+IF(O357&gt;($N$4*10/10),($N$4*10/10)^2*(1.5*(O357^2-MAX(N357,($N$4*10/10))^2)-($N$4*10/10)*(O357-MAX(N357,($N$4*10/10)))),0))*1000,0)</f>
        <v>0</v>
      </c>
    </row>
    <row r="358" spans="1:49">
      <c r="A358" s="124"/>
      <c r="B358" s="125"/>
      <c r="C358" s="125"/>
      <c r="D358" s="125"/>
      <c r="E358" s="125"/>
      <c r="F358" s="126" t="str">
        <f>IF(J358="OK",D358*E358,"")</f>
        <v/>
      </c>
      <c r="G358" s="126" t="str">
        <f>IF(J358="OK",F358*(C358-B358),"")</f>
        <v/>
      </c>
      <c r="H358" s="126" t="str">
        <f>IF(J358="OK",G358*(C358+B358)/2,"")</f>
        <v/>
      </c>
      <c r="I358" s="126" t="str">
        <f>IF(AND(J358="OK",ISNUMBER($B$5),$B$5&gt;0,ISNUMBER($B$3),$B$3&gt;0),F358*(4*$B$4*(C358^3-B358^3)-(C358^4-B358^4))/(24*$B$3*1000000*$B$5)*1000,"")</f>
        <v/>
      </c>
      <c r="J358" s="120" t="str">
        <f>IF(COUNTA(A358:E358)=0,"",IF(AND(COUNT(B358:E358)=4,B358&gt;=0,C358&gt;B358,C358&lt;=$B$4,D358&gt;=0,E358&gt;0),IF(COUNTIFS($B$13:$B$357,"&lt;"&amp;C358,$C$13:$C$357,"&gt;"&amp;B358)&gt;0,"OVERLAP","OK"),"CHECK INPUTS"))</f>
        <v/>
      </c>
      <c r="M358" s="124"/>
      <c r="N358" s="125"/>
      <c r="O358" s="125"/>
      <c r="P358" s="125"/>
      <c r="Q358" s="125"/>
      <c r="R358" s="126" t="str">
        <f>IF(V358="OK",P358*Q358,"")</f>
        <v/>
      </c>
      <c r="S358" s="126" t="str">
        <f>IF(V358="OK",R358*(O358-N358),"")</f>
        <v/>
      </c>
      <c r="T358" s="126" t="str">
        <f>IF(V358="OK",S358*(O358+N358)/2,"")</f>
        <v/>
      </c>
      <c r="U358" s="126" t="str">
        <f>IF(AND(V358="OK",ISNUMBER($N$5),$N$5&gt;0,ISNUMBER($N$3),$N$3&gt;0),R358*(4*$N$4*(O358^3-N358^3)-(O358^4-N358^4))/(24*$N$3*1000000*$N$5)*1000,"")</f>
        <v/>
      </c>
      <c r="V358" s="120" t="str">
        <f>IF(COUNTA(M358:Q358)=0,"",IF(AND(COUNT(N358:Q358)=4,N358&gt;=0,O358&gt;N358,O358&lt;=$N$4,P358&gt;=0,Q358&gt;0),IF(COUNTIFS($N$13:$N$357,"&lt;"&amp;O358,$O$13:$O$357,"&gt;"&amp;N358)&gt;0,"OVERLAP","OK"),"CHECK INPUTS"))</f>
        <v/>
      </c>
      <c r="AA358" s="120">
        <f>IF(AND(J358="OK",ISNUMBER($B$5),$B$5&gt;0,ISNUMBER($B$3),$B$3&gt;0),F358/(6*$B$3*1000000*$B$5)*(IF(B358&lt;($B$4*0/10),($B$4*0/10)*(MIN(C358,($B$4*0/10))^3-B358^3)-(MIN(C358,($B$4*0/10))^4-B358^4)/4,0)+IF(C358&gt;($B$4*0/10),($B$4*0/10)^2*(1.5*(C358^2-MAX(B358,($B$4*0/10))^2)-($B$4*0/10)*(C358-MAX(B358,($B$4*0/10)))),0))*1000,0)</f>
        <v>0</v>
      </c>
      <c r="AB358" s="120">
        <f>IF(AND(J358="OK",ISNUMBER($B$5),$B$5&gt;0,ISNUMBER($B$3),$B$3&gt;0),F358/(6*$B$3*1000000*$B$5)*(IF(B358&lt;($B$4*1/10),($B$4*1/10)*(MIN(C358,($B$4*1/10))^3-B358^3)-(MIN(C358,($B$4*1/10))^4-B358^4)/4,0)+IF(C358&gt;($B$4*1/10),($B$4*1/10)^2*(1.5*(C358^2-MAX(B358,($B$4*1/10))^2)-($B$4*1/10)*(C358-MAX(B358,($B$4*1/10)))),0))*1000,0)</f>
        <v>0</v>
      </c>
      <c r="AC358" s="120">
        <f>IF(AND(J358="OK",ISNUMBER($B$5),$B$5&gt;0,ISNUMBER($B$3),$B$3&gt;0),F358/(6*$B$3*1000000*$B$5)*(IF(B358&lt;($B$4*2/10),($B$4*2/10)*(MIN(C358,($B$4*2/10))^3-B358^3)-(MIN(C358,($B$4*2/10))^4-B358^4)/4,0)+IF(C358&gt;($B$4*2/10),($B$4*2/10)^2*(1.5*(C358^2-MAX(B358,($B$4*2/10))^2)-($B$4*2/10)*(C358-MAX(B358,($B$4*2/10)))),0))*1000,0)</f>
        <v>0</v>
      </c>
      <c r="AD358" s="120">
        <f>IF(AND(J358="OK",ISNUMBER($B$5),$B$5&gt;0,ISNUMBER($B$3),$B$3&gt;0),F358/(6*$B$3*1000000*$B$5)*(IF(B358&lt;($B$4*3/10),($B$4*3/10)*(MIN(C358,($B$4*3/10))^3-B358^3)-(MIN(C358,($B$4*3/10))^4-B358^4)/4,0)+IF(C358&gt;($B$4*3/10),($B$4*3/10)^2*(1.5*(C358^2-MAX(B358,($B$4*3/10))^2)-($B$4*3/10)*(C358-MAX(B358,($B$4*3/10)))),0))*1000,0)</f>
        <v>0</v>
      </c>
      <c r="AE358" s="120">
        <f>IF(AND(J358="OK",ISNUMBER($B$5),$B$5&gt;0,ISNUMBER($B$3),$B$3&gt;0),F358/(6*$B$3*1000000*$B$5)*(IF(B358&lt;($B$4*4/10),($B$4*4/10)*(MIN(C358,($B$4*4/10))^3-B358^3)-(MIN(C358,($B$4*4/10))^4-B358^4)/4,0)+IF(C358&gt;($B$4*4/10),($B$4*4/10)^2*(1.5*(C358^2-MAX(B358,($B$4*4/10))^2)-($B$4*4/10)*(C358-MAX(B358,($B$4*4/10)))),0))*1000,0)</f>
        <v>0</v>
      </c>
      <c r="AF358" s="120">
        <f>IF(AND(J358="OK",ISNUMBER($B$5),$B$5&gt;0,ISNUMBER($B$3),$B$3&gt;0),F358/(6*$B$3*1000000*$B$5)*(IF(B358&lt;($B$4*5/10),($B$4*5/10)*(MIN(C358,($B$4*5/10))^3-B358^3)-(MIN(C358,($B$4*5/10))^4-B358^4)/4,0)+IF(C358&gt;($B$4*5/10),($B$4*5/10)^2*(1.5*(C358^2-MAX(B358,($B$4*5/10))^2)-($B$4*5/10)*(C358-MAX(B358,($B$4*5/10)))),0))*1000,0)</f>
        <v>0</v>
      </c>
      <c r="AG358" s="120">
        <f>IF(AND(J358="OK",ISNUMBER($B$5),$B$5&gt;0,ISNUMBER($B$3),$B$3&gt;0),F358/(6*$B$3*1000000*$B$5)*(IF(B358&lt;($B$4*6/10),($B$4*6/10)*(MIN(C358,($B$4*6/10))^3-B358^3)-(MIN(C358,($B$4*6/10))^4-B358^4)/4,0)+IF(C358&gt;($B$4*6/10),($B$4*6/10)^2*(1.5*(C358^2-MAX(B358,($B$4*6/10))^2)-($B$4*6/10)*(C358-MAX(B358,($B$4*6/10)))),0))*1000,0)</f>
        <v>0</v>
      </c>
      <c r="AH358" s="120">
        <f>IF(AND(J358="OK",ISNUMBER($B$5),$B$5&gt;0,ISNUMBER($B$3),$B$3&gt;0),F358/(6*$B$3*1000000*$B$5)*(IF(B358&lt;($B$4*7/10),($B$4*7/10)*(MIN(C358,($B$4*7/10))^3-B358^3)-(MIN(C358,($B$4*7/10))^4-B358^4)/4,0)+IF(C358&gt;($B$4*7/10),($B$4*7/10)^2*(1.5*(C358^2-MAX(B358,($B$4*7/10))^2)-($B$4*7/10)*(C358-MAX(B358,($B$4*7/10)))),0))*1000,0)</f>
        <v>0</v>
      </c>
      <c r="AI358" s="120">
        <f>IF(AND(J358="OK",ISNUMBER($B$5),$B$5&gt;0,ISNUMBER($B$3),$B$3&gt;0),F358/(6*$B$3*1000000*$B$5)*(IF(B358&lt;($B$4*8/10),($B$4*8/10)*(MIN(C358,($B$4*8/10))^3-B358^3)-(MIN(C358,($B$4*8/10))^4-B358^4)/4,0)+IF(C358&gt;($B$4*8/10),($B$4*8/10)^2*(1.5*(C358^2-MAX(B358,($B$4*8/10))^2)-($B$4*8/10)*(C358-MAX(B358,($B$4*8/10)))),0))*1000,0)</f>
        <v>0</v>
      </c>
      <c r="AJ358" s="120">
        <f>IF(AND(J358="OK",ISNUMBER($B$5),$B$5&gt;0,ISNUMBER($B$3),$B$3&gt;0),F358/(6*$B$3*1000000*$B$5)*(IF(B358&lt;($B$4*9/10),($B$4*9/10)*(MIN(C358,($B$4*9/10))^3-B358^3)-(MIN(C358,($B$4*9/10))^4-B358^4)/4,0)+IF(C358&gt;($B$4*9/10),($B$4*9/10)^2*(1.5*(C358^2-MAX(B358,($B$4*9/10))^2)-($B$4*9/10)*(C358-MAX(B358,($B$4*9/10)))),0))*1000,0)</f>
        <v>0</v>
      </c>
      <c r="AK358" s="120">
        <f>IF(AND(J358="OK",ISNUMBER($B$5),$B$5&gt;0,ISNUMBER($B$3),$B$3&gt;0),F358/(6*$B$3*1000000*$B$5)*(IF(B358&lt;($B$4*10/10),($B$4*10/10)*(MIN(C358,($B$4*10/10))^3-B358^3)-(MIN(C358,($B$4*10/10))^4-B358^4)/4,0)+IF(C358&gt;($B$4*10/10),($B$4*10/10)^2*(1.5*(C358^2-MAX(B358,($B$4*10/10))^2)-($B$4*10/10)*(C358-MAX(B358,($B$4*10/10)))),0))*1000,0)</f>
        <v>0</v>
      </c>
      <c r="AM358" s="120">
        <f>IF(AND(V358="OK",ISNUMBER($N$5),$N$5&gt;0,ISNUMBER($N$3),$N$3&gt;0),R358/(6*$N$3*1000000*$N$5)*(IF(N358&lt;($N$4*0/10),($N$4*0/10)*(MIN(O358,($N$4*0/10))^3-N358^3)-(MIN(O358,($N$4*0/10))^4-N358^4)/4,0)+IF(O358&gt;($N$4*0/10),($N$4*0/10)^2*(1.5*(O358^2-MAX(N358,($N$4*0/10))^2)-($N$4*0/10)*(O358-MAX(N358,($N$4*0/10)))),0))*1000,0)</f>
        <v>0</v>
      </c>
      <c r="AN358" s="120">
        <f>IF(AND(V358="OK",ISNUMBER($N$5),$N$5&gt;0,ISNUMBER($N$3),$N$3&gt;0),R358/(6*$N$3*1000000*$N$5)*(IF(N358&lt;($N$4*1/10),($N$4*1/10)*(MIN(O358,($N$4*1/10))^3-N358^3)-(MIN(O358,($N$4*1/10))^4-N358^4)/4,0)+IF(O358&gt;($N$4*1/10),($N$4*1/10)^2*(1.5*(O358^2-MAX(N358,($N$4*1/10))^2)-($N$4*1/10)*(O358-MAX(N358,($N$4*1/10)))),0))*1000,0)</f>
        <v>0</v>
      </c>
      <c r="AO358" s="120">
        <f>IF(AND(V358="OK",ISNUMBER($N$5),$N$5&gt;0,ISNUMBER($N$3),$N$3&gt;0),R358/(6*$N$3*1000000*$N$5)*(IF(N358&lt;($N$4*2/10),($N$4*2/10)*(MIN(O358,($N$4*2/10))^3-N358^3)-(MIN(O358,($N$4*2/10))^4-N358^4)/4,0)+IF(O358&gt;($N$4*2/10),($N$4*2/10)^2*(1.5*(O358^2-MAX(N358,($N$4*2/10))^2)-($N$4*2/10)*(O358-MAX(N358,($N$4*2/10)))),0))*1000,0)</f>
        <v>0</v>
      </c>
      <c r="AP358" s="120">
        <f>IF(AND(V358="OK",ISNUMBER($N$5),$N$5&gt;0,ISNUMBER($N$3),$N$3&gt;0),R358/(6*$N$3*1000000*$N$5)*(IF(N358&lt;($N$4*3/10),($N$4*3/10)*(MIN(O358,($N$4*3/10))^3-N358^3)-(MIN(O358,($N$4*3/10))^4-N358^4)/4,0)+IF(O358&gt;($N$4*3/10),($N$4*3/10)^2*(1.5*(O358^2-MAX(N358,($N$4*3/10))^2)-($N$4*3/10)*(O358-MAX(N358,($N$4*3/10)))),0))*1000,0)</f>
        <v>0</v>
      </c>
      <c r="AQ358" s="120">
        <f>IF(AND(V358="OK",ISNUMBER($N$5),$N$5&gt;0,ISNUMBER($N$3),$N$3&gt;0),R358/(6*$N$3*1000000*$N$5)*(IF(N358&lt;($N$4*4/10),($N$4*4/10)*(MIN(O358,($N$4*4/10))^3-N358^3)-(MIN(O358,($N$4*4/10))^4-N358^4)/4,0)+IF(O358&gt;($N$4*4/10),($N$4*4/10)^2*(1.5*(O358^2-MAX(N358,($N$4*4/10))^2)-($N$4*4/10)*(O358-MAX(N358,($N$4*4/10)))),0))*1000,0)</f>
        <v>0</v>
      </c>
      <c r="AR358" s="120">
        <f>IF(AND(V358="OK",ISNUMBER($N$5),$N$5&gt;0,ISNUMBER($N$3),$N$3&gt;0),R358/(6*$N$3*1000000*$N$5)*(IF(N358&lt;($N$4*5/10),($N$4*5/10)*(MIN(O358,($N$4*5/10))^3-N358^3)-(MIN(O358,($N$4*5/10))^4-N358^4)/4,0)+IF(O358&gt;($N$4*5/10),($N$4*5/10)^2*(1.5*(O358^2-MAX(N358,($N$4*5/10))^2)-($N$4*5/10)*(O358-MAX(N358,($N$4*5/10)))),0))*1000,0)</f>
        <v>0</v>
      </c>
      <c r="AS358" s="120">
        <f>IF(AND(V358="OK",ISNUMBER($N$5),$N$5&gt;0,ISNUMBER($N$3),$N$3&gt;0),R358/(6*$N$3*1000000*$N$5)*(IF(N358&lt;($N$4*6/10),($N$4*6/10)*(MIN(O358,($N$4*6/10))^3-N358^3)-(MIN(O358,($N$4*6/10))^4-N358^4)/4,0)+IF(O358&gt;($N$4*6/10),($N$4*6/10)^2*(1.5*(O358^2-MAX(N358,($N$4*6/10))^2)-($N$4*6/10)*(O358-MAX(N358,($N$4*6/10)))),0))*1000,0)</f>
        <v>0</v>
      </c>
      <c r="AT358" s="120">
        <f>IF(AND(V358="OK",ISNUMBER($N$5),$N$5&gt;0,ISNUMBER($N$3),$N$3&gt;0),R358/(6*$N$3*1000000*$N$5)*(IF(N358&lt;($N$4*7/10),($N$4*7/10)*(MIN(O358,($N$4*7/10))^3-N358^3)-(MIN(O358,($N$4*7/10))^4-N358^4)/4,0)+IF(O358&gt;($N$4*7/10),($N$4*7/10)^2*(1.5*(O358^2-MAX(N358,($N$4*7/10))^2)-($N$4*7/10)*(O358-MAX(N358,($N$4*7/10)))),0))*1000,0)</f>
        <v>0</v>
      </c>
      <c r="AU358" s="120">
        <f>IF(AND(V358="OK",ISNUMBER($N$5),$N$5&gt;0,ISNUMBER($N$3),$N$3&gt;0),R358/(6*$N$3*1000000*$N$5)*(IF(N358&lt;($N$4*8/10),($N$4*8/10)*(MIN(O358,($N$4*8/10))^3-N358^3)-(MIN(O358,($N$4*8/10))^4-N358^4)/4,0)+IF(O358&gt;($N$4*8/10),($N$4*8/10)^2*(1.5*(O358^2-MAX(N358,($N$4*8/10))^2)-($N$4*8/10)*(O358-MAX(N358,($N$4*8/10)))),0))*1000,0)</f>
        <v>0</v>
      </c>
      <c r="AV358" s="120">
        <f>IF(AND(V358="OK",ISNUMBER($N$5),$N$5&gt;0,ISNUMBER($N$3),$N$3&gt;0),R358/(6*$N$3*1000000*$N$5)*(IF(N358&lt;($N$4*9/10),($N$4*9/10)*(MIN(O358,($N$4*9/10))^3-N358^3)-(MIN(O358,($N$4*9/10))^4-N358^4)/4,0)+IF(O358&gt;($N$4*9/10),($N$4*9/10)^2*(1.5*(O358^2-MAX(N358,($N$4*9/10))^2)-($N$4*9/10)*(O358-MAX(N358,($N$4*9/10)))),0))*1000,0)</f>
        <v>0</v>
      </c>
      <c r="AW358" s="120">
        <f>IF(AND(V358="OK",ISNUMBER($N$5),$N$5&gt;0,ISNUMBER($N$3),$N$3&gt;0),R358/(6*$N$3*1000000*$N$5)*(IF(N358&lt;($N$4*10/10),($N$4*10/10)*(MIN(O358,($N$4*10/10))^3-N358^3)-(MIN(O358,($N$4*10/10))^4-N358^4)/4,0)+IF(O358&gt;($N$4*10/10),($N$4*10/10)^2*(1.5*(O358^2-MAX(N358,($N$4*10/10))^2)-($N$4*10/10)*(O358-MAX(N358,($N$4*10/10)))),0))*1000,0)</f>
        <v>0</v>
      </c>
    </row>
    <row r="359" spans="1:49">
      <c r="A359" s="124"/>
      <c r="B359" s="125"/>
      <c r="C359" s="125"/>
      <c r="D359" s="125"/>
      <c r="E359" s="125"/>
      <c r="F359" s="126" t="str">
        <f>IF(J359="OK",D359*E359,"")</f>
        <v/>
      </c>
      <c r="G359" s="126" t="str">
        <f>IF(J359="OK",F359*(C359-B359),"")</f>
        <v/>
      </c>
      <c r="H359" s="126" t="str">
        <f>IF(J359="OK",G359*(C359+B359)/2,"")</f>
        <v/>
      </c>
      <c r="I359" s="126" t="str">
        <f>IF(AND(J359="OK",ISNUMBER($B$5),$B$5&gt;0,ISNUMBER($B$3),$B$3&gt;0),F359*(4*$B$4*(C359^3-B359^3)-(C359^4-B359^4))/(24*$B$3*1000000*$B$5)*1000,"")</f>
        <v/>
      </c>
      <c r="J359" s="120" t="str">
        <f>IF(COUNTA(A359:E359)=0,"",IF(AND(COUNT(B359:E359)=4,B359&gt;=0,C359&gt;B359,C359&lt;=$B$4,D359&gt;=0,E359&gt;0),IF(COUNTIFS($B$13:$B$358,"&lt;"&amp;C359,$C$13:$C$358,"&gt;"&amp;B359)&gt;0,"OVERLAP","OK"),"CHECK INPUTS"))</f>
        <v/>
      </c>
      <c r="M359" s="124"/>
      <c r="N359" s="125"/>
      <c r="O359" s="125"/>
      <c r="P359" s="125"/>
      <c r="Q359" s="125"/>
      <c r="R359" s="126" t="str">
        <f>IF(V359="OK",P359*Q359,"")</f>
        <v/>
      </c>
      <c r="S359" s="126" t="str">
        <f>IF(V359="OK",R359*(O359-N359),"")</f>
        <v/>
      </c>
      <c r="T359" s="126" t="str">
        <f>IF(V359="OK",S359*(O359+N359)/2,"")</f>
        <v/>
      </c>
      <c r="U359" s="126" t="str">
        <f>IF(AND(V359="OK",ISNUMBER($N$5),$N$5&gt;0,ISNUMBER($N$3),$N$3&gt;0),R359*(4*$N$4*(O359^3-N359^3)-(O359^4-N359^4))/(24*$N$3*1000000*$N$5)*1000,"")</f>
        <v/>
      </c>
      <c r="V359" s="120" t="str">
        <f>IF(COUNTA(M359:Q359)=0,"",IF(AND(COUNT(N359:Q359)=4,N359&gt;=0,O359&gt;N359,O359&lt;=$N$4,P359&gt;=0,Q359&gt;0),IF(COUNTIFS($N$13:$N$358,"&lt;"&amp;O359,$O$13:$O$358,"&gt;"&amp;N359)&gt;0,"OVERLAP","OK"),"CHECK INPUTS"))</f>
        <v/>
      </c>
      <c r="AA359" s="120">
        <f>IF(AND(J359="OK",ISNUMBER($B$5),$B$5&gt;0,ISNUMBER($B$3),$B$3&gt;0),F359/(6*$B$3*1000000*$B$5)*(IF(B359&lt;($B$4*0/10),($B$4*0/10)*(MIN(C359,($B$4*0/10))^3-B359^3)-(MIN(C359,($B$4*0/10))^4-B359^4)/4,0)+IF(C359&gt;($B$4*0/10),($B$4*0/10)^2*(1.5*(C359^2-MAX(B359,($B$4*0/10))^2)-($B$4*0/10)*(C359-MAX(B359,($B$4*0/10)))),0))*1000,0)</f>
        <v>0</v>
      </c>
      <c r="AB359" s="120">
        <f>IF(AND(J359="OK",ISNUMBER($B$5),$B$5&gt;0,ISNUMBER($B$3),$B$3&gt;0),F359/(6*$B$3*1000000*$B$5)*(IF(B359&lt;($B$4*1/10),($B$4*1/10)*(MIN(C359,($B$4*1/10))^3-B359^3)-(MIN(C359,($B$4*1/10))^4-B359^4)/4,0)+IF(C359&gt;($B$4*1/10),($B$4*1/10)^2*(1.5*(C359^2-MAX(B359,($B$4*1/10))^2)-($B$4*1/10)*(C359-MAX(B359,($B$4*1/10)))),0))*1000,0)</f>
        <v>0</v>
      </c>
      <c r="AC359" s="120">
        <f>IF(AND(J359="OK",ISNUMBER($B$5),$B$5&gt;0,ISNUMBER($B$3),$B$3&gt;0),F359/(6*$B$3*1000000*$B$5)*(IF(B359&lt;($B$4*2/10),($B$4*2/10)*(MIN(C359,($B$4*2/10))^3-B359^3)-(MIN(C359,($B$4*2/10))^4-B359^4)/4,0)+IF(C359&gt;($B$4*2/10),($B$4*2/10)^2*(1.5*(C359^2-MAX(B359,($B$4*2/10))^2)-($B$4*2/10)*(C359-MAX(B359,($B$4*2/10)))),0))*1000,0)</f>
        <v>0</v>
      </c>
      <c r="AD359" s="120">
        <f>IF(AND(J359="OK",ISNUMBER($B$5),$B$5&gt;0,ISNUMBER($B$3),$B$3&gt;0),F359/(6*$B$3*1000000*$B$5)*(IF(B359&lt;($B$4*3/10),($B$4*3/10)*(MIN(C359,($B$4*3/10))^3-B359^3)-(MIN(C359,($B$4*3/10))^4-B359^4)/4,0)+IF(C359&gt;($B$4*3/10),($B$4*3/10)^2*(1.5*(C359^2-MAX(B359,($B$4*3/10))^2)-($B$4*3/10)*(C359-MAX(B359,($B$4*3/10)))),0))*1000,0)</f>
        <v>0</v>
      </c>
      <c r="AE359" s="120">
        <f>IF(AND(J359="OK",ISNUMBER($B$5),$B$5&gt;0,ISNUMBER($B$3),$B$3&gt;0),F359/(6*$B$3*1000000*$B$5)*(IF(B359&lt;($B$4*4/10),($B$4*4/10)*(MIN(C359,($B$4*4/10))^3-B359^3)-(MIN(C359,($B$4*4/10))^4-B359^4)/4,0)+IF(C359&gt;($B$4*4/10),($B$4*4/10)^2*(1.5*(C359^2-MAX(B359,($B$4*4/10))^2)-($B$4*4/10)*(C359-MAX(B359,($B$4*4/10)))),0))*1000,0)</f>
        <v>0</v>
      </c>
      <c r="AF359" s="120">
        <f>IF(AND(J359="OK",ISNUMBER($B$5),$B$5&gt;0,ISNUMBER($B$3),$B$3&gt;0),F359/(6*$B$3*1000000*$B$5)*(IF(B359&lt;($B$4*5/10),($B$4*5/10)*(MIN(C359,($B$4*5/10))^3-B359^3)-(MIN(C359,($B$4*5/10))^4-B359^4)/4,0)+IF(C359&gt;($B$4*5/10),($B$4*5/10)^2*(1.5*(C359^2-MAX(B359,($B$4*5/10))^2)-($B$4*5/10)*(C359-MAX(B359,($B$4*5/10)))),0))*1000,0)</f>
        <v>0</v>
      </c>
      <c r="AG359" s="120">
        <f>IF(AND(J359="OK",ISNUMBER($B$5),$B$5&gt;0,ISNUMBER($B$3),$B$3&gt;0),F359/(6*$B$3*1000000*$B$5)*(IF(B359&lt;($B$4*6/10),($B$4*6/10)*(MIN(C359,($B$4*6/10))^3-B359^3)-(MIN(C359,($B$4*6/10))^4-B359^4)/4,0)+IF(C359&gt;($B$4*6/10),($B$4*6/10)^2*(1.5*(C359^2-MAX(B359,($B$4*6/10))^2)-($B$4*6/10)*(C359-MAX(B359,($B$4*6/10)))),0))*1000,0)</f>
        <v>0</v>
      </c>
      <c r="AH359" s="120">
        <f>IF(AND(J359="OK",ISNUMBER($B$5),$B$5&gt;0,ISNUMBER($B$3),$B$3&gt;0),F359/(6*$B$3*1000000*$B$5)*(IF(B359&lt;($B$4*7/10),($B$4*7/10)*(MIN(C359,($B$4*7/10))^3-B359^3)-(MIN(C359,($B$4*7/10))^4-B359^4)/4,0)+IF(C359&gt;($B$4*7/10),($B$4*7/10)^2*(1.5*(C359^2-MAX(B359,($B$4*7/10))^2)-($B$4*7/10)*(C359-MAX(B359,($B$4*7/10)))),0))*1000,0)</f>
        <v>0</v>
      </c>
      <c r="AI359" s="120">
        <f>IF(AND(J359="OK",ISNUMBER($B$5),$B$5&gt;0,ISNUMBER($B$3),$B$3&gt;0),F359/(6*$B$3*1000000*$B$5)*(IF(B359&lt;($B$4*8/10),($B$4*8/10)*(MIN(C359,($B$4*8/10))^3-B359^3)-(MIN(C359,($B$4*8/10))^4-B359^4)/4,0)+IF(C359&gt;($B$4*8/10),($B$4*8/10)^2*(1.5*(C359^2-MAX(B359,($B$4*8/10))^2)-($B$4*8/10)*(C359-MAX(B359,($B$4*8/10)))),0))*1000,0)</f>
        <v>0</v>
      </c>
      <c r="AJ359" s="120">
        <f>IF(AND(J359="OK",ISNUMBER($B$5),$B$5&gt;0,ISNUMBER($B$3),$B$3&gt;0),F359/(6*$B$3*1000000*$B$5)*(IF(B359&lt;($B$4*9/10),($B$4*9/10)*(MIN(C359,($B$4*9/10))^3-B359^3)-(MIN(C359,($B$4*9/10))^4-B359^4)/4,0)+IF(C359&gt;($B$4*9/10),($B$4*9/10)^2*(1.5*(C359^2-MAX(B359,($B$4*9/10))^2)-($B$4*9/10)*(C359-MAX(B359,($B$4*9/10)))),0))*1000,0)</f>
        <v>0</v>
      </c>
      <c r="AK359" s="120">
        <f>IF(AND(J359="OK",ISNUMBER($B$5),$B$5&gt;0,ISNUMBER($B$3),$B$3&gt;0),F359/(6*$B$3*1000000*$B$5)*(IF(B359&lt;($B$4*10/10),($B$4*10/10)*(MIN(C359,($B$4*10/10))^3-B359^3)-(MIN(C359,($B$4*10/10))^4-B359^4)/4,0)+IF(C359&gt;($B$4*10/10),($B$4*10/10)^2*(1.5*(C359^2-MAX(B359,($B$4*10/10))^2)-($B$4*10/10)*(C359-MAX(B359,($B$4*10/10)))),0))*1000,0)</f>
        <v>0</v>
      </c>
      <c r="AM359" s="120">
        <f>IF(AND(V359="OK",ISNUMBER($N$5),$N$5&gt;0,ISNUMBER($N$3),$N$3&gt;0),R359/(6*$N$3*1000000*$N$5)*(IF(N359&lt;($N$4*0/10),($N$4*0/10)*(MIN(O359,($N$4*0/10))^3-N359^3)-(MIN(O359,($N$4*0/10))^4-N359^4)/4,0)+IF(O359&gt;($N$4*0/10),($N$4*0/10)^2*(1.5*(O359^2-MAX(N359,($N$4*0/10))^2)-($N$4*0/10)*(O359-MAX(N359,($N$4*0/10)))),0))*1000,0)</f>
        <v>0</v>
      </c>
      <c r="AN359" s="120">
        <f>IF(AND(V359="OK",ISNUMBER($N$5),$N$5&gt;0,ISNUMBER($N$3),$N$3&gt;0),R359/(6*$N$3*1000000*$N$5)*(IF(N359&lt;($N$4*1/10),($N$4*1/10)*(MIN(O359,($N$4*1/10))^3-N359^3)-(MIN(O359,($N$4*1/10))^4-N359^4)/4,0)+IF(O359&gt;($N$4*1/10),($N$4*1/10)^2*(1.5*(O359^2-MAX(N359,($N$4*1/10))^2)-($N$4*1/10)*(O359-MAX(N359,($N$4*1/10)))),0))*1000,0)</f>
        <v>0</v>
      </c>
      <c r="AO359" s="120">
        <f>IF(AND(V359="OK",ISNUMBER($N$5),$N$5&gt;0,ISNUMBER($N$3),$N$3&gt;0),R359/(6*$N$3*1000000*$N$5)*(IF(N359&lt;($N$4*2/10),($N$4*2/10)*(MIN(O359,($N$4*2/10))^3-N359^3)-(MIN(O359,($N$4*2/10))^4-N359^4)/4,0)+IF(O359&gt;($N$4*2/10),($N$4*2/10)^2*(1.5*(O359^2-MAX(N359,($N$4*2/10))^2)-($N$4*2/10)*(O359-MAX(N359,($N$4*2/10)))),0))*1000,0)</f>
        <v>0</v>
      </c>
      <c r="AP359" s="120">
        <f>IF(AND(V359="OK",ISNUMBER($N$5),$N$5&gt;0,ISNUMBER($N$3),$N$3&gt;0),R359/(6*$N$3*1000000*$N$5)*(IF(N359&lt;($N$4*3/10),($N$4*3/10)*(MIN(O359,($N$4*3/10))^3-N359^3)-(MIN(O359,($N$4*3/10))^4-N359^4)/4,0)+IF(O359&gt;($N$4*3/10),($N$4*3/10)^2*(1.5*(O359^2-MAX(N359,($N$4*3/10))^2)-($N$4*3/10)*(O359-MAX(N359,($N$4*3/10)))),0))*1000,0)</f>
        <v>0</v>
      </c>
      <c r="AQ359" s="120">
        <f>IF(AND(V359="OK",ISNUMBER($N$5),$N$5&gt;0,ISNUMBER($N$3),$N$3&gt;0),R359/(6*$N$3*1000000*$N$5)*(IF(N359&lt;($N$4*4/10),($N$4*4/10)*(MIN(O359,($N$4*4/10))^3-N359^3)-(MIN(O359,($N$4*4/10))^4-N359^4)/4,0)+IF(O359&gt;($N$4*4/10),($N$4*4/10)^2*(1.5*(O359^2-MAX(N359,($N$4*4/10))^2)-($N$4*4/10)*(O359-MAX(N359,($N$4*4/10)))),0))*1000,0)</f>
        <v>0</v>
      </c>
      <c r="AR359" s="120">
        <f>IF(AND(V359="OK",ISNUMBER($N$5),$N$5&gt;0,ISNUMBER($N$3),$N$3&gt;0),R359/(6*$N$3*1000000*$N$5)*(IF(N359&lt;($N$4*5/10),($N$4*5/10)*(MIN(O359,($N$4*5/10))^3-N359^3)-(MIN(O359,($N$4*5/10))^4-N359^4)/4,0)+IF(O359&gt;($N$4*5/10),($N$4*5/10)^2*(1.5*(O359^2-MAX(N359,($N$4*5/10))^2)-($N$4*5/10)*(O359-MAX(N359,($N$4*5/10)))),0))*1000,0)</f>
        <v>0</v>
      </c>
      <c r="AS359" s="120">
        <f>IF(AND(V359="OK",ISNUMBER($N$5),$N$5&gt;0,ISNUMBER($N$3),$N$3&gt;0),R359/(6*$N$3*1000000*$N$5)*(IF(N359&lt;($N$4*6/10),($N$4*6/10)*(MIN(O359,($N$4*6/10))^3-N359^3)-(MIN(O359,($N$4*6/10))^4-N359^4)/4,0)+IF(O359&gt;($N$4*6/10),($N$4*6/10)^2*(1.5*(O359^2-MAX(N359,($N$4*6/10))^2)-($N$4*6/10)*(O359-MAX(N359,($N$4*6/10)))),0))*1000,0)</f>
        <v>0</v>
      </c>
      <c r="AT359" s="120">
        <f>IF(AND(V359="OK",ISNUMBER($N$5),$N$5&gt;0,ISNUMBER($N$3),$N$3&gt;0),R359/(6*$N$3*1000000*$N$5)*(IF(N359&lt;($N$4*7/10),($N$4*7/10)*(MIN(O359,($N$4*7/10))^3-N359^3)-(MIN(O359,($N$4*7/10))^4-N359^4)/4,0)+IF(O359&gt;($N$4*7/10),($N$4*7/10)^2*(1.5*(O359^2-MAX(N359,($N$4*7/10))^2)-($N$4*7/10)*(O359-MAX(N359,($N$4*7/10)))),0))*1000,0)</f>
        <v>0</v>
      </c>
      <c r="AU359" s="120">
        <f>IF(AND(V359="OK",ISNUMBER($N$5),$N$5&gt;0,ISNUMBER($N$3),$N$3&gt;0),R359/(6*$N$3*1000000*$N$5)*(IF(N359&lt;($N$4*8/10),($N$4*8/10)*(MIN(O359,($N$4*8/10))^3-N359^3)-(MIN(O359,($N$4*8/10))^4-N359^4)/4,0)+IF(O359&gt;($N$4*8/10),($N$4*8/10)^2*(1.5*(O359^2-MAX(N359,($N$4*8/10))^2)-($N$4*8/10)*(O359-MAX(N359,($N$4*8/10)))),0))*1000,0)</f>
        <v>0</v>
      </c>
      <c r="AV359" s="120">
        <f>IF(AND(V359="OK",ISNUMBER($N$5),$N$5&gt;0,ISNUMBER($N$3),$N$3&gt;0),R359/(6*$N$3*1000000*$N$5)*(IF(N359&lt;($N$4*9/10),($N$4*9/10)*(MIN(O359,($N$4*9/10))^3-N359^3)-(MIN(O359,($N$4*9/10))^4-N359^4)/4,0)+IF(O359&gt;($N$4*9/10),($N$4*9/10)^2*(1.5*(O359^2-MAX(N359,($N$4*9/10))^2)-($N$4*9/10)*(O359-MAX(N359,($N$4*9/10)))),0))*1000,0)</f>
        <v>0</v>
      </c>
      <c r="AW359" s="120">
        <f>IF(AND(V359="OK",ISNUMBER($N$5),$N$5&gt;0,ISNUMBER($N$3),$N$3&gt;0),R359/(6*$N$3*1000000*$N$5)*(IF(N359&lt;($N$4*10/10),($N$4*10/10)*(MIN(O359,($N$4*10/10))^3-N359^3)-(MIN(O359,($N$4*10/10))^4-N359^4)/4,0)+IF(O359&gt;($N$4*10/10),($N$4*10/10)^2*(1.5*(O359^2-MAX(N359,($N$4*10/10))^2)-($N$4*10/10)*(O359-MAX(N359,($N$4*10/10)))),0))*1000,0)</f>
        <v>0</v>
      </c>
    </row>
    <row r="360" spans="1:49">
      <c r="A360" s="124"/>
      <c r="B360" s="125"/>
      <c r="C360" s="125"/>
      <c r="D360" s="125"/>
      <c r="E360" s="125"/>
      <c r="F360" s="126" t="str">
        <f>IF(J360="OK",D360*E360,"")</f>
        <v/>
      </c>
      <c r="G360" s="126" t="str">
        <f>IF(J360="OK",F360*(C360-B360),"")</f>
        <v/>
      </c>
      <c r="H360" s="126" t="str">
        <f>IF(J360="OK",G360*(C360+B360)/2,"")</f>
        <v/>
      </c>
      <c r="I360" s="126" t="str">
        <f>IF(AND(J360="OK",ISNUMBER($B$5),$B$5&gt;0,ISNUMBER($B$3),$B$3&gt;0),F360*(4*$B$4*(C360^3-B360^3)-(C360^4-B360^4))/(24*$B$3*1000000*$B$5)*1000,"")</f>
        <v/>
      </c>
      <c r="J360" s="120" t="str">
        <f>IF(COUNTA(A360:E360)=0,"",IF(AND(COUNT(B360:E360)=4,B360&gt;=0,C360&gt;B360,C360&lt;=$B$4,D360&gt;=0,E360&gt;0),IF(COUNTIFS($B$13:$B$359,"&lt;"&amp;C360,$C$13:$C$359,"&gt;"&amp;B360)&gt;0,"OVERLAP","OK"),"CHECK INPUTS"))</f>
        <v/>
      </c>
      <c r="M360" s="124"/>
      <c r="N360" s="125"/>
      <c r="O360" s="125"/>
      <c r="P360" s="125"/>
      <c r="Q360" s="125"/>
      <c r="R360" s="126" t="str">
        <f>IF(V360="OK",P360*Q360,"")</f>
        <v/>
      </c>
      <c r="S360" s="126" t="str">
        <f>IF(V360="OK",R360*(O360-N360),"")</f>
        <v/>
      </c>
      <c r="T360" s="126" t="str">
        <f>IF(V360="OK",S360*(O360+N360)/2,"")</f>
        <v/>
      </c>
      <c r="U360" s="126" t="str">
        <f>IF(AND(V360="OK",ISNUMBER($N$5),$N$5&gt;0,ISNUMBER($N$3),$N$3&gt;0),R360*(4*$N$4*(O360^3-N360^3)-(O360^4-N360^4))/(24*$N$3*1000000*$N$5)*1000,"")</f>
        <v/>
      </c>
      <c r="V360" s="120" t="str">
        <f>IF(COUNTA(M360:Q360)=0,"",IF(AND(COUNT(N360:Q360)=4,N360&gt;=0,O360&gt;N360,O360&lt;=$N$4,P360&gt;=0,Q360&gt;0),IF(COUNTIFS($N$13:$N$359,"&lt;"&amp;O360,$O$13:$O$359,"&gt;"&amp;N360)&gt;0,"OVERLAP","OK"),"CHECK INPUTS"))</f>
        <v/>
      </c>
      <c r="AA360" s="120">
        <f>IF(AND(J360="OK",ISNUMBER($B$5),$B$5&gt;0,ISNUMBER($B$3),$B$3&gt;0),F360/(6*$B$3*1000000*$B$5)*(IF(B360&lt;($B$4*0/10),($B$4*0/10)*(MIN(C360,($B$4*0/10))^3-B360^3)-(MIN(C360,($B$4*0/10))^4-B360^4)/4,0)+IF(C360&gt;($B$4*0/10),($B$4*0/10)^2*(1.5*(C360^2-MAX(B360,($B$4*0/10))^2)-($B$4*0/10)*(C360-MAX(B360,($B$4*0/10)))),0))*1000,0)</f>
        <v>0</v>
      </c>
      <c r="AB360" s="120">
        <f>IF(AND(J360="OK",ISNUMBER($B$5),$B$5&gt;0,ISNUMBER($B$3),$B$3&gt;0),F360/(6*$B$3*1000000*$B$5)*(IF(B360&lt;($B$4*1/10),($B$4*1/10)*(MIN(C360,($B$4*1/10))^3-B360^3)-(MIN(C360,($B$4*1/10))^4-B360^4)/4,0)+IF(C360&gt;($B$4*1/10),($B$4*1/10)^2*(1.5*(C360^2-MAX(B360,($B$4*1/10))^2)-($B$4*1/10)*(C360-MAX(B360,($B$4*1/10)))),0))*1000,0)</f>
        <v>0</v>
      </c>
      <c r="AC360" s="120">
        <f>IF(AND(J360="OK",ISNUMBER($B$5),$B$5&gt;0,ISNUMBER($B$3),$B$3&gt;0),F360/(6*$B$3*1000000*$B$5)*(IF(B360&lt;($B$4*2/10),($B$4*2/10)*(MIN(C360,($B$4*2/10))^3-B360^3)-(MIN(C360,($B$4*2/10))^4-B360^4)/4,0)+IF(C360&gt;($B$4*2/10),($B$4*2/10)^2*(1.5*(C360^2-MAX(B360,($B$4*2/10))^2)-($B$4*2/10)*(C360-MAX(B360,($B$4*2/10)))),0))*1000,0)</f>
        <v>0</v>
      </c>
      <c r="AD360" s="120">
        <f>IF(AND(J360="OK",ISNUMBER($B$5),$B$5&gt;0,ISNUMBER($B$3),$B$3&gt;0),F360/(6*$B$3*1000000*$B$5)*(IF(B360&lt;($B$4*3/10),($B$4*3/10)*(MIN(C360,($B$4*3/10))^3-B360^3)-(MIN(C360,($B$4*3/10))^4-B360^4)/4,0)+IF(C360&gt;($B$4*3/10),($B$4*3/10)^2*(1.5*(C360^2-MAX(B360,($B$4*3/10))^2)-($B$4*3/10)*(C360-MAX(B360,($B$4*3/10)))),0))*1000,0)</f>
        <v>0</v>
      </c>
      <c r="AE360" s="120">
        <f>IF(AND(J360="OK",ISNUMBER($B$5),$B$5&gt;0,ISNUMBER($B$3),$B$3&gt;0),F360/(6*$B$3*1000000*$B$5)*(IF(B360&lt;($B$4*4/10),($B$4*4/10)*(MIN(C360,($B$4*4/10))^3-B360^3)-(MIN(C360,($B$4*4/10))^4-B360^4)/4,0)+IF(C360&gt;($B$4*4/10),($B$4*4/10)^2*(1.5*(C360^2-MAX(B360,($B$4*4/10))^2)-($B$4*4/10)*(C360-MAX(B360,($B$4*4/10)))),0))*1000,0)</f>
        <v>0</v>
      </c>
      <c r="AF360" s="120">
        <f>IF(AND(J360="OK",ISNUMBER($B$5),$B$5&gt;0,ISNUMBER($B$3),$B$3&gt;0),F360/(6*$B$3*1000000*$B$5)*(IF(B360&lt;($B$4*5/10),($B$4*5/10)*(MIN(C360,($B$4*5/10))^3-B360^3)-(MIN(C360,($B$4*5/10))^4-B360^4)/4,0)+IF(C360&gt;($B$4*5/10),($B$4*5/10)^2*(1.5*(C360^2-MAX(B360,($B$4*5/10))^2)-($B$4*5/10)*(C360-MAX(B360,($B$4*5/10)))),0))*1000,0)</f>
        <v>0</v>
      </c>
      <c r="AG360" s="120">
        <f>IF(AND(J360="OK",ISNUMBER($B$5),$B$5&gt;0,ISNUMBER($B$3),$B$3&gt;0),F360/(6*$B$3*1000000*$B$5)*(IF(B360&lt;($B$4*6/10),($B$4*6/10)*(MIN(C360,($B$4*6/10))^3-B360^3)-(MIN(C360,($B$4*6/10))^4-B360^4)/4,0)+IF(C360&gt;($B$4*6/10),($B$4*6/10)^2*(1.5*(C360^2-MAX(B360,($B$4*6/10))^2)-($B$4*6/10)*(C360-MAX(B360,($B$4*6/10)))),0))*1000,0)</f>
        <v>0</v>
      </c>
      <c r="AH360" s="120">
        <f>IF(AND(J360="OK",ISNUMBER($B$5),$B$5&gt;0,ISNUMBER($B$3),$B$3&gt;0),F360/(6*$B$3*1000000*$B$5)*(IF(B360&lt;($B$4*7/10),($B$4*7/10)*(MIN(C360,($B$4*7/10))^3-B360^3)-(MIN(C360,($B$4*7/10))^4-B360^4)/4,0)+IF(C360&gt;($B$4*7/10),($B$4*7/10)^2*(1.5*(C360^2-MAX(B360,($B$4*7/10))^2)-($B$4*7/10)*(C360-MAX(B360,($B$4*7/10)))),0))*1000,0)</f>
        <v>0</v>
      </c>
      <c r="AI360" s="120">
        <f>IF(AND(J360="OK",ISNUMBER($B$5),$B$5&gt;0,ISNUMBER($B$3),$B$3&gt;0),F360/(6*$B$3*1000000*$B$5)*(IF(B360&lt;($B$4*8/10),($B$4*8/10)*(MIN(C360,($B$4*8/10))^3-B360^3)-(MIN(C360,($B$4*8/10))^4-B360^4)/4,0)+IF(C360&gt;($B$4*8/10),($B$4*8/10)^2*(1.5*(C360^2-MAX(B360,($B$4*8/10))^2)-($B$4*8/10)*(C360-MAX(B360,($B$4*8/10)))),0))*1000,0)</f>
        <v>0</v>
      </c>
      <c r="AJ360" s="120">
        <f>IF(AND(J360="OK",ISNUMBER($B$5),$B$5&gt;0,ISNUMBER($B$3),$B$3&gt;0),F360/(6*$B$3*1000000*$B$5)*(IF(B360&lt;($B$4*9/10),($B$4*9/10)*(MIN(C360,($B$4*9/10))^3-B360^3)-(MIN(C360,($B$4*9/10))^4-B360^4)/4,0)+IF(C360&gt;($B$4*9/10),($B$4*9/10)^2*(1.5*(C360^2-MAX(B360,($B$4*9/10))^2)-($B$4*9/10)*(C360-MAX(B360,($B$4*9/10)))),0))*1000,0)</f>
        <v>0</v>
      </c>
      <c r="AK360" s="120">
        <f>IF(AND(J360="OK",ISNUMBER($B$5),$B$5&gt;0,ISNUMBER($B$3),$B$3&gt;0),F360/(6*$B$3*1000000*$B$5)*(IF(B360&lt;($B$4*10/10),($B$4*10/10)*(MIN(C360,($B$4*10/10))^3-B360^3)-(MIN(C360,($B$4*10/10))^4-B360^4)/4,0)+IF(C360&gt;($B$4*10/10),($B$4*10/10)^2*(1.5*(C360^2-MAX(B360,($B$4*10/10))^2)-($B$4*10/10)*(C360-MAX(B360,($B$4*10/10)))),0))*1000,0)</f>
        <v>0</v>
      </c>
      <c r="AM360" s="120">
        <f>IF(AND(V360="OK",ISNUMBER($N$5),$N$5&gt;0,ISNUMBER($N$3),$N$3&gt;0),R360/(6*$N$3*1000000*$N$5)*(IF(N360&lt;($N$4*0/10),($N$4*0/10)*(MIN(O360,($N$4*0/10))^3-N360^3)-(MIN(O360,($N$4*0/10))^4-N360^4)/4,0)+IF(O360&gt;($N$4*0/10),($N$4*0/10)^2*(1.5*(O360^2-MAX(N360,($N$4*0/10))^2)-($N$4*0/10)*(O360-MAX(N360,($N$4*0/10)))),0))*1000,0)</f>
        <v>0</v>
      </c>
      <c r="AN360" s="120">
        <f>IF(AND(V360="OK",ISNUMBER($N$5),$N$5&gt;0,ISNUMBER($N$3),$N$3&gt;0),R360/(6*$N$3*1000000*$N$5)*(IF(N360&lt;($N$4*1/10),($N$4*1/10)*(MIN(O360,($N$4*1/10))^3-N360^3)-(MIN(O360,($N$4*1/10))^4-N360^4)/4,0)+IF(O360&gt;($N$4*1/10),($N$4*1/10)^2*(1.5*(O360^2-MAX(N360,($N$4*1/10))^2)-($N$4*1/10)*(O360-MAX(N360,($N$4*1/10)))),0))*1000,0)</f>
        <v>0</v>
      </c>
      <c r="AO360" s="120">
        <f>IF(AND(V360="OK",ISNUMBER($N$5),$N$5&gt;0,ISNUMBER($N$3),$N$3&gt;0),R360/(6*$N$3*1000000*$N$5)*(IF(N360&lt;($N$4*2/10),($N$4*2/10)*(MIN(O360,($N$4*2/10))^3-N360^3)-(MIN(O360,($N$4*2/10))^4-N360^4)/4,0)+IF(O360&gt;($N$4*2/10),($N$4*2/10)^2*(1.5*(O360^2-MAX(N360,($N$4*2/10))^2)-($N$4*2/10)*(O360-MAX(N360,($N$4*2/10)))),0))*1000,0)</f>
        <v>0</v>
      </c>
      <c r="AP360" s="120">
        <f>IF(AND(V360="OK",ISNUMBER($N$5),$N$5&gt;0,ISNUMBER($N$3),$N$3&gt;0),R360/(6*$N$3*1000000*$N$5)*(IF(N360&lt;($N$4*3/10),($N$4*3/10)*(MIN(O360,($N$4*3/10))^3-N360^3)-(MIN(O360,($N$4*3/10))^4-N360^4)/4,0)+IF(O360&gt;($N$4*3/10),($N$4*3/10)^2*(1.5*(O360^2-MAX(N360,($N$4*3/10))^2)-($N$4*3/10)*(O360-MAX(N360,($N$4*3/10)))),0))*1000,0)</f>
        <v>0</v>
      </c>
      <c r="AQ360" s="120">
        <f>IF(AND(V360="OK",ISNUMBER($N$5),$N$5&gt;0,ISNUMBER($N$3),$N$3&gt;0),R360/(6*$N$3*1000000*$N$5)*(IF(N360&lt;($N$4*4/10),($N$4*4/10)*(MIN(O360,($N$4*4/10))^3-N360^3)-(MIN(O360,($N$4*4/10))^4-N360^4)/4,0)+IF(O360&gt;($N$4*4/10),($N$4*4/10)^2*(1.5*(O360^2-MAX(N360,($N$4*4/10))^2)-($N$4*4/10)*(O360-MAX(N360,($N$4*4/10)))),0))*1000,0)</f>
        <v>0</v>
      </c>
      <c r="AR360" s="120">
        <f>IF(AND(V360="OK",ISNUMBER($N$5),$N$5&gt;0,ISNUMBER($N$3),$N$3&gt;0),R360/(6*$N$3*1000000*$N$5)*(IF(N360&lt;($N$4*5/10),($N$4*5/10)*(MIN(O360,($N$4*5/10))^3-N360^3)-(MIN(O360,($N$4*5/10))^4-N360^4)/4,0)+IF(O360&gt;($N$4*5/10),($N$4*5/10)^2*(1.5*(O360^2-MAX(N360,($N$4*5/10))^2)-($N$4*5/10)*(O360-MAX(N360,($N$4*5/10)))),0))*1000,0)</f>
        <v>0</v>
      </c>
      <c r="AS360" s="120">
        <f>IF(AND(V360="OK",ISNUMBER($N$5),$N$5&gt;0,ISNUMBER($N$3),$N$3&gt;0),R360/(6*$N$3*1000000*$N$5)*(IF(N360&lt;($N$4*6/10),($N$4*6/10)*(MIN(O360,($N$4*6/10))^3-N360^3)-(MIN(O360,($N$4*6/10))^4-N360^4)/4,0)+IF(O360&gt;($N$4*6/10),($N$4*6/10)^2*(1.5*(O360^2-MAX(N360,($N$4*6/10))^2)-($N$4*6/10)*(O360-MAX(N360,($N$4*6/10)))),0))*1000,0)</f>
        <v>0</v>
      </c>
      <c r="AT360" s="120">
        <f>IF(AND(V360="OK",ISNUMBER($N$5),$N$5&gt;0,ISNUMBER($N$3),$N$3&gt;0),R360/(6*$N$3*1000000*$N$5)*(IF(N360&lt;($N$4*7/10),($N$4*7/10)*(MIN(O360,($N$4*7/10))^3-N360^3)-(MIN(O360,($N$4*7/10))^4-N360^4)/4,0)+IF(O360&gt;($N$4*7/10),($N$4*7/10)^2*(1.5*(O360^2-MAX(N360,($N$4*7/10))^2)-($N$4*7/10)*(O360-MAX(N360,($N$4*7/10)))),0))*1000,0)</f>
        <v>0</v>
      </c>
      <c r="AU360" s="120">
        <f>IF(AND(V360="OK",ISNUMBER($N$5),$N$5&gt;0,ISNUMBER($N$3),$N$3&gt;0),R360/(6*$N$3*1000000*$N$5)*(IF(N360&lt;($N$4*8/10),($N$4*8/10)*(MIN(O360,($N$4*8/10))^3-N360^3)-(MIN(O360,($N$4*8/10))^4-N360^4)/4,0)+IF(O360&gt;($N$4*8/10),($N$4*8/10)^2*(1.5*(O360^2-MAX(N360,($N$4*8/10))^2)-($N$4*8/10)*(O360-MAX(N360,($N$4*8/10)))),0))*1000,0)</f>
        <v>0</v>
      </c>
      <c r="AV360" s="120">
        <f>IF(AND(V360="OK",ISNUMBER($N$5),$N$5&gt;0,ISNUMBER($N$3),$N$3&gt;0),R360/(6*$N$3*1000000*$N$5)*(IF(N360&lt;($N$4*9/10),($N$4*9/10)*(MIN(O360,($N$4*9/10))^3-N360^3)-(MIN(O360,($N$4*9/10))^4-N360^4)/4,0)+IF(O360&gt;($N$4*9/10),($N$4*9/10)^2*(1.5*(O360^2-MAX(N360,($N$4*9/10))^2)-($N$4*9/10)*(O360-MAX(N360,($N$4*9/10)))),0))*1000,0)</f>
        <v>0</v>
      </c>
      <c r="AW360" s="120">
        <f>IF(AND(V360="OK",ISNUMBER($N$5),$N$5&gt;0,ISNUMBER($N$3),$N$3&gt;0),R360/(6*$N$3*1000000*$N$5)*(IF(N360&lt;($N$4*10/10),($N$4*10/10)*(MIN(O360,($N$4*10/10))^3-N360^3)-(MIN(O360,($N$4*10/10))^4-N360^4)/4,0)+IF(O360&gt;($N$4*10/10),($N$4*10/10)^2*(1.5*(O360^2-MAX(N360,($N$4*10/10))^2)-($N$4*10/10)*(O360-MAX(N360,($N$4*10/10)))),0))*1000,0)</f>
        <v>0</v>
      </c>
    </row>
    <row r="361" spans="1:49">
      <c r="A361" s="124"/>
      <c r="B361" s="125"/>
      <c r="C361" s="125"/>
      <c r="D361" s="125"/>
      <c r="E361" s="125"/>
      <c r="F361" s="126" t="str">
        <f>IF(J361="OK",D361*E361,"")</f>
        <v/>
      </c>
      <c r="G361" s="126" t="str">
        <f>IF(J361="OK",F361*(C361-B361),"")</f>
        <v/>
      </c>
      <c r="H361" s="126" t="str">
        <f>IF(J361="OK",G361*(C361+B361)/2,"")</f>
        <v/>
      </c>
      <c r="I361" s="126" t="str">
        <f>IF(AND(J361="OK",ISNUMBER($B$5),$B$5&gt;0,ISNUMBER($B$3),$B$3&gt;0),F361*(4*$B$4*(C361^3-B361^3)-(C361^4-B361^4))/(24*$B$3*1000000*$B$5)*1000,"")</f>
        <v/>
      </c>
      <c r="J361" s="120" t="str">
        <f>IF(COUNTA(A361:E361)=0,"",IF(AND(COUNT(B361:E361)=4,B361&gt;=0,C361&gt;B361,C361&lt;=$B$4,D361&gt;=0,E361&gt;0),IF(COUNTIFS($B$13:$B$360,"&lt;"&amp;C361,$C$13:$C$360,"&gt;"&amp;B361)&gt;0,"OVERLAP","OK"),"CHECK INPUTS"))</f>
        <v/>
      </c>
      <c r="M361" s="124"/>
      <c r="N361" s="125"/>
      <c r="O361" s="125"/>
      <c r="P361" s="125"/>
      <c r="Q361" s="125"/>
      <c r="R361" s="126" t="str">
        <f>IF(V361="OK",P361*Q361,"")</f>
        <v/>
      </c>
      <c r="S361" s="126" t="str">
        <f>IF(V361="OK",R361*(O361-N361),"")</f>
        <v/>
      </c>
      <c r="T361" s="126" t="str">
        <f>IF(V361="OK",S361*(O361+N361)/2,"")</f>
        <v/>
      </c>
      <c r="U361" s="126" t="str">
        <f>IF(AND(V361="OK",ISNUMBER($N$5),$N$5&gt;0,ISNUMBER($N$3),$N$3&gt;0),R361*(4*$N$4*(O361^3-N361^3)-(O361^4-N361^4))/(24*$N$3*1000000*$N$5)*1000,"")</f>
        <v/>
      </c>
      <c r="V361" s="120" t="str">
        <f>IF(COUNTA(M361:Q361)=0,"",IF(AND(COUNT(N361:Q361)=4,N361&gt;=0,O361&gt;N361,O361&lt;=$N$4,P361&gt;=0,Q361&gt;0),IF(COUNTIFS($N$13:$N$360,"&lt;"&amp;O361,$O$13:$O$360,"&gt;"&amp;N361)&gt;0,"OVERLAP","OK"),"CHECK INPUTS"))</f>
        <v/>
      </c>
      <c r="AA361" s="120">
        <f>IF(AND(J361="OK",ISNUMBER($B$5),$B$5&gt;0,ISNUMBER($B$3),$B$3&gt;0),F361/(6*$B$3*1000000*$B$5)*(IF(B361&lt;($B$4*0/10),($B$4*0/10)*(MIN(C361,($B$4*0/10))^3-B361^3)-(MIN(C361,($B$4*0/10))^4-B361^4)/4,0)+IF(C361&gt;($B$4*0/10),($B$4*0/10)^2*(1.5*(C361^2-MAX(B361,($B$4*0/10))^2)-($B$4*0/10)*(C361-MAX(B361,($B$4*0/10)))),0))*1000,0)</f>
        <v>0</v>
      </c>
      <c r="AB361" s="120">
        <f>IF(AND(J361="OK",ISNUMBER($B$5),$B$5&gt;0,ISNUMBER($B$3),$B$3&gt;0),F361/(6*$B$3*1000000*$B$5)*(IF(B361&lt;($B$4*1/10),($B$4*1/10)*(MIN(C361,($B$4*1/10))^3-B361^3)-(MIN(C361,($B$4*1/10))^4-B361^4)/4,0)+IF(C361&gt;($B$4*1/10),($B$4*1/10)^2*(1.5*(C361^2-MAX(B361,($B$4*1/10))^2)-($B$4*1/10)*(C361-MAX(B361,($B$4*1/10)))),0))*1000,0)</f>
        <v>0</v>
      </c>
      <c r="AC361" s="120">
        <f>IF(AND(J361="OK",ISNUMBER($B$5),$B$5&gt;0,ISNUMBER($B$3),$B$3&gt;0),F361/(6*$B$3*1000000*$B$5)*(IF(B361&lt;($B$4*2/10),($B$4*2/10)*(MIN(C361,($B$4*2/10))^3-B361^3)-(MIN(C361,($B$4*2/10))^4-B361^4)/4,0)+IF(C361&gt;($B$4*2/10),($B$4*2/10)^2*(1.5*(C361^2-MAX(B361,($B$4*2/10))^2)-($B$4*2/10)*(C361-MAX(B361,($B$4*2/10)))),0))*1000,0)</f>
        <v>0</v>
      </c>
      <c r="AD361" s="120">
        <f>IF(AND(J361="OK",ISNUMBER($B$5),$B$5&gt;0,ISNUMBER($B$3),$B$3&gt;0),F361/(6*$B$3*1000000*$B$5)*(IF(B361&lt;($B$4*3/10),($B$4*3/10)*(MIN(C361,($B$4*3/10))^3-B361^3)-(MIN(C361,($B$4*3/10))^4-B361^4)/4,0)+IF(C361&gt;($B$4*3/10),($B$4*3/10)^2*(1.5*(C361^2-MAX(B361,($B$4*3/10))^2)-($B$4*3/10)*(C361-MAX(B361,($B$4*3/10)))),0))*1000,0)</f>
        <v>0</v>
      </c>
      <c r="AE361" s="120">
        <f>IF(AND(J361="OK",ISNUMBER($B$5),$B$5&gt;0,ISNUMBER($B$3),$B$3&gt;0),F361/(6*$B$3*1000000*$B$5)*(IF(B361&lt;($B$4*4/10),($B$4*4/10)*(MIN(C361,($B$4*4/10))^3-B361^3)-(MIN(C361,($B$4*4/10))^4-B361^4)/4,0)+IF(C361&gt;($B$4*4/10),($B$4*4/10)^2*(1.5*(C361^2-MAX(B361,($B$4*4/10))^2)-($B$4*4/10)*(C361-MAX(B361,($B$4*4/10)))),0))*1000,0)</f>
        <v>0</v>
      </c>
      <c r="AF361" s="120">
        <f>IF(AND(J361="OK",ISNUMBER($B$5),$B$5&gt;0,ISNUMBER($B$3),$B$3&gt;0),F361/(6*$B$3*1000000*$B$5)*(IF(B361&lt;($B$4*5/10),($B$4*5/10)*(MIN(C361,($B$4*5/10))^3-B361^3)-(MIN(C361,($B$4*5/10))^4-B361^4)/4,0)+IF(C361&gt;($B$4*5/10),($B$4*5/10)^2*(1.5*(C361^2-MAX(B361,($B$4*5/10))^2)-($B$4*5/10)*(C361-MAX(B361,($B$4*5/10)))),0))*1000,0)</f>
        <v>0</v>
      </c>
      <c r="AG361" s="120">
        <f>IF(AND(J361="OK",ISNUMBER($B$5),$B$5&gt;0,ISNUMBER($B$3),$B$3&gt;0),F361/(6*$B$3*1000000*$B$5)*(IF(B361&lt;($B$4*6/10),($B$4*6/10)*(MIN(C361,($B$4*6/10))^3-B361^3)-(MIN(C361,($B$4*6/10))^4-B361^4)/4,0)+IF(C361&gt;($B$4*6/10),($B$4*6/10)^2*(1.5*(C361^2-MAX(B361,($B$4*6/10))^2)-($B$4*6/10)*(C361-MAX(B361,($B$4*6/10)))),0))*1000,0)</f>
        <v>0</v>
      </c>
      <c r="AH361" s="120">
        <f>IF(AND(J361="OK",ISNUMBER($B$5),$B$5&gt;0,ISNUMBER($B$3),$B$3&gt;0),F361/(6*$B$3*1000000*$B$5)*(IF(B361&lt;($B$4*7/10),($B$4*7/10)*(MIN(C361,($B$4*7/10))^3-B361^3)-(MIN(C361,($B$4*7/10))^4-B361^4)/4,0)+IF(C361&gt;($B$4*7/10),($B$4*7/10)^2*(1.5*(C361^2-MAX(B361,($B$4*7/10))^2)-($B$4*7/10)*(C361-MAX(B361,($B$4*7/10)))),0))*1000,0)</f>
        <v>0</v>
      </c>
      <c r="AI361" s="120">
        <f>IF(AND(J361="OK",ISNUMBER($B$5),$B$5&gt;0,ISNUMBER($B$3),$B$3&gt;0),F361/(6*$B$3*1000000*$B$5)*(IF(B361&lt;($B$4*8/10),($B$4*8/10)*(MIN(C361,($B$4*8/10))^3-B361^3)-(MIN(C361,($B$4*8/10))^4-B361^4)/4,0)+IF(C361&gt;($B$4*8/10),($B$4*8/10)^2*(1.5*(C361^2-MAX(B361,($B$4*8/10))^2)-($B$4*8/10)*(C361-MAX(B361,($B$4*8/10)))),0))*1000,0)</f>
        <v>0</v>
      </c>
      <c r="AJ361" s="120">
        <f>IF(AND(J361="OK",ISNUMBER($B$5),$B$5&gt;0,ISNUMBER($B$3),$B$3&gt;0),F361/(6*$B$3*1000000*$B$5)*(IF(B361&lt;($B$4*9/10),($B$4*9/10)*(MIN(C361,($B$4*9/10))^3-B361^3)-(MIN(C361,($B$4*9/10))^4-B361^4)/4,0)+IF(C361&gt;($B$4*9/10),($B$4*9/10)^2*(1.5*(C361^2-MAX(B361,($B$4*9/10))^2)-($B$4*9/10)*(C361-MAX(B361,($B$4*9/10)))),0))*1000,0)</f>
        <v>0</v>
      </c>
      <c r="AK361" s="120">
        <f>IF(AND(J361="OK",ISNUMBER($B$5),$B$5&gt;0,ISNUMBER($B$3),$B$3&gt;0),F361/(6*$B$3*1000000*$B$5)*(IF(B361&lt;($B$4*10/10),($B$4*10/10)*(MIN(C361,($B$4*10/10))^3-B361^3)-(MIN(C361,($B$4*10/10))^4-B361^4)/4,0)+IF(C361&gt;($B$4*10/10),($B$4*10/10)^2*(1.5*(C361^2-MAX(B361,($B$4*10/10))^2)-($B$4*10/10)*(C361-MAX(B361,($B$4*10/10)))),0))*1000,0)</f>
        <v>0</v>
      </c>
      <c r="AM361" s="120">
        <f>IF(AND(V361="OK",ISNUMBER($N$5),$N$5&gt;0,ISNUMBER($N$3),$N$3&gt;0),R361/(6*$N$3*1000000*$N$5)*(IF(N361&lt;($N$4*0/10),($N$4*0/10)*(MIN(O361,($N$4*0/10))^3-N361^3)-(MIN(O361,($N$4*0/10))^4-N361^4)/4,0)+IF(O361&gt;($N$4*0/10),($N$4*0/10)^2*(1.5*(O361^2-MAX(N361,($N$4*0/10))^2)-($N$4*0/10)*(O361-MAX(N361,($N$4*0/10)))),0))*1000,0)</f>
        <v>0</v>
      </c>
      <c r="AN361" s="120">
        <f>IF(AND(V361="OK",ISNUMBER($N$5),$N$5&gt;0,ISNUMBER($N$3),$N$3&gt;0),R361/(6*$N$3*1000000*$N$5)*(IF(N361&lt;($N$4*1/10),($N$4*1/10)*(MIN(O361,($N$4*1/10))^3-N361^3)-(MIN(O361,($N$4*1/10))^4-N361^4)/4,0)+IF(O361&gt;($N$4*1/10),($N$4*1/10)^2*(1.5*(O361^2-MAX(N361,($N$4*1/10))^2)-($N$4*1/10)*(O361-MAX(N361,($N$4*1/10)))),0))*1000,0)</f>
        <v>0</v>
      </c>
      <c r="AO361" s="120">
        <f>IF(AND(V361="OK",ISNUMBER($N$5),$N$5&gt;0,ISNUMBER($N$3),$N$3&gt;0),R361/(6*$N$3*1000000*$N$5)*(IF(N361&lt;($N$4*2/10),($N$4*2/10)*(MIN(O361,($N$4*2/10))^3-N361^3)-(MIN(O361,($N$4*2/10))^4-N361^4)/4,0)+IF(O361&gt;($N$4*2/10),($N$4*2/10)^2*(1.5*(O361^2-MAX(N361,($N$4*2/10))^2)-($N$4*2/10)*(O361-MAX(N361,($N$4*2/10)))),0))*1000,0)</f>
        <v>0</v>
      </c>
      <c r="AP361" s="120">
        <f>IF(AND(V361="OK",ISNUMBER($N$5),$N$5&gt;0,ISNUMBER($N$3),$N$3&gt;0),R361/(6*$N$3*1000000*$N$5)*(IF(N361&lt;($N$4*3/10),($N$4*3/10)*(MIN(O361,($N$4*3/10))^3-N361^3)-(MIN(O361,($N$4*3/10))^4-N361^4)/4,0)+IF(O361&gt;($N$4*3/10),($N$4*3/10)^2*(1.5*(O361^2-MAX(N361,($N$4*3/10))^2)-($N$4*3/10)*(O361-MAX(N361,($N$4*3/10)))),0))*1000,0)</f>
        <v>0</v>
      </c>
      <c r="AQ361" s="120">
        <f>IF(AND(V361="OK",ISNUMBER($N$5),$N$5&gt;0,ISNUMBER($N$3),$N$3&gt;0),R361/(6*$N$3*1000000*$N$5)*(IF(N361&lt;($N$4*4/10),($N$4*4/10)*(MIN(O361,($N$4*4/10))^3-N361^3)-(MIN(O361,($N$4*4/10))^4-N361^4)/4,0)+IF(O361&gt;($N$4*4/10),($N$4*4/10)^2*(1.5*(O361^2-MAX(N361,($N$4*4/10))^2)-($N$4*4/10)*(O361-MAX(N361,($N$4*4/10)))),0))*1000,0)</f>
        <v>0</v>
      </c>
      <c r="AR361" s="120">
        <f>IF(AND(V361="OK",ISNUMBER($N$5),$N$5&gt;0,ISNUMBER($N$3),$N$3&gt;0),R361/(6*$N$3*1000000*$N$5)*(IF(N361&lt;($N$4*5/10),($N$4*5/10)*(MIN(O361,($N$4*5/10))^3-N361^3)-(MIN(O361,($N$4*5/10))^4-N361^4)/4,0)+IF(O361&gt;($N$4*5/10),($N$4*5/10)^2*(1.5*(O361^2-MAX(N361,($N$4*5/10))^2)-($N$4*5/10)*(O361-MAX(N361,($N$4*5/10)))),0))*1000,0)</f>
        <v>0</v>
      </c>
      <c r="AS361" s="120">
        <f>IF(AND(V361="OK",ISNUMBER($N$5),$N$5&gt;0,ISNUMBER($N$3),$N$3&gt;0),R361/(6*$N$3*1000000*$N$5)*(IF(N361&lt;($N$4*6/10),($N$4*6/10)*(MIN(O361,($N$4*6/10))^3-N361^3)-(MIN(O361,($N$4*6/10))^4-N361^4)/4,0)+IF(O361&gt;($N$4*6/10),($N$4*6/10)^2*(1.5*(O361^2-MAX(N361,($N$4*6/10))^2)-($N$4*6/10)*(O361-MAX(N361,($N$4*6/10)))),0))*1000,0)</f>
        <v>0</v>
      </c>
      <c r="AT361" s="120">
        <f>IF(AND(V361="OK",ISNUMBER($N$5),$N$5&gt;0,ISNUMBER($N$3),$N$3&gt;0),R361/(6*$N$3*1000000*$N$5)*(IF(N361&lt;($N$4*7/10),($N$4*7/10)*(MIN(O361,($N$4*7/10))^3-N361^3)-(MIN(O361,($N$4*7/10))^4-N361^4)/4,0)+IF(O361&gt;($N$4*7/10),($N$4*7/10)^2*(1.5*(O361^2-MAX(N361,($N$4*7/10))^2)-($N$4*7/10)*(O361-MAX(N361,($N$4*7/10)))),0))*1000,0)</f>
        <v>0</v>
      </c>
      <c r="AU361" s="120">
        <f>IF(AND(V361="OK",ISNUMBER($N$5),$N$5&gt;0,ISNUMBER($N$3),$N$3&gt;0),R361/(6*$N$3*1000000*$N$5)*(IF(N361&lt;($N$4*8/10),($N$4*8/10)*(MIN(O361,($N$4*8/10))^3-N361^3)-(MIN(O361,($N$4*8/10))^4-N361^4)/4,0)+IF(O361&gt;($N$4*8/10),($N$4*8/10)^2*(1.5*(O361^2-MAX(N361,($N$4*8/10))^2)-($N$4*8/10)*(O361-MAX(N361,($N$4*8/10)))),0))*1000,0)</f>
        <v>0</v>
      </c>
      <c r="AV361" s="120">
        <f>IF(AND(V361="OK",ISNUMBER($N$5),$N$5&gt;0,ISNUMBER($N$3),$N$3&gt;0),R361/(6*$N$3*1000000*$N$5)*(IF(N361&lt;($N$4*9/10),($N$4*9/10)*(MIN(O361,($N$4*9/10))^3-N361^3)-(MIN(O361,($N$4*9/10))^4-N361^4)/4,0)+IF(O361&gt;($N$4*9/10),($N$4*9/10)^2*(1.5*(O361^2-MAX(N361,($N$4*9/10))^2)-($N$4*9/10)*(O361-MAX(N361,($N$4*9/10)))),0))*1000,0)</f>
        <v>0</v>
      </c>
      <c r="AW361" s="120">
        <f>IF(AND(V361="OK",ISNUMBER($N$5),$N$5&gt;0,ISNUMBER($N$3),$N$3&gt;0),R361/(6*$N$3*1000000*$N$5)*(IF(N361&lt;($N$4*10/10),($N$4*10/10)*(MIN(O361,($N$4*10/10))^3-N361^3)-(MIN(O361,($N$4*10/10))^4-N361^4)/4,0)+IF(O361&gt;($N$4*10/10),($N$4*10/10)^2*(1.5*(O361^2-MAX(N361,($N$4*10/10))^2)-($N$4*10/10)*(O361-MAX(N361,($N$4*10/10)))),0))*1000,0)</f>
        <v>0</v>
      </c>
    </row>
    <row r="362" spans="1:49">
      <c r="A362" s="124"/>
      <c r="B362" s="125"/>
      <c r="C362" s="125"/>
      <c r="D362" s="125"/>
      <c r="E362" s="125"/>
      <c r="F362" s="126" t="str">
        <f>IF(J362="OK",D362*E362,"")</f>
        <v/>
      </c>
      <c r="G362" s="126" t="str">
        <f>IF(J362="OK",F362*(C362-B362),"")</f>
        <v/>
      </c>
      <c r="H362" s="126" t="str">
        <f>IF(J362="OK",G362*(C362+B362)/2,"")</f>
        <v/>
      </c>
      <c r="I362" s="126" t="str">
        <f>IF(AND(J362="OK",ISNUMBER($B$5),$B$5&gt;0,ISNUMBER($B$3),$B$3&gt;0),F362*(4*$B$4*(C362^3-B362^3)-(C362^4-B362^4))/(24*$B$3*1000000*$B$5)*1000,"")</f>
        <v/>
      </c>
      <c r="J362" s="120" t="str">
        <f>IF(COUNTA(A362:E362)=0,"",IF(AND(COUNT(B362:E362)=4,B362&gt;=0,C362&gt;B362,C362&lt;=$B$4,D362&gt;=0,E362&gt;0),IF(COUNTIFS($B$13:$B$361,"&lt;"&amp;C362,$C$13:$C$361,"&gt;"&amp;B362)&gt;0,"OVERLAP","OK"),"CHECK INPUTS"))</f>
        <v/>
      </c>
      <c r="M362" s="124"/>
      <c r="N362" s="125"/>
      <c r="O362" s="125"/>
      <c r="P362" s="125"/>
      <c r="Q362" s="125"/>
      <c r="R362" s="126" t="str">
        <f>IF(V362="OK",P362*Q362,"")</f>
        <v/>
      </c>
      <c r="S362" s="126" t="str">
        <f>IF(V362="OK",R362*(O362-N362),"")</f>
        <v/>
      </c>
      <c r="T362" s="126" t="str">
        <f>IF(V362="OK",S362*(O362+N362)/2,"")</f>
        <v/>
      </c>
      <c r="U362" s="126" t="str">
        <f>IF(AND(V362="OK",ISNUMBER($N$5),$N$5&gt;0,ISNUMBER($N$3),$N$3&gt;0),R362*(4*$N$4*(O362^3-N362^3)-(O362^4-N362^4))/(24*$N$3*1000000*$N$5)*1000,"")</f>
        <v/>
      </c>
      <c r="V362" s="120" t="str">
        <f>IF(COUNTA(M362:Q362)=0,"",IF(AND(COUNT(N362:Q362)=4,N362&gt;=0,O362&gt;N362,O362&lt;=$N$4,P362&gt;=0,Q362&gt;0),IF(COUNTIFS($N$13:$N$361,"&lt;"&amp;O362,$O$13:$O$361,"&gt;"&amp;N362)&gt;0,"OVERLAP","OK"),"CHECK INPUTS"))</f>
        <v/>
      </c>
      <c r="AA362" s="120">
        <f>IF(AND(J362="OK",ISNUMBER($B$5),$B$5&gt;0,ISNUMBER($B$3),$B$3&gt;0),F362/(6*$B$3*1000000*$B$5)*(IF(B362&lt;($B$4*0/10),($B$4*0/10)*(MIN(C362,($B$4*0/10))^3-B362^3)-(MIN(C362,($B$4*0/10))^4-B362^4)/4,0)+IF(C362&gt;($B$4*0/10),($B$4*0/10)^2*(1.5*(C362^2-MAX(B362,($B$4*0/10))^2)-($B$4*0/10)*(C362-MAX(B362,($B$4*0/10)))),0))*1000,0)</f>
        <v>0</v>
      </c>
      <c r="AB362" s="120">
        <f>IF(AND(J362="OK",ISNUMBER($B$5),$B$5&gt;0,ISNUMBER($B$3),$B$3&gt;0),F362/(6*$B$3*1000000*$B$5)*(IF(B362&lt;($B$4*1/10),($B$4*1/10)*(MIN(C362,($B$4*1/10))^3-B362^3)-(MIN(C362,($B$4*1/10))^4-B362^4)/4,0)+IF(C362&gt;($B$4*1/10),($B$4*1/10)^2*(1.5*(C362^2-MAX(B362,($B$4*1/10))^2)-($B$4*1/10)*(C362-MAX(B362,($B$4*1/10)))),0))*1000,0)</f>
        <v>0</v>
      </c>
      <c r="AC362" s="120">
        <f>IF(AND(J362="OK",ISNUMBER($B$5),$B$5&gt;0,ISNUMBER($B$3),$B$3&gt;0),F362/(6*$B$3*1000000*$B$5)*(IF(B362&lt;($B$4*2/10),($B$4*2/10)*(MIN(C362,($B$4*2/10))^3-B362^3)-(MIN(C362,($B$4*2/10))^4-B362^4)/4,0)+IF(C362&gt;($B$4*2/10),($B$4*2/10)^2*(1.5*(C362^2-MAX(B362,($B$4*2/10))^2)-($B$4*2/10)*(C362-MAX(B362,($B$4*2/10)))),0))*1000,0)</f>
        <v>0</v>
      </c>
      <c r="AD362" s="120">
        <f>IF(AND(J362="OK",ISNUMBER($B$5),$B$5&gt;0,ISNUMBER($B$3),$B$3&gt;0),F362/(6*$B$3*1000000*$B$5)*(IF(B362&lt;($B$4*3/10),($B$4*3/10)*(MIN(C362,($B$4*3/10))^3-B362^3)-(MIN(C362,($B$4*3/10))^4-B362^4)/4,0)+IF(C362&gt;($B$4*3/10),($B$4*3/10)^2*(1.5*(C362^2-MAX(B362,($B$4*3/10))^2)-($B$4*3/10)*(C362-MAX(B362,($B$4*3/10)))),0))*1000,0)</f>
        <v>0</v>
      </c>
      <c r="AE362" s="120">
        <f>IF(AND(J362="OK",ISNUMBER($B$5),$B$5&gt;0,ISNUMBER($B$3),$B$3&gt;0),F362/(6*$B$3*1000000*$B$5)*(IF(B362&lt;($B$4*4/10),($B$4*4/10)*(MIN(C362,($B$4*4/10))^3-B362^3)-(MIN(C362,($B$4*4/10))^4-B362^4)/4,0)+IF(C362&gt;($B$4*4/10),($B$4*4/10)^2*(1.5*(C362^2-MAX(B362,($B$4*4/10))^2)-($B$4*4/10)*(C362-MAX(B362,($B$4*4/10)))),0))*1000,0)</f>
        <v>0</v>
      </c>
      <c r="AF362" s="120">
        <f>IF(AND(J362="OK",ISNUMBER($B$5),$B$5&gt;0,ISNUMBER($B$3),$B$3&gt;0),F362/(6*$B$3*1000000*$B$5)*(IF(B362&lt;($B$4*5/10),($B$4*5/10)*(MIN(C362,($B$4*5/10))^3-B362^3)-(MIN(C362,($B$4*5/10))^4-B362^4)/4,0)+IF(C362&gt;($B$4*5/10),($B$4*5/10)^2*(1.5*(C362^2-MAX(B362,($B$4*5/10))^2)-($B$4*5/10)*(C362-MAX(B362,($B$4*5/10)))),0))*1000,0)</f>
        <v>0</v>
      </c>
      <c r="AG362" s="120">
        <f>IF(AND(J362="OK",ISNUMBER($B$5),$B$5&gt;0,ISNUMBER($B$3),$B$3&gt;0),F362/(6*$B$3*1000000*$B$5)*(IF(B362&lt;($B$4*6/10),($B$4*6/10)*(MIN(C362,($B$4*6/10))^3-B362^3)-(MIN(C362,($B$4*6/10))^4-B362^4)/4,0)+IF(C362&gt;($B$4*6/10),($B$4*6/10)^2*(1.5*(C362^2-MAX(B362,($B$4*6/10))^2)-($B$4*6/10)*(C362-MAX(B362,($B$4*6/10)))),0))*1000,0)</f>
        <v>0</v>
      </c>
      <c r="AH362" s="120">
        <f>IF(AND(J362="OK",ISNUMBER($B$5),$B$5&gt;0,ISNUMBER($B$3),$B$3&gt;0),F362/(6*$B$3*1000000*$B$5)*(IF(B362&lt;($B$4*7/10),($B$4*7/10)*(MIN(C362,($B$4*7/10))^3-B362^3)-(MIN(C362,($B$4*7/10))^4-B362^4)/4,0)+IF(C362&gt;($B$4*7/10),($B$4*7/10)^2*(1.5*(C362^2-MAX(B362,($B$4*7/10))^2)-($B$4*7/10)*(C362-MAX(B362,($B$4*7/10)))),0))*1000,0)</f>
        <v>0</v>
      </c>
      <c r="AI362" s="120">
        <f>IF(AND(J362="OK",ISNUMBER($B$5),$B$5&gt;0,ISNUMBER($B$3),$B$3&gt;0),F362/(6*$B$3*1000000*$B$5)*(IF(B362&lt;($B$4*8/10),($B$4*8/10)*(MIN(C362,($B$4*8/10))^3-B362^3)-(MIN(C362,($B$4*8/10))^4-B362^4)/4,0)+IF(C362&gt;($B$4*8/10),($B$4*8/10)^2*(1.5*(C362^2-MAX(B362,($B$4*8/10))^2)-($B$4*8/10)*(C362-MAX(B362,($B$4*8/10)))),0))*1000,0)</f>
        <v>0</v>
      </c>
      <c r="AJ362" s="120">
        <f>IF(AND(J362="OK",ISNUMBER($B$5),$B$5&gt;0,ISNUMBER($B$3),$B$3&gt;0),F362/(6*$B$3*1000000*$B$5)*(IF(B362&lt;($B$4*9/10),($B$4*9/10)*(MIN(C362,($B$4*9/10))^3-B362^3)-(MIN(C362,($B$4*9/10))^4-B362^4)/4,0)+IF(C362&gt;($B$4*9/10),($B$4*9/10)^2*(1.5*(C362^2-MAX(B362,($B$4*9/10))^2)-($B$4*9/10)*(C362-MAX(B362,($B$4*9/10)))),0))*1000,0)</f>
        <v>0</v>
      </c>
      <c r="AK362" s="120">
        <f>IF(AND(J362="OK",ISNUMBER($B$5),$B$5&gt;0,ISNUMBER($B$3),$B$3&gt;0),F362/(6*$B$3*1000000*$B$5)*(IF(B362&lt;($B$4*10/10),($B$4*10/10)*(MIN(C362,($B$4*10/10))^3-B362^3)-(MIN(C362,($B$4*10/10))^4-B362^4)/4,0)+IF(C362&gt;($B$4*10/10),($B$4*10/10)^2*(1.5*(C362^2-MAX(B362,($B$4*10/10))^2)-($B$4*10/10)*(C362-MAX(B362,($B$4*10/10)))),0))*1000,0)</f>
        <v>0</v>
      </c>
      <c r="AM362" s="120">
        <f>IF(AND(V362="OK",ISNUMBER($N$5),$N$5&gt;0,ISNUMBER($N$3),$N$3&gt;0),R362/(6*$N$3*1000000*$N$5)*(IF(N362&lt;($N$4*0/10),($N$4*0/10)*(MIN(O362,($N$4*0/10))^3-N362^3)-(MIN(O362,($N$4*0/10))^4-N362^4)/4,0)+IF(O362&gt;($N$4*0/10),($N$4*0/10)^2*(1.5*(O362^2-MAX(N362,($N$4*0/10))^2)-($N$4*0/10)*(O362-MAX(N362,($N$4*0/10)))),0))*1000,0)</f>
        <v>0</v>
      </c>
      <c r="AN362" s="120">
        <f>IF(AND(V362="OK",ISNUMBER($N$5),$N$5&gt;0,ISNUMBER($N$3),$N$3&gt;0),R362/(6*$N$3*1000000*$N$5)*(IF(N362&lt;($N$4*1/10),($N$4*1/10)*(MIN(O362,($N$4*1/10))^3-N362^3)-(MIN(O362,($N$4*1/10))^4-N362^4)/4,0)+IF(O362&gt;($N$4*1/10),($N$4*1/10)^2*(1.5*(O362^2-MAX(N362,($N$4*1/10))^2)-($N$4*1/10)*(O362-MAX(N362,($N$4*1/10)))),0))*1000,0)</f>
        <v>0</v>
      </c>
      <c r="AO362" s="120">
        <f>IF(AND(V362="OK",ISNUMBER($N$5),$N$5&gt;0,ISNUMBER($N$3),$N$3&gt;0),R362/(6*$N$3*1000000*$N$5)*(IF(N362&lt;($N$4*2/10),($N$4*2/10)*(MIN(O362,($N$4*2/10))^3-N362^3)-(MIN(O362,($N$4*2/10))^4-N362^4)/4,0)+IF(O362&gt;($N$4*2/10),($N$4*2/10)^2*(1.5*(O362^2-MAX(N362,($N$4*2/10))^2)-($N$4*2/10)*(O362-MAX(N362,($N$4*2/10)))),0))*1000,0)</f>
        <v>0</v>
      </c>
      <c r="AP362" s="120">
        <f>IF(AND(V362="OK",ISNUMBER($N$5),$N$5&gt;0,ISNUMBER($N$3),$N$3&gt;0),R362/(6*$N$3*1000000*$N$5)*(IF(N362&lt;($N$4*3/10),($N$4*3/10)*(MIN(O362,($N$4*3/10))^3-N362^3)-(MIN(O362,($N$4*3/10))^4-N362^4)/4,0)+IF(O362&gt;($N$4*3/10),($N$4*3/10)^2*(1.5*(O362^2-MAX(N362,($N$4*3/10))^2)-($N$4*3/10)*(O362-MAX(N362,($N$4*3/10)))),0))*1000,0)</f>
        <v>0</v>
      </c>
      <c r="AQ362" s="120">
        <f>IF(AND(V362="OK",ISNUMBER($N$5),$N$5&gt;0,ISNUMBER($N$3),$N$3&gt;0),R362/(6*$N$3*1000000*$N$5)*(IF(N362&lt;($N$4*4/10),($N$4*4/10)*(MIN(O362,($N$4*4/10))^3-N362^3)-(MIN(O362,($N$4*4/10))^4-N362^4)/4,0)+IF(O362&gt;($N$4*4/10),($N$4*4/10)^2*(1.5*(O362^2-MAX(N362,($N$4*4/10))^2)-($N$4*4/10)*(O362-MAX(N362,($N$4*4/10)))),0))*1000,0)</f>
        <v>0</v>
      </c>
      <c r="AR362" s="120">
        <f>IF(AND(V362="OK",ISNUMBER($N$5),$N$5&gt;0,ISNUMBER($N$3),$N$3&gt;0),R362/(6*$N$3*1000000*$N$5)*(IF(N362&lt;($N$4*5/10),($N$4*5/10)*(MIN(O362,($N$4*5/10))^3-N362^3)-(MIN(O362,($N$4*5/10))^4-N362^4)/4,0)+IF(O362&gt;($N$4*5/10),($N$4*5/10)^2*(1.5*(O362^2-MAX(N362,($N$4*5/10))^2)-($N$4*5/10)*(O362-MAX(N362,($N$4*5/10)))),0))*1000,0)</f>
        <v>0</v>
      </c>
      <c r="AS362" s="120">
        <f>IF(AND(V362="OK",ISNUMBER($N$5),$N$5&gt;0,ISNUMBER($N$3),$N$3&gt;0),R362/(6*$N$3*1000000*$N$5)*(IF(N362&lt;($N$4*6/10),($N$4*6/10)*(MIN(O362,($N$4*6/10))^3-N362^3)-(MIN(O362,($N$4*6/10))^4-N362^4)/4,0)+IF(O362&gt;($N$4*6/10),($N$4*6/10)^2*(1.5*(O362^2-MAX(N362,($N$4*6/10))^2)-($N$4*6/10)*(O362-MAX(N362,($N$4*6/10)))),0))*1000,0)</f>
        <v>0</v>
      </c>
      <c r="AT362" s="120">
        <f>IF(AND(V362="OK",ISNUMBER($N$5),$N$5&gt;0,ISNUMBER($N$3),$N$3&gt;0),R362/(6*$N$3*1000000*$N$5)*(IF(N362&lt;($N$4*7/10),($N$4*7/10)*(MIN(O362,($N$4*7/10))^3-N362^3)-(MIN(O362,($N$4*7/10))^4-N362^4)/4,0)+IF(O362&gt;($N$4*7/10),($N$4*7/10)^2*(1.5*(O362^2-MAX(N362,($N$4*7/10))^2)-($N$4*7/10)*(O362-MAX(N362,($N$4*7/10)))),0))*1000,0)</f>
        <v>0</v>
      </c>
      <c r="AU362" s="120">
        <f>IF(AND(V362="OK",ISNUMBER($N$5),$N$5&gt;0,ISNUMBER($N$3),$N$3&gt;0),R362/(6*$N$3*1000000*$N$5)*(IF(N362&lt;($N$4*8/10),($N$4*8/10)*(MIN(O362,($N$4*8/10))^3-N362^3)-(MIN(O362,($N$4*8/10))^4-N362^4)/4,0)+IF(O362&gt;($N$4*8/10),($N$4*8/10)^2*(1.5*(O362^2-MAX(N362,($N$4*8/10))^2)-($N$4*8/10)*(O362-MAX(N362,($N$4*8/10)))),0))*1000,0)</f>
        <v>0</v>
      </c>
      <c r="AV362" s="120">
        <f>IF(AND(V362="OK",ISNUMBER($N$5),$N$5&gt;0,ISNUMBER($N$3),$N$3&gt;0),R362/(6*$N$3*1000000*$N$5)*(IF(N362&lt;($N$4*9/10),($N$4*9/10)*(MIN(O362,($N$4*9/10))^3-N362^3)-(MIN(O362,($N$4*9/10))^4-N362^4)/4,0)+IF(O362&gt;($N$4*9/10),($N$4*9/10)^2*(1.5*(O362^2-MAX(N362,($N$4*9/10))^2)-($N$4*9/10)*(O362-MAX(N362,($N$4*9/10)))),0))*1000,0)</f>
        <v>0</v>
      </c>
      <c r="AW362" s="120">
        <f>IF(AND(V362="OK",ISNUMBER($N$5),$N$5&gt;0,ISNUMBER($N$3),$N$3&gt;0),R362/(6*$N$3*1000000*$N$5)*(IF(N362&lt;($N$4*10/10),($N$4*10/10)*(MIN(O362,($N$4*10/10))^3-N362^3)-(MIN(O362,($N$4*10/10))^4-N362^4)/4,0)+IF(O362&gt;($N$4*10/10),($N$4*10/10)^2*(1.5*(O362^2-MAX(N362,($N$4*10/10))^2)-($N$4*10/10)*(O362-MAX(N362,($N$4*10/10)))),0))*1000,0)</f>
        <v>0</v>
      </c>
    </row>
    <row r="363" spans="1:49">
      <c r="A363" s="124"/>
      <c r="B363" s="125"/>
      <c r="C363" s="125"/>
      <c r="D363" s="125"/>
      <c r="E363" s="125"/>
      <c r="F363" s="126" t="str">
        <f>IF(J363="OK",D363*E363,"")</f>
        <v/>
      </c>
      <c r="G363" s="126" t="str">
        <f>IF(J363="OK",F363*(C363-B363),"")</f>
        <v/>
      </c>
      <c r="H363" s="126" t="str">
        <f>IF(J363="OK",G363*(C363+B363)/2,"")</f>
        <v/>
      </c>
      <c r="I363" s="126" t="str">
        <f>IF(AND(J363="OK",ISNUMBER($B$5),$B$5&gt;0,ISNUMBER($B$3),$B$3&gt;0),F363*(4*$B$4*(C363^3-B363^3)-(C363^4-B363^4))/(24*$B$3*1000000*$B$5)*1000,"")</f>
        <v/>
      </c>
      <c r="J363" s="120" t="str">
        <f>IF(COUNTA(A363:E363)=0,"",IF(AND(COUNT(B363:E363)=4,B363&gt;=0,C363&gt;B363,C363&lt;=$B$4,D363&gt;=0,E363&gt;0),IF(COUNTIFS($B$13:$B$362,"&lt;"&amp;C363,$C$13:$C$362,"&gt;"&amp;B363)&gt;0,"OVERLAP","OK"),"CHECK INPUTS"))</f>
        <v/>
      </c>
      <c r="M363" s="124"/>
      <c r="N363" s="125"/>
      <c r="O363" s="125"/>
      <c r="P363" s="125"/>
      <c r="Q363" s="125"/>
      <c r="R363" s="126" t="str">
        <f>IF(V363="OK",P363*Q363,"")</f>
        <v/>
      </c>
      <c r="S363" s="126" t="str">
        <f>IF(V363="OK",R363*(O363-N363),"")</f>
        <v/>
      </c>
      <c r="T363" s="126" t="str">
        <f>IF(V363="OK",S363*(O363+N363)/2,"")</f>
        <v/>
      </c>
      <c r="U363" s="126" t="str">
        <f>IF(AND(V363="OK",ISNUMBER($N$5),$N$5&gt;0,ISNUMBER($N$3),$N$3&gt;0),R363*(4*$N$4*(O363^3-N363^3)-(O363^4-N363^4))/(24*$N$3*1000000*$N$5)*1000,"")</f>
        <v/>
      </c>
      <c r="V363" s="120" t="str">
        <f>IF(COUNTA(M363:Q363)=0,"",IF(AND(COUNT(N363:Q363)=4,N363&gt;=0,O363&gt;N363,O363&lt;=$N$4,P363&gt;=0,Q363&gt;0),IF(COUNTIFS($N$13:$N$362,"&lt;"&amp;O363,$O$13:$O$362,"&gt;"&amp;N363)&gt;0,"OVERLAP","OK"),"CHECK INPUTS"))</f>
        <v/>
      </c>
      <c r="AA363" s="120">
        <f>IF(AND(J363="OK",ISNUMBER($B$5),$B$5&gt;0,ISNUMBER($B$3),$B$3&gt;0),F363/(6*$B$3*1000000*$B$5)*(IF(B363&lt;($B$4*0/10),($B$4*0/10)*(MIN(C363,($B$4*0/10))^3-B363^3)-(MIN(C363,($B$4*0/10))^4-B363^4)/4,0)+IF(C363&gt;($B$4*0/10),($B$4*0/10)^2*(1.5*(C363^2-MAX(B363,($B$4*0/10))^2)-($B$4*0/10)*(C363-MAX(B363,($B$4*0/10)))),0))*1000,0)</f>
        <v>0</v>
      </c>
      <c r="AB363" s="120">
        <f>IF(AND(J363="OK",ISNUMBER($B$5),$B$5&gt;0,ISNUMBER($B$3),$B$3&gt;0),F363/(6*$B$3*1000000*$B$5)*(IF(B363&lt;($B$4*1/10),($B$4*1/10)*(MIN(C363,($B$4*1/10))^3-B363^3)-(MIN(C363,($B$4*1/10))^4-B363^4)/4,0)+IF(C363&gt;($B$4*1/10),($B$4*1/10)^2*(1.5*(C363^2-MAX(B363,($B$4*1/10))^2)-($B$4*1/10)*(C363-MAX(B363,($B$4*1/10)))),0))*1000,0)</f>
        <v>0</v>
      </c>
      <c r="AC363" s="120">
        <f>IF(AND(J363="OK",ISNUMBER($B$5),$B$5&gt;0,ISNUMBER($B$3),$B$3&gt;0),F363/(6*$B$3*1000000*$B$5)*(IF(B363&lt;($B$4*2/10),($B$4*2/10)*(MIN(C363,($B$4*2/10))^3-B363^3)-(MIN(C363,($B$4*2/10))^4-B363^4)/4,0)+IF(C363&gt;($B$4*2/10),($B$4*2/10)^2*(1.5*(C363^2-MAX(B363,($B$4*2/10))^2)-($B$4*2/10)*(C363-MAX(B363,($B$4*2/10)))),0))*1000,0)</f>
        <v>0</v>
      </c>
      <c r="AD363" s="120">
        <f>IF(AND(J363="OK",ISNUMBER($B$5),$B$5&gt;0,ISNUMBER($B$3),$B$3&gt;0),F363/(6*$B$3*1000000*$B$5)*(IF(B363&lt;($B$4*3/10),($B$4*3/10)*(MIN(C363,($B$4*3/10))^3-B363^3)-(MIN(C363,($B$4*3/10))^4-B363^4)/4,0)+IF(C363&gt;($B$4*3/10),($B$4*3/10)^2*(1.5*(C363^2-MAX(B363,($B$4*3/10))^2)-($B$4*3/10)*(C363-MAX(B363,($B$4*3/10)))),0))*1000,0)</f>
        <v>0</v>
      </c>
      <c r="AE363" s="120">
        <f>IF(AND(J363="OK",ISNUMBER($B$5),$B$5&gt;0,ISNUMBER($B$3),$B$3&gt;0),F363/(6*$B$3*1000000*$B$5)*(IF(B363&lt;($B$4*4/10),($B$4*4/10)*(MIN(C363,($B$4*4/10))^3-B363^3)-(MIN(C363,($B$4*4/10))^4-B363^4)/4,0)+IF(C363&gt;($B$4*4/10),($B$4*4/10)^2*(1.5*(C363^2-MAX(B363,($B$4*4/10))^2)-($B$4*4/10)*(C363-MAX(B363,($B$4*4/10)))),0))*1000,0)</f>
        <v>0</v>
      </c>
      <c r="AF363" s="120">
        <f>IF(AND(J363="OK",ISNUMBER($B$5),$B$5&gt;0,ISNUMBER($B$3),$B$3&gt;0),F363/(6*$B$3*1000000*$B$5)*(IF(B363&lt;($B$4*5/10),($B$4*5/10)*(MIN(C363,($B$4*5/10))^3-B363^3)-(MIN(C363,($B$4*5/10))^4-B363^4)/4,0)+IF(C363&gt;($B$4*5/10),($B$4*5/10)^2*(1.5*(C363^2-MAX(B363,($B$4*5/10))^2)-($B$4*5/10)*(C363-MAX(B363,($B$4*5/10)))),0))*1000,0)</f>
        <v>0</v>
      </c>
      <c r="AG363" s="120">
        <f>IF(AND(J363="OK",ISNUMBER($B$5),$B$5&gt;0,ISNUMBER($B$3),$B$3&gt;0),F363/(6*$B$3*1000000*$B$5)*(IF(B363&lt;($B$4*6/10),($B$4*6/10)*(MIN(C363,($B$4*6/10))^3-B363^3)-(MIN(C363,($B$4*6/10))^4-B363^4)/4,0)+IF(C363&gt;($B$4*6/10),($B$4*6/10)^2*(1.5*(C363^2-MAX(B363,($B$4*6/10))^2)-($B$4*6/10)*(C363-MAX(B363,($B$4*6/10)))),0))*1000,0)</f>
        <v>0</v>
      </c>
      <c r="AH363" s="120">
        <f>IF(AND(J363="OK",ISNUMBER($B$5),$B$5&gt;0,ISNUMBER($B$3),$B$3&gt;0),F363/(6*$B$3*1000000*$B$5)*(IF(B363&lt;($B$4*7/10),($B$4*7/10)*(MIN(C363,($B$4*7/10))^3-B363^3)-(MIN(C363,($B$4*7/10))^4-B363^4)/4,0)+IF(C363&gt;($B$4*7/10),($B$4*7/10)^2*(1.5*(C363^2-MAX(B363,($B$4*7/10))^2)-($B$4*7/10)*(C363-MAX(B363,($B$4*7/10)))),0))*1000,0)</f>
        <v>0</v>
      </c>
      <c r="AI363" s="120">
        <f>IF(AND(J363="OK",ISNUMBER($B$5),$B$5&gt;0,ISNUMBER($B$3),$B$3&gt;0),F363/(6*$B$3*1000000*$B$5)*(IF(B363&lt;($B$4*8/10),($B$4*8/10)*(MIN(C363,($B$4*8/10))^3-B363^3)-(MIN(C363,($B$4*8/10))^4-B363^4)/4,0)+IF(C363&gt;($B$4*8/10),($B$4*8/10)^2*(1.5*(C363^2-MAX(B363,($B$4*8/10))^2)-($B$4*8/10)*(C363-MAX(B363,($B$4*8/10)))),0))*1000,0)</f>
        <v>0</v>
      </c>
      <c r="AJ363" s="120">
        <f>IF(AND(J363="OK",ISNUMBER($B$5),$B$5&gt;0,ISNUMBER($B$3),$B$3&gt;0),F363/(6*$B$3*1000000*$B$5)*(IF(B363&lt;($B$4*9/10),($B$4*9/10)*(MIN(C363,($B$4*9/10))^3-B363^3)-(MIN(C363,($B$4*9/10))^4-B363^4)/4,0)+IF(C363&gt;($B$4*9/10),($B$4*9/10)^2*(1.5*(C363^2-MAX(B363,($B$4*9/10))^2)-($B$4*9/10)*(C363-MAX(B363,($B$4*9/10)))),0))*1000,0)</f>
        <v>0</v>
      </c>
      <c r="AK363" s="120">
        <f>IF(AND(J363="OK",ISNUMBER($B$5),$B$5&gt;0,ISNUMBER($B$3),$B$3&gt;0),F363/(6*$B$3*1000000*$B$5)*(IF(B363&lt;($B$4*10/10),($B$4*10/10)*(MIN(C363,($B$4*10/10))^3-B363^3)-(MIN(C363,($B$4*10/10))^4-B363^4)/4,0)+IF(C363&gt;($B$4*10/10),($B$4*10/10)^2*(1.5*(C363^2-MAX(B363,($B$4*10/10))^2)-($B$4*10/10)*(C363-MAX(B363,($B$4*10/10)))),0))*1000,0)</f>
        <v>0</v>
      </c>
      <c r="AM363" s="120">
        <f>IF(AND(V363="OK",ISNUMBER($N$5),$N$5&gt;0,ISNUMBER($N$3),$N$3&gt;0),R363/(6*$N$3*1000000*$N$5)*(IF(N363&lt;($N$4*0/10),($N$4*0/10)*(MIN(O363,($N$4*0/10))^3-N363^3)-(MIN(O363,($N$4*0/10))^4-N363^4)/4,0)+IF(O363&gt;($N$4*0/10),($N$4*0/10)^2*(1.5*(O363^2-MAX(N363,($N$4*0/10))^2)-($N$4*0/10)*(O363-MAX(N363,($N$4*0/10)))),0))*1000,0)</f>
        <v>0</v>
      </c>
      <c r="AN363" s="120">
        <f>IF(AND(V363="OK",ISNUMBER($N$5),$N$5&gt;0,ISNUMBER($N$3),$N$3&gt;0),R363/(6*$N$3*1000000*$N$5)*(IF(N363&lt;($N$4*1/10),($N$4*1/10)*(MIN(O363,($N$4*1/10))^3-N363^3)-(MIN(O363,($N$4*1/10))^4-N363^4)/4,0)+IF(O363&gt;($N$4*1/10),($N$4*1/10)^2*(1.5*(O363^2-MAX(N363,($N$4*1/10))^2)-($N$4*1/10)*(O363-MAX(N363,($N$4*1/10)))),0))*1000,0)</f>
        <v>0</v>
      </c>
      <c r="AO363" s="120">
        <f>IF(AND(V363="OK",ISNUMBER($N$5),$N$5&gt;0,ISNUMBER($N$3),$N$3&gt;0),R363/(6*$N$3*1000000*$N$5)*(IF(N363&lt;($N$4*2/10),($N$4*2/10)*(MIN(O363,($N$4*2/10))^3-N363^3)-(MIN(O363,($N$4*2/10))^4-N363^4)/4,0)+IF(O363&gt;($N$4*2/10),($N$4*2/10)^2*(1.5*(O363^2-MAX(N363,($N$4*2/10))^2)-($N$4*2/10)*(O363-MAX(N363,($N$4*2/10)))),0))*1000,0)</f>
        <v>0</v>
      </c>
      <c r="AP363" s="120">
        <f>IF(AND(V363="OK",ISNUMBER($N$5),$N$5&gt;0,ISNUMBER($N$3),$N$3&gt;0),R363/(6*$N$3*1000000*$N$5)*(IF(N363&lt;($N$4*3/10),($N$4*3/10)*(MIN(O363,($N$4*3/10))^3-N363^3)-(MIN(O363,($N$4*3/10))^4-N363^4)/4,0)+IF(O363&gt;($N$4*3/10),($N$4*3/10)^2*(1.5*(O363^2-MAX(N363,($N$4*3/10))^2)-($N$4*3/10)*(O363-MAX(N363,($N$4*3/10)))),0))*1000,0)</f>
        <v>0</v>
      </c>
      <c r="AQ363" s="120">
        <f>IF(AND(V363="OK",ISNUMBER($N$5),$N$5&gt;0,ISNUMBER($N$3),$N$3&gt;0),R363/(6*$N$3*1000000*$N$5)*(IF(N363&lt;($N$4*4/10),($N$4*4/10)*(MIN(O363,($N$4*4/10))^3-N363^3)-(MIN(O363,($N$4*4/10))^4-N363^4)/4,0)+IF(O363&gt;($N$4*4/10),($N$4*4/10)^2*(1.5*(O363^2-MAX(N363,($N$4*4/10))^2)-($N$4*4/10)*(O363-MAX(N363,($N$4*4/10)))),0))*1000,0)</f>
        <v>0</v>
      </c>
      <c r="AR363" s="120">
        <f>IF(AND(V363="OK",ISNUMBER($N$5),$N$5&gt;0,ISNUMBER($N$3),$N$3&gt;0),R363/(6*$N$3*1000000*$N$5)*(IF(N363&lt;($N$4*5/10),($N$4*5/10)*(MIN(O363,($N$4*5/10))^3-N363^3)-(MIN(O363,($N$4*5/10))^4-N363^4)/4,0)+IF(O363&gt;($N$4*5/10),($N$4*5/10)^2*(1.5*(O363^2-MAX(N363,($N$4*5/10))^2)-($N$4*5/10)*(O363-MAX(N363,($N$4*5/10)))),0))*1000,0)</f>
        <v>0</v>
      </c>
      <c r="AS363" s="120">
        <f>IF(AND(V363="OK",ISNUMBER($N$5),$N$5&gt;0,ISNUMBER($N$3),$N$3&gt;0),R363/(6*$N$3*1000000*$N$5)*(IF(N363&lt;($N$4*6/10),($N$4*6/10)*(MIN(O363,($N$4*6/10))^3-N363^3)-(MIN(O363,($N$4*6/10))^4-N363^4)/4,0)+IF(O363&gt;($N$4*6/10),($N$4*6/10)^2*(1.5*(O363^2-MAX(N363,($N$4*6/10))^2)-($N$4*6/10)*(O363-MAX(N363,($N$4*6/10)))),0))*1000,0)</f>
        <v>0</v>
      </c>
      <c r="AT363" s="120">
        <f>IF(AND(V363="OK",ISNUMBER($N$5),$N$5&gt;0,ISNUMBER($N$3),$N$3&gt;0),R363/(6*$N$3*1000000*$N$5)*(IF(N363&lt;($N$4*7/10),($N$4*7/10)*(MIN(O363,($N$4*7/10))^3-N363^3)-(MIN(O363,($N$4*7/10))^4-N363^4)/4,0)+IF(O363&gt;($N$4*7/10),($N$4*7/10)^2*(1.5*(O363^2-MAX(N363,($N$4*7/10))^2)-($N$4*7/10)*(O363-MAX(N363,($N$4*7/10)))),0))*1000,0)</f>
        <v>0</v>
      </c>
      <c r="AU363" s="120">
        <f>IF(AND(V363="OK",ISNUMBER($N$5),$N$5&gt;0,ISNUMBER($N$3),$N$3&gt;0),R363/(6*$N$3*1000000*$N$5)*(IF(N363&lt;($N$4*8/10),($N$4*8/10)*(MIN(O363,($N$4*8/10))^3-N363^3)-(MIN(O363,($N$4*8/10))^4-N363^4)/4,0)+IF(O363&gt;($N$4*8/10),($N$4*8/10)^2*(1.5*(O363^2-MAX(N363,($N$4*8/10))^2)-($N$4*8/10)*(O363-MAX(N363,($N$4*8/10)))),0))*1000,0)</f>
        <v>0</v>
      </c>
      <c r="AV363" s="120">
        <f>IF(AND(V363="OK",ISNUMBER($N$5),$N$5&gt;0,ISNUMBER($N$3),$N$3&gt;0),R363/(6*$N$3*1000000*$N$5)*(IF(N363&lt;($N$4*9/10),($N$4*9/10)*(MIN(O363,($N$4*9/10))^3-N363^3)-(MIN(O363,($N$4*9/10))^4-N363^4)/4,0)+IF(O363&gt;($N$4*9/10),($N$4*9/10)^2*(1.5*(O363^2-MAX(N363,($N$4*9/10))^2)-($N$4*9/10)*(O363-MAX(N363,($N$4*9/10)))),0))*1000,0)</f>
        <v>0</v>
      </c>
      <c r="AW363" s="120">
        <f>IF(AND(V363="OK",ISNUMBER($N$5),$N$5&gt;0,ISNUMBER($N$3),$N$3&gt;0),R363/(6*$N$3*1000000*$N$5)*(IF(N363&lt;($N$4*10/10),($N$4*10/10)*(MIN(O363,($N$4*10/10))^3-N363^3)-(MIN(O363,($N$4*10/10))^4-N363^4)/4,0)+IF(O363&gt;($N$4*10/10),($N$4*10/10)^2*(1.5*(O363^2-MAX(N363,($N$4*10/10))^2)-($N$4*10/10)*(O363-MAX(N363,($N$4*10/10)))),0))*1000,0)</f>
        <v>0</v>
      </c>
    </row>
    <row r="364" spans="1:49">
      <c r="A364" s="124"/>
      <c r="B364" s="125"/>
      <c r="C364" s="125"/>
      <c r="D364" s="125"/>
      <c r="E364" s="125"/>
      <c r="F364" s="126" t="str">
        <f>IF(J364="OK",D364*E364,"")</f>
        <v/>
      </c>
      <c r="G364" s="126" t="str">
        <f>IF(J364="OK",F364*(C364-B364),"")</f>
        <v/>
      </c>
      <c r="H364" s="126" t="str">
        <f>IF(J364="OK",G364*(C364+B364)/2,"")</f>
        <v/>
      </c>
      <c r="I364" s="126" t="str">
        <f>IF(AND(J364="OK",ISNUMBER($B$5),$B$5&gt;0,ISNUMBER($B$3),$B$3&gt;0),F364*(4*$B$4*(C364^3-B364^3)-(C364^4-B364^4))/(24*$B$3*1000000*$B$5)*1000,"")</f>
        <v/>
      </c>
      <c r="J364" s="120" t="str">
        <f>IF(COUNTA(A364:E364)=0,"",IF(AND(COUNT(B364:E364)=4,B364&gt;=0,C364&gt;B364,C364&lt;=$B$4,D364&gt;=0,E364&gt;0),IF(COUNTIFS($B$13:$B$363,"&lt;"&amp;C364,$C$13:$C$363,"&gt;"&amp;B364)&gt;0,"OVERLAP","OK"),"CHECK INPUTS"))</f>
        <v/>
      </c>
      <c r="M364" s="124"/>
      <c r="N364" s="125"/>
      <c r="O364" s="125"/>
      <c r="P364" s="125"/>
      <c r="Q364" s="125"/>
      <c r="R364" s="126" t="str">
        <f>IF(V364="OK",P364*Q364,"")</f>
        <v/>
      </c>
      <c r="S364" s="126" t="str">
        <f>IF(V364="OK",R364*(O364-N364),"")</f>
        <v/>
      </c>
      <c r="T364" s="126" t="str">
        <f>IF(V364="OK",S364*(O364+N364)/2,"")</f>
        <v/>
      </c>
      <c r="U364" s="126" t="str">
        <f>IF(AND(V364="OK",ISNUMBER($N$5),$N$5&gt;0,ISNUMBER($N$3),$N$3&gt;0),R364*(4*$N$4*(O364^3-N364^3)-(O364^4-N364^4))/(24*$N$3*1000000*$N$5)*1000,"")</f>
        <v/>
      </c>
      <c r="V364" s="120" t="str">
        <f>IF(COUNTA(M364:Q364)=0,"",IF(AND(COUNT(N364:Q364)=4,N364&gt;=0,O364&gt;N364,O364&lt;=$N$4,P364&gt;=0,Q364&gt;0),IF(COUNTIFS($N$13:$N$363,"&lt;"&amp;O364,$O$13:$O$363,"&gt;"&amp;N364)&gt;0,"OVERLAP","OK"),"CHECK INPUTS"))</f>
        <v/>
      </c>
      <c r="AA364" s="120">
        <f>IF(AND(J364="OK",ISNUMBER($B$5),$B$5&gt;0,ISNUMBER($B$3),$B$3&gt;0),F364/(6*$B$3*1000000*$B$5)*(IF(B364&lt;($B$4*0/10),($B$4*0/10)*(MIN(C364,($B$4*0/10))^3-B364^3)-(MIN(C364,($B$4*0/10))^4-B364^4)/4,0)+IF(C364&gt;($B$4*0/10),($B$4*0/10)^2*(1.5*(C364^2-MAX(B364,($B$4*0/10))^2)-($B$4*0/10)*(C364-MAX(B364,($B$4*0/10)))),0))*1000,0)</f>
        <v>0</v>
      </c>
      <c r="AB364" s="120">
        <f>IF(AND(J364="OK",ISNUMBER($B$5),$B$5&gt;0,ISNUMBER($B$3),$B$3&gt;0),F364/(6*$B$3*1000000*$B$5)*(IF(B364&lt;($B$4*1/10),($B$4*1/10)*(MIN(C364,($B$4*1/10))^3-B364^3)-(MIN(C364,($B$4*1/10))^4-B364^4)/4,0)+IF(C364&gt;($B$4*1/10),($B$4*1/10)^2*(1.5*(C364^2-MAX(B364,($B$4*1/10))^2)-($B$4*1/10)*(C364-MAX(B364,($B$4*1/10)))),0))*1000,0)</f>
        <v>0</v>
      </c>
      <c r="AC364" s="120">
        <f>IF(AND(J364="OK",ISNUMBER($B$5),$B$5&gt;0,ISNUMBER($B$3),$B$3&gt;0),F364/(6*$B$3*1000000*$B$5)*(IF(B364&lt;($B$4*2/10),($B$4*2/10)*(MIN(C364,($B$4*2/10))^3-B364^3)-(MIN(C364,($B$4*2/10))^4-B364^4)/4,0)+IF(C364&gt;($B$4*2/10),($B$4*2/10)^2*(1.5*(C364^2-MAX(B364,($B$4*2/10))^2)-($B$4*2/10)*(C364-MAX(B364,($B$4*2/10)))),0))*1000,0)</f>
        <v>0</v>
      </c>
      <c r="AD364" s="120">
        <f>IF(AND(J364="OK",ISNUMBER($B$5),$B$5&gt;0,ISNUMBER($B$3),$B$3&gt;0),F364/(6*$B$3*1000000*$B$5)*(IF(B364&lt;($B$4*3/10),($B$4*3/10)*(MIN(C364,($B$4*3/10))^3-B364^3)-(MIN(C364,($B$4*3/10))^4-B364^4)/4,0)+IF(C364&gt;($B$4*3/10),($B$4*3/10)^2*(1.5*(C364^2-MAX(B364,($B$4*3/10))^2)-($B$4*3/10)*(C364-MAX(B364,($B$4*3/10)))),0))*1000,0)</f>
        <v>0</v>
      </c>
      <c r="AE364" s="120">
        <f>IF(AND(J364="OK",ISNUMBER($B$5),$B$5&gt;0,ISNUMBER($B$3),$B$3&gt;0),F364/(6*$B$3*1000000*$B$5)*(IF(B364&lt;($B$4*4/10),($B$4*4/10)*(MIN(C364,($B$4*4/10))^3-B364^3)-(MIN(C364,($B$4*4/10))^4-B364^4)/4,0)+IF(C364&gt;($B$4*4/10),($B$4*4/10)^2*(1.5*(C364^2-MAX(B364,($B$4*4/10))^2)-($B$4*4/10)*(C364-MAX(B364,($B$4*4/10)))),0))*1000,0)</f>
        <v>0</v>
      </c>
      <c r="AF364" s="120">
        <f>IF(AND(J364="OK",ISNUMBER($B$5),$B$5&gt;0,ISNUMBER($B$3),$B$3&gt;0),F364/(6*$B$3*1000000*$B$5)*(IF(B364&lt;($B$4*5/10),($B$4*5/10)*(MIN(C364,($B$4*5/10))^3-B364^3)-(MIN(C364,($B$4*5/10))^4-B364^4)/4,0)+IF(C364&gt;($B$4*5/10),($B$4*5/10)^2*(1.5*(C364^2-MAX(B364,($B$4*5/10))^2)-($B$4*5/10)*(C364-MAX(B364,($B$4*5/10)))),0))*1000,0)</f>
        <v>0</v>
      </c>
      <c r="AG364" s="120">
        <f>IF(AND(J364="OK",ISNUMBER($B$5),$B$5&gt;0,ISNUMBER($B$3),$B$3&gt;0),F364/(6*$B$3*1000000*$B$5)*(IF(B364&lt;($B$4*6/10),($B$4*6/10)*(MIN(C364,($B$4*6/10))^3-B364^3)-(MIN(C364,($B$4*6/10))^4-B364^4)/4,0)+IF(C364&gt;($B$4*6/10),($B$4*6/10)^2*(1.5*(C364^2-MAX(B364,($B$4*6/10))^2)-($B$4*6/10)*(C364-MAX(B364,($B$4*6/10)))),0))*1000,0)</f>
        <v>0</v>
      </c>
      <c r="AH364" s="120">
        <f>IF(AND(J364="OK",ISNUMBER($B$5),$B$5&gt;0,ISNUMBER($B$3),$B$3&gt;0),F364/(6*$B$3*1000000*$B$5)*(IF(B364&lt;($B$4*7/10),($B$4*7/10)*(MIN(C364,($B$4*7/10))^3-B364^3)-(MIN(C364,($B$4*7/10))^4-B364^4)/4,0)+IF(C364&gt;($B$4*7/10),($B$4*7/10)^2*(1.5*(C364^2-MAX(B364,($B$4*7/10))^2)-($B$4*7/10)*(C364-MAX(B364,($B$4*7/10)))),0))*1000,0)</f>
        <v>0</v>
      </c>
      <c r="AI364" s="120">
        <f>IF(AND(J364="OK",ISNUMBER($B$5),$B$5&gt;0,ISNUMBER($B$3),$B$3&gt;0),F364/(6*$B$3*1000000*$B$5)*(IF(B364&lt;($B$4*8/10),($B$4*8/10)*(MIN(C364,($B$4*8/10))^3-B364^3)-(MIN(C364,($B$4*8/10))^4-B364^4)/4,0)+IF(C364&gt;($B$4*8/10),($B$4*8/10)^2*(1.5*(C364^2-MAX(B364,($B$4*8/10))^2)-($B$4*8/10)*(C364-MAX(B364,($B$4*8/10)))),0))*1000,0)</f>
        <v>0</v>
      </c>
      <c r="AJ364" s="120">
        <f>IF(AND(J364="OK",ISNUMBER($B$5),$B$5&gt;0,ISNUMBER($B$3),$B$3&gt;0),F364/(6*$B$3*1000000*$B$5)*(IF(B364&lt;($B$4*9/10),($B$4*9/10)*(MIN(C364,($B$4*9/10))^3-B364^3)-(MIN(C364,($B$4*9/10))^4-B364^4)/4,0)+IF(C364&gt;($B$4*9/10),($B$4*9/10)^2*(1.5*(C364^2-MAX(B364,($B$4*9/10))^2)-($B$4*9/10)*(C364-MAX(B364,($B$4*9/10)))),0))*1000,0)</f>
        <v>0</v>
      </c>
      <c r="AK364" s="120">
        <f>IF(AND(J364="OK",ISNUMBER($B$5),$B$5&gt;0,ISNUMBER($B$3),$B$3&gt;0),F364/(6*$B$3*1000000*$B$5)*(IF(B364&lt;($B$4*10/10),($B$4*10/10)*(MIN(C364,($B$4*10/10))^3-B364^3)-(MIN(C364,($B$4*10/10))^4-B364^4)/4,0)+IF(C364&gt;($B$4*10/10),($B$4*10/10)^2*(1.5*(C364^2-MAX(B364,($B$4*10/10))^2)-($B$4*10/10)*(C364-MAX(B364,($B$4*10/10)))),0))*1000,0)</f>
        <v>0</v>
      </c>
      <c r="AM364" s="120">
        <f>IF(AND(V364="OK",ISNUMBER($N$5),$N$5&gt;0,ISNUMBER($N$3),$N$3&gt;0),R364/(6*$N$3*1000000*$N$5)*(IF(N364&lt;($N$4*0/10),($N$4*0/10)*(MIN(O364,($N$4*0/10))^3-N364^3)-(MIN(O364,($N$4*0/10))^4-N364^4)/4,0)+IF(O364&gt;($N$4*0/10),($N$4*0/10)^2*(1.5*(O364^2-MAX(N364,($N$4*0/10))^2)-($N$4*0/10)*(O364-MAX(N364,($N$4*0/10)))),0))*1000,0)</f>
        <v>0</v>
      </c>
      <c r="AN364" s="120">
        <f>IF(AND(V364="OK",ISNUMBER($N$5),$N$5&gt;0,ISNUMBER($N$3),$N$3&gt;0),R364/(6*$N$3*1000000*$N$5)*(IF(N364&lt;($N$4*1/10),($N$4*1/10)*(MIN(O364,($N$4*1/10))^3-N364^3)-(MIN(O364,($N$4*1/10))^4-N364^4)/4,0)+IF(O364&gt;($N$4*1/10),($N$4*1/10)^2*(1.5*(O364^2-MAX(N364,($N$4*1/10))^2)-($N$4*1/10)*(O364-MAX(N364,($N$4*1/10)))),0))*1000,0)</f>
        <v>0</v>
      </c>
      <c r="AO364" s="120">
        <f>IF(AND(V364="OK",ISNUMBER($N$5),$N$5&gt;0,ISNUMBER($N$3),$N$3&gt;0),R364/(6*$N$3*1000000*$N$5)*(IF(N364&lt;($N$4*2/10),($N$4*2/10)*(MIN(O364,($N$4*2/10))^3-N364^3)-(MIN(O364,($N$4*2/10))^4-N364^4)/4,0)+IF(O364&gt;($N$4*2/10),($N$4*2/10)^2*(1.5*(O364^2-MAX(N364,($N$4*2/10))^2)-($N$4*2/10)*(O364-MAX(N364,($N$4*2/10)))),0))*1000,0)</f>
        <v>0</v>
      </c>
      <c r="AP364" s="120">
        <f>IF(AND(V364="OK",ISNUMBER($N$5),$N$5&gt;0,ISNUMBER($N$3),$N$3&gt;0),R364/(6*$N$3*1000000*$N$5)*(IF(N364&lt;($N$4*3/10),($N$4*3/10)*(MIN(O364,($N$4*3/10))^3-N364^3)-(MIN(O364,($N$4*3/10))^4-N364^4)/4,0)+IF(O364&gt;($N$4*3/10),($N$4*3/10)^2*(1.5*(O364^2-MAX(N364,($N$4*3/10))^2)-($N$4*3/10)*(O364-MAX(N364,($N$4*3/10)))),0))*1000,0)</f>
        <v>0</v>
      </c>
      <c r="AQ364" s="120">
        <f>IF(AND(V364="OK",ISNUMBER($N$5),$N$5&gt;0,ISNUMBER($N$3),$N$3&gt;0),R364/(6*$N$3*1000000*$N$5)*(IF(N364&lt;($N$4*4/10),($N$4*4/10)*(MIN(O364,($N$4*4/10))^3-N364^3)-(MIN(O364,($N$4*4/10))^4-N364^4)/4,0)+IF(O364&gt;($N$4*4/10),($N$4*4/10)^2*(1.5*(O364^2-MAX(N364,($N$4*4/10))^2)-($N$4*4/10)*(O364-MAX(N364,($N$4*4/10)))),0))*1000,0)</f>
        <v>0</v>
      </c>
      <c r="AR364" s="120">
        <f>IF(AND(V364="OK",ISNUMBER($N$5),$N$5&gt;0,ISNUMBER($N$3),$N$3&gt;0),R364/(6*$N$3*1000000*$N$5)*(IF(N364&lt;($N$4*5/10),($N$4*5/10)*(MIN(O364,($N$4*5/10))^3-N364^3)-(MIN(O364,($N$4*5/10))^4-N364^4)/4,0)+IF(O364&gt;($N$4*5/10),($N$4*5/10)^2*(1.5*(O364^2-MAX(N364,($N$4*5/10))^2)-($N$4*5/10)*(O364-MAX(N364,($N$4*5/10)))),0))*1000,0)</f>
        <v>0</v>
      </c>
      <c r="AS364" s="120">
        <f>IF(AND(V364="OK",ISNUMBER($N$5),$N$5&gt;0,ISNUMBER($N$3),$N$3&gt;0),R364/(6*$N$3*1000000*$N$5)*(IF(N364&lt;($N$4*6/10),($N$4*6/10)*(MIN(O364,($N$4*6/10))^3-N364^3)-(MIN(O364,($N$4*6/10))^4-N364^4)/4,0)+IF(O364&gt;($N$4*6/10),($N$4*6/10)^2*(1.5*(O364^2-MAX(N364,($N$4*6/10))^2)-($N$4*6/10)*(O364-MAX(N364,($N$4*6/10)))),0))*1000,0)</f>
        <v>0</v>
      </c>
      <c r="AT364" s="120">
        <f>IF(AND(V364="OK",ISNUMBER($N$5),$N$5&gt;0,ISNUMBER($N$3),$N$3&gt;0),R364/(6*$N$3*1000000*$N$5)*(IF(N364&lt;($N$4*7/10),($N$4*7/10)*(MIN(O364,($N$4*7/10))^3-N364^3)-(MIN(O364,($N$4*7/10))^4-N364^4)/4,0)+IF(O364&gt;($N$4*7/10),($N$4*7/10)^2*(1.5*(O364^2-MAX(N364,($N$4*7/10))^2)-($N$4*7/10)*(O364-MAX(N364,($N$4*7/10)))),0))*1000,0)</f>
        <v>0</v>
      </c>
      <c r="AU364" s="120">
        <f>IF(AND(V364="OK",ISNUMBER($N$5),$N$5&gt;0,ISNUMBER($N$3),$N$3&gt;0),R364/(6*$N$3*1000000*$N$5)*(IF(N364&lt;($N$4*8/10),($N$4*8/10)*(MIN(O364,($N$4*8/10))^3-N364^3)-(MIN(O364,($N$4*8/10))^4-N364^4)/4,0)+IF(O364&gt;($N$4*8/10),($N$4*8/10)^2*(1.5*(O364^2-MAX(N364,($N$4*8/10))^2)-($N$4*8/10)*(O364-MAX(N364,($N$4*8/10)))),0))*1000,0)</f>
        <v>0</v>
      </c>
      <c r="AV364" s="120">
        <f>IF(AND(V364="OK",ISNUMBER($N$5),$N$5&gt;0,ISNUMBER($N$3),$N$3&gt;0),R364/(6*$N$3*1000000*$N$5)*(IF(N364&lt;($N$4*9/10),($N$4*9/10)*(MIN(O364,($N$4*9/10))^3-N364^3)-(MIN(O364,($N$4*9/10))^4-N364^4)/4,0)+IF(O364&gt;($N$4*9/10),($N$4*9/10)^2*(1.5*(O364^2-MAX(N364,($N$4*9/10))^2)-($N$4*9/10)*(O364-MAX(N364,($N$4*9/10)))),0))*1000,0)</f>
        <v>0</v>
      </c>
      <c r="AW364" s="120">
        <f>IF(AND(V364="OK",ISNUMBER($N$5),$N$5&gt;0,ISNUMBER($N$3),$N$3&gt;0),R364/(6*$N$3*1000000*$N$5)*(IF(N364&lt;($N$4*10/10),($N$4*10/10)*(MIN(O364,($N$4*10/10))^3-N364^3)-(MIN(O364,($N$4*10/10))^4-N364^4)/4,0)+IF(O364&gt;($N$4*10/10),($N$4*10/10)^2*(1.5*(O364^2-MAX(N364,($N$4*10/10))^2)-($N$4*10/10)*(O364-MAX(N364,($N$4*10/10)))),0))*1000,0)</f>
        <v>0</v>
      </c>
    </row>
    <row r="365" spans="1:49">
      <c r="A365" s="124"/>
      <c r="B365" s="125"/>
      <c r="C365" s="125"/>
      <c r="D365" s="125"/>
      <c r="E365" s="125"/>
      <c r="F365" s="126" t="str">
        <f>IF(J365="OK",D365*E365,"")</f>
        <v/>
      </c>
      <c r="G365" s="126" t="str">
        <f>IF(J365="OK",F365*(C365-B365),"")</f>
        <v/>
      </c>
      <c r="H365" s="126" t="str">
        <f>IF(J365="OK",G365*(C365+B365)/2,"")</f>
        <v/>
      </c>
      <c r="I365" s="126" t="str">
        <f>IF(AND(J365="OK",ISNUMBER($B$5),$B$5&gt;0,ISNUMBER($B$3),$B$3&gt;0),F365*(4*$B$4*(C365^3-B365^3)-(C365^4-B365^4))/(24*$B$3*1000000*$B$5)*1000,"")</f>
        <v/>
      </c>
      <c r="J365" s="120" t="str">
        <f>IF(COUNTA(A365:E365)=0,"",IF(AND(COUNT(B365:E365)=4,B365&gt;=0,C365&gt;B365,C365&lt;=$B$4,D365&gt;=0,E365&gt;0),IF(COUNTIFS($B$13:$B$364,"&lt;"&amp;C365,$C$13:$C$364,"&gt;"&amp;B365)&gt;0,"OVERLAP","OK"),"CHECK INPUTS"))</f>
        <v/>
      </c>
      <c r="M365" s="124"/>
      <c r="N365" s="125"/>
      <c r="O365" s="125"/>
      <c r="P365" s="125"/>
      <c r="Q365" s="125"/>
      <c r="R365" s="126" t="str">
        <f>IF(V365="OK",P365*Q365,"")</f>
        <v/>
      </c>
      <c r="S365" s="126" t="str">
        <f>IF(V365="OK",R365*(O365-N365),"")</f>
        <v/>
      </c>
      <c r="T365" s="126" t="str">
        <f>IF(V365="OK",S365*(O365+N365)/2,"")</f>
        <v/>
      </c>
      <c r="U365" s="126" t="str">
        <f>IF(AND(V365="OK",ISNUMBER($N$5),$N$5&gt;0,ISNUMBER($N$3),$N$3&gt;0),R365*(4*$N$4*(O365^3-N365^3)-(O365^4-N365^4))/(24*$N$3*1000000*$N$5)*1000,"")</f>
        <v/>
      </c>
      <c r="V365" s="120" t="str">
        <f>IF(COUNTA(M365:Q365)=0,"",IF(AND(COUNT(N365:Q365)=4,N365&gt;=0,O365&gt;N365,O365&lt;=$N$4,P365&gt;=0,Q365&gt;0),IF(COUNTIFS($N$13:$N$364,"&lt;"&amp;O365,$O$13:$O$364,"&gt;"&amp;N365)&gt;0,"OVERLAP","OK"),"CHECK INPUTS"))</f>
        <v/>
      </c>
      <c r="AA365" s="120">
        <f>IF(AND(J365="OK",ISNUMBER($B$5),$B$5&gt;0,ISNUMBER($B$3),$B$3&gt;0),F365/(6*$B$3*1000000*$B$5)*(IF(B365&lt;($B$4*0/10),($B$4*0/10)*(MIN(C365,($B$4*0/10))^3-B365^3)-(MIN(C365,($B$4*0/10))^4-B365^4)/4,0)+IF(C365&gt;($B$4*0/10),($B$4*0/10)^2*(1.5*(C365^2-MAX(B365,($B$4*0/10))^2)-($B$4*0/10)*(C365-MAX(B365,($B$4*0/10)))),0))*1000,0)</f>
        <v>0</v>
      </c>
      <c r="AB365" s="120">
        <f>IF(AND(J365="OK",ISNUMBER($B$5),$B$5&gt;0,ISNUMBER($B$3),$B$3&gt;0),F365/(6*$B$3*1000000*$B$5)*(IF(B365&lt;($B$4*1/10),($B$4*1/10)*(MIN(C365,($B$4*1/10))^3-B365^3)-(MIN(C365,($B$4*1/10))^4-B365^4)/4,0)+IF(C365&gt;($B$4*1/10),($B$4*1/10)^2*(1.5*(C365^2-MAX(B365,($B$4*1/10))^2)-($B$4*1/10)*(C365-MAX(B365,($B$4*1/10)))),0))*1000,0)</f>
        <v>0</v>
      </c>
      <c r="AC365" s="120">
        <f>IF(AND(J365="OK",ISNUMBER($B$5),$B$5&gt;0,ISNUMBER($B$3),$B$3&gt;0),F365/(6*$B$3*1000000*$B$5)*(IF(B365&lt;($B$4*2/10),($B$4*2/10)*(MIN(C365,($B$4*2/10))^3-B365^3)-(MIN(C365,($B$4*2/10))^4-B365^4)/4,0)+IF(C365&gt;($B$4*2/10),($B$4*2/10)^2*(1.5*(C365^2-MAX(B365,($B$4*2/10))^2)-($B$4*2/10)*(C365-MAX(B365,($B$4*2/10)))),0))*1000,0)</f>
        <v>0</v>
      </c>
      <c r="AD365" s="120">
        <f>IF(AND(J365="OK",ISNUMBER($B$5),$B$5&gt;0,ISNUMBER($B$3),$B$3&gt;0),F365/(6*$B$3*1000000*$B$5)*(IF(B365&lt;($B$4*3/10),($B$4*3/10)*(MIN(C365,($B$4*3/10))^3-B365^3)-(MIN(C365,($B$4*3/10))^4-B365^4)/4,0)+IF(C365&gt;($B$4*3/10),($B$4*3/10)^2*(1.5*(C365^2-MAX(B365,($B$4*3/10))^2)-($B$4*3/10)*(C365-MAX(B365,($B$4*3/10)))),0))*1000,0)</f>
        <v>0</v>
      </c>
      <c r="AE365" s="120">
        <f>IF(AND(J365="OK",ISNUMBER($B$5),$B$5&gt;0,ISNUMBER($B$3),$B$3&gt;0),F365/(6*$B$3*1000000*$B$5)*(IF(B365&lt;($B$4*4/10),($B$4*4/10)*(MIN(C365,($B$4*4/10))^3-B365^3)-(MIN(C365,($B$4*4/10))^4-B365^4)/4,0)+IF(C365&gt;($B$4*4/10),($B$4*4/10)^2*(1.5*(C365^2-MAX(B365,($B$4*4/10))^2)-($B$4*4/10)*(C365-MAX(B365,($B$4*4/10)))),0))*1000,0)</f>
        <v>0</v>
      </c>
      <c r="AF365" s="120">
        <f>IF(AND(J365="OK",ISNUMBER($B$5),$B$5&gt;0,ISNUMBER($B$3),$B$3&gt;0),F365/(6*$B$3*1000000*$B$5)*(IF(B365&lt;($B$4*5/10),($B$4*5/10)*(MIN(C365,($B$4*5/10))^3-B365^3)-(MIN(C365,($B$4*5/10))^4-B365^4)/4,0)+IF(C365&gt;($B$4*5/10),($B$4*5/10)^2*(1.5*(C365^2-MAX(B365,($B$4*5/10))^2)-($B$4*5/10)*(C365-MAX(B365,($B$4*5/10)))),0))*1000,0)</f>
        <v>0</v>
      </c>
      <c r="AG365" s="120">
        <f>IF(AND(J365="OK",ISNUMBER($B$5),$B$5&gt;0,ISNUMBER($B$3),$B$3&gt;0),F365/(6*$B$3*1000000*$B$5)*(IF(B365&lt;($B$4*6/10),($B$4*6/10)*(MIN(C365,($B$4*6/10))^3-B365^3)-(MIN(C365,($B$4*6/10))^4-B365^4)/4,0)+IF(C365&gt;($B$4*6/10),($B$4*6/10)^2*(1.5*(C365^2-MAX(B365,($B$4*6/10))^2)-($B$4*6/10)*(C365-MAX(B365,($B$4*6/10)))),0))*1000,0)</f>
        <v>0</v>
      </c>
      <c r="AH365" s="120">
        <f>IF(AND(J365="OK",ISNUMBER($B$5),$B$5&gt;0,ISNUMBER($B$3),$B$3&gt;0),F365/(6*$B$3*1000000*$B$5)*(IF(B365&lt;($B$4*7/10),($B$4*7/10)*(MIN(C365,($B$4*7/10))^3-B365^3)-(MIN(C365,($B$4*7/10))^4-B365^4)/4,0)+IF(C365&gt;($B$4*7/10),($B$4*7/10)^2*(1.5*(C365^2-MAX(B365,($B$4*7/10))^2)-($B$4*7/10)*(C365-MAX(B365,($B$4*7/10)))),0))*1000,0)</f>
        <v>0</v>
      </c>
      <c r="AI365" s="120">
        <f>IF(AND(J365="OK",ISNUMBER($B$5),$B$5&gt;0,ISNUMBER($B$3),$B$3&gt;0),F365/(6*$B$3*1000000*$B$5)*(IF(B365&lt;($B$4*8/10),($B$4*8/10)*(MIN(C365,($B$4*8/10))^3-B365^3)-(MIN(C365,($B$4*8/10))^4-B365^4)/4,0)+IF(C365&gt;($B$4*8/10),($B$4*8/10)^2*(1.5*(C365^2-MAX(B365,($B$4*8/10))^2)-($B$4*8/10)*(C365-MAX(B365,($B$4*8/10)))),0))*1000,0)</f>
        <v>0</v>
      </c>
      <c r="AJ365" s="120">
        <f>IF(AND(J365="OK",ISNUMBER($B$5),$B$5&gt;0,ISNUMBER($B$3),$B$3&gt;0),F365/(6*$B$3*1000000*$B$5)*(IF(B365&lt;($B$4*9/10),($B$4*9/10)*(MIN(C365,($B$4*9/10))^3-B365^3)-(MIN(C365,($B$4*9/10))^4-B365^4)/4,0)+IF(C365&gt;($B$4*9/10),($B$4*9/10)^2*(1.5*(C365^2-MAX(B365,($B$4*9/10))^2)-($B$4*9/10)*(C365-MAX(B365,($B$4*9/10)))),0))*1000,0)</f>
        <v>0</v>
      </c>
      <c r="AK365" s="120">
        <f>IF(AND(J365="OK",ISNUMBER($B$5),$B$5&gt;0,ISNUMBER($B$3),$B$3&gt;0),F365/(6*$B$3*1000000*$B$5)*(IF(B365&lt;($B$4*10/10),($B$4*10/10)*(MIN(C365,($B$4*10/10))^3-B365^3)-(MIN(C365,($B$4*10/10))^4-B365^4)/4,0)+IF(C365&gt;($B$4*10/10),($B$4*10/10)^2*(1.5*(C365^2-MAX(B365,($B$4*10/10))^2)-($B$4*10/10)*(C365-MAX(B365,($B$4*10/10)))),0))*1000,0)</f>
        <v>0</v>
      </c>
      <c r="AM365" s="120">
        <f>IF(AND(V365="OK",ISNUMBER($N$5),$N$5&gt;0,ISNUMBER($N$3),$N$3&gt;0),R365/(6*$N$3*1000000*$N$5)*(IF(N365&lt;($N$4*0/10),($N$4*0/10)*(MIN(O365,($N$4*0/10))^3-N365^3)-(MIN(O365,($N$4*0/10))^4-N365^4)/4,0)+IF(O365&gt;($N$4*0/10),($N$4*0/10)^2*(1.5*(O365^2-MAX(N365,($N$4*0/10))^2)-($N$4*0/10)*(O365-MAX(N365,($N$4*0/10)))),0))*1000,0)</f>
        <v>0</v>
      </c>
      <c r="AN365" s="120">
        <f>IF(AND(V365="OK",ISNUMBER($N$5),$N$5&gt;0,ISNUMBER($N$3),$N$3&gt;0),R365/(6*$N$3*1000000*$N$5)*(IF(N365&lt;($N$4*1/10),($N$4*1/10)*(MIN(O365,($N$4*1/10))^3-N365^3)-(MIN(O365,($N$4*1/10))^4-N365^4)/4,0)+IF(O365&gt;($N$4*1/10),($N$4*1/10)^2*(1.5*(O365^2-MAX(N365,($N$4*1/10))^2)-($N$4*1/10)*(O365-MAX(N365,($N$4*1/10)))),0))*1000,0)</f>
        <v>0</v>
      </c>
      <c r="AO365" s="120">
        <f>IF(AND(V365="OK",ISNUMBER($N$5),$N$5&gt;0,ISNUMBER($N$3),$N$3&gt;0),R365/(6*$N$3*1000000*$N$5)*(IF(N365&lt;($N$4*2/10),($N$4*2/10)*(MIN(O365,($N$4*2/10))^3-N365^3)-(MIN(O365,($N$4*2/10))^4-N365^4)/4,0)+IF(O365&gt;($N$4*2/10),($N$4*2/10)^2*(1.5*(O365^2-MAX(N365,($N$4*2/10))^2)-($N$4*2/10)*(O365-MAX(N365,($N$4*2/10)))),0))*1000,0)</f>
        <v>0</v>
      </c>
      <c r="AP365" s="120">
        <f>IF(AND(V365="OK",ISNUMBER($N$5),$N$5&gt;0,ISNUMBER($N$3),$N$3&gt;0),R365/(6*$N$3*1000000*$N$5)*(IF(N365&lt;($N$4*3/10),($N$4*3/10)*(MIN(O365,($N$4*3/10))^3-N365^3)-(MIN(O365,($N$4*3/10))^4-N365^4)/4,0)+IF(O365&gt;($N$4*3/10),($N$4*3/10)^2*(1.5*(O365^2-MAX(N365,($N$4*3/10))^2)-($N$4*3/10)*(O365-MAX(N365,($N$4*3/10)))),0))*1000,0)</f>
        <v>0</v>
      </c>
      <c r="AQ365" s="120">
        <f>IF(AND(V365="OK",ISNUMBER($N$5),$N$5&gt;0,ISNUMBER($N$3),$N$3&gt;0),R365/(6*$N$3*1000000*$N$5)*(IF(N365&lt;($N$4*4/10),($N$4*4/10)*(MIN(O365,($N$4*4/10))^3-N365^3)-(MIN(O365,($N$4*4/10))^4-N365^4)/4,0)+IF(O365&gt;($N$4*4/10),($N$4*4/10)^2*(1.5*(O365^2-MAX(N365,($N$4*4/10))^2)-($N$4*4/10)*(O365-MAX(N365,($N$4*4/10)))),0))*1000,0)</f>
        <v>0</v>
      </c>
      <c r="AR365" s="120">
        <f>IF(AND(V365="OK",ISNUMBER($N$5),$N$5&gt;0,ISNUMBER($N$3),$N$3&gt;0),R365/(6*$N$3*1000000*$N$5)*(IF(N365&lt;($N$4*5/10),($N$4*5/10)*(MIN(O365,($N$4*5/10))^3-N365^3)-(MIN(O365,($N$4*5/10))^4-N365^4)/4,0)+IF(O365&gt;($N$4*5/10),($N$4*5/10)^2*(1.5*(O365^2-MAX(N365,($N$4*5/10))^2)-($N$4*5/10)*(O365-MAX(N365,($N$4*5/10)))),0))*1000,0)</f>
        <v>0</v>
      </c>
      <c r="AS365" s="120">
        <f>IF(AND(V365="OK",ISNUMBER($N$5),$N$5&gt;0,ISNUMBER($N$3),$N$3&gt;0),R365/(6*$N$3*1000000*$N$5)*(IF(N365&lt;($N$4*6/10),($N$4*6/10)*(MIN(O365,($N$4*6/10))^3-N365^3)-(MIN(O365,($N$4*6/10))^4-N365^4)/4,0)+IF(O365&gt;($N$4*6/10),($N$4*6/10)^2*(1.5*(O365^2-MAX(N365,($N$4*6/10))^2)-($N$4*6/10)*(O365-MAX(N365,($N$4*6/10)))),0))*1000,0)</f>
        <v>0</v>
      </c>
      <c r="AT365" s="120">
        <f>IF(AND(V365="OK",ISNUMBER($N$5),$N$5&gt;0,ISNUMBER($N$3),$N$3&gt;0),R365/(6*$N$3*1000000*$N$5)*(IF(N365&lt;($N$4*7/10),($N$4*7/10)*(MIN(O365,($N$4*7/10))^3-N365^3)-(MIN(O365,($N$4*7/10))^4-N365^4)/4,0)+IF(O365&gt;($N$4*7/10),($N$4*7/10)^2*(1.5*(O365^2-MAX(N365,($N$4*7/10))^2)-($N$4*7/10)*(O365-MAX(N365,($N$4*7/10)))),0))*1000,0)</f>
        <v>0</v>
      </c>
      <c r="AU365" s="120">
        <f>IF(AND(V365="OK",ISNUMBER($N$5),$N$5&gt;0,ISNUMBER($N$3),$N$3&gt;0),R365/(6*$N$3*1000000*$N$5)*(IF(N365&lt;($N$4*8/10),($N$4*8/10)*(MIN(O365,($N$4*8/10))^3-N365^3)-(MIN(O365,($N$4*8/10))^4-N365^4)/4,0)+IF(O365&gt;($N$4*8/10),($N$4*8/10)^2*(1.5*(O365^2-MAX(N365,($N$4*8/10))^2)-($N$4*8/10)*(O365-MAX(N365,($N$4*8/10)))),0))*1000,0)</f>
        <v>0</v>
      </c>
      <c r="AV365" s="120">
        <f>IF(AND(V365="OK",ISNUMBER($N$5),$N$5&gt;0,ISNUMBER($N$3),$N$3&gt;0),R365/(6*$N$3*1000000*$N$5)*(IF(N365&lt;($N$4*9/10),($N$4*9/10)*(MIN(O365,($N$4*9/10))^3-N365^3)-(MIN(O365,($N$4*9/10))^4-N365^4)/4,0)+IF(O365&gt;($N$4*9/10),($N$4*9/10)^2*(1.5*(O365^2-MAX(N365,($N$4*9/10))^2)-($N$4*9/10)*(O365-MAX(N365,($N$4*9/10)))),0))*1000,0)</f>
        <v>0</v>
      </c>
      <c r="AW365" s="120">
        <f>IF(AND(V365="OK",ISNUMBER($N$5),$N$5&gt;0,ISNUMBER($N$3),$N$3&gt;0),R365/(6*$N$3*1000000*$N$5)*(IF(N365&lt;($N$4*10/10),($N$4*10/10)*(MIN(O365,($N$4*10/10))^3-N365^3)-(MIN(O365,($N$4*10/10))^4-N365^4)/4,0)+IF(O365&gt;($N$4*10/10),($N$4*10/10)^2*(1.5*(O365^2-MAX(N365,($N$4*10/10))^2)-($N$4*10/10)*(O365-MAX(N365,($N$4*10/10)))),0))*1000,0)</f>
        <v>0</v>
      </c>
    </row>
    <row r="366" spans="1:49">
      <c r="A366" s="124"/>
      <c r="B366" s="125"/>
      <c r="C366" s="125"/>
      <c r="D366" s="125"/>
      <c r="E366" s="125"/>
      <c r="F366" s="126" t="str">
        <f>IF(J366="OK",D366*E366,"")</f>
        <v/>
      </c>
      <c r="G366" s="126" t="str">
        <f>IF(J366="OK",F366*(C366-B366),"")</f>
        <v/>
      </c>
      <c r="H366" s="126" t="str">
        <f>IF(J366="OK",G366*(C366+B366)/2,"")</f>
        <v/>
      </c>
      <c r="I366" s="126" t="str">
        <f>IF(AND(J366="OK",ISNUMBER($B$5),$B$5&gt;0,ISNUMBER($B$3),$B$3&gt;0),F366*(4*$B$4*(C366^3-B366^3)-(C366^4-B366^4))/(24*$B$3*1000000*$B$5)*1000,"")</f>
        <v/>
      </c>
      <c r="J366" s="120" t="str">
        <f>IF(COUNTA(A366:E366)=0,"",IF(AND(COUNT(B366:E366)=4,B366&gt;=0,C366&gt;B366,C366&lt;=$B$4,D366&gt;=0,E366&gt;0),IF(COUNTIFS($B$13:$B$365,"&lt;"&amp;C366,$C$13:$C$365,"&gt;"&amp;B366)&gt;0,"OVERLAP","OK"),"CHECK INPUTS"))</f>
        <v/>
      </c>
      <c r="M366" s="124"/>
      <c r="N366" s="125"/>
      <c r="O366" s="125"/>
      <c r="P366" s="125"/>
      <c r="Q366" s="125"/>
      <c r="R366" s="126" t="str">
        <f>IF(V366="OK",P366*Q366,"")</f>
        <v/>
      </c>
      <c r="S366" s="126" t="str">
        <f>IF(V366="OK",R366*(O366-N366),"")</f>
        <v/>
      </c>
      <c r="T366" s="126" t="str">
        <f>IF(V366="OK",S366*(O366+N366)/2,"")</f>
        <v/>
      </c>
      <c r="U366" s="126" t="str">
        <f>IF(AND(V366="OK",ISNUMBER($N$5),$N$5&gt;0,ISNUMBER($N$3),$N$3&gt;0),R366*(4*$N$4*(O366^3-N366^3)-(O366^4-N366^4))/(24*$N$3*1000000*$N$5)*1000,"")</f>
        <v/>
      </c>
      <c r="V366" s="120" t="str">
        <f>IF(COUNTA(M366:Q366)=0,"",IF(AND(COUNT(N366:Q366)=4,N366&gt;=0,O366&gt;N366,O366&lt;=$N$4,P366&gt;=0,Q366&gt;0),IF(COUNTIFS($N$13:$N$365,"&lt;"&amp;O366,$O$13:$O$365,"&gt;"&amp;N366)&gt;0,"OVERLAP","OK"),"CHECK INPUTS"))</f>
        <v/>
      </c>
      <c r="AA366" s="120">
        <f>IF(AND(J366="OK",ISNUMBER($B$5),$B$5&gt;0,ISNUMBER($B$3),$B$3&gt;0),F366/(6*$B$3*1000000*$B$5)*(IF(B366&lt;($B$4*0/10),($B$4*0/10)*(MIN(C366,($B$4*0/10))^3-B366^3)-(MIN(C366,($B$4*0/10))^4-B366^4)/4,0)+IF(C366&gt;($B$4*0/10),($B$4*0/10)^2*(1.5*(C366^2-MAX(B366,($B$4*0/10))^2)-($B$4*0/10)*(C366-MAX(B366,($B$4*0/10)))),0))*1000,0)</f>
        <v>0</v>
      </c>
      <c r="AB366" s="120">
        <f>IF(AND(J366="OK",ISNUMBER($B$5),$B$5&gt;0,ISNUMBER($B$3),$B$3&gt;0),F366/(6*$B$3*1000000*$B$5)*(IF(B366&lt;($B$4*1/10),($B$4*1/10)*(MIN(C366,($B$4*1/10))^3-B366^3)-(MIN(C366,($B$4*1/10))^4-B366^4)/4,0)+IF(C366&gt;($B$4*1/10),($B$4*1/10)^2*(1.5*(C366^2-MAX(B366,($B$4*1/10))^2)-($B$4*1/10)*(C366-MAX(B366,($B$4*1/10)))),0))*1000,0)</f>
        <v>0</v>
      </c>
      <c r="AC366" s="120">
        <f>IF(AND(J366="OK",ISNUMBER($B$5),$B$5&gt;0,ISNUMBER($B$3),$B$3&gt;0),F366/(6*$B$3*1000000*$B$5)*(IF(B366&lt;($B$4*2/10),($B$4*2/10)*(MIN(C366,($B$4*2/10))^3-B366^3)-(MIN(C366,($B$4*2/10))^4-B366^4)/4,0)+IF(C366&gt;($B$4*2/10),($B$4*2/10)^2*(1.5*(C366^2-MAX(B366,($B$4*2/10))^2)-($B$4*2/10)*(C366-MAX(B366,($B$4*2/10)))),0))*1000,0)</f>
        <v>0</v>
      </c>
      <c r="AD366" s="120">
        <f>IF(AND(J366="OK",ISNUMBER($B$5),$B$5&gt;0,ISNUMBER($B$3),$B$3&gt;0),F366/(6*$B$3*1000000*$B$5)*(IF(B366&lt;($B$4*3/10),($B$4*3/10)*(MIN(C366,($B$4*3/10))^3-B366^3)-(MIN(C366,($B$4*3/10))^4-B366^4)/4,0)+IF(C366&gt;($B$4*3/10),($B$4*3/10)^2*(1.5*(C366^2-MAX(B366,($B$4*3/10))^2)-($B$4*3/10)*(C366-MAX(B366,($B$4*3/10)))),0))*1000,0)</f>
        <v>0</v>
      </c>
      <c r="AE366" s="120">
        <f>IF(AND(J366="OK",ISNUMBER($B$5),$B$5&gt;0,ISNUMBER($B$3),$B$3&gt;0),F366/(6*$B$3*1000000*$B$5)*(IF(B366&lt;($B$4*4/10),($B$4*4/10)*(MIN(C366,($B$4*4/10))^3-B366^3)-(MIN(C366,($B$4*4/10))^4-B366^4)/4,0)+IF(C366&gt;($B$4*4/10),($B$4*4/10)^2*(1.5*(C366^2-MAX(B366,($B$4*4/10))^2)-($B$4*4/10)*(C366-MAX(B366,($B$4*4/10)))),0))*1000,0)</f>
        <v>0</v>
      </c>
      <c r="AF366" s="120">
        <f>IF(AND(J366="OK",ISNUMBER($B$5),$B$5&gt;0,ISNUMBER($B$3),$B$3&gt;0),F366/(6*$B$3*1000000*$B$5)*(IF(B366&lt;($B$4*5/10),($B$4*5/10)*(MIN(C366,($B$4*5/10))^3-B366^3)-(MIN(C366,($B$4*5/10))^4-B366^4)/4,0)+IF(C366&gt;($B$4*5/10),($B$4*5/10)^2*(1.5*(C366^2-MAX(B366,($B$4*5/10))^2)-($B$4*5/10)*(C366-MAX(B366,($B$4*5/10)))),0))*1000,0)</f>
        <v>0</v>
      </c>
      <c r="AG366" s="120">
        <f>IF(AND(J366="OK",ISNUMBER($B$5),$B$5&gt;0,ISNUMBER($B$3),$B$3&gt;0),F366/(6*$B$3*1000000*$B$5)*(IF(B366&lt;($B$4*6/10),($B$4*6/10)*(MIN(C366,($B$4*6/10))^3-B366^3)-(MIN(C366,($B$4*6/10))^4-B366^4)/4,0)+IF(C366&gt;($B$4*6/10),($B$4*6/10)^2*(1.5*(C366^2-MAX(B366,($B$4*6/10))^2)-($B$4*6/10)*(C366-MAX(B366,($B$4*6/10)))),0))*1000,0)</f>
        <v>0</v>
      </c>
      <c r="AH366" s="120">
        <f>IF(AND(J366="OK",ISNUMBER($B$5),$B$5&gt;0,ISNUMBER($B$3),$B$3&gt;0),F366/(6*$B$3*1000000*$B$5)*(IF(B366&lt;($B$4*7/10),($B$4*7/10)*(MIN(C366,($B$4*7/10))^3-B366^3)-(MIN(C366,($B$4*7/10))^4-B366^4)/4,0)+IF(C366&gt;($B$4*7/10),($B$4*7/10)^2*(1.5*(C366^2-MAX(B366,($B$4*7/10))^2)-($B$4*7/10)*(C366-MAX(B366,($B$4*7/10)))),0))*1000,0)</f>
        <v>0</v>
      </c>
      <c r="AI366" s="120">
        <f>IF(AND(J366="OK",ISNUMBER($B$5),$B$5&gt;0,ISNUMBER($B$3),$B$3&gt;0),F366/(6*$B$3*1000000*$B$5)*(IF(B366&lt;($B$4*8/10),($B$4*8/10)*(MIN(C366,($B$4*8/10))^3-B366^3)-(MIN(C366,($B$4*8/10))^4-B366^4)/4,0)+IF(C366&gt;($B$4*8/10),($B$4*8/10)^2*(1.5*(C366^2-MAX(B366,($B$4*8/10))^2)-($B$4*8/10)*(C366-MAX(B366,($B$4*8/10)))),0))*1000,0)</f>
        <v>0</v>
      </c>
      <c r="AJ366" s="120">
        <f>IF(AND(J366="OK",ISNUMBER($B$5),$B$5&gt;0,ISNUMBER($B$3),$B$3&gt;0),F366/(6*$B$3*1000000*$B$5)*(IF(B366&lt;($B$4*9/10),($B$4*9/10)*(MIN(C366,($B$4*9/10))^3-B366^3)-(MIN(C366,($B$4*9/10))^4-B366^4)/4,0)+IF(C366&gt;($B$4*9/10),($B$4*9/10)^2*(1.5*(C366^2-MAX(B366,($B$4*9/10))^2)-($B$4*9/10)*(C366-MAX(B366,($B$4*9/10)))),0))*1000,0)</f>
        <v>0</v>
      </c>
      <c r="AK366" s="120">
        <f>IF(AND(J366="OK",ISNUMBER($B$5),$B$5&gt;0,ISNUMBER($B$3),$B$3&gt;0),F366/(6*$B$3*1000000*$B$5)*(IF(B366&lt;($B$4*10/10),($B$4*10/10)*(MIN(C366,($B$4*10/10))^3-B366^3)-(MIN(C366,($B$4*10/10))^4-B366^4)/4,0)+IF(C366&gt;($B$4*10/10),($B$4*10/10)^2*(1.5*(C366^2-MAX(B366,($B$4*10/10))^2)-($B$4*10/10)*(C366-MAX(B366,($B$4*10/10)))),0))*1000,0)</f>
        <v>0</v>
      </c>
      <c r="AM366" s="120">
        <f>IF(AND(V366="OK",ISNUMBER($N$5),$N$5&gt;0,ISNUMBER($N$3),$N$3&gt;0),R366/(6*$N$3*1000000*$N$5)*(IF(N366&lt;($N$4*0/10),($N$4*0/10)*(MIN(O366,($N$4*0/10))^3-N366^3)-(MIN(O366,($N$4*0/10))^4-N366^4)/4,0)+IF(O366&gt;($N$4*0/10),($N$4*0/10)^2*(1.5*(O366^2-MAX(N366,($N$4*0/10))^2)-($N$4*0/10)*(O366-MAX(N366,($N$4*0/10)))),0))*1000,0)</f>
        <v>0</v>
      </c>
      <c r="AN366" s="120">
        <f>IF(AND(V366="OK",ISNUMBER($N$5),$N$5&gt;0,ISNUMBER($N$3),$N$3&gt;0),R366/(6*$N$3*1000000*$N$5)*(IF(N366&lt;($N$4*1/10),($N$4*1/10)*(MIN(O366,($N$4*1/10))^3-N366^3)-(MIN(O366,($N$4*1/10))^4-N366^4)/4,0)+IF(O366&gt;($N$4*1/10),($N$4*1/10)^2*(1.5*(O366^2-MAX(N366,($N$4*1/10))^2)-($N$4*1/10)*(O366-MAX(N366,($N$4*1/10)))),0))*1000,0)</f>
        <v>0</v>
      </c>
      <c r="AO366" s="120">
        <f>IF(AND(V366="OK",ISNUMBER($N$5),$N$5&gt;0,ISNUMBER($N$3),$N$3&gt;0),R366/(6*$N$3*1000000*$N$5)*(IF(N366&lt;($N$4*2/10),($N$4*2/10)*(MIN(O366,($N$4*2/10))^3-N366^3)-(MIN(O366,($N$4*2/10))^4-N366^4)/4,0)+IF(O366&gt;($N$4*2/10),($N$4*2/10)^2*(1.5*(O366^2-MAX(N366,($N$4*2/10))^2)-($N$4*2/10)*(O366-MAX(N366,($N$4*2/10)))),0))*1000,0)</f>
        <v>0</v>
      </c>
      <c r="AP366" s="120">
        <f>IF(AND(V366="OK",ISNUMBER($N$5),$N$5&gt;0,ISNUMBER($N$3),$N$3&gt;0),R366/(6*$N$3*1000000*$N$5)*(IF(N366&lt;($N$4*3/10),($N$4*3/10)*(MIN(O366,($N$4*3/10))^3-N366^3)-(MIN(O366,($N$4*3/10))^4-N366^4)/4,0)+IF(O366&gt;($N$4*3/10),($N$4*3/10)^2*(1.5*(O366^2-MAX(N366,($N$4*3/10))^2)-($N$4*3/10)*(O366-MAX(N366,($N$4*3/10)))),0))*1000,0)</f>
        <v>0</v>
      </c>
      <c r="AQ366" s="120">
        <f>IF(AND(V366="OK",ISNUMBER($N$5),$N$5&gt;0,ISNUMBER($N$3),$N$3&gt;0),R366/(6*$N$3*1000000*$N$5)*(IF(N366&lt;($N$4*4/10),($N$4*4/10)*(MIN(O366,($N$4*4/10))^3-N366^3)-(MIN(O366,($N$4*4/10))^4-N366^4)/4,0)+IF(O366&gt;($N$4*4/10),($N$4*4/10)^2*(1.5*(O366^2-MAX(N366,($N$4*4/10))^2)-($N$4*4/10)*(O366-MAX(N366,($N$4*4/10)))),0))*1000,0)</f>
        <v>0</v>
      </c>
      <c r="AR366" s="120">
        <f>IF(AND(V366="OK",ISNUMBER($N$5),$N$5&gt;0,ISNUMBER($N$3),$N$3&gt;0),R366/(6*$N$3*1000000*$N$5)*(IF(N366&lt;($N$4*5/10),($N$4*5/10)*(MIN(O366,($N$4*5/10))^3-N366^3)-(MIN(O366,($N$4*5/10))^4-N366^4)/4,0)+IF(O366&gt;($N$4*5/10),($N$4*5/10)^2*(1.5*(O366^2-MAX(N366,($N$4*5/10))^2)-($N$4*5/10)*(O366-MAX(N366,($N$4*5/10)))),0))*1000,0)</f>
        <v>0</v>
      </c>
      <c r="AS366" s="120">
        <f>IF(AND(V366="OK",ISNUMBER($N$5),$N$5&gt;0,ISNUMBER($N$3),$N$3&gt;0),R366/(6*$N$3*1000000*$N$5)*(IF(N366&lt;($N$4*6/10),($N$4*6/10)*(MIN(O366,($N$4*6/10))^3-N366^3)-(MIN(O366,($N$4*6/10))^4-N366^4)/4,0)+IF(O366&gt;($N$4*6/10),($N$4*6/10)^2*(1.5*(O366^2-MAX(N366,($N$4*6/10))^2)-($N$4*6/10)*(O366-MAX(N366,($N$4*6/10)))),0))*1000,0)</f>
        <v>0</v>
      </c>
      <c r="AT366" s="120">
        <f>IF(AND(V366="OK",ISNUMBER($N$5),$N$5&gt;0,ISNUMBER($N$3),$N$3&gt;0),R366/(6*$N$3*1000000*$N$5)*(IF(N366&lt;($N$4*7/10),($N$4*7/10)*(MIN(O366,($N$4*7/10))^3-N366^3)-(MIN(O366,($N$4*7/10))^4-N366^4)/4,0)+IF(O366&gt;($N$4*7/10),($N$4*7/10)^2*(1.5*(O366^2-MAX(N366,($N$4*7/10))^2)-($N$4*7/10)*(O366-MAX(N366,($N$4*7/10)))),0))*1000,0)</f>
        <v>0</v>
      </c>
      <c r="AU366" s="120">
        <f>IF(AND(V366="OK",ISNUMBER($N$5),$N$5&gt;0,ISNUMBER($N$3),$N$3&gt;0),R366/(6*$N$3*1000000*$N$5)*(IF(N366&lt;($N$4*8/10),($N$4*8/10)*(MIN(O366,($N$4*8/10))^3-N366^3)-(MIN(O366,($N$4*8/10))^4-N366^4)/4,0)+IF(O366&gt;($N$4*8/10),($N$4*8/10)^2*(1.5*(O366^2-MAX(N366,($N$4*8/10))^2)-($N$4*8/10)*(O366-MAX(N366,($N$4*8/10)))),0))*1000,0)</f>
        <v>0</v>
      </c>
      <c r="AV366" s="120">
        <f>IF(AND(V366="OK",ISNUMBER($N$5),$N$5&gt;0,ISNUMBER($N$3),$N$3&gt;0),R366/(6*$N$3*1000000*$N$5)*(IF(N366&lt;($N$4*9/10),($N$4*9/10)*(MIN(O366,($N$4*9/10))^3-N366^3)-(MIN(O366,($N$4*9/10))^4-N366^4)/4,0)+IF(O366&gt;($N$4*9/10),($N$4*9/10)^2*(1.5*(O366^2-MAX(N366,($N$4*9/10))^2)-($N$4*9/10)*(O366-MAX(N366,($N$4*9/10)))),0))*1000,0)</f>
        <v>0</v>
      </c>
      <c r="AW366" s="120">
        <f>IF(AND(V366="OK",ISNUMBER($N$5),$N$5&gt;0,ISNUMBER($N$3),$N$3&gt;0),R366/(6*$N$3*1000000*$N$5)*(IF(N366&lt;($N$4*10/10),($N$4*10/10)*(MIN(O366,($N$4*10/10))^3-N366^3)-(MIN(O366,($N$4*10/10))^4-N366^4)/4,0)+IF(O366&gt;($N$4*10/10),($N$4*10/10)^2*(1.5*(O366^2-MAX(N366,($N$4*10/10))^2)-($N$4*10/10)*(O366-MAX(N366,($N$4*10/10)))),0))*1000,0)</f>
        <v>0</v>
      </c>
    </row>
    <row r="367" spans="1:49">
      <c r="A367" s="124"/>
      <c r="B367" s="125"/>
      <c r="C367" s="125"/>
      <c r="D367" s="125"/>
      <c r="E367" s="125"/>
      <c r="F367" s="126" t="str">
        <f>IF(J367="OK",D367*E367,"")</f>
        <v/>
      </c>
      <c r="G367" s="126" t="str">
        <f>IF(J367="OK",F367*(C367-B367),"")</f>
        <v/>
      </c>
      <c r="H367" s="126" t="str">
        <f>IF(J367="OK",G367*(C367+B367)/2,"")</f>
        <v/>
      </c>
      <c r="I367" s="126" t="str">
        <f>IF(AND(J367="OK",ISNUMBER($B$5),$B$5&gt;0,ISNUMBER($B$3),$B$3&gt;0),F367*(4*$B$4*(C367^3-B367^3)-(C367^4-B367^4))/(24*$B$3*1000000*$B$5)*1000,"")</f>
        <v/>
      </c>
      <c r="J367" s="120" t="str">
        <f>IF(COUNTA(A367:E367)=0,"",IF(AND(COUNT(B367:E367)=4,B367&gt;=0,C367&gt;B367,C367&lt;=$B$4,D367&gt;=0,E367&gt;0),IF(COUNTIFS($B$13:$B$366,"&lt;"&amp;C367,$C$13:$C$366,"&gt;"&amp;B367)&gt;0,"OVERLAP","OK"),"CHECK INPUTS"))</f>
        <v/>
      </c>
      <c r="M367" s="124"/>
      <c r="N367" s="125"/>
      <c r="O367" s="125"/>
      <c r="P367" s="125"/>
      <c r="Q367" s="125"/>
      <c r="R367" s="126" t="str">
        <f>IF(V367="OK",P367*Q367,"")</f>
        <v/>
      </c>
      <c r="S367" s="126" t="str">
        <f>IF(V367="OK",R367*(O367-N367),"")</f>
        <v/>
      </c>
      <c r="T367" s="126" t="str">
        <f>IF(V367="OK",S367*(O367+N367)/2,"")</f>
        <v/>
      </c>
      <c r="U367" s="126" t="str">
        <f>IF(AND(V367="OK",ISNUMBER($N$5),$N$5&gt;0,ISNUMBER($N$3),$N$3&gt;0),R367*(4*$N$4*(O367^3-N367^3)-(O367^4-N367^4))/(24*$N$3*1000000*$N$5)*1000,"")</f>
        <v/>
      </c>
      <c r="V367" s="120" t="str">
        <f>IF(COUNTA(M367:Q367)=0,"",IF(AND(COUNT(N367:Q367)=4,N367&gt;=0,O367&gt;N367,O367&lt;=$N$4,P367&gt;=0,Q367&gt;0),IF(COUNTIFS($N$13:$N$366,"&lt;"&amp;O367,$O$13:$O$366,"&gt;"&amp;N367)&gt;0,"OVERLAP","OK"),"CHECK INPUTS"))</f>
        <v/>
      </c>
      <c r="AA367" s="120">
        <f>IF(AND(J367="OK",ISNUMBER($B$5),$B$5&gt;0,ISNUMBER($B$3),$B$3&gt;0),F367/(6*$B$3*1000000*$B$5)*(IF(B367&lt;($B$4*0/10),($B$4*0/10)*(MIN(C367,($B$4*0/10))^3-B367^3)-(MIN(C367,($B$4*0/10))^4-B367^4)/4,0)+IF(C367&gt;($B$4*0/10),($B$4*0/10)^2*(1.5*(C367^2-MAX(B367,($B$4*0/10))^2)-($B$4*0/10)*(C367-MAX(B367,($B$4*0/10)))),0))*1000,0)</f>
        <v>0</v>
      </c>
      <c r="AB367" s="120">
        <f>IF(AND(J367="OK",ISNUMBER($B$5),$B$5&gt;0,ISNUMBER($B$3),$B$3&gt;0),F367/(6*$B$3*1000000*$B$5)*(IF(B367&lt;($B$4*1/10),($B$4*1/10)*(MIN(C367,($B$4*1/10))^3-B367^3)-(MIN(C367,($B$4*1/10))^4-B367^4)/4,0)+IF(C367&gt;($B$4*1/10),($B$4*1/10)^2*(1.5*(C367^2-MAX(B367,($B$4*1/10))^2)-($B$4*1/10)*(C367-MAX(B367,($B$4*1/10)))),0))*1000,0)</f>
        <v>0</v>
      </c>
      <c r="AC367" s="120">
        <f>IF(AND(J367="OK",ISNUMBER($B$5),$B$5&gt;0,ISNUMBER($B$3),$B$3&gt;0),F367/(6*$B$3*1000000*$B$5)*(IF(B367&lt;($B$4*2/10),($B$4*2/10)*(MIN(C367,($B$4*2/10))^3-B367^3)-(MIN(C367,($B$4*2/10))^4-B367^4)/4,0)+IF(C367&gt;($B$4*2/10),($B$4*2/10)^2*(1.5*(C367^2-MAX(B367,($B$4*2/10))^2)-($B$4*2/10)*(C367-MAX(B367,($B$4*2/10)))),0))*1000,0)</f>
        <v>0</v>
      </c>
      <c r="AD367" s="120">
        <f>IF(AND(J367="OK",ISNUMBER($B$5),$B$5&gt;0,ISNUMBER($B$3),$B$3&gt;0),F367/(6*$B$3*1000000*$B$5)*(IF(B367&lt;($B$4*3/10),($B$4*3/10)*(MIN(C367,($B$4*3/10))^3-B367^3)-(MIN(C367,($B$4*3/10))^4-B367^4)/4,0)+IF(C367&gt;($B$4*3/10),($B$4*3/10)^2*(1.5*(C367^2-MAX(B367,($B$4*3/10))^2)-($B$4*3/10)*(C367-MAX(B367,($B$4*3/10)))),0))*1000,0)</f>
        <v>0</v>
      </c>
      <c r="AE367" s="120">
        <f>IF(AND(J367="OK",ISNUMBER($B$5),$B$5&gt;0,ISNUMBER($B$3),$B$3&gt;0),F367/(6*$B$3*1000000*$B$5)*(IF(B367&lt;($B$4*4/10),($B$4*4/10)*(MIN(C367,($B$4*4/10))^3-B367^3)-(MIN(C367,($B$4*4/10))^4-B367^4)/4,0)+IF(C367&gt;($B$4*4/10),($B$4*4/10)^2*(1.5*(C367^2-MAX(B367,($B$4*4/10))^2)-($B$4*4/10)*(C367-MAX(B367,($B$4*4/10)))),0))*1000,0)</f>
        <v>0</v>
      </c>
      <c r="AF367" s="120">
        <f>IF(AND(J367="OK",ISNUMBER($B$5),$B$5&gt;0,ISNUMBER($B$3),$B$3&gt;0),F367/(6*$B$3*1000000*$B$5)*(IF(B367&lt;($B$4*5/10),($B$4*5/10)*(MIN(C367,($B$4*5/10))^3-B367^3)-(MIN(C367,($B$4*5/10))^4-B367^4)/4,0)+IF(C367&gt;($B$4*5/10),($B$4*5/10)^2*(1.5*(C367^2-MAX(B367,($B$4*5/10))^2)-($B$4*5/10)*(C367-MAX(B367,($B$4*5/10)))),0))*1000,0)</f>
        <v>0</v>
      </c>
      <c r="AG367" s="120">
        <f>IF(AND(J367="OK",ISNUMBER($B$5),$B$5&gt;0,ISNUMBER($B$3),$B$3&gt;0),F367/(6*$B$3*1000000*$B$5)*(IF(B367&lt;($B$4*6/10),($B$4*6/10)*(MIN(C367,($B$4*6/10))^3-B367^3)-(MIN(C367,($B$4*6/10))^4-B367^4)/4,0)+IF(C367&gt;($B$4*6/10),($B$4*6/10)^2*(1.5*(C367^2-MAX(B367,($B$4*6/10))^2)-($B$4*6/10)*(C367-MAX(B367,($B$4*6/10)))),0))*1000,0)</f>
        <v>0</v>
      </c>
      <c r="AH367" s="120">
        <f>IF(AND(J367="OK",ISNUMBER($B$5),$B$5&gt;0,ISNUMBER($B$3),$B$3&gt;0),F367/(6*$B$3*1000000*$B$5)*(IF(B367&lt;($B$4*7/10),($B$4*7/10)*(MIN(C367,($B$4*7/10))^3-B367^3)-(MIN(C367,($B$4*7/10))^4-B367^4)/4,0)+IF(C367&gt;($B$4*7/10),($B$4*7/10)^2*(1.5*(C367^2-MAX(B367,($B$4*7/10))^2)-($B$4*7/10)*(C367-MAX(B367,($B$4*7/10)))),0))*1000,0)</f>
        <v>0</v>
      </c>
      <c r="AI367" s="120">
        <f>IF(AND(J367="OK",ISNUMBER($B$5),$B$5&gt;0,ISNUMBER($B$3),$B$3&gt;0),F367/(6*$B$3*1000000*$B$5)*(IF(B367&lt;($B$4*8/10),($B$4*8/10)*(MIN(C367,($B$4*8/10))^3-B367^3)-(MIN(C367,($B$4*8/10))^4-B367^4)/4,0)+IF(C367&gt;($B$4*8/10),($B$4*8/10)^2*(1.5*(C367^2-MAX(B367,($B$4*8/10))^2)-($B$4*8/10)*(C367-MAX(B367,($B$4*8/10)))),0))*1000,0)</f>
        <v>0</v>
      </c>
      <c r="AJ367" s="120">
        <f>IF(AND(J367="OK",ISNUMBER($B$5),$B$5&gt;0,ISNUMBER($B$3),$B$3&gt;0),F367/(6*$B$3*1000000*$B$5)*(IF(B367&lt;($B$4*9/10),($B$4*9/10)*(MIN(C367,($B$4*9/10))^3-B367^3)-(MIN(C367,($B$4*9/10))^4-B367^4)/4,0)+IF(C367&gt;($B$4*9/10),($B$4*9/10)^2*(1.5*(C367^2-MAX(B367,($B$4*9/10))^2)-($B$4*9/10)*(C367-MAX(B367,($B$4*9/10)))),0))*1000,0)</f>
        <v>0</v>
      </c>
      <c r="AK367" s="120">
        <f>IF(AND(J367="OK",ISNUMBER($B$5),$B$5&gt;0,ISNUMBER($B$3),$B$3&gt;0),F367/(6*$B$3*1000000*$B$5)*(IF(B367&lt;($B$4*10/10),($B$4*10/10)*(MIN(C367,($B$4*10/10))^3-B367^3)-(MIN(C367,($B$4*10/10))^4-B367^4)/4,0)+IF(C367&gt;($B$4*10/10),($B$4*10/10)^2*(1.5*(C367^2-MAX(B367,($B$4*10/10))^2)-($B$4*10/10)*(C367-MAX(B367,($B$4*10/10)))),0))*1000,0)</f>
        <v>0</v>
      </c>
      <c r="AM367" s="120">
        <f>IF(AND(V367="OK",ISNUMBER($N$5),$N$5&gt;0,ISNUMBER($N$3),$N$3&gt;0),R367/(6*$N$3*1000000*$N$5)*(IF(N367&lt;($N$4*0/10),($N$4*0/10)*(MIN(O367,($N$4*0/10))^3-N367^3)-(MIN(O367,($N$4*0/10))^4-N367^4)/4,0)+IF(O367&gt;($N$4*0/10),($N$4*0/10)^2*(1.5*(O367^2-MAX(N367,($N$4*0/10))^2)-($N$4*0/10)*(O367-MAX(N367,($N$4*0/10)))),0))*1000,0)</f>
        <v>0</v>
      </c>
      <c r="AN367" s="120">
        <f>IF(AND(V367="OK",ISNUMBER($N$5),$N$5&gt;0,ISNUMBER($N$3),$N$3&gt;0),R367/(6*$N$3*1000000*$N$5)*(IF(N367&lt;($N$4*1/10),($N$4*1/10)*(MIN(O367,($N$4*1/10))^3-N367^3)-(MIN(O367,($N$4*1/10))^4-N367^4)/4,0)+IF(O367&gt;($N$4*1/10),($N$4*1/10)^2*(1.5*(O367^2-MAX(N367,($N$4*1/10))^2)-($N$4*1/10)*(O367-MAX(N367,($N$4*1/10)))),0))*1000,0)</f>
        <v>0</v>
      </c>
      <c r="AO367" s="120">
        <f>IF(AND(V367="OK",ISNUMBER($N$5),$N$5&gt;0,ISNUMBER($N$3),$N$3&gt;0),R367/(6*$N$3*1000000*$N$5)*(IF(N367&lt;($N$4*2/10),($N$4*2/10)*(MIN(O367,($N$4*2/10))^3-N367^3)-(MIN(O367,($N$4*2/10))^4-N367^4)/4,0)+IF(O367&gt;($N$4*2/10),($N$4*2/10)^2*(1.5*(O367^2-MAX(N367,($N$4*2/10))^2)-($N$4*2/10)*(O367-MAX(N367,($N$4*2/10)))),0))*1000,0)</f>
        <v>0</v>
      </c>
      <c r="AP367" s="120">
        <f>IF(AND(V367="OK",ISNUMBER($N$5),$N$5&gt;0,ISNUMBER($N$3),$N$3&gt;0),R367/(6*$N$3*1000000*$N$5)*(IF(N367&lt;($N$4*3/10),($N$4*3/10)*(MIN(O367,($N$4*3/10))^3-N367^3)-(MIN(O367,($N$4*3/10))^4-N367^4)/4,0)+IF(O367&gt;($N$4*3/10),($N$4*3/10)^2*(1.5*(O367^2-MAX(N367,($N$4*3/10))^2)-($N$4*3/10)*(O367-MAX(N367,($N$4*3/10)))),0))*1000,0)</f>
        <v>0</v>
      </c>
      <c r="AQ367" s="120">
        <f>IF(AND(V367="OK",ISNUMBER($N$5),$N$5&gt;0,ISNUMBER($N$3),$N$3&gt;0),R367/(6*$N$3*1000000*$N$5)*(IF(N367&lt;($N$4*4/10),($N$4*4/10)*(MIN(O367,($N$4*4/10))^3-N367^3)-(MIN(O367,($N$4*4/10))^4-N367^4)/4,0)+IF(O367&gt;($N$4*4/10),($N$4*4/10)^2*(1.5*(O367^2-MAX(N367,($N$4*4/10))^2)-($N$4*4/10)*(O367-MAX(N367,($N$4*4/10)))),0))*1000,0)</f>
        <v>0</v>
      </c>
      <c r="AR367" s="120">
        <f>IF(AND(V367="OK",ISNUMBER($N$5),$N$5&gt;0,ISNUMBER($N$3),$N$3&gt;0),R367/(6*$N$3*1000000*$N$5)*(IF(N367&lt;($N$4*5/10),($N$4*5/10)*(MIN(O367,($N$4*5/10))^3-N367^3)-(MIN(O367,($N$4*5/10))^4-N367^4)/4,0)+IF(O367&gt;($N$4*5/10),($N$4*5/10)^2*(1.5*(O367^2-MAX(N367,($N$4*5/10))^2)-($N$4*5/10)*(O367-MAX(N367,($N$4*5/10)))),0))*1000,0)</f>
        <v>0</v>
      </c>
      <c r="AS367" s="120">
        <f>IF(AND(V367="OK",ISNUMBER($N$5),$N$5&gt;0,ISNUMBER($N$3),$N$3&gt;0),R367/(6*$N$3*1000000*$N$5)*(IF(N367&lt;($N$4*6/10),($N$4*6/10)*(MIN(O367,($N$4*6/10))^3-N367^3)-(MIN(O367,($N$4*6/10))^4-N367^4)/4,0)+IF(O367&gt;($N$4*6/10),($N$4*6/10)^2*(1.5*(O367^2-MAX(N367,($N$4*6/10))^2)-($N$4*6/10)*(O367-MAX(N367,($N$4*6/10)))),0))*1000,0)</f>
        <v>0</v>
      </c>
      <c r="AT367" s="120">
        <f>IF(AND(V367="OK",ISNUMBER($N$5),$N$5&gt;0,ISNUMBER($N$3),$N$3&gt;0),R367/(6*$N$3*1000000*$N$5)*(IF(N367&lt;($N$4*7/10),($N$4*7/10)*(MIN(O367,($N$4*7/10))^3-N367^3)-(MIN(O367,($N$4*7/10))^4-N367^4)/4,0)+IF(O367&gt;($N$4*7/10),($N$4*7/10)^2*(1.5*(O367^2-MAX(N367,($N$4*7/10))^2)-($N$4*7/10)*(O367-MAX(N367,($N$4*7/10)))),0))*1000,0)</f>
        <v>0</v>
      </c>
      <c r="AU367" s="120">
        <f>IF(AND(V367="OK",ISNUMBER($N$5),$N$5&gt;0,ISNUMBER($N$3),$N$3&gt;0),R367/(6*$N$3*1000000*$N$5)*(IF(N367&lt;($N$4*8/10),($N$4*8/10)*(MIN(O367,($N$4*8/10))^3-N367^3)-(MIN(O367,($N$4*8/10))^4-N367^4)/4,0)+IF(O367&gt;($N$4*8/10),($N$4*8/10)^2*(1.5*(O367^2-MAX(N367,($N$4*8/10))^2)-($N$4*8/10)*(O367-MAX(N367,($N$4*8/10)))),0))*1000,0)</f>
        <v>0</v>
      </c>
      <c r="AV367" s="120">
        <f>IF(AND(V367="OK",ISNUMBER($N$5),$N$5&gt;0,ISNUMBER($N$3),$N$3&gt;0),R367/(6*$N$3*1000000*$N$5)*(IF(N367&lt;($N$4*9/10),($N$4*9/10)*(MIN(O367,($N$4*9/10))^3-N367^3)-(MIN(O367,($N$4*9/10))^4-N367^4)/4,0)+IF(O367&gt;($N$4*9/10),($N$4*9/10)^2*(1.5*(O367^2-MAX(N367,($N$4*9/10))^2)-($N$4*9/10)*(O367-MAX(N367,($N$4*9/10)))),0))*1000,0)</f>
        <v>0</v>
      </c>
      <c r="AW367" s="120">
        <f>IF(AND(V367="OK",ISNUMBER($N$5),$N$5&gt;0,ISNUMBER($N$3),$N$3&gt;0),R367/(6*$N$3*1000000*$N$5)*(IF(N367&lt;($N$4*10/10),($N$4*10/10)*(MIN(O367,($N$4*10/10))^3-N367^3)-(MIN(O367,($N$4*10/10))^4-N367^4)/4,0)+IF(O367&gt;($N$4*10/10),($N$4*10/10)^2*(1.5*(O367^2-MAX(N367,($N$4*10/10))^2)-($N$4*10/10)*(O367-MAX(N367,($N$4*10/10)))),0))*1000,0)</f>
        <v>0</v>
      </c>
    </row>
    <row r="368" spans="1:49">
      <c r="A368" s="124"/>
      <c r="B368" s="125"/>
      <c r="C368" s="125"/>
      <c r="D368" s="125"/>
      <c r="E368" s="125"/>
      <c r="F368" s="126" t="str">
        <f>IF(J368="OK",D368*E368,"")</f>
        <v/>
      </c>
      <c r="G368" s="126" t="str">
        <f>IF(J368="OK",F368*(C368-B368),"")</f>
        <v/>
      </c>
      <c r="H368" s="126" t="str">
        <f>IF(J368="OK",G368*(C368+B368)/2,"")</f>
        <v/>
      </c>
      <c r="I368" s="126" t="str">
        <f>IF(AND(J368="OK",ISNUMBER($B$5),$B$5&gt;0,ISNUMBER($B$3),$B$3&gt;0),F368*(4*$B$4*(C368^3-B368^3)-(C368^4-B368^4))/(24*$B$3*1000000*$B$5)*1000,"")</f>
        <v/>
      </c>
      <c r="J368" s="120" t="str">
        <f>IF(COUNTA(A368:E368)=0,"",IF(AND(COUNT(B368:E368)=4,B368&gt;=0,C368&gt;B368,C368&lt;=$B$4,D368&gt;=0,E368&gt;0),IF(COUNTIFS($B$13:$B$367,"&lt;"&amp;C368,$C$13:$C$367,"&gt;"&amp;B368)&gt;0,"OVERLAP","OK"),"CHECK INPUTS"))</f>
        <v/>
      </c>
      <c r="M368" s="124"/>
      <c r="N368" s="125"/>
      <c r="O368" s="125"/>
      <c r="P368" s="125"/>
      <c r="Q368" s="125"/>
      <c r="R368" s="126" t="str">
        <f>IF(V368="OK",P368*Q368,"")</f>
        <v/>
      </c>
      <c r="S368" s="126" t="str">
        <f>IF(V368="OK",R368*(O368-N368),"")</f>
        <v/>
      </c>
      <c r="T368" s="126" t="str">
        <f>IF(V368="OK",S368*(O368+N368)/2,"")</f>
        <v/>
      </c>
      <c r="U368" s="126" t="str">
        <f>IF(AND(V368="OK",ISNUMBER($N$5),$N$5&gt;0,ISNUMBER($N$3),$N$3&gt;0),R368*(4*$N$4*(O368^3-N368^3)-(O368^4-N368^4))/(24*$N$3*1000000*$N$5)*1000,"")</f>
        <v/>
      </c>
      <c r="V368" s="120" t="str">
        <f>IF(COUNTA(M368:Q368)=0,"",IF(AND(COUNT(N368:Q368)=4,N368&gt;=0,O368&gt;N368,O368&lt;=$N$4,P368&gt;=0,Q368&gt;0),IF(COUNTIFS($N$13:$N$367,"&lt;"&amp;O368,$O$13:$O$367,"&gt;"&amp;N368)&gt;0,"OVERLAP","OK"),"CHECK INPUTS"))</f>
        <v/>
      </c>
      <c r="AA368" s="120">
        <f>IF(AND(J368="OK",ISNUMBER($B$5),$B$5&gt;0,ISNUMBER($B$3),$B$3&gt;0),F368/(6*$B$3*1000000*$B$5)*(IF(B368&lt;($B$4*0/10),($B$4*0/10)*(MIN(C368,($B$4*0/10))^3-B368^3)-(MIN(C368,($B$4*0/10))^4-B368^4)/4,0)+IF(C368&gt;($B$4*0/10),($B$4*0/10)^2*(1.5*(C368^2-MAX(B368,($B$4*0/10))^2)-($B$4*0/10)*(C368-MAX(B368,($B$4*0/10)))),0))*1000,0)</f>
        <v>0</v>
      </c>
      <c r="AB368" s="120">
        <f>IF(AND(J368="OK",ISNUMBER($B$5),$B$5&gt;0,ISNUMBER($B$3),$B$3&gt;0),F368/(6*$B$3*1000000*$B$5)*(IF(B368&lt;($B$4*1/10),($B$4*1/10)*(MIN(C368,($B$4*1/10))^3-B368^3)-(MIN(C368,($B$4*1/10))^4-B368^4)/4,0)+IF(C368&gt;($B$4*1/10),($B$4*1/10)^2*(1.5*(C368^2-MAX(B368,($B$4*1/10))^2)-($B$4*1/10)*(C368-MAX(B368,($B$4*1/10)))),0))*1000,0)</f>
        <v>0</v>
      </c>
      <c r="AC368" s="120">
        <f>IF(AND(J368="OK",ISNUMBER($B$5),$B$5&gt;0,ISNUMBER($B$3),$B$3&gt;0),F368/(6*$B$3*1000000*$B$5)*(IF(B368&lt;($B$4*2/10),($B$4*2/10)*(MIN(C368,($B$4*2/10))^3-B368^3)-(MIN(C368,($B$4*2/10))^4-B368^4)/4,0)+IF(C368&gt;($B$4*2/10),($B$4*2/10)^2*(1.5*(C368^2-MAX(B368,($B$4*2/10))^2)-($B$4*2/10)*(C368-MAX(B368,($B$4*2/10)))),0))*1000,0)</f>
        <v>0</v>
      </c>
      <c r="AD368" s="120">
        <f>IF(AND(J368="OK",ISNUMBER($B$5),$B$5&gt;0,ISNUMBER($B$3),$B$3&gt;0),F368/(6*$B$3*1000000*$B$5)*(IF(B368&lt;($B$4*3/10),($B$4*3/10)*(MIN(C368,($B$4*3/10))^3-B368^3)-(MIN(C368,($B$4*3/10))^4-B368^4)/4,0)+IF(C368&gt;($B$4*3/10),($B$4*3/10)^2*(1.5*(C368^2-MAX(B368,($B$4*3/10))^2)-($B$4*3/10)*(C368-MAX(B368,($B$4*3/10)))),0))*1000,0)</f>
        <v>0</v>
      </c>
      <c r="AE368" s="120">
        <f>IF(AND(J368="OK",ISNUMBER($B$5),$B$5&gt;0,ISNUMBER($B$3),$B$3&gt;0),F368/(6*$B$3*1000000*$B$5)*(IF(B368&lt;($B$4*4/10),($B$4*4/10)*(MIN(C368,($B$4*4/10))^3-B368^3)-(MIN(C368,($B$4*4/10))^4-B368^4)/4,0)+IF(C368&gt;($B$4*4/10),($B$4*4/10)^2*(1.5*(C368^2-MAX(B368,($B$4*4/10))^2)-($B$4*4/10)*(C368-MAX(B368,($B$4*4/10)))),0))*1000,0)</f>
        <v>0</v>
      </c>
      <c r="AF368" s="120">
        <f>IF(AND(J368="OK",ISNUMBER($B$5),$B$5&gt;0,ISNUMBER($B$3),$B$3&gt;0),F368/(6*$B$3*1000000*$B$5)*(IF(B368&lt;($B$4*5/10),($B$4*5/10)*(MIN(C368,($B$4*5/10))^3-B368^3)-(MIN(C368,($B$4*5/10))^4-B368^4)/4,0)+IF(C368&gt;($B$4*5/10),($B$4*5/10)^2*(1.5*(C368^2-MAX(B368,($B$4*5/10))^2)-($B$4*5/10)*(C368-MAX(B368,($B$4*5/10)))),0))*1000,0)</f>
        <v>0</v>
      </c>
      <c r="AG368" s="120">
        <f>IF(AND(J368="OK",ISNUMBER($B$5),$B$5&gt;0,ISNUMBER($B$3),$B$3&gt;0),F368/(6*$B$3*1000000*$B$5)*(IF(B368&lt;($B$4*6/10),($B$4*6/10)*(MIN(C368,($B$4*6/10))^3-B368^3)-(MIN(C368,($B$4*6/10))^4-B368^4)/4,0)+IF(C368&gt;($B$4*6/10),($B$4*6/10)^2*(1.5*(C368^2-MAX(B368,($B$4*6/10))^2)-($B$4*6/10)*(C368-MAX(B368,($B$4*6/10)))),0))*1000,0)</f>
        <v>0</v>
      </c>
      <c r="AH368" s="120">
        <f>IF(AND(J368="OK",ISNUMBER($B$5),$B$5&gt;0,ISNUMBER($B$3),$B$3&gt;0),F368/(6*$B$3*1000000*$B$5)*(IF(B368&lt;($B$4*7/10),($B$4*7/10)*(MIN(C368,($B$4*7/10))^3-B368^3)-(MIN(C368,($B$4*7/10))^4-B368^4)/4,0)+IF(C368&gt;($B$4*7/10),($B$4*7/10)^2*(1.5*(C368^2-MAX(B368,($B$4*7/10))^2)-($B$4*7/10)*(C368-MAX(B368,($B$4*7/10)))),0))*1000,0)</f>
        <v>0</v>
      </c>
      <c r="AI368" s="120">
        <f>IF(AND(J368="OK",ISNUMBER($B$5),$B$5&gt;0,ISNUMBER($B$3),$B$3&gt;0),F368/(6*$B$3*1000000*$B$5)*(IF(B368&lt;($B$4*8/10),($B$4*8/10)*(MIN(C368,($B$4*8/10))^3-B368^3)-(MIN(C368,($B$4*8/10))^4-B368^4)/4,0)+IF(C368&gt;($B$4*8/10),($B$4*8/10)^2*(1.5*(C368^2-MAX(B368,($B$4*8/10))^2)-($B$4*8/10)*(C368-MAX(B368,($B$4*8/10)))),0))*1000,0)</f>
        <v>0</v>
      </c>
      <c r="AJ368" s="120">
        <f>IF(AND(J368="OK",ISNUMBER($B$5),$B$5&gt;0,ISNUMBER($B$3),$B$3&gt;0),F368/(6*$B$3*1000000*$B$5)*(IF(B368&lt;($B$4*9/10),($B$4*9/10)*(MIN(C368,($B$4*9/10))^3-B368^3)-(MIN(C368,($B$4*9/10))^4-B368^4)/4,0)+IF(C368&gt;($B$4*9/10),($B$4*9/10)^2*(1.5*(C368^2-MAX(B368,($B$4*9/10))^2)-($B$4*9/10)*(C368-MAX(B368,($B$4*9/10)))),0))*1000,0)</f>
        <v>0</v>
      </c>
      <c r="AK368" s="120">
        <f>IF(AND(J368="OK",ISNUMBER($B$5),$B$5&gt;0,ISNUMBER($B$3),$B$3&gt;0),F368/(6*$B$3*1000000*$B$5)*(IF(B368&lt;($B$4*10/10),($B$4*10/10)*(MIN(C368,($B$4*10/10))^3-B368^3)-(MIN(C368,($B$4*10/10))^4-B368^4)/4,0)+IF(C368&gt;($B$4*10/10),($B$4*10/10)^2*(1.5*(C368^2-MAX(B368,($B$4*10/10))^2)-($B$4*10/10)*(C368-MAX(B368,($B$4*10/10)))),0))*1000,0)</f>
        <v>0</v>
      </c>
      <c r="AM368" s="120">
        <f>IF(AND(V368="OK",ISNUMBER($N$5),$N$5&gt;0,ISNUMBER($N$3),$N$3&gt;0),R368/(6*$N$3*1000000*$N$5)*(IF(N368&lt;($N$4*0/10),($N$4*0/10)*(MIN(O368,($N$4*0/10))^3-N368^3)-(MIN(O368,($N$4*0/10))^4-N368^4)/4,0)+IF(O368&gt;($N$4*0/10),($N$4*0/10)^2*(1.5*(O368^2-MAX(N368,($N$4*0/10))^2)-($N$4*0/10)*(O368-MAX(N368,($N$4*0/10)))),0))*1000,0)</f>
        <v>0</v>
      </c>
      <c r="AN368" s="120">
        <f>IF(AND(V368="OK",ISNUMBER($N$5),$N$5&gt;0,ISNUMBER($N$3),$N$3&gt;0),R368/(6*$N$3*1000000*$N$5)*(IF(N368&lt;($N$4*1/10),($N$4*1/10)*(MIN(O368,($N$4*1/10))^3-N368^3)-(MIN(O368,($N$4*1/10))^4-N368^4)/4,0)+IF(O368&gt;($N$4*1/10),($N$4*1/10)^2*(1.5*(O368^2-MAX(N368,($N$4*1/10))^2)-($N$4*1/10)*(O368-MAX(N368,($N$4*1/10)))),0))*1000,0)</f>
        <v>0</v>
      </c>
      <c r="AO368" s="120">
        <f>IF(AND(V368="OK",ISNUMBER($N$5),$N$5&gt;0,ISNUMBER($N$3),$N$3&gt;0),R368/(6*$N$3*1000000*$N$5)*(IF(N368&lt;($N$4*2/10),($N$4*2/10)*(MIN(O368,($N$4*2/10))^3-N368^3)-(MIN(O368,($N$4*2/10))^4-N368^4)/4,0)+IF(O368&gt;($N$4*2/10),($N$4*2/10)^2*(1.5*(O368^2-MAX(N368,($N$4*2/10))^2)-($N$4*2/10)*(O368-MAX(N368,($N$4*2/10)))),0))*1000,0)</f>
        <v>0</v>
      </c>
      <c r="AP368" s="120">
        <f>IF(AND(V368="OK",ISNUMBER($N$5),$N$5&gt;0,ISNUMBER($N$3),$N$3&gt;0),R368/(6*$N$3*1000000*$N$5)*(IF(N368&lt;($N$4*3/10),($N$4*3/10)*(MIN(O368,($N$4*3/10))^3-N368^3)-(MIN(O368,($N$4*3/10))^4-N368^4)/4,0)+IF(O368&gt;($N$4*3/10),($N$4*3/10)^2*(1.5*(O368^2-MAX(N368,($N$4*3/10))^2)-($N$4*3/10)*(O368-MAX(N368,($N$4*3/10)))),0))*1000,0)</f>
        <v>0</v>
      </c>
      <c r="AQ368" s="120">
        <f>IF(AND(V368="OK",ISNUMBER($N$5),$N$5&gt;0,ISNUMBER($N$3),$N$3&gt;0),R368/(6*$N$3*1000000*$N$5)*(IF(N368&lt;($N$4*4/10),($N$4*4/10)*(MIN(O368,($N$4*4/10))^3-N368^3)-(MIN(O368,($N$4*4/10))^4-N368^4)/4,0)+IF(O368&gt;($N$4*4/10),($N$4*4/10)^2*(1.5*(O368^2-MAX(N368,($N$4*4/10))^2)-($N$4*4/10)*(O368-MAX(N368,($N$4*4/10)))),0))*1000,0)</f>
        <v>0</v>
      </c>
      <c r="AR368" s="120">
        <f>IF(AND(V368="OK",ISNUMBER($N$5),$N$5&gt;0,ISNUMBER($N$3),$N$3&gt;0),R368/(6*$N$3*1000000*$N$5)*(IF(N368&lt;($N$4*5/10),($N$4*5/10)*(MIN(O368,($N$4*5/10))^3-N368^3)-(MIN(O368,($N$4*5/10))^4-N368^4)/4,0)+IF(O368&gt;($N$4*5/10),($N$4*5/10)^2*(1.5*(O368^2-MAX(N368,($N$4*5/10))^2)-($N$4*5/10)*(O368-MAX(N368,($N$4*5/10)))),0))*1000,0)</f>
        <v>0</v>
      </c>
      <c r="AS368" s="120">
        <f>IF(AND(V368="OK",ISNUMBER($N$5),$N$5&gt;0,ISNUMBER($N$3),$N$3&gt;0),R368/(6*$N$3*1000000*$N$5)*(IF(N368&lt;($N$4*6/10),($N$4*6/10)*(MIN(O368,($N$4*6/10))^3-N368^3)-(MIN(O368,($N$4*6/10))^4-N368^4)/4,0)+IF(O368&gt;($N$4*6/10),($N$4*6/10)^2*(1.5*(O368^2-MAX(N368,($N$4*6/10))^2)-($N$4*6/10)*(O368-MAX(N368,($N$4*6/10)))),0))*1000,0)</f>
        <v>0</v>
      </c>
      <c r="AT368" s="120">
        <f>IF(AND(V368="OK",ISNUMBER($N$5),$N$5&gt;0,ISNUMBER($N$3),$N$3&gt;0),R368/(6*$N$3*1000000*$N$5)*(IF(N368&lt;($N$4*7/10),($N$4*7/10)*(MIN(O368,($N$4*7/10))^3-N368^3)-(MIN(O368,($N$4*7/10))^4-N368^4)/4,0)+IF(O368&gt;($N$4*7/10),($N$4*7/10)^2*(1.5*(O368^2-MAX(N368,($N$4*7/10))^2)-($N$4*7/10)*(O368-MAX(N368,($N$4*7/10)))),0))*1000,0)</f>
        <v>0</v>
      </c>
      <c r="AU368" s="120">
        <f>IF(AND(V368="OK",ISNUMBER($N$5),$N$5&gt;0,ISNUMBER($N$3),$N$3&gt;0),R368/(6*$N$3*1000000*$N$5)*(IF(N368&lt;($N$4*8/10),($N$4*8/10)*(MIN(O368,($N$4*8/10))^3-N368^3)-(MIN(O368,($N$4*8/10))^4-N368^4)/4,0)+IF(O368&gt;($N$4*8/10),($N$4*8/10)^2*(1.5*(O368^2-MAX(N368,($N$4*8/10))^2)-($N$4*8/10)*(O368-MAX(N368,($N$4*8/10)))),0))*1000,0)</f>
        <v>0</v>
      </c>
      <c r="AV368" s="120">
        <f>IF(AND(V368="OK",ISNUMBER($N$5),$N$5&gt;0,ISNUMBER($N$3),$N$3&gt;0),R368/(6*$N$3*1000000*$N$5)*(IF(N368&lt;($N$4*9/10),($N$4*9/10)*(MIN(O368,($N$4*9/10))^3-N368^3)-(MIN(O368,($N$4*9/10))^4-N368^4)/4,0)+IF(O368&gt;($N$4*9/10),($N$4*9/10)^2*(1.5*(O368^2-MAX(N368,($N$4*9/10))^2)-($N$4*9/10)*(O368-MAX(N368,($N$4*9/10)))),0))*1000,0)</f>
        <v>0</v>
      </c>
      <c r="AW368" s="120">
        <f>IF(AND(V368="OK",ISNUMBER($N$5),$N$5&gt;0,ISNUMBER($N$3),$N$3&gt;0),R368/(6*$N$3*1000000*$N$5)*(IF(N368&lt;($N$4*10/10),($N$4*10/10)*(MIN(O368,($N$4*10/10))^3-N368^3)-(MIN(O368,($N$4*10/10))^4-N368^4)/4,0)+IF(O368&gt;($N$4*10/10),($N$4*10/10)^2*(1.5*(O368^2-MAX(N368,($N$4*10/10))^2)-($N$4*10/10)*(O368-MAX(N368,($N$4*10/10)))),0))*1000,0)</f>
        <v>0</v>
      </c>
    </row>
    <row r="369" spans="1:49">
      <c r="A369" s="124"/>
      <c r="B369" s="125"/>
      <c r="C369" s="125"/>
      <c r="D369" s="125"/>
      <c r="E369" s="125"/>
      <c r="F369" s="126" t="str">
        <f>IF(J369="OK",D369*E369,"")</f>
        <v/>
      </c>
      <c r="G369" s="126" t="str">
        <f>IF(J369="OK",F369*(C369-B369),"")</f>
        <v/>
      </c>
      <c r="H369" s="126" t="str">
        <f>IF(J369="OK",G369*(C369+B369)/2,"")</f>
        <v/>
      </c>
      <c r="I369" s="126" t="str">
        <f>IF(AND(J369="OK",ISNUMBER($B$5),$B$5&gt;0,ISNUMBER($B$3),$B$3&gt;0),F369*(4*$B$4*(C369^3-B369^3)-(C369^4-B369^4))/(24*$B$3*1000000*$B$5)*1000,"")</f>
        <v/>
      </c>
      <c r="J369" s="120" t="str">
        <f>IF(COUNTA(A369:E369)=0,"",IF(AND(COUNT(B369:E369)=4,B369&gt;=0,C369&gt;B369,C369&lt;=$B$4,D369&gt;=0,E369&gt;0),IF(COUNTIFS($B$13:$B$368,"&lt;"&amp;C369,$C$13:$C$368,"&gt;"&amp;B369)&gt;0,"OVERLAP","OK"),"CHECK INPUTS"))</f>
        <v/>
      </c>
      <c r="M369" s="124"/>
      <c r="N369" s="125"/>
      <c r="O369" s="125"/>
      <c r="P369" s="125"/>
      <c r="Q369" s="125"/>
      <c r="R369" s="126" t="str">
        <f>IF(V369="OK",P369*Q369,"")</f>
        <v/>
      </c>
      <c r="S369" s="126" t="str">
        <f>IF(V369="OK",R369*(O369-N369),"")</f>
        <v/>
      </c>
      <c r="T369" s="126" t="str">
        <f>IF(V369="OK",S369*(O369+N369)/2,"")</f>
        <v/>
      </c>
      <c r="U369" s="126" t="str">
        <f>IF(AND(V369="OK",ISNUMBER($N$5),$N$5&gt;0,ISNUMBER($N$3),$N$3&gt;0),R369*(4*$N$4*(O369^3-N369^3)-(O369^4-N369^4))/(24*$N$3*1000000*$N$5)*1000,"")</f>
        <v/>
      </c>
      <c r="V369" s="120" t="str">
        <f>IF(COUNTA(M369:Q369)=0,"",IF(AND(COUNT(N369:Q369)=4,N369&gt;=0,O369&gt;N369,O369&lt;=$N$4,P369&gt;=0,Q369&gt;0),IF(COUNTIFS($N$13:$N$368,"&lt;"&amp;O369,$O$13:$O$368,"&gt;"&amp;N369)&gt;0,"OVERLAP","OK"),"CHECK INPUTS"))</f>
        <v/>
      </c>
      <c r="AA369" s="120">
        <f>IF(AND(J369="OK",ISNUMBER($B$5),$B$5&gt;0,ISNUMBER($B$3),$B$3&gt;0),F369/(6*$B$3*1000000*$B$5)*(IF(B369&lt;($B$4*0/10),($B$4*0/10)*(MIN(C369,($B$4*0/10))^3-B369^3)-(MIN(C369,($B$4*0/10))^4-B369^4)/4,0)+IF(C369&gt;($B$4*0/10),($B$4*0/10)^2*(1.5*(C369^2-MAX(B369,($B$4*0/10))^2)-($B$4*0/10)*(C369-MAX(B369,($B$4*0/10)))),0))*1000,0)</f>
        <v>0</v>
      </c>
      <c r="AB369" s="120">
        <f>IF(AND(J369="OK",ISNUMBER($B$5),$B$5&gt;0,ISNUMBER($B$3),$B$3&gt;0),F369/(6*$B$3*1000000*$B$5)*(IF(B369&lt;($B$4*1/10),($B$4*1/10)*(MIN(C369,($B$4*1/10))^3-B369^3)-(MIN(C369,($B$4*1/10))^4-B369^4)/4,0)+IF(C369&gt;($B$4*1/10),($B$4*1/10)^2*(1.5*(C369^2-MAX(B369,($B$4*1/10))^2)-($B$4*1/10)*(C369-MAX(B369,($B$4*1/10)))),0))*1000,0)</f>
        <v>0</v>
      </c>
      <c r="AC369" s="120">
        <f>IF(AND(J369="OK",ISNUMBER($B$5),$B$5&gt;0,ISNUMBER($B$3),$B$3&gt;0),F369/(6*$B$3*1000000*$B$5)*(IF(B369&lt;($B$4*2/10),($B$4*2/10)*(MIN(C369,($B$4*2/10))^3-B369^3)-(MIN(C369,($B$4*2/10))^4-B369^4)/4,0)+IF(C369&gt;($B$4*2/10),($B$4*2/10)^2*(1.5*(C369^2-MAX(B369,($B$4*2/10))^2)-($B$4*2/10)*(C369-MAX(B369,($B$4*2/10)))),0))*1000,0)</f>
        <v>0</v>
      </c>
      <c r="AD369" s="120">
        <f>IF(AND(J369="OK",ISNUMBER($B$5),$B$5&gt;0,ISNUMBER($B$3),$B$3&gt;0),F369/(6*$B$3*1000000*$B$5)*(IF(B369&lt;($B$4*3/10),($B$4*3/10)*(MIN(C369,($B$4*3/10))^3-B369^3)-(MIN(C369,($B$4*3/10))^4-B369^4)/4,0)+IF(C369&gt;($B$4*3/10),($B$4*3/10)^2*(1.5*(C369^2-MAX(B369,($B$4*3/10))^2)-($B$4*3/10)*(C369-MAX(B369,($B$4*3/10)))),0))*1000,0)</f>
        <v>0</v>
      </c>
      <c r="AE369" s="120">
        <f>IF(AND(J369="OK",ISNUMBER($B$5),$B$5&gt;0,ISNUMBER($B$3),$B$3&gt;0),F369/(6*$B$3*1000000*$B$5)*(IF(B369&lt;($B$4*4/10),($B$4*4/10)*(MIN(C369,($B$4*4/10))^3-B369^3)-(MIN(C369,($B$4*4/10))^4-B369^4)/4,0)+IF(C369&gt;($B$4*4/10),($B$4*4/10)^2*(1.5*(C369^2-MAX(B369,($B$4*4/10))^2)-($B$4*4/10)*(C369-MAX(B369,($B$4*4/10)))),0))*1000,0)</f>
        <v>0</v>
      </c>
      <c r="AF369" s="120">
        <f>IF(AND(J369="OK",ISNUMBER($B$5),$B$5&gt;0,ISNUMBER($B$3),$B$3&gt;0),F369/(6*$B$3*1000000*$B$5)*(IF(B369&lt;($B$4*5/10),($B$4*5/10)*(MIN(C369,($B$4*5/10))^3-B369^3)-(MIN(C369,($B$4*5/10))^4-B369^4)/4,0)+IF(C369&gt;($B$4*5/10),($B$4*5/10)^2*(1.5*(C369^2-MAX(B369,($B$4*5/10))^2)-($B$4*5/10)*(C369-MAX(B369,($B$4*5/10)))),0))*1000,0)</f>
        <v>0</v>
      </c>
      <c r="AG369" s="120">
        <f>IF(AND(J369="OK",ISNUMBER($B$5),$B$5&gt;0,ISNUMBER($B$3),$B$3&gt;0),F369/(6*$B$3*1000000*$B$5)*(IF(B369&lt;($B$4*6/10),($B$4*6/10)*(MIN(C369,($B$4*6/10))^3-B369^3)-(MIN(C369,($B$4*6/10))^4-B369^4)/4,0)+IF(C369&gt;($B$4*6/10),($B$4*6/10)^2*(1.5*(C369^2-MAX(B369,($B$4*6/10))^2)-($B$4*6/10)*(C369-MAX(B369,($B$4*6/10)))),0))*1000,0)</f>
        <v>0</v>
      </c>
      <c r="AH369" s="120">
        <f>IF(AND(J369="OK",ISNUMBER($B$5),$B$5&gt;0,ISNUMBER($B$3),$B$3&gt;0),F369/(6*$B$3*1000000*$B$5)*(IF(B369&lt;($B$4*7/10),($B$4*7/10)*(MIN(C369,($B$4*7/10))^3-B369^3)-(MIN(C369,($B$4*7/10))^4-B369^4)/4,0)+IF(C369&gt;($B$4*7/10),($B$4*7/10)^2*(1.5*(C369^2-MAX(B369,($B$4*7/10))^2)-($B$4*7/10)*(C369-MAX(B369,($B$4*7/10)))),0))*1000,0)</f>
        <v>0</v>
      </c>
      <c r="AI369" s="120">
        <f>IF(AND(J369="OK",ISNUMBER($B$5),$B$5&gt;0,ISNUMBER($B$3),$B$3&gt;0),F369/(6*$B$3*1000000*$B$5)*(IF(B369&lt;($B$4*8/10),($B$4*8/10)*(MIN(C369,($B$4*8/10))^3-B369^3)-(MIN(C369,($B$4*8/10))^4-B369^4)/4,0)+IF(C369&gt;($B$4*8/10),($B$4*8/10)^2*(1.5*(C369^2-MAX(B369,($B$4*8/10))^2)-($B$4*8/10)*(C369-MAX(B369,($B$4*8/10)))),0))*1000,0)</f>
        <v>0</v>
      </c>
      <c r="AJ369" s="120">
        <f>IF(AND(J369="OK",ISNUMBER($B$5),$B$5&gt;0,ISNUMBER($B$3),$B$3&gt;0),F369/(6*$B$3*1000000*$B$5)*(IF(B369&lt;($B$4*9/10),($B$4*9/10)*(MIN(C369,($B$4*9/10))^3-B369^3)-(MIN(C369,($B$4*9/10))^4-B369^4)/4,0)+IF(C369&gt;($B$4*9/10),($B$4*9/10)^2*(1.5*(C369^2-MAX(B369,($B$4*9/10))^2)-($B$4*9/10)*(C369-MAX(B369,($B$4*9/10)))),0))*1000,0)</f>
        <v>0</v>
      </c>
      <c r="AK369" s="120">
        <f>IF(AND(J369="OK",ISNUMBER($B$5),$B$5&gt;0,ISNUMBER($B$3),$B$3&gt;0),F369/(6*$B$3*1000000*$B$5)*(IF(B369&lt;($B$4*10/10),($B$4*10/10)*(MIN(C369,($B$4*10/10))^3-B369^3)-(MIN(C369,($B$4*10/10))^4-B369^4)/4,0)+IF(C369&gt;($B$4*10/10),($B$4*10/10)^2*(1.5*(C369^2-MAX(B369,($B$4*10/10))^2)-($B$4*10/10)*(C369-MAX(B369,($B$4*10/10)))),0))*1000,0)</f>
        <v>0</v>
      </c>
      <c r="AM369" s="120">
        <f>IF(AND(V369="OK",ISNUMBER($N$5),$N$5&gt;0,ISNUMBER($N$3),$N$3&gt;0),R369/(6*$N$3*1000000*$N$5)*(IF(N369&lt;($N$4*0/10),($N$4*0/10)*(MIN(O369,($N$4*0/10))^3-N369^3)-(MIN(O369,($N$4*0/10))^4-N369^4)/4,0)+IF(O369&gt;($N$4*0/10),($N$4*0/10)^2*(1.5*(O369^2-MAX(N369,($N$4*0/10))^2)-($N$4*0/10)*(O369-MAX(N369,($N$4*0/10)))),0))*1000,0)</f>
        <v>0</v>
      </c>
      <c r="AN369" s="120">
        <f>IF(AND(V369="OK",ISNUMBER($N$5),$N$5&gt;0,ISNUMBER($N$3),$N$3&gt;0),R369/(6*$N$3*1000000*$N$5)*(IF(N369&lt;($N$4*1/10),($N$4*1/10)*(MIN(O369,($N$4*1/10))^3-N369^3)-(MIN(O369,($N$4*1/10))^4-N369^4)/4,0)+IF(O369&gt;($N$4*1/10),($N$4*1/10)^2*(1.5*(O369^2-MAX(N369,($N$4*1/10))^2)-($N$4*1/10)*(O369-MAX(N369,($N$4*1/10)))),0))*1000,0)</f>
        <v>0</v>
      </c>
      <c r="AO369" s="120">
        <f>IF(AND(V369="OK",ISNUMBER($N$5),$N$5&gt;0,ISNUMBER($N$3),$N$3&gt;0),R369/(6*$N$3*1000000*$N$5)*(IF(N369&lt;($N$4*2/10),($N$4*2/10)*(MIN(O369,($N$4*2/10))^3-N369^3)-(MIN(O369,($N$4*2/10))^4-N369^4)/4,0)+IF(O369&gt;($N$4*2/10),($N$4*2/10)^2*(1.5*(O369^2-MAX(N369,($N$4*2/10))^2)-($N$4*2/10)*(O369-MAX(N369,($N$4*2/10)))),0))*1000,0)</f>
        <v>0</v>
      </c>
      <c r="AP369" s="120">
        <f>IF(AND(V369="OK",ISNUMBER($N$5),$N$5&gt;0,ISNUMBER($N$3),$N$3&gt;0),R369/(6*$N$3*1000000*$N$5)*(IF(N369&lt;($N$4*3/10),($N$4*3/10)*(MIN(O369,($N$4*3/10))^3-N369^3)-(MIN(O369,($N$4*3/10))^4-N369^4)/4,0)+IF(O369&gt;($N$4*3/10),($N$4*3/10)^2*(1.5*(O369^2-MAX(N369,($N$4*3/10))^2)-($N$4*3/10)*(O369-MAX(N369,($N$4*3/10)))),0))*1000,0)</f>
        <v>0</v>
      </c>
      <c r="AQ369" s="120">
        <f>IF(AND(V369="OK",ISNUMBER($N$5),$N$5&gt;0,ISNUMBER($N$3),$N$3&gt;0),R369/(6*$N$3*1000000*$N$5)*(IF(N369&lt;($N$4*4/10),($N$4*4/10)*(MIN(O369,($N$4*4/10))^3-N369^3)-(MIN(O369,($N$4*4/10))^4-N369^4)/4,0)+IF(O369&gt;($N$4*4/10),($N$4*4/10)^2*(1.5*(O369^2-MAX(N369,($N$4*4/10))^2)-($N$4*4/10)*(O369-MAX(N369,($N$4*4/10)))),0))*1000,0)</f>
        <v>0</v>
      </c>
      <c r="AR369" s="120">
        <f>IF(AND(V369="OK",ISNUMBER($N$5),$N$5&gt;0,ISNUMBER($N$3),$N$3&gt;0),R369/(6*$N$3*1000000*$N$5)*(IF(N369&lt;($N$4*5/10),($N$4*5/10)*(MIN(O369,($N$4*5/10))^3-N369^3)-(MIN(O369,($N$4*5/10))^4-N369^4)/4,0)+IF(O369&gt;($N$4*5/10),($N$4*5/10)^2*(1.5*(O369^2-MAX(N369,($N$4*5/10))^2)-($N$4*5/10)*(O369-MAX(N369,($N$4*5/10)))),0))*1000,0)</f>
        <v>0</v>
      </c>
      <c r="AS369" s="120">
        <f>IF(AND(V369="OK",ISNUMBER($N$5),$N$5&gt;0,ISNUMBER($N$3),$N$3&gt;0),R369/(6*$N$3*1000000*$N$5)*(IF(N369&lt;($N$4*6/10),($N$4*6/10)*(MIN(O369,($N$4*6/10))^3-N369^3)-(MIN(O369,($N$4*6/10))^4-N369^4)/4,0)+IF(O369&gt;($N$4*6/10),($N$4*6/10)^2*(1.5*(O369^2-MAX(N369,($N$4*6/10))^2)-($N$4*6/10)*(O369-MAX(N369,($N$4*6/10)))),0))*1000,0)</f>
        <v>0</v>
      </c>
      <c r="AT369" s="120">
        <f>IF(AND(V369="OK",ISNUMBER($N$5),$N$5&gt;0,ISNUMBER($N$3),$N$3&gt;0),R369/(6*$N$3*1000000*$N$5)*(IF(N369&lt;($N$4*7/10),($N$4*7/10)*(MIN(O369,($N$4*7/10))^3-N369^3)-(MIN(O369,($N$4*7/10))^4-N369^4)/4,0)+IF(O369&gt;($N$4*7/10),($N$4*7/10)^2*(1.5*(O369^2-MAX(N369,($N$4*7/10))^2)-($N$4*7/10)*(O369-MAX(N369,($N$4*7/10)))),0))*1000,0)</f>
        <v>0</v>
      </c>
      <c r="AU369" s="120">
        <f>IF(AND(V369="OK",ISNUMBER($N$5),$N$5&gt;0,ISNUMBER($N$3),$N$3&gt;0),R369/(6*$N$3*1000000*$N$5)*(IF(N369&lt;($N$4*8/10),($N$4*8/10)*(MIN(O369,($N$4*8/10))^3-N369^3)-(MIN(O369,($N$4*8/10))^4-N369^4)/4,0)+IF(O369&gt;($N$4*8/10),($N$4*8/10)^2*(1.5*(O369^2-MAX(N369,($N$4*8/10))^2)-($N$4*8/10)*(O369-MAX(N369,($N$4*8/10)))),0))*1000,0)</f>
        <v>0</v>
      </c>
      <c r="AV369" s="120">
        <f>IF(AND(V369="OK",ISNUMBER($N$5),$N$5&gt;0,ISNUMBER($N$3),$N$3&gt;0),R369/(6*$N$3*1000000*$N$5)*(IF(N369&lt;($N$4*9/10),($N$4*9/10)*(MIN(O369,($N$4*9/10))^3-N369^3)-(MIN(O369,($N$4*9/10))^4-N369^4)/4,0)+IF(O369&gt;($N$4*9/10),($N$4*9/10)^2*(1.5*(O369^2-MAX(N369,($N$4*9/10))^2)-($N$4*9/10)*(O369-MAX(N369,($N$4*9/10)))),0))*1000,0)</f>
        <v>0</v>
      </c>
      <c r="AW369" s="120">
        <f>IF(AND(V369="OK",ISNUMBER($N$5),$N$5&gt;0,ISNUMBER($N$3),$N$3&gt;0),R369/(6*$N$3*1000000*$N$5)*(IF(N369&lt;($N$4*10/10),($N$4*10/10)*(MIN(O369,($N$4*10/10))^3-N369^3)-(MIN(O369,($N$4*10/10))^4-N369^4)/4,0)+IF(O369&gt;($N$4*10/10),($N$4*10/10)^2*(1.5*(O369^2-MAX(N369,($N$4*10/10))^2)-($N$4*10/10)*(O369-MAX(N369,($N$4*10/10)))),0))*1000,0)</f>
        <v>0</v>
      </c>
    </row>
    <row r="370" spans="1:49">
      <c r="A370" s="124"/>
      <c r="B370" s="125"/>
      <c r="C370" s="125"/>
      <c r="D370" s="125"/>
      <c r="E370" s="125"/>
      <c r="F370" s="126" t="str">
        <f>IF(J370="OK",D370*E370,"")</f>
        <v/>
      </c>
      <c r="G370" s="126" t="str">
        <f>IF(J370="OK",F370*(C370-B370),"")</f>
        <v/>
      </c>
      <c r="H370" s="126" t="str">
        <f>IF(J370="OK",G370*(C370+B370)/2,"")</f>
        <v/>
      </c>
      <c r="I370" s="126" t="str">
        <f>IF(AND(J370="OK",ISNUMBER($B$5),$B$5&gt;0,ISNUMBER($B$3),$B$3&gt;0),F370*(4*$B$4*(C370^3-B370^3)-(C370^4-B370^4))/(24*$B$3*1000000*$B$5)*1000,"")</f>
        <v/>
      </c>
      <c r="J370" s="120" t="str">
        <f>IF(COUNTA(A370:E370)=0,"",IF(AND(COUNT(B370:E370)=4,B370&gt;=0,C370&gt;B370,C370&lt;=$B$4,D370&gt;=0,E370&gt;0),IF(COUNTIFS($B$13:$B$369,"&lt;"&amp;C370,$C$13:$C$369,"&gt;"&amp;B370)&gt;0,"OVERLAP","OK"),"CHECK INPUTS"))</f>
        <v/>
      </c>
      <c r="M370" s="124"/>
      <c r="N370" s="125"/>
      <c r="O370" s="125"/>
      <c r="P370" s="125"/>
      <c r="Q370" s="125"/>
      <c r="R370" s="126" t="str">
        <f>IF(V370="OK",P370*Q370,"")</f>
        <v/>
      </c>
      <c r="S370" s="126" t="str">
        <f>IF(V370="OK",R370*(O370-N370),"")</f>
        <v/>
      </c>
      <c r="T370" s="126" t="str">
        <f>IF(V370="OK",S370*(O370+N370)/2,"")</f>
        <v/>
      </c>
      <c r="U370" s="126" t="str">
        <f>IF(AND(V370="OK",ISNUMBER($N$5),$N$5&gt;0,ISNUMBER($N$3),$N$3&gt;0),R370*(4*$N$4*(O370^3-N370^3)-(O370^4-N370^4))/(24*$N$3*1000000*$N$5)*1000,"")</f>
        <v/>
      </c>
      <c r="V370" s="120" t="str">
        <f>IF(COUNTA(M370:Q370)=0,"",IF(AND(COUNT(N370:Q370)=4,N370&gt;=0,O370&gt;N370,O370&lt;=$N$4,P370&gt;=0,Q370&gt;0),IF(COUNTIFS($N$13:$N$369,"&lt;"&amp;O370,$O$13:$O$369,"&gt;"&amp;N370)&gt;0,"OVERLAP","OK"),"CHECK INPUTS"))</f>
        <v/>
      </c>
      <c r="AA370" s="120">
        <f>IF(AND(J370="OK",ISNUMBER($B$5),$B$5&gt;0,ISNUMBER($B$3),$B$3&gt;0),F370/(6*$B$3*1000000*$B$5)*(IF(B370&lt;($B$4*0/10),($B$4*0/10)*(MIN(C370,($B$4*0/10))^3-B370^3)-(MIN(C370,($B$4*0/10))^4-B370^4)/4,0)+IF(C370&gt;($B$4*0/10),($B$4*0/10)^2*(1.5*(C370^2-MAX(B370,($B$4*0/10))^2)-($B$4*0/10)*(C370-MAX(B370,($B$4*0/10)))),0))*1000,0)</f>
        <v>0</v>
      </c>
      <c r="AB370" s="120">
        <f>IF(AND(J370="OK",ISNUMBER($B$5),$B$5&gt;0,ISNUMBER($B$3),$B$3&gt;0),F370/(6*$B$3*1000000*$B$5)*(IF(B370&lt;($B$4*1/10),($B$4*1/10)*(MIN(C370,($B$4*1/10))^3-B370^3)-(MIN(C370,($B$4*1/10))^4-B370^4)/4,0)+IF(C370&gt;($B$4*1/10),($B$4*1/10)^2*(1.5*(C370^2-MAX(B370,($B$4*1/10))^2)-($B$4*1/10)*(C370-MAX(B370,($B$4*1/10)))),0))*1000,0)</f>
        <v>0</v>
      </c>
      <c r="AC370" s="120">
        <f>IF(AND(J370="OK",ISNUMBER($B$5),$B$5&gt;0,ISNUMBER($B$3),$B$3&gt;0),F370/(6*$B$3*1000000*$B$5)*(IF(B370&lt;($B$4*2/10),($B$4*2/10)*(MIN(C370,($B$4*2/10))^3-B370^3)-(MIN(C370,($B$4*2/10))^4-B370^4)/4,0)+IF(C370&gt;($B$4*2/10),($B$4*2/10)^2*(1.5*(C370^2-MAX(B370,($B$4*2/10))^2)-($B$4*2/10)*(C370-MAX(B370,($B$4*2/10)))),0))*1000,0)</f>
        <v>0</v>
      </c>
      <c r="AD370" s="120">
        <f>IF(AND(J370="OK",ISNUMBER($B$5),$B$5&gt;0,ISNUMBER($B$3),$B$3&gt;0),F370/(6*$B$3*1000000*$B$5)*(IF(B370&lt;($B$4*3/10),($B$4*3/10)*(MIN(C370,($B$4*3/10))^3-B370^3)-(MIN(C370,($B$4*3/10))^4-B370^4)/4,0)+IF(C370&gt;($B$4*3/10),($B$4*3/10)^2*(1.5*(C370^2-MAX(B370,($B$4*3/10))^2)-($B$4*3/10)*(C370-MAX(B370,($B$4*3/10)))),0))*1000,0)</f>
        <v>0</v>
      </c>
      <c r="AE370" s="120">
        <f>IF(AND(J370="OK",ISNUMBER($B$5),$B$5&gt;0,ISNUMBER($B$3),$B$3&gt;0),F370/(6*$B$3*1000000*$B$5)*(IF(B370&lt;($B$4*4/10),($B$4*4/10)*(MIN(C370,($B$4*4/10))^3-B370^3)-(MIN(C370,($B$4*4/10))^4-B370^4)/4,0)+IF(C370&gt;($B$4*4/10),($B$4*4/10)^2*(1.5*(C370^2-MAX(B370,($B$4*4/10))^2)-($B$4*4/10)*(C370-MAX(B370,($B$4*4/10)))),0))*1000,0)</f>
        <v>0</v>
      </c>
      <c r="AF370" s="120">
        <f>IF(AND(J370="OK",ISNUMBER($B$5),$B$5&gt;0,ISNUMBER($B$3),$B$3&gt;0),F370/(6*$B$3*1000000*$B$5)*(IF(B370&lt;($B$4*5/10),($B$4*5/10)*(MIN(C370,($B$4*5/10))^3-B370^3)-(MIN(C370,($B$4*5/10))^4-B370^4)/4,0)+IF(C370&gt;($B$4*5/10),($B$4*5/10)^2*(1.5*(C370^2-MAX(B370,($B$4*5/10))^2)-($B$4*5/10)*(C370-MAX(B370,($B$4*5/10)))),0))*1000,0)</f>
        <v>0</v>
      </c>
      <c r="AG370" s="120">
        <f>IF(AND(J370="OK",ISNUMBER($B$5),$B$5&gt;0,ISNUMBER($B$3),$B$3&gt;0),F370/(6*$B$3*1000000*$B$5)*(IF(B370&lt;($B$4*6/10),($B$4*6/10)*(MIN(C370,($B$4*6/10))^3-B370^3)-(MIN(C370,($B$4*6/10))^4-B370^4)/4,0)+IF(C370&gt;($B$4*6/10),($B$4*6/10)^2*(1.5*(C370^2-MAX(B370,($B$4*6/10))^2)-($B$4*6/10)*(C370-MAX(B370,($B$4*6/10)))),0))*1000,0)</f>
        <v>0</v>
      </c>
      <c r="AH370" s="120">
        <f>IF(AND(J370="OK",ISNUMBER($B$5),$B$5&gt;0,ISNUMBER($B$3),$B$3&gt;0),F370/(6*$B$3*1000000*$B$5)*(IF(B370&lt;($B$4*7/10),($B$4*7/10)*(MIN(C370,($B$4*7/10))^3-B370^3)-(MIN(C370,($B$4*7/10))^4-B370^4)/4,0)+IF(C370&gt;($B$4*7/10),($B$4*7/10)^2*(1.5*(C370^2-MAX(B370,($B$4*7/10))^2)-($B$4*7/10)*(C370-MAX(B370,($B$4*7/10)))),0))*1000,0)</f>
        <v>0</v>
      </c>
      <c r="AI370" s="120">
        <f>IF(AND(J370="OK",ISNUMBER($B$5),$B$5&gt;0,ISNUMBER($B$3),$B$3&gt;0),F370/(6*$B$3*1000000*$B$5)*(IF(B370&lt;($B$4*8/10),($B$4*8/10)*(MIN(C370,($B$4*8/10))^3-B370^3)-(MIN(C370,($B$4*8/10))^4-B370^4)/4,0)+IF(C370&gt;($B$4*8/10),($B$4*8/10)^2*(1.5*(C370^2-MAX(B370,($B$4*8/10))^2)-($B$4*8/10)*(C370-MAX(B370,($B$4*8/10)))),0))*1000,0)</f>
        <v>0</v>
      </c>
      <c r="AJ370" s="120">
        <f>IF(AND(J370="OK",ISNUMBER($B$5),$B$5&gt;0,ISNUMBER($B$3),$B$3&gt;0),F370/(6*$B$3*1000000*$B$5)*(IF(B370&lt;($B$4*9/10),($B$4*9/10)*(MIN(C370,($B$4*9/10))^3-B370^3)-(MIN(C370,($B$4*9/10))^4-B370^4)/4,0)+IF(C370&gt;($B$4*9/10),($B$4*9/10)^2*(1.5*(C370^2-MAX(B370,($B$4*9/10))^2)-($B$4*9/10)*(C370-MAX(B370,($B$4*9/10)))),0))*1000,0)</f>
        <v>0</v>
      </c>
      <c r="AK370" s="120">
        <f>IF(AND(J370="OK",ISNUMBER($B$5),$B$5&gt;0,ISNUMBER($B$3),$B$3&gt;0),F370/(6*$B$3*1000000*$B$5)*(IF(B370&lt;($B$4*10/10),($B$4*10/10)*(MIN(C370,($B$4*10/10))^3-B370^3)-(MIN(C370,($B$4*10/10))^4-B370^4)/4,0)+IF(C370&gt;($B$4*10/10),($B$4*10/10)^2*(1.5*(C370^2-MAX(B370,($B$4*10/10))^2)-($B$4*10/10)*(C370-MAX(B370,($B$4*10/10)))),0))*1000,0)</f>
        <v>0</v>
      </c>
      <c r="AM370" s="120">
        <f>IF(AND(V370="OK",ISNUMBER($N$5),$N$5&gt;0,ISNUMBER($N$3),$N$3&gt;0),R370/(6*$N$3*1000000*$N$5)*(IF(N370&lt;($N$4*0/10),($N$4*0/10)*(MIN(O370,($N$4*0/10))^3-N370^3)-(MIN(O370,($N$4*0/10))^4-N370^4)/4,0)+IF(O370&gt;($N$4*0/10),($N$4*0/10)^2*(1.5*(O370^2-MAX(N370,($N$4*0/10))^2)-($N$4*0/10)*(O370-MAX(N370,($N$4*0/10)))),0))*1000,0)</f>
        <v>0</v>
      </c>
      <c r="AN370" s="120">
        <f>IF(AND(V370="OK",ISNUMBER($N$5),$N$5&gt;0,ISNUMBER($N$3),$N$3&gt;0),R370/(6*$N$3*1000000*$N$5)*(IF(N370&lt;($N$4*1/10),($N$4*1/10)*(MIN(O370,($N$4*1/10))^3-N370^3)-(MIN(O370,($N$4*1/10))^4-N370^4)/4,0)+IF(O370&gt;($N$4*1/10),($N$4*1/10)^2*(1.5*(O370^2-MAX(N370,($N$4*1/10))^2)-($N$4*1/10)*(O370-MAX(N370,($N$4*1/10)))),0))*1000,0)</f>
        <v>0</v>
      </c>
      <c r="AO370" s="120">
        <f>IF(AND(V370="OK",ISNUMBER($N$5),$N$5&gt;0,ISNUMBER($N$3),$N$3&gt;0),R370/(6*$N$3*1000000*$N$5)*(IF(N370&lt;($N$4*2/10),($N$4*2/10)*(MIN(O370,($N$4*2/10))^3-N370^3)-(MIN(O370,($N$4*2/10))^4-N370^4)/4,0)+IF(O370&gt;($N$4*2/10),($N$4*2/10)^2*(1.5*(O370^2-MAX(N370,($N$4*2/10))^2)-($N$4*2/10)*(O370-MAX(N370,($N$4*2/10)))),0))*1000,0)</f>
        <v>0</v>
      </c>
      <c r="AP370" s="120">
        <f>IF(AND(V370="OK",ISNUMBER($N$5),$N$5&gt;0,ISNUMBER($N$3),$N$3&gt;0),R370/(6*$N$3*1000000*$N$5)*(IF(N370&lt;($N$4*3/10),($N$4*3/10)*(MIN(O370,($N$4*3/10))^3-N370^3)-(MIN(O370,($N$4*3/10))^4-N370^4)/4,0)+IF(O370&gt;($N$4*3/10),($N$4*3/10)^2*(1.5*(O370^2-MAX(N370,($N$4*3/10))^2)-($N$4*3/10)*(O370-MAX(N370,($N$4*3/10)))),0))*1000,0)</f>
        <v>0</v>
      </c>
      <c r="AQ370" s="120">
        <f>IF(AND(V370="OK",ISNUMBER($N$5),$N$5&gt;0,ISNUMBER($N$3),$N$3&gt;0),R370/(6*$N$3*1000000*$N$5)*(IF(N370&lt;($N$4*4/10),($N$4*4/10)*(MIN(O370,($N$4*4/10))^3-N370^3)-(MIN(O370,($N$4*4/10))^4-N370^4)/4,0)+IF(O370&gt;($N$4*4/10),($N$4*4/10)^2*(1.5*(O370^2-MAX(N370,($N$4*4/10))^2)-($N$4*4/10)*(O370-MAX(N370,($N$4*4/10)))),0))*1000,0)</f>
        <v>0</v>
      </c>
      <c r="AR370" s="120">
        <f>IF(AND(V370="OK",ISNUMBER($N$5),$N$5&gt;0,ISNUMBER($N$3),$N$3&gt;0),R370/(6*$N$3*1000000*$N$5)*(IF(N370&lt;($N$4*5/10),($N$4*5/10)*(MIN(O370,($N$4*5/10))^3-N370^3)-(MIN(O370,($N$4*5/10))^4-N370^4)/4,0)+IF(O370&gt;($N$4*5/10),($N$4*5/10)^2*(1.5*(O370^2-MAX(N370,($N$4*5/10))^2)-($N$4*5/10)*(O370-MAX(N370,($N$4*5/10)))),0))*1000,0)</f>
        <v>0</v>
      </c>
      <c r="AS370" s="120">
        <f>IF(AND(V370="OK",ISNUMBER($N$5),$N$5&gt;0,ISNUMBER($N$3),$N$3&gt;0),R370/(6*$N$3*1000000*$N$5)*(IF(N370&lt;($N$4*6/10),($N$4*6/10)*(MIN(O370,($N$4*6/10))^3-N370^3)-(MIN(O370,($N$4*6/10))^4-N370^4)/4,0)+IF(O370&gt;($N$4*6/10),($N$4*6/10)^2*(1.5*(O370^2-MAX(N370,($N$4*6/10))^2)-($N$4*6/10)*(O370-MAX(N370,($N$4*6/10)))),0))*1000,0)</f>
        <v>0</v>
      </c>
      <c r="AT370" s="120">
        <f>IF(AND(V370="OK",ISNUMBER($N$5),$N$5&gt;0,ISNUMBER($N$3),$N$3&gt;0),R370/(6*$N$3*1000000*$N$5)*(IF(N370&lt;($N$4*7/10),($N$4*7/10)*(MIN(O370,($N$4*7/10))^3-N370^3)-(MIN(O370,($N$4*7/10))^4-N370^4)/4,0)+IF(O370&gt;($N$4*7/10),($N$4*7/10)^2*(1.5*(O370^2-MAX(N370,($N$4*7/10))^2)-($N$4*7/10)*(O370-MAX(N370,($N$4*7/10)))),0))*1000,0)</f>
        <v>0</v>
      </c>
      <c r="AU370" s="120">
        <f>IF(AND(V370="OK",ISNUMBER($N$5),$N$5&gt;0,ISNUMBER($N$3),$N$3&gt;0),R370/(6*$N$3*1000000*$N$5)*(IF(N370&lt;($N$4*8/10),($N$4*8/10)*(MIN(O370,($N$4*8/10))^3-N370^3)-(MIN(O370,($N$4*8/10))^4-N370^4)/4,0)+IF(O370&gt;($N$4*8/10),($N$4*8/10)^2*(1.5*(O370^2-MAX(N370,($N$4*8/10))^2)-($N$4*8/10)*(O370-MAX(N370,($N$4*8/10)))),0))*1000,0)</f>
        <v>0</v>
      </c>
      <c r="AV370" s="120">
        <f>IF(AND(V370="OK",ISNUMBER($N$5),$N$5&gt;0,ISNUMBER($N$3),$N$3&gt;0),R370/(6*$N$3*1000000*$N$5)*(IF(N370&lt;($N$4*9/10),($N$4*9/10)*(MIN(O370,($N$4*9/10))^3-N370^3)-(MIN(O370,($N$4*9/10))^4-N370^4)/4,0)+IF(O370&gt;($N$4*9/10),($N$4*9/10)^2*(1.5*(O370^2-MAX(N370,($N$4*9/10))^2)-($N$4*9/10)*(O370-MAX(N370,($N$4*9/10)))),0))*1000,0)</f>
        <v>0</v>
      </c>
      <c r="AW370" s="120">
        <f>IF(AND(V370="OK",ISNUMBER($N$5),$N$5&gt;0,ISNUMBER($N$3),$N$3&gt;0),R370/(6*$N$3*1000000*$N$5)*(IF(N370&lt;($N$4*10/10),($N$4*10/10)*(MIN(O370,($N$4*10/10))^3-N370^3)-(MIN(O370,($N$4*10/10))^4-N370^4)/4,0)+IF(O370&gt;($N$4*10/10),($N$4*10/10)^2*(1.5*(O370^2-MAX(N370,($N$4*10/10))^2)-($N$4*10/10)*(O370-MAX(N370,($N$4*10/10)))),0))*1000,0)</f>
        <v>0</v>
      </c>
    </row>
    <row r="371" spans="1:49">
      <c r="A371" s="124"/>
      <c r="B371" s="125"/>
      <c r="C371" s="125"/>
      <c r="D371" s="125"/>
      <c r="E371" s="125"/>
      <c r="F371" s="126" t="str">
        <f>IF(J371="OK",D371*E371,"")</f>
        <v/>
      </c>
      <c r="G371" s="126" t="str">
        <f>IF(J371="OK",F371*(C371-B371),"")</f>
        <v/>
      </c>
      <c r="H371" s="126" t="str">
        <f>IF(J371="OK",G371*(C371+B371)/2,"")</f>
        <v/>
      </c>
      <c r="I371" s="126" t="str">
        <f>IF(AND(J371="OK",ISNUMBER($B$5),$B$5&gt;0,ISNUMBER($B$3),$B$3&gt;0),F371*(4*$B$4*(C371^3-B371^3)-(C371^4-B371^4))/(24*$B$3*1000000*$B$5)*1000,"")</f>
        <v/>
      </c>
      <c r="J371" s="120" t="str">
        <f>IF(COUNTA(A371:E371)=0,"",IF(AND(COUNT(B371:E371)=4,B371&gt;=0,C371&gt;B371,C371&lt;=$B$4,D371&gt;=0,E371&gt;0),IF(COUNTIFS($B$13:$B$370,"&lt;"&amp;C371,$C$13:$C$370,"&gt;"&amp;B371)&gt;0,"OVERLAP","OK"),"CHECK INPUTS"))</f>
        <v/>
      </c>
      <c r="M371" s="124"/>
      <c r="N371" s="125"/>
      <c r="O371" s="125"/>
      <c r="P371" s="125"/>
      <c r="Q371" s="125"/>
      <c r="R371" s="126" t="str">
        <f>IF(V371="OK",P371*Q371,"")</f>
        <v/>
      </c>
      <c r="S371" s="126" t="str">
        <f>IF(V371="OK",R371*(O371-N371),"")</f>
        <v/>
      </c>
      <c r="T371" s="126" t="str">
        <f>IF(V371="OK",S371*(O371+N371)/2,"")</f>
        <v/>
      </c>
      <c r="U371" s="126" t="str">
        <f>IF(AND(V371="OK",ISNUMBER($N$5),$N$5&gt;0,ISNUMBER($N$3),$N$3&gt;0),R371*(4*$N$4*(O371^3-N371^3)-(O371^4-N371^4))/(24*$N$3*1000000*$N$5)*1000,"")</f>
        <v/>
      </c>
      <c r="V371" s="120" t="str">
        <f>IF(COUNTA(M371:Q371)=0,"",IF(AND(COUNT(N371:Q371)=4,N371&gt;=0,O371&gt;N371,O371&lt;=$N$4,P371&gt;=0,Q371&gt;0),IF(COUNTIFS($N$13:$N$370,"&lt;"&amp;O371,$O$13:$O$370,"&gt;"&amp;N371)&gt;0,"OVERLAP","OK"),"CHECK INPUTS"))</f>
        <v/>
      </c>
      <c r="AA371" s="120">
        <f>IF(AND(J371="OK",ISNUMBER($B$5),$B$5&gt;0,ISNUMBER($B$3),$B$3&gt;0),F371/(6*$B$3*1000000*$B$5)*(IF(B371&lt;($B$4*0/10),($B$4*0/10)*(MIN(C371,($B$4*0/10))^3-B371^3)-(MIN(C371,($B$4*0/10))^4-B371^4)/4,0)+IF(C371&gt;($B$4*0/10),($B$4*0/10)^2*(1.5*(C371^2-MAX(B371,($B$4*0/10))^2)-($B$4*0/10)*(C371-MAX(B371,($B$4*0/10)))),0))*1000,0)</f>
        <v>0</v>
      </c>
      <c r="AB371" s="120">
        <f>IF(AND(J371="OK",ISNUMBER($B$5),$B$5&gt;0,ISNUMBER($B$3),$B$3&gt;0),F371/(6*$B$3*1000000*$B$5)*(IF(B371&lt;($B$4*1/10),($B$4*1/10)*(MIN(C371,($B$4*1/10))^3-B371^3)-(MIN(C371,($B$4*1/10))^4-B371^4)/4,0)+IF(C371&gt;($B$4*1/10),($B$4*1/10)^2*(1.5*(C371^2-MAX(B371,($B$4*1/10))^2)-($B$4*1/10)*(C371-MAX(B371,($B$4*1/10)))),0))*1000,0)</f>
        <v>0</v>
      </c>
      <c r="AC371" s="120">
        <f>IF(AND(J371="OK",ISNUMBER($B$5),$B$5&gt;0,ISNUMBER($B$3),$B$3&gt;0),F371/(6*$B$3*1000000*$B$5)*(IF(B371&lt;($B$4*2/10),($B$4*2/10)*(MIN(C371,($B$4*2/10))^3-B371^3)-(MIN(C371,($B$4*2/10))^4-B371^4)/4,0)+IF(C371&gt;($B$4*2/10),($B$4*2/10)^2*(1.5*(C371^2-MAX(B371,($B$4*2/10))^2)-($B$4*2/10)*(C371-MAX(B371,($B$4*2/10)))),0))*1000,0)</f>
        <v>0</v>
      </c>
      <c r="AD371" s="120">
        <f>IF(AND(J371="OK",ISNUMBER($B$5),$B$5&gt;0,ISNUMBER($B$3),$B$3&gt;0),F371/(6*$B$3*1000000*$B$5)*(IF(B371&lt;($B$4*3/10),($B$4*3/10)*(MIN(C371,($B$4*3/10))^3-B371^3)-(MIN(C371,($B$4*3/10))^4-B371^4)/4,0)+IF(C371&gt;($B$4*3/10),($B$4*3/10)^2*(1.5*(C371^2-MAX(B371,($B$4*3/10))^2)-($B$4*3/10)*(C371-MAX(B371,($B$4*3/10)))),0))*1000,0)</f>
        <v>0</v>
      </c>
      <c r="AE371" s="120">
        <f>IF(AND(J371="OK",ISNUMBER($B$5),$B$5&gt;0,ISNUMBER($B$3),$B$3&gt;0),F371/(6*$B$3*1000000*$B$5)*(IF(B371&lt;($B$4*4/10),($B$4*4/10)*(MIN(C371,($B$4*4/10))^3-B371^3)-(MIN(C371,($B$4*4/10))^4-B371^4)/4,0)+IF(C371&gt;($B$4*4/10),($B$4*4/10)^2*(1.5*(C371^2-MAX(B371,($B$4*4/10))^2)-($B$4*4/10)*(C371-MAX(B371,($B$4*4/10)))),0))*1000,0)</f>
        <v>0</v>
      </c>
      <c r="AF371" s="120">
        <f>IF(AND(J371="OK",ISNUMBER($B$5),$B$5&gt;0,ISNUMBER($B$3),$B$3&gt;0),F371/(6*$B$3*1000000*$B$5)*(IF(B371&lt;($B$4*5/10),($B$4*5/10)*(MIN(C371,($B$4*5/10))^3-B371^3)-(MIN(C371,($B$4*5/10))^4-B371^4)/4,0)+IF(C371&gt;($B$4*5/10),($B$4*5/10)^2*(1.5*(C371^2-MAX(B371,($B$4*5/10))^2)-($B$4*5/10)*(C371-MAX(B371,($B$4*5/10)))),0))*1000,0)</f>
        <v>0</v>
      </c>
      <c r="AG371" s="120">
        <f>IF(AND(J371="OK",ISNUMBER($B$5),$B$5&gt;0,ISNUMBER($B$3),$B$3&gt;0),F371/(6*$B$3*1000000*$B$5)*(IF(B371&lt;($B$4*6/10),($B$4*6/10)*(MIN(C371,($B$4*6/10))^3-B371^3)-(MIN(C371,($B$4*6/10))^4-B371^4)/4,0)+IF(C371&gt;($B$4*6/10),($B$4*6/10)^2*(1.5*(C371^2-MAX(B371,($B$4*6/10))^2)-($B$4*6/10)*(C371-MAX(B371,($B$4*6/10)))),0))*1000,0)</f>
        <v>0</v>
      </c>
      <c r="AH371" s="120">
        <f>IF(AND(J371="OK",ISNUMBER($B$5),$B$5&gt;0,ISNUMBER($B$3),$B$3&gt;0),F371/(6*$B$3*1000000*$B$5)*(IF(B371&lt;($B$4*7/10),($B$4*7/10)*(MIN(C371,($B$4*7/10))^3-B371^3)-(MIN(C371,($B$4*7/10))^4-B371^4)/4,0)+IF(C371&gt;($B$4*7/10),($B$4*7/10)^2*(1.5*(C371^2-MAX(B371,($B$4*7/10))^2)-($B$4*7/10)*(C371-MAX(B371,($B$4*7/10)))),0))*1000,0)</f>
        <v>0</v>
      </c>
      <c r="AI371" s="120">
        <f>IF(AND(J371="OK",ISNUMBER($B$5),$B$5&gt;0,ISNUMBER($B$3),$B$3&gt;0),F371/(6*$B$3*1000000*$B$5)*(IF(B371&lt;($B$4*8/10),($B$4*8/10)*(MIN(C371,($B$4*8/10))^3-B371^3)-(MIN(C371,($B$4*8/10))^4-B371^4)/4,0)+IF(C371&gt;($B$4*8/10),($B$4*8/10)^2*(1.5*(C371^2-MAX(B371,($B$4*8/10))^2)-($B$4*8/10)*(C371-MAX(B371,($B$4*8/10)))),0))*1000,0)</f>
        <v>0</v>
      </c>
      <c r="AJ371" s="120">
        <f>IF(AND(J371="OK",ISNUMBER($B$5),$B$5&gt;0,ISNUMBER($B$3),$B$3&gt;0),F371/(6*$B$3*1000000*$B$5)*(IF(B371&lt;($B$4*9/10),($B$4*9/10)*(MIN(C371,($B$4*9/10))^3-B371^3)-(MIN(C371,($B$4*9/10))^4-B371^4)/4,0)+IF(C371&gt;($B$4*9/10),($B$4*9/10)^2*(1.5*(C371^2-MAX(B371,($B$4*9/10))^2)-($B$4*9/10)*(C371-MAX(B371,($B$4*9/10)))),0))*1000,0)</f>
        <v>0</v>
      </c>
      <c r="AK371" s="120">
        <f>IF(AND(J371="OK",ISNUMBER($B$5),$B$5&gt;0,ISNUMBER($B$3),$B$3&gt;0),F371/(6*$B$3*1000000*$B$5)*(IF(B371&lt;($B$4*10/10),($B$4*10/10)*(MIN(C371,($B$4*10/10))^3-B371^3)-(MIN(C371,($B$4*10/10))^4-B371^4)/4,0)+IF(C371&gt;($B$4*10/10),($B$4*10/10)^2*(1.5*(C371^2-MAX(B371,($B$4*10/10))^2)-($B$4*10/10)*(C371-MAX(B371,($B$4*10/10)))),0))*1000,0)</f>
        <v>0</v>
      </c>
      <c r="AM371" s="120">
        <f>IF(AND(V371="OK",ISNUMBER($N$5),$N$5&gt;0,ISNUMBER($N$3),$N$3&gt;0),R371/(6*$N$3*1000000*$N$5)*(IF(N371&lt;($N$4*0/10),($N$4*0/10)*(MIN(O371,($N$4*0/10))^3-N371^3)-(MIN(O371,($N$4*0/10))^4-N371^4)/4,0)+IF(O371&gt;($N$4*0/10),($N$4*0/10)^2*(1.5*(O371^2-MAX(N371,($N$4*0/10))^2)-($N$4*0/10)*(O371-MAX(N371,($N$4*0/10)))),0))*1000,0)</f>
        <v>0</v>
      </c>
      <c r="AN371" s="120">
        <f>IF(AND(V371="OK",ISNUMBER($N$5),$N$5&gt;0,ISNUMBER($N$3),$N$3&gt;0),R371/(6*$N$3*1000000*$N$5)*(IF(N371&lt;($N$4*1/10),($N$4*1/10)*(MIN(O371,($N$4*1/10))^3-N371^3)-(MIN(O371,($N$4*1/10))^4-N371^4)/4,0)+IF(O371&gt;($N$4*1/10),($N$4*1/10)^2*(1.5*(O371^2-MAX(N371,($N$4*1/10))^2)-($N$4*1/10)*(O371-MAX(N371,($N$4*1/10)))),0))*1000,0)</f>
        <v>0</v>
      </c>
      <c r="AO371" s="120">
        <f>IF(AND(V371="OK",ISNUMBER($N$5),$N$5&gt;0,ISNUMBER($N$3),$N$3&gt;0),R371/(6*$N$3*1000000*$N$5)*(IF(N371&lt;($N$4*2/10),($N$4*2/10)*(MIN(O371,($N$4*2/10))^3-N371^3)-(MIN(O371,($N$4*2/10))^4-N371^4)/4,0)+IF(O371&gt;($N$4*2/10),($N$4*2/10)^2*(1.5*(O371^2-MAX(N371,($N$4*2/10))^2)-($N$4*2/10)*(O371-MAX(N371,($N$4*2/10)))),0))*1000,0)</f>
        <v>0</v>
      </c>
      <c r="AP371" s="120">
        <f>IF(AND(V371="OK",ISNUMBER($N$5),$N$5&gt;0,ISNUMBER($N$3),$N$3&gt;0),R371/(6*$N$3*1000000*$N$5)*(IF(N371&lt;($N$4*3/10),($N$4*3/10)*(MIN(O371,($N$4*3/10))^3-N371^3)-(MIN(O371,($N$4*3/10))^4-N371^4)/4,0)+IF(O371&gt;($N$4*3/10),($N$4*3/10)^2*(1.5*(O371^2-MAX(N371,($N$4*3/10))^2)-($N$4*3/10)*(O371-MAX(N371,($N$4*3/10)))),0))*1000,0)</f>
        <v>0</v>
      </c>
      <c r="AQ371" s="120">
        <f>IF(AND(V371="OK",ISNUMBER($N$5),$N$5&gt;0,ISNUMBER($N$3),$N$3&gt;0),R371/(6*$N$3*1000000*$N$5)*(IF(N371&lt;($N$4*4/10),($N$4*4/10)*(MIN(O371,($N$4*4/10))^3-N371^3)-(MIN(O371,($N$4*4/10))^4-N371^4)/4,0)+IF(O371&gt;($N$4*4/10),($N$4*4/10)^2*(1.5*(O371^2-MAX(N371,($N$4*4/10))^2)-($N$4*4/10)*(O371-MAX(N371,($N$4*4/10)))),0))*1000,0)</f>
        <v>0</v>
      </c>
      <c r="AR371" s="120">
        <f>IF(AND(V371="OK",ISNUMBER($N$5),$N$5&gt;0,ISNUMBER($N$3),$N$3&gt;0),R371/(6*$N$3*1000000*$N$5)*(IF(N371&lt;($N$4*5/10),($N$4*5/10)*(MIN(O371,($N$4*5/10))^3-N371^3)-(MIN(O371,($N$4*5/10))^4-N371^4)/4,0)+IF(O371&gt;($N$4*5/10),($N$4*5/10)^2*(1.5*(O371^2-MAX(N371,($N$4*5/10))^2)-($N$4*5/10)*(O371-MAX(N371,($N$4*5/10)))),0))*1000,0)</f>
        <v>0</v>
      </c>
      <c r="AS371" s="120">
        <f>IF(AND(V371="OK",ISNUMBER($N$5),$N$5&gt;0,ISNUMBER($N$3),$N$3&gt;0),R371/(6*$N$3*1000000*$N$5)*(IF(N371&lt;($N$4*6/10),($N$4*6/10)*(MIN(O371,($N$4*6/10))^3-N371^3)-(MIN(O371,($N$4*6/10))^4-N371^4)/4,0)+IF(O371&gt;($N$4*6/10),($N$4*6/10)^2*(1.5*(O371^2-MAX(N371,($N$4*6/10))^2)-($N$4*6/10)*(O371-MAX(N371,($N$4*6/10)))),0))*1000,0)</f>
        <v>0</v>
      </c>
      <c r="AT371" s="120">
        <f>IF(AND(V371="OK",ISNUMBER($N$5),$N$5&gt;0,ISNUMBER($N$3),$N$3&gt;0),R371/(6*$N$3*1000000*$N$5)*(IF(N371&lt;($N$4*7/10),($N$4*7/10)*(MIN(O371,($N$4*7/10))^3-N371^3)-(MIN(O371,($N$4*7/10))^4-N371^4)/4,0)+IF(O371&gt;($N$4*7/10),($N$4*7/10)^2*(1.5*(O371^2-MAX(N371,($N$4*7/10))^2)-($N$4*7/10)*(O371-MAX(N371,($N$4*7/10)))),0))*1000,0)</f>
        <v>0</v>
      </c>
      <c r="AU371" s="120">
        <f>IF(AND(V371="OK",ISNUMBER($N$5),$N$5&gt;0,ISNUMBER($N$3),$N$3&gt;0),R371/(6*$N$3*1000000*$N$5)*(IF(N371&lt;($N$4*8/10),($N$4*8/10)*(MIN(O371,($N$4*8/10))^3-N371^3)-(MIN(O371,($N$4*8/10))^4-N371^4)/4,0)+IF(O371&gt;($N$4*8/10),($N$4*8/10)^2*(1.5*(O371^2-MAX(N371,($N$4*8/10))^2)-($N$4*8/10)*(O371-MAX(N371,($N$4*8/10)))),0))*1000,0)</f>
        <v>0</v>
      </c>
      <c r="AV371" s="120">
        <f>IF(AND(V371="OK",ISNUMBER($N$5),$N$5&gt;0,ISNUMBER($N$3),$N$3&gt;0),R371/(6*$N$3*1000000*$N$5)*(IF(N371&lt;($N$4*9/10),($N$4*9/10)*(MIN(O371,($N$4*9/10))^3-N371^3)-(MIN(O371,($N$4*9/10))^4-N371^4)/4,0)+IF(O371&gt;($N$4*9/10),($N$4*9/10)^2*(1.5*(O371^2-MAX(N371,($N$4*9/10))^2)-($N$4*9/10)*(O371-MAX(N371,($N$4*9/10)))),0))*1000,0)</f>
        <v>0</v>
      </c>
      <c r="AW371" s="120">
        <f>IF(AND(V371="OK",ISNUMBER($N$5),$N$5&gt;0,ISNUMBER($N$3),$N$3&gt;0),R371/(6*$N$3*1000000*$N$5)*(IF(N371&lt;($N$4*10/10),($N$4*10/10)*(MIN(O371,($N$4*10/10))^3-N371^3)-(MIN(O371,($N$4*10/10))^4-N371^4)/4,0)+IF(O371&gt;($N$4*10/10),($N$4*10/10)^2*(1.5*(O371^2-MAX(N371,($N$4*10/10))^2)-($N$4*10/10)*(O371-MAX(N371,($N$4*10/10)))),0))*1000,0)</f>
        <v>0</v>
      </c>
    </row>
    <row r="372" spans="1:49">
      <c r="A372" s="124"/>
      <c r="B372" s="125"/>
      <c r="C372" s="125"/>
      <c r="D372" s="125"/>
      <c r="E372" s="125"/>
      <c r="F372" s="126" t="str">
        <f>IF(J372="OK",D372*E372,"")</f>
        <v/>
      </c>
      <c r="G372" s="126" t="str">
        <f>IF(J372="OK",F372*(C372-B372),"")</f>
        <v/>
      </c>
      <c r="H372" s="126" t="str">
        <f>IF(J372="OK",G372*(C372+B372)/2,"")</f>
        <v/>
      </c>
      <c r="I372" s="126" t="str">
        <f>IF(AND(J372="OK",ISNUMBER($B$5),$B$5&gt;0,ISNUMBER($B$3),$B$3&gt;0),F372*(4*$B$4*(C372^3-B372^3)-(C372^4-B372^4))/(24*$B$3*1000000*$B$5)*1000,"")</f>
        <v/>
      </c>
      <c r="J372" s="120" t="str">
        <f>IF(COUNTA(A372:E372)=0,"",IF(AND(COUNT(B372:E372)=4,B372&gt;=0,C372&gt;B372,C372&lt;=$B$4,D372&gt;=0,E372&gt;0),IF(COUNTIFS($B$13:$B$371,"&lt;"&amp;C372,$C$13:$C$371,"&gt;"&amp;B372)&gt;0,"OVERLAP","OK"),"CHECK INPUTS"))</f>
        <v/>
      </c>
      <c r="M372" s="124"/>
      <c r="N372" s="125"/>
      <c r="O372" s="125"/>
      <c r="P372" s="125"/>
      <c r="Q372" s="125"/>
      <c r="R372" s="126" t="str">
        <f>IF(V372="OK",P372*Q372,"")</f>
        <v/>
      </c>
      <c r="S372" s="126" t="str">
        <f>IF(V372="OK",R372*(O372-N372),"")</f>
        <v/>
      </c>
      <c r="T372" s="126" t="str">
        <f>IF(V372="OK",S372*(O372+N372)/2,"")</f>
        <v/>
      </c>
      <c r="U372" s="126" t="str">
        <f>IF(AND(V372="OK",ISNUMBER($N$5),$N$5&gt;0,ISNUMBER($N$3),$N$3&gt;0),R372*(4*$N$4*(O372^3-N372^3)-(O372^4-N372^4))/(24*$N$3*1000000*$N$5)*1000,"")</f>
        <v/>
      </c>
      <c r="V372" s="120" t="str">
        <f>IF(COUNTA(M372:Q372)=0,"",IF(AND(COUNT(N372:Q372)=4,N372&gt;=0,O372&gt;N372,O372&lt;=$N$4,P372&gt;=0,Q372&gt;0),IF(COUNTIFS($N$13:$N$371,"&lt;"&amp;O372,$O$13:$O$371,"&gt;"&amp;N372)&gt;0,"OVERLAP","OK"),"CHECK INPUTS"))</f>
        <v/>
      </c>
      <c r="AA372" s="120">
        <f>IF(AND(J372="OK",ISNUMBER($B$5),$B$5&gt;0,ISNUMBER($B$3),$B$3&gt;0),F372/(6*$B$3*1000000*$B$5)*(IF(B372&lt;($B$4*0/10),($B$4*0/10)*(MIN(C372,($B$4*0/10))^3-B372^3)-(MIN(C372,($B$4*0/10))^4-B372^4)/4,0)+IF(C372&gt;($B$4*0/10),($B$4*0/10)^2*(1.5*(C372^2-MAX(B372,($B$4*0/10))^2)-($B$4*0/10)*(C372-MAX(B372,($B$4*0/10)))),0))*1000,0)</f>
        <v>0</v>
      </c>
      <c r="AB372" s="120">
        <f>IF(AND(J372="OK",ISNUMBER($B$5),$B$5&gt;0,ISNUMBER($B$3),$B$3&gt;0),F372/(6*$B$3*1000000*$B$5)*(IF(B372&lt;($B$4*1/10),($B$4*1/10)*(MIN(C372,($B$4*1/10))^3-B372^3)-(MIN(C372,($B$4*1/10))^4-B372^4)/4,0)+IF(C372&gt;($B$4*1/10),($B$4*1/10)^2*(1.5*(C372^2-MAX(B372,($B$4*1/10))^2)-($B$4*1/10)*(C372-MAX(B372,($B$4*1/10)))),0))*1000,0)</f>
        <v>0</v>
      </c>
      <c r="AC372" s="120">
        <f>IF(AND(J372="OK",ISNUMBER($B$5),$B$5&gt;0,ISNUMBER($B$3),$B$3&gt;0),F372/(6*$B$3*1000000*$B$5)*(IF(B372&lt;($B$4*2/10),($B$4*2/10)*(MIN(C372,($B$4*2/10))^3-B372^3)-(MIN(C372,($B$4*2/10))^4-B372^4)/4,0)+IF(C372&gt;($B$4*2/10),($B$4*2/10)^2*(1.5*(C372^2-MAX(B372,($B$4*2/10))^2)-($B$4*2/10)*(C372-MAX(B372,($B$4*2/10)))),0))*1000,0)</f>
        <v>0</v>
      </c>
      <c r="AD372" s="120">
        <f>IF(AND(J372="OK",ISNUMBER($B$5),$B$5&gt;0,ISNUMBER($B$3),$B$3&gt;0),F372/(6*$B$3*1000000*$B$5)*(IF(B372&lt;($B$4*3/10),($B$4*3/10)*(MIN(C372,($B$4*3/10))^3-B372^3)-(MIN(C372,($B$4*3/10))^4-B372^4)/4,0)+IF(C372&gt;($B$4*3/10),($B$4*3/10)^2*(1.5*(C372^2-MAX(B372,($B$4*3/10))^2)-($B$4*3/10)*(C372-MAX(B372,($B$4*3/10)))),0))*1000,0)</f>
        <v>0</v>
      </c>
      <c r="AE372" s="120">
        <f>IF(AND(J372="OK",ISNUMBER($B$5),$B$5&gt;0,ISNUMBER($B$3),$B$3&gt;0),F372/(6*$B$3*1000000*$B$5)*(IF(B372&lt;($B$4*4/10),($B$4*4/10)*(MIN(C372,($B$4*4/10))^3-B372^3)-(MIN(C372,($B$4*4/10))^4-B372^4)/4,0)+IF(C372&gt;($B$4*4/10),($B$4*4/10)^2*(1.5*(C372^2-MAX(B372,($B$4*4/10))^2)-($B$4*4/10)*(C372-MAX(B372,($B$4*4/10)))),0))*1000,0)</f>
        <v>0</v>
      </c>
      <c r="AF372" s="120">
        <f>IF(AND(J372="OK",ISNUMBER($B$5),$B$5&gt;0,ISNUMBER($B$3),$B$3&gt;0),F372/(6*$B$3*1000000*$B$5)*(IF(B372&lt;($B$4*5/10),($B$4*5/10)*(MIN(C372,($B$4*5/10))^3-B372^3)-(MIN(C372,($B$4*5/10))^4-B372^4)/4,0)+IF(C372&gt;($B$4*5/10),($B$4*5/10)^2*(1.5*(C372^2-MAX(B372,($B$4*5/10))^2)-($B$4*5/10)*(C372-MAX(B372,($B$4*5/10)))),0))*1000,0)</f>
        <v>0</v>
      </c>
      <c r="AG372" s="120">
        <f>IF(AND(J372="OK",ISNUMBER($B$5),$B$5&gt;0,ISNUMBER($B$3),$B$3&gt;0),F372/(6*$B$3*1000000*$B$5)*(IF(B372&lt;($B$4*6/10),($B$4*6/10)*(MIN(C372,($B$4*6/10))^3-B372^3)-(MIN(C372,($B$4*6/10))^4-B372^4)/4,0)+IF(C372&gt;($B$4*6/10),($B$4*6/10)^2*(1.5*(C372^2-MAX(B372,($B$4*6/10))^2)-($B$4*6/10)*(C372-MAX(B372,($B$4*6/10)))),0))*1000,0)</f>
        <v>0</v>
      </c>
      <c r="AH372" s="120">
        <f>IF(AND(J372="OK",ISNUMBER($B$5),$B$5&gt;0,ISNUMBER($B$3),$B$3&gt;0),F372/(6*$B$3*1000000*$B$5)*(IF(B372&lt;($B$4*7/10),($B$4*7/10)*(MIN(C372,($B$4*7/10))^3-B372^3)-(MIN(C372,($B$4*7/10))^4-B372^4)/4,0)+IF(C372&gt;($B$4*7/10),($B$4*7/10)^2*(1.5*(C372^2-MAX(B372,($B$4*7/10))^2)-($B$4*7/10)*(C372-MAX(B372,($B$4*7/10)))),0))*1000,0)</f>
        <v>0</v>
      </c>
      <c r="AI372" s="120">
        <f>IF(AND(J372="OK",ISNUMBER($B$5),$B$5&gt;0,ISNUMBER($B$3),$B$3&gt;0),F372/(6*$B$3*1000000*$B$5)*(IF(B372&lt;($B$4*8/10),($B$4*8/10)*(MIN(C372,($B$4*8/10))^3-B372^3)-(MIN(C372,($B$4*8/10))^4-B372^4)/4,0)+IF(C372&gt;($B$4*8/10),($B$4*8/10)^2*(1.5*(C372^2-MAX(B372,($B$4*8/10))^2)-($B$4*8/10)*(C372-MAX(B372,($B$4*8/10)))),0))*1000,0)</f>
        <v>0</v>
      </c>
      <c r="AJ372" s="120">
        <f>IF(AND(J372="OK",ISNUMBER($B$5),$B$5&gt;0,ISNUMBER($B$3),$B$3&gt;0),F372/(6*$B$3*1000000*$B$5)*(IF(B372&lt;($B$4*9/10),($B$4*9/10)*(MIN(C372,($B$4*9/10))^3-B372^3)-(MIN(C372,($B$4*9/10))^4-B372^4)/4,0)+IF(C372&gt;($B$4*9/10),($B$4*9/10)^2*(1.5*(C372^2-MAX(B372,($B$4*9/10))^2)-($B$4*9/10)*(C372-MAX(B372,($B$4*9/10)))),0))*1000,0)</f>
        <v>0</v>
      </c>
      <c r="AK372" s="120">
        <f>IF(AND(J372="OK",ISNUMBER($B$5),$B$5&gt;0,ISNUMBER($B$3),$B$3&gt;0),F372/(6*$B$3*1000000*$B$5)*(IF(B372&lt;($B$4*10/10),($B$4*10/10)*(MIN(C372,($B$4*10/10))^3-B372^3)-(MIN(C372,($B$4*10/10))^4-B372^4)/4,0)+IF(C372&gt;($B$4*10/10),($B$4*10/10)^2*(1.5*(C372^2-MAX(B372,($B$4*10/10))^2)-($B$4*10/10)*(C372-MAX(B372,($B$4*10/10)))),0))*1000,0)</f>
        <v>0</v>
      </c>
      <c r="AM372" s="120">
        <f>IF(AND(V372="OK",ISNUMBER($N$5),$N$5&gt;0,ISNUMBER($N$3),$N$3&gt;0),R372/(6*$N$3*1000000*$N$5)*(IF(N372&lt;($N$4*0/10),($N$4*0/10)*(MIN(O372,($N$4*0/10))^3-N372^3)-(MIN(O372,($N$4*0/10))^4-N372^4)/4,0)+IF(O372&gt;($N$4*0/10),($N$4*0/10)^2*(1.5*(O372^2-MAX(N372,($N$4*0/10))^2)-($N$4*0/10)*(O372-MAX(N372,($N$4*0/10)))),0))*1000,0)</f>
        <v>0</v>
      </c>
      <c r="AN372" s="120">
        <f>IF(AND(V372="OK",ISNUMBER($N$5),$N$5&gt;0,ISNUMBER($N$3),$N$3&gt;0),R372/(6*$N$3*1000000*$N$5)*(IF(N372&lt;($N$4*1/10),($N$4*1/10)*(MIN(O372,($N$4*1/10))^3-N372^3)-(MIN(O372,($N$4*1/10))^4-N372^4)/4,0)+IF(O372&gt;($N$4*1/10),($N$4*1/10)^2*(1.5*(O372^2-MAX(N372,($N$4*1/10))^2)-($N$4*1/10)*(O372-MAX(N372,($N$4*1/10)))),0))*1000,0)</f>
        <v>0</v>
      </c>
      <c r="AO372" s="120">
        <f>IF(AND(V372="OK",ISNUMBER($N$5),$N$5&gt;0,ISNUMBER($N$3),$N$3&gt;0),R372/(6*$N$3*1000000*$N$5)*(IF(N372&lt;($N$4*2/10),($N$4*2/10)*(MIN(O372,($N$4*2/10))^3-N372^3)-(MIN(O372,($N$4*2/10))^4-N372^4)/4,0)+IF(O372&gt;($N$4*2/10),($N$4*2/10)^2*(1.5*(O372^2-MAX(N372,($N$4*2/10))^2)-($N$4*2/10)*(O372-MAX(N372,($N$4*2/10)))),0))*1000,0)</f>
        <v>0</v>
      </c>
      <c r="AP372" s="120">
        <f>IF(AND(V372="OK",ISNUMBER($N$5),$N$5&gt;0,ISNUMBER($N$3),$N$3&gt;0),R372/(6*$N$3*1000000*$N$5)*(IF(N372&lt;($N$4*3/10),($N$4*3/10)*(MIN(O372,($N$4*3/10))^3-N372^3)-(MIN(O372,($N$4*3/10))^4-N372^4)/4,0)+IF(O372&gt;($N$4*3/10),($N$4*3/10)^2*(1.5*(O372^2-MAX(N372,($N$4*3/10))^2)-($N$4*3/10)*(O372-MAX(N372,($N$4*3/10)))),0))*1000,0)</f>
        <v>0</v>
      </c>
      <c r="AQ372" s="120">
        <f>IF(AND(V372="OK",ISNUMBER($N$5),$N$5&gt;0,ISNUMBER($N$3),$N$3&gt;0),R372/(6*$N$3*1000000*$N$5)*(IF(N372&lt;($N$4*4/10),($N$4*4/10)*(MIN(O372,($N$4*4/10))^3-N372^3)-(MIN(O372,($N$4*4/10))^4-N372^4)/4,0)+IF(O372&gt;($N$4*4/10),($N$4*4/10)^2*(1.5*(O372^2-MAX(N372,($N$4*4/10))^2)-($N$4*4/10)*(O372-MAX(N372,($N$4*4/10)))),0))*1000,0)</f>
        <v>0</v>
      </c>
      <c r="AR372" s="120">
        <f>IF(AND(V372="OK",ISNUMBER($N$5),$N$5&gt;0,ISNUMBER($N$3),$N$3&gt;0),R372/(6*$N$3*1000000*$N$5)*(IF(N372&lt;($N$4*5/10),($N$4*5/10)*(MIN(O372,($N$4*5/10))^3-N372^3)-(MIN(O372,($N$4*5/10))^4-N372^4)/4,0)+IF(O372&gt;($N$4*5/10),($N$4*5/10)^2*(1.5*(O372^2-MAX(N372,($N$4*5/10))^2)-($N$4*5/10)*(O372-MAX(N372,($N$4*5/10)))),0))*1000,0)</f>
        <v>0</v>
      </c>
      <c r="AS372" s="120">
        <f>IF(AND(V372="OK",ISNUMBER($N$5),$N$5&gt;0,ISNUMBER($N$3),$N$3&gt;0),R372/(6*$N$3*1000000*$N$5)*(IF(N372&lt;($N$4*6/10),($N$4*6/10)*(MIN(O372,($N$4*6/10))^3-N372^3)-(MIN(O372,($N$4*6/10))^4-N372^4)/4,0)+IF(O372&gt;($N$4*6/10),($N$4*6/10)^2*(1.5*(O372^2-MAX(N372,($N$4*6/10))^2)-($N$4*6/10)*(O372-MAX(N372,($N$4*6/10)))),0))*1000,0)</f>
        <v>0</v>
      </c>
      <c r="AT372" s="120">
        <f>IF(AND(V372="OK",ISNUMBER($N$5),$N$5&gt;0,ISNUMBER($N$3),$N$3&gt;0),R372/(6*$N$3*1000000*$N$5)*(IF(N372&lt;($N$4*7/10),($N$4*7/10)*(MIN(O372,($N$4*7/10))^3-N372^3)-(MIN(O372,($N$4*7/10))^4-N372^4)/4,0)+IF(O372&gt;($N$4*7/10),($N$4*7/10)^2*(1.5*(O372^2-MAX(N372,($N$4*7/10))^2)-($N$4*7/10)*(O372-MAX(N372,($N$4*7/10)))),0))*1000,0)</f>
        <v>0</v>
      </c>
      <c r="AU372" s="120">
        <f>IF(AND(V372="OK",ISNUMBER($N$5),$N$5&gt;0,ISNUMBER($N$3),$N$3&gt;0),R372/(6*$N$3*1000000*$N$5)*(IF(N372&lt;($N$4*8/10),($N$4*8/10)*(MIN(O372,($N$4*8/10))^3-N372^3)-(MIN(O372,($N$4*8/10))^4-N372^4)/4,0)+IF(O372&gt;($N$4*8/10),($N$4*8/10)^2*(1.5*(O372^2-MAX(N372,($N$4*8/10))^2)-($N$4*8/10)*(O372-MAX(N372,($N$4*8/10)))),0))*1000,0)</f>
        <v>0</v>
      </c>
      <c r="AV372" s="120">
        <f>IF(AND(V372="OK",ISNUMBER($N$5),$N$5&gt;0,ISNUMBER($N$3),$N$3&gt;0),R372/(6*$N$3*1000000*$N$5)*(IF(N372&lt;($N$4*9/10),($N$4*9/10)*(MIN(O372,($N$4*9/10))^3-N372^3)-(MIN(O372,($N$4*9/10))^4-N372^4)/4,0)+IF(O372&gt;($N$4*9/10),($N$4*9/10)^2*(1.5*(O372^2-MAX(N372,($N$4*9/10))^2)-($N$4*9/10)*(O372-MAX(N372,($N$4*9/10)))),0))*1000,0)</f>
        <v>0</v>
      </c>
      <c r="AW372" s="120">
        <f>IF(AND(V372="OK",ISNUMBER($N$5),$N$5&gt;0,ISNUMBER($N$3),$N$3&gt;0),R372/(6*$N$3*1000000*$N$5)*(IF(N372&lt;($N$4*10/10),($N$4*10/10)*(MIN(O372,($N$4*10/10))^3-N372^3)-(MIN(O372,($N$4*10/10))^4-N372^4)/4,0)+IF(O372&gt;($N$4*10/10),($N$4*10/10)^2*(1.5*(O372^2-MAX(N372,($N$4*10/10))^2)-($N$4*10/10)*(O372-MAX(N372,($N$4*10/10)))),0))*1000,0)</f>
        <v>0</v>
      </c>
    </row>
    <row r="373" spans="1:49">
      <c r="A373" s="124"/>
      <c r="B373" s="125"/>
      <c r="C373" s="125"/>
      <c r="D373" s="125"/>
      <c r="E373" s="125"/>
      <c r="F373" s="126" t="str">
        <f>IF(J373="OK",D373*E373,"")</f>
        <v/>
      </c>
      <c r="G373" s="126" t="str">
        <f>IF(J373="OK",F373*(C373-B373),"")</f>
        <v/>
      </c>
      <c r="H373" s="126" t="str">
        <f>IF(J373="OK",G373*(C373+B373)/2,"")</f>
        <v/>
      </c>
      <c r="I373" s="126" t="str">
        <f>IF(AND(J373="OK",ISNUMBER($B$5),$B$5&gt;0,ISNUMBER($B$3),$B$3&gt;0),F373*(4*$B$4*(C373^3-B373^3)-(C373^4-B373^4))/(24*$B$3*1000000*$B$5)*1000,"")</f>
        <v/>
      </c>
      <c r="J373" s="120" t="str">
        <f>IF(COUNTA(A373:E373)=0,"",IF(AND(COUNT(B373:E373)=4,B373&gt;=0,C373&gt;B373,C373&lt;=$B$4,D373&gt;=0,E373&gt;0),IF(COUNTIFS($B$13:$B$372,"&lt;"&amp;C373,$C$13:$C$372,"&gt;"&amp;B373)&gt;0,"OVERLAP","OK"),"CHECK INPUTS"))</f>
        <v/>
      </c>
      <c r="M373" s="124"/>
      <c r="N373" s="125"/>
      <c r="O373" s="125"/>
      <c r="P373" s="125"/>
      <c r="Q373" s="125"/>
      <c r="R373" s="126" t="str">
        <f>IF(V373="OK",P373*Q373,"")</f>
        <v/>
      </c>
      <c r="S373" s="126" t="str">
        <f>IF(V373="OK",R373*(O373-N373),"")</f>
        <v/>
      </c>
      <c r="T373" s="126" t="str">
        <f>IF(V373="OK",S373*(O373+N373)/2,"")</f>
        <v/>
      </c>
      <c r="U373" s="126" t="str">
        <f>IF(AND(V373="OK",ISNUMBER($N$5),$N$5&gt;0,ISNUMBER($N$3),$N$3&gt;0),R373*(4*$N$4*(O373^3-N373^3)-(O373^4-N373^4))/(24*$N$3*1000000*$N$5)*1000,"")</f>
        <v/>
      </c>
      <c r="V373" s="120" t="str">
        <f>IF(COUNTA(M373:Q373)=0,"",IF(AND(COUNT(N373:Q373)=4,N373&gt;=0,O373&gt;N373,O373&lt;=$N$4,P373&gt;=0,Q373&gt;0),IF(COUNTIFS($N$13:$N$372,"&lt;"&amp;O373,$O$13:$O$372,"&gt;"&amp;N373)&gt;0,"OVERLAP","OK"),"CHECK INPUTS"))</f>
        <v/>
      </c>
      <c r="AA373" s="120">
        <f>IF(AND(J373="OK",ISNUMBER($B$5),$B$5&gt;0,ISNUMBER($B$3),$B$3&gt;0),F373/(6*$B$3*1000000*$B$5)*(IF(B373&lt;($B$4*0/10),($B$4*0/10)*(MIN(C373,($B$4*0/10))^3-B373^3)-(MIN(C373,($B$4*0/10))^4-B373^4)/4,0)+IF(C373&gt;($B$4*0/10),($B$4*0/10)^2*(1.5*(C373^2-MAX(B373,($B$4*0/10))^2)-($B$4*0/10)*(C373-MAX(B373,($B$4*0/10)))),0))*1000,0)</f>
        <v>0</v>
      </c>
      <c r="AB373" s="120">
        <f>IF(AND(J373="OK",ISNUMBER($B$5),$B$5&gt;0,ISNUMBER($B$3),$B$3&gt;0),F373/(6*$B$3*1000000*$B$5)*(IF(B373&lt;($B$4*1/10),($B$4*1/10)*(MIN(C373,($B$4*1/10))^3-B373^3)-(MIN(C373,($B$4*1/10))^4-B373^4)/4,0)+IF(C373&gt;($B$4*1/10),($B$4*1/10)^2*(1.5*(C373^2-MAX(B373,($B$4*1/10))^2)-($B$4*1/10)*(C373-MAX(B373,($B$4*1/10)))),0))*1000,0)</f>
        <v>0</v>
      </c>
      <c r="AC373" s="120">
        <f>IF(AND(J373="OK",ISNUMBER($B$5),$B$5&gt;0,ISNUMBER($B$3),$B$3&gt;0),F373/(6*$B$3*1000000*$B$5)*(IF(B373&lt;($B$4*2/10),($B$4*2/10)*(MIN(C373,($B$4*2/10))^3-B373^3)-(MIN(C373,($B$4*2/10))^4-B373^4)/4,0)+IF(C373&gt;($B$4*2/10),($B$4*2/10)^2*(1.5*(C373^2-MAX(B373,($B$4*2/10))^2)-($B$4*2/10)*(C373-MAX(B373,($B$4*2/10)))),0))*1000,0)</f>
        <v>0</v>
      </c>
      <c r="AD373" s="120">
        <f>IF(AND(J373="OK",ISNUMBER($B$5),$B$5&gt;0,ISNUMBER($B$3),$B$3&gt;0),F373/(6*$B$3*1000000*$B$5)*(IF(B373&lt;($B$4*3/10),($B$4*3/10)*(MIN(C373,($B$4*3/10))^3-B373^3)-(MIN(C373,($B$4*3/10))^4-B373^4)/4,0)+IF(C373&gt;($B$4*3/10),($B$4*3/10)^2*(1.5*(C373^2-MAX(B373,($B$4*3/10))^2)-($B$4*3/10)*(C373-MAX(B373,($B$4*3/10)))),0))*1000,0)</f>
        <v>0</v>
      </c>
      <c r="AE373" s="120">
        <f>IF(AND(J373="OK",ISNUMBER($B$5),$B$5&gt;0,ISNUMBER($B$3),$B$3&gt;0),F373/(6*$B$3*1000000*$B$5)*(IF(B373&lt;($B$4*4/10),($B$4*4/10)*(MIN(C373,($B$4*4/10))^3-B373^3)-(MIN(C373,($B$4*4/10))^4-B373^4)/4,0)+IF(C373&gt;($B$4*4/10),($B$4*4/10)^2*(1.5*(C373^2-MAX(B373,($B$4*4/10))^2)-($B$4*4/10)*(C373-MAX(B373,($B$4*4/10)))),0))*1000,0)</f>
        <v>0</v>
      </c>
      <c r="AF373" s="120">
        <f>IF(AND(J373="OK",ISNUMBER($B$5),$B$5&gt;0,ISNUMBER($B$3),$B$3&gt;0),F373/(6*$B$3*1000000*$B$5)*(IF(B373&lt;($B$4*5/10),($B$4*5/10)*(MIN(C373,($B$4*5/10))^3-B373^3)-(MIN(C373,($B$4*5/10))^4-B373^4)/4,0)+IF(C373&gt;($B$4*5/10),($B$4*5/10)^2*(1.5*(C373^2-MAX(B373,($B$4*5/10))^2)-($B$4*5/10)*(C373-MAX(B373,($B$4*5/10)))),0))*1000,0)</f>
        <v>0</v>
      </c>
      <c r="AG373" s="120">
        <f>IF(AND(J373="OK",ISNUMBER($B$5),$B$5&gt;0,ISNUMBER($B$3),$B$3&gt;0),F373/(6*$B$3*1000000*$B$5)*(IF(B373&lt;($B$4*6/10),($B$4*6/10)*(MIN(C373,($B$4*6/10))^3-B373^3)-(MIN(C373,($B$4*6/10))^4-B373^4)/4,0)+IF(C373&gt;($B$4*6/10),($B$4*6/10)^2*(1.5*(C373^2-MAX(B373,($B$4*6/10))^2)-($B$4*6/10)*(C373-MAX(B373,($B$4*6/10)))),0))*1000,0)</f>
        <v>0</v>
      </c>
      <c r="AH373" s="120">
        <f>IF(AND(J373="OK",ISNUMBER($B$5),$B$5&gt;0,ISNUMBER($B$3),$B$3&gt;0),F373/(6*$B$3*1000000*$B$5)*(IF(B373&lt;($B$4*7/10),($B$4*7/10)*(MIN(C373,($B$4*7/10))^3-B373^3)-(MIN(C373,($B$4*7/10))^4-B373^4)/4,0)+IF(C373&gt;($B$4*7/10),($B$4*7/10)^2*(1.5*(C373^2-MAX(B373,($B$4*7/10))^2)-($B$4*7/10)*(C373-MAX(B373,($B$4*7/10)))),0))*1000,0)</f>
        <v>0</v>
      </c>
      <c r="AI373" s="120">
        <f>IF(AND(J373="OK",ISNUMBER($B$5),$B$5&gt;0,ISNUMBER($B$3),$B$3&gt;0),F373/(6*$B$3*1000000*$B$5)*(IF(B373&lt;($B$4*8/10),($B$4*8/10)*(MIN(C373,($B$4*8/10))^3-B373^3)-(MIN(C373,($B$4*8/10))^4-B373^4)/4,0)+IF(C373&gt;($B$4*8/10),($B$4*8/10)^2*(1.5*(C373^2-MAX(B373,($B$4*8/10))^2)-($B$4*8/10)*(C373-MAX(B373,($B$4*8/10)))),0))*1000,0)</f>
        <v>0</v>
      </c>
      <c r="AJ373" s="120">
        <f>IF(AND(J373="OK",ISNUMBER($B$5),$B$5&gt;0,ISNUMBER($B$3),$B$3&gt;0),F373/(6*$B$3*1000000*$B$5)*(IF(B373&lt;($B$4*9/10),($B$4*9/10)*(MIN(C373,($B$4*9/10))^3-B373^3)-(MIN(C373,($B$4*9/10))^4-B373^4)/4,0)+IF(C373&gt;($B$4*9/10),($B$4*9/10)^2*(1.5*(C373^2-MAX(B373,($B$4*9/10))^2)-($B$4*9/10)*(C373-MAX(B373,($B$4*9/10)))),0))*1000,0)</f>
        <v>0</v>
      </c>
      <c r="AK373" s="120">
        <f>IF(AND(J373="OK",ISNUMBER($B$5),$B$5&gt;0,ISNUMBER($B$3),$B$3&gt;0),F373/(6*$B$3*1000000*$B$5)*(IF(B373&lt;($B$4*10/10),($B$4*10/10)*(MIN(C373,($B$4*10/10))^3-B373^3)-(MIN(C373,($B$4*10/10))^4-B373^4)/4,0)+IF(C373&gt;($B$4*10/10),($B$4*10/10)^2*(1.5*(C373^2-MAX(B373,($B$4*10/10))^2)-($B$4*10/10)*(C373-MAX(B373,($B$4*10/10)))),0))*1000,0)</f>
        <v>0</v>
      </c>
      <c r="AM373" s="120">
        <f>IF(AND(V373="OK",ISNUMBER($N$5),$N$5&gt;0,ISNUMBER($N$3),$N$3&gt;0),R373/(6*$N$3*1000000*$N$5)*(IF(N373&lt;($N$4*0/10),($N$4*0/10)*(MIN(O373,($N$4*0/10))^3-N373^3)-(MIN(O373,($N$4*0/10))^4-N373^4)/4,0)+IF(O373&gt;($N$4*0/10),($N$4*0/10)^2*(1.5*(O373^2-MAX(N373,($N$4*0/10))^2)-($N$4*0/10)*(O373-MAX(N373,($N$4*0/10)))),0))*1000,0)</f>
        <v>0</v>
      </c>
      <c r="AN373" s="120">
        <f>IF(AND(V373="OK",ISNUMBER($N$5),$N$5&gt;0,ISNUMBER($N$3),$N$3&gt;0),R373/(6*$N$3*1000000*$N$5)*(IF(N373&lt;($N$4*1/10),($N$4*1/10)*(MIN(O373,($N$4*1/10))^3-N373^3)-(MIN(O373,($N$4*1/10))^4-N373^4)/4,0)+IF(O373&gt;($N$4*1/10),($N$4*1/10)^2*(1.5*(O373^2-MAX(N373,($N$4*1/10))^2)-($N$4*1/10)*(O373-MAX(N373,($N$4*1/10)))),0))*1000,0)</f>
        <v>0</v>
      </c>
      <c r="AO373" s="120">
        <f>IF(AND(V373="OK",ISNUMBER($N$5),$N$5&gt;0,ISNUMBER($N$3),$N$3&gt;0),R373/(6*$N$3*1000000*$N$5)*(IF(N373&lt;($N$4*2/10),($N$4*2/10)*(MIN(O373,($N$4*2/10))^3-N373^3)-(MIN(O373,($N$4*2/10))^4-N373^4)/4,0)+IF(O373&gt;($N$4*2/10),($N$4*2/10)^2*(1.5*(O373^2-MAX(N373,($N$4*2/10))^2)-($N$4*2/10)*(O373-MAX(N373,($N$4*2/10)))),0))*1000,0)</f>
        <v>0</v>
      </c>
      <c r="AP373" s="120">
        <f>IF(AND(V373="OK",ISNUMBER($N$5),$N$5&gt;0,ISNUMBER($N$3),$N$3&gt;0),R373/(6*$N$3*1000000*$N$5)*(IF(N373&lt;($N$4*3/10),($N$4*3/10)*(MIN(O373,($N$4*3/10))^3-N373^3)-(MIN(O373,($N$4*3/10))^4-N373^4)/4,0)+IF(O373&gt;($N$4*3/10),($N$4*3/10)^2*(1.5*(O373^2-MAX(N373,($N$4*3/10))^2)-($N$4*3/10)*(O373-MAX(N373,($N$4*3/10)))),0))*1000,0)</f>
        <v>0</v>
      </c>
      <c r="AQ373" s="120">
        <f>IF(AND(V373="OK",ISNUMBER($N$5),$N$5&gt;0,ISNUMBER($N$3),$N$3&gt;0),R373/(6*$N$3*1000000*$N$5)*(IF(N373&lt;($N$4*4/10),($N$4*4/10)*(MIN(O373,($N$4*4/10))^3-N373^3)-(MIN(O373,($N$4*4/10))^4-N373^4)/4,0)+IF(O373&gt;($N$4*4/10),($N$4*4/10)^2*(1.5*(O373^2-MAX(N373,($N$4*4/10))^2)-($N$4*4/10)*(O373-MAX(N373,($N$4*4/10)))),0))*1000,0)</f>
        <v>0</v>
      </c>
      <c r="AR373" s="120">
        <f>IF(AND(V373="OK",ISNUMBER($N$5),$N$5&gt;0,ISNUMBER($N$3),$N$3&gt;0),R373/(6*$N$3*1000000*$N$5)*(IF(N373&lt;($N$4*5/10),($N$4*5/10)*(MIN(O373,($N$4*5/10))^3-N373^3)-(MIN(O373,($N$4*5/10))^4-N373^4)/4,0)+IF(O373&gt;($N$4*5/10),($N$4*5/10)^2*(1.5*(O373^2-MAX(N373,($N$4*5/10))^2)-($N$4*5/10)*(O373-MAX(N373,($N$4*5/10)))),0))*1000,0)</f>
        <v>0</v>
      </c>
      <c r="AS373" s="120">
        <f>IF(AND(V373="OK",ISNUMBER($N$5),$N$5&gt;0,ISNUMBER($N$3),$N$3&gt;0),R373/(6*$N$3*1000000*$N$5)*(IF(N373&lt;($N$4*6/10),($N$4*6/10)*(MIN(O373,($N$4*6/10))^3-N373^3)-(MIN(O373,($N$4*6/10))^4-N373^4)/4,0)+IF(O373&gt;($N$4*6/10),($N$4*6/10)^2*(1.5*(O373^2-MAX(N373,($N$4*6/10))^2)-($N$4*6/10)*(O373-MAX(N373,($N$4*6/10)))),0))*1000,0)</f>
        <v>0</v>
      </c>
      <c r="AT373" s="120">
        <f>IF(AND(V373="OK",ISNUMBER($N$5),$N$5&gt;0,ISNUMBER($N$3),$N$3&gt;0),R373/(6*$N$3*1000000*$N$5)*(IF(N373&lt;($N$4*7/10),($N$4*7/10)*(MIN(O373,($N$4*7/10))^3-N373^3)-(MIN(O373,($N$4*7/10))^4-N373^4)/4,0)+IF(O373&gt;($N$4*7/10),($N$4*7/10)^2*(1.5*(O373^2-MAX(N373,($N$4*7/10))^2)-($N$4*7/10)*(O373-MAX(N373,($N$4*7/10)))),0))*1000,0)</f>
        <v>0</v>
      </c>
      <c r="AU373" s="120">
        <f>IF(AND(V373="OK",ISNUMBER($N$5),$N$5&gt;0,ISNUMBER($N$3),$N$3&gt;0),R373/(6*$N$3*1000000*$N$5)*(IF(N373&lt;($N$4*8/10),($N$4*8/10)*(MIN(O373,($N$4*8/10))^3-N373^3)-(MIN(O373,($N$4*8/10))^4-N373^4)/4,0)+IF(O373&gt;($N$4*8/10),($N$4*8/10)^2*(1.5*(O373^2-MAX(N373,($N$4*8/10))^2)-($N$4*8/10)*(O373-MAX(N373,($N$4*8/10)))),0))*1000,0)</f>
        <v>0</v>
      </c>
      <c r="AV373" s="120">
        <f>IF(AND(V373="OK",ISNUMBER($N$5),$N$5&gt;0,ISNUMBER($N$3),$N$3&gt;0),R373/(6*$N$3*1000000*$N$5)*(IF(N373&lt;($N$4*9/10),($N$4*9/10)*(MIN(O373,($N$4*9/10))^3-N373^3)-(MIN(O373,($N$4*9/10))^4-N373^4)/4,0)+IF(O373&gt;($N$4*9/10),($N$4*9/10)^2*(1.5*(O373^2-MAX(N373,($N$4*9/10))^2)-($N$4*9/10)*(O373-MAX(N373,($N$4*9/10)))),0))*1000,0)</f>
        <v>0</v>
      </c>
      <c r="AW373" s="120">
        <f>IF(AND(V373="OK",ISNUMBER($N$5),$N$5&gt;0,ISNUMBER($N$3),$N$3&gt;0),R373/(6*$N$3*1000000*$N$5)*(IF(N373&lt;($N$4*10/10),($N$4*10/10)*(MIN(O373,($N$4*10/10))^3-N373^3)-(MIN(O373,($N$4*10/10))^4-N373^4)/4,0)+IF(O373&gt;($N$4*10/10),($N$4*10/10)^2*(1.5*(O373^2-MAX(N373,($N$4*10/10))^2)-($N$4*10/10)*(O373-MAX(N373,($N$4*10/10)))),0))*1000,0)</f>
        <v>0</v>
      </c>
    </row>
    <row r="374" spans="1:49">
      <c r="A374" s="124"/>
      <c r="B374" s="125"/>
      <c r="C374" s="125"/>
      <c r="D374" s="125"/>
      <c r="E374" s="125"/>
      <c r="F374" s="126" t="str">
        <f>IF(J374="OK",D374*E374,"")</f>
        <v/>
      </c>
      <c r="G374" s="126" t="str">
        <f>IF(J374="OK",F374*(C374-B374),"")</f>
        <v/>
      </c>
      <c r="H374" s="126" t="str">
        <f>IF(J374="OK",G374*(C374+B374)/2,"")</f>
        <v/>
      </c>
      <c r="I374" s="126" t="str">
        <f>IF(AND(J374="OK",ISNUMBER($B$5),$B$5&gt;0,ISNUMBER($B$3),$B$3&gt;0),F374*(4*$B$4*(C374^3-B374^3)-(C374^4-B374^4))/(24*$B$3*1000000*$B$5)*1000,"")</f>
        <v/>
      </c>
      <c r="J374" s="120" t="str">
        <f>IF(COUNTA(A374:E374)=0,"",IF(AND(COUNT(B374:E374)=4,B374&gt;=0,C374&gt;B374,C374&lt;=$B$4,D374&gt;=0,E374&gt;0),IF(COUNTIFS($B$13:$B$373,"&lt;"&amp;C374,$C$13:$C$373,"&gt;"&amp;B374)&gt;0,"OVERLAP","OK"),"CHECK INPUTS"))</f>
        <v/>
      </c>
      <c r="M374" s="124"/>
      <c r="N374" s="125"/>
      <c r="O374" s="125"/>
      <c r="P374" s="125"/>
      <c r="Q374" s="125"/>
      <c r="R374" s="126" t="str">
        <f>IF(V374="OK",P374*Q374,"")</f>
        <v/>
      </c>
      <c r="S374" s="126" t="str">
        <f>IF(V374="OK",R374*(O374-N374),"")</f>
        <v/>
      </c>
      <c r="T374" s="126" t="str">
        <f>IF(V374="OK",S374*(O374+N374)/2,"")</f>
        <v/>
      </c>
      <c r="U374" s="126" t="str">
        <f>IF(AND(V374="OK",ISNUMBER($N$5),$N$5&gt;0,ISNUMBER($N$3),$N$3&gt;0),R374*(4*$N$4*(O374^3-N374^3)-(O374^4-N374^4))/(24*$N$3*1000000*$N$5)*1000,"")</f>
        <v/>
      </c>
      <c r="V374" s="120" t="str">
        <f>IF(COUNTA(M374:Q374)=0,"",IF(AND(COUNT(N374:Q374)=4,N374&gt;=0,O374&gt;N374,O374&lt;=$N$4,P374&gt;=0,Q374&gt;0),IF(COUNTIFS($N$13:$N$373,"&lt;"&amp;O374,$O$13:$O$373,"&gt;"&amp;N374)&gt;0,"OVERLAP","OK"),"CHECK INPUTS"))</f>
        <v/>
      </c>
      <c r="AA374" s="120">
        <f>IF(AND(J374="OK",ISNUMBER($B$5),$B$5&gt;0,ISNUMBER($B$3),$B$3&gt;0),F374/(6*$B$3*1000000*$B$5)*(IF(B374&lt;($B$4*0/10),($B$4*0/10)*(MIN(C374,($B$4*0/10))^3-B374^3)-(MIN(C374,($B$4*0/10))^4-B374^4)/4,0)+IF(C374&gt;($B$4*0/10),($B$4*0/10)^2*(1.5*(C374^2-MAX(B374,($B$4*0/10))^2)-($B$4*0/10)*(C374-MAX(B374,($B$4*0/10)))),0))*1000,0)</f>
        <v>0</v>
      </c>
      <c r="AB374" s="120">
        <f>IF(AND(J374="OK",ISNUMBER($B$5),$B$5&gt;0,ISNUMBER($B$3),$B$3&gt;0),F374/(6*$B$3*1000000*$B$5)*(IF(B374&lt;($B$4*1/10),($B$4*1/10)*(MIN(C374,($B$4*1/10))^3-B374^3)-(MIN(C374,($B$4*1/10))^4-B374^4)/4,0)+IF(C374&gt;($B$4*1/10),($B$4*1/10)^2*(1.5*(C374^2-MAX(B374,($B$4*1/10))^2)-($B$4*1/10)*(C374-MAX(B374,($B$4*1/10)))),0))*1000,0)</f>
        <v>0</v>
      </c>
      <c r="AC374" s="120">
        <f>IF(AND(J374="OK",ISNUMBER($B$5),$B$5&gt;0,ISNUMBER($B$3),$B$3&gt;0),F374/(6*$B$3*1000000*$B$5)*(IF(B374&lt;($B$4*2/10),($B$4*2/10)*(MIN(C374,($B$4*2/10))^3-B374^3)-(MIN(C374,($B$4*2/10))^4-B374^4)/4,0)+IF(C374&gt;($B$4*2/10),($B$4*2/10)^2*(1.5*(C374^2-MAX(B374,($B$4*2/10))^2)-($B$4*2/10)*(C374-MAX(B374,($B$4*2/10)))),0))*1000,0)</f>
        <v>0</v>
      </c>
      <c r="AD374" s="120">
        <f>IF(AND(J374="OK",ISNUMBER($B$5),$B$5&gt;0,ISNUMBER($B$3),$B$3&gt;0),F374/(6*$B$3*1000000*$B$5)*(IF(B374&lt;($B$4*3/10),($B$4*3/10)*(MIN(C374,($B$4*3/10))^3-B374^3)-(MIN(C374,($B$4*3/10))^4-B374^4)/4,0)+IF(C374&gt;($B$4*3/10),($B$4*3/10)^2*(1.5*(C374^2-MAX(B374,($B$4*3/10))^2)-($B$4*3/10)*(C374-MAX(B374,($B$4*3/10)))),0))*1000,0)</f>
        <v>0</v>
      </c>
      <c r="AE374" s="120">
        <f>IF(AND(J374="OK",ISNUMBER($B$5),$B$5&gt;0,ISNUMBER($B$3),$B$3&gt;0),F374/(6*$B$3*1000000*$B$5)*(IF(B374&lt;($B$4*4/10),($B$4*4/10)*(MIN(C374,($B$4*4/10))^3-B374^3)-(MIN(C374,($B$4*4/10))^4-B374^4)/4,0)+IF(C374&gt;($B$4*4/10),($B$4*4/10)^2*(1.5*(C374^2-MAX(B374,($B$4*4/10))^2)-($B$4*4/10)*(C374-MAX(B374,($B$4*4/10)))),0))*1000,0)</f>
        <v>0</v>
      </c>
      <c r="AF374" s="120">
        <f>IF(AND(J374="OK",ISNUMBER($B$5),$B$5&gt;0,ISNUMBER($B$3),$B$3&gt;0),F374/(6*$B$3*1000000*$B$5)*(IF(B374&lt;($B$4*5/10),($B$4*5/10)*(MIN(C374,($B$4*5/10))^3-B374^3)-(MIN(C374,($B$4*5/10))^4-B374^4)/4,0)+IF(C374&gt;($B$4*5/10),($B$4*5/10)^2*(1.5*(C374^2-MAX(B374,($B$4*5/10))^2)-($B$4*5/10)*(C374-MAX(B374,($B$4*5/10)))),0))*1000,0)</f>
        <v>0</v>
      </c>
      <c r="AG374" s="120">
        <f>IF(AND(J374="OK",ISNUMBER($B$5),$B$5&gt;0,ISNUMBER($B$3),$B$3&gt;0),F374/(6*$B$3*1000000*$B$5)*(IF(B374&lt;($B$4*6/10),($B$4*6/10)*(MIN(C374,($B$4*6/10))^3-B374^3)-(MIN(C374,($B$4*6/10))^4-B374^4)/4,0)+IF(C374&gt;($B$4*6/10),($B$4*6/10)^2*(1.5*(C374^2-MAX(B374,($B$4*6/10))^2)-($B$4*6/10)*(C374-MAX(B374,($B$4*6/10)))),0))*1000,0)</f>
        <v>0</v>
      </c>
      <c r="AH374" s="120">
        <f>IF(AND(J374="OK",ISNUMBER($B$5),$B$5&gt;0,ISNUMBER($B$3),$B$3&gt;0),F374/(6*$B$3*1000000*$B$5)*(IF(B374&lt;($B$4*7/10),($B$4*7/10)*(MIN(C374,($B$4*7/10))^3-B374^3)-(MIN(C374,($B$4*7/10))^4-B374^4)/4,0)+IF(C374&gt;($B$4*7/10),($B$4*7/10)^2*(1.5*(C374^2-MAX(B374,($B$4*7/10))^2)-($B$4*7/10)*(C374-MAX(B374,($B$4*7/10)))),0))*1000,0)</f>
        <v>0</v>
      </c>
      <c r="AI374" s="120">
        <f>IF(AND(J374="OK",ISNUMBER($B$5),$B$5&gt;0,ISNUMBER($B$3),$B$3&gt;0),F374/(6*$B$3*1000000*$B$5)*(IF(B374&lt;($B$4*8/10),($B$4*8/10)*(MIN(C374,($B$4*8/10))^3-B374^3)-(MIN(C374,($B$4*8/10))^4-B374^4)/4,0)+IF(C374&gt;($B$4*8/10),($B$4*8/10)^2*(1.5*(C374^2-MAX(B374,($B$4*8/10))^2)-($B$4*8/10)*(C374-MAX(B374,($B$4*8/10)))),0))*1000,0)</f>
        <v>0</v>
      </c>
      <c r="AJ374" s="120">
        <f>IF(AND(J374="OK",ISNUMBER($B$5),$B$5&gt;0,ISNUMBER($B$3),$B$3&gt;0),F374/(6*$B$3*1000000*$B$5)*(IF(B374&lt;($B$4*9/10),($B$4*9/10)*(MIN(C374,($B$4*9/10))^3-B374^3)-(MIN(C374,($B$4*9/10))^4-B374^4)/4,0)+IF(C374&gt;($B$4*9/10),($B$4*9/10)^2*(1.5*(C374^2-MAX(B374,($B$4*9/10))^2)-($B$4*9/10)*(C374-MAX(B374,($B$4*9/10)))),0))*1000,0)</f>
        <v>0</v>
      </c>
      <c r="AK374" s="120">
        <f>IF(AND(J374="OK",ISNUMBER($B$5),$B$5&gt;0,ISNUMBER($B$3),$B$3&gt;0),F374/(6*$B$3*1000000*$B$5)*(IF(B374&lt;($B$4*10/10),($B$4*10/10)*(MIN(C374,($B$4*10/10))^3-B374^3)-(MIN(C374,($B$4*10/10))^4-B374^4)/4,0)+IF(C374&gt;($B$4*10/10),($B$4*10/10)^2*(1.5*(C374^2-MAX(B374,($B$4*10/10))^2)-($B$4*10/10)*(C374-MAX(B374,($B$4*10/10)))),0))*1000,0)</f>
        <v>0</v>
      </c>
      <c r="AM374" s="120">
        <f>IF(AND(V374="OK",ISNUMBER($N$5),$N$5&gt;0,ISNUMBER($N$3),$N$3&gt;0),R374/(6*$N$3*1000000*$N$5)*(IF(N374&lt;($N$4*0/10),($N$4*0/10)*(MIN(O374,($N$4*0/10))^3-N374^3)-(MIN(O374,($N$4*0/10))^4-N374^4)/4,0)+IF(O374&gt;($N$4*0/10),($N$4*0/10)^2*(1.5*(O374^2-MAX(N374,($N$4*0/10))^2)-($N$4*0/10)*(O374-MAX(N374,($N$4*0/10)))),0))*1000,0)</f>
        <v>0</v>
      </c>
      <c r="AN374" s="120">
        <f>IF(AND(V374="OK",ISNUMBER($N$5),$N$5&gt;0,ISNUMBER($N$3),$N$3&gt;0),R374/(6*$N$3*1000000*$N$5)*(IF(N374&lt;($N$4*1/10),($N$4*1/10)*(MIN(O374,($N$4*1/10))^3-N374^3)-(MIN(O374,($N$4*1/10))^4-N374^4)/4,0)+IF(O374&gt;($N$4*1/10),($N$4*1/10)^2*(1.5*(O374^2-MAX(N374,($N$4*1/10))^2)-($N$4*1/10)*(O374-MAX(N374,($N$4*1/10)))),0))*1000,0)</f>
        <v>0</v>
      </c>
      <c r="AO374" s="120">
        <f>IF(AND(V374="OK",ISNUMBER($N$5),$N$5&gt;0,ISNUMBER($N$3),$N$3&gt;0),R374/(6*$N$3*1000000*$N$5)*(IF(N374&lt;($N$4*2/10),($N$4*2/10)*(MIN(O374,($N$4*2/10))^3-N374^3)-(MIN(O374,($N$4*2/10))^4-N374^4)/4,0)+IF(O374&gt;($N$4*2/10),($N$4*2/10)^2*(1.5*(O374^2-MAX(N374,($N$4*2/10))^2)-($N$4*2/10)*(O374-MAX(N374,($N$4*2/10)))),0))*1000,0)</f>
        <v>0</v>
      </c>
      <c r="AP374" s="120">
        <f>IF(AND(V374="OK",ISNUMBER($N$5),$N$5&gt;0,ISNUMBER($N$3),$N$3&gt;0),R374/(6*$N$3*1000000*$N$5)*(IF(N374&lt;($N$4*3/10),($N$4*3/10)*(MIN(O374,($N$4*3/10))^3-N374^3)-(MIN(O374,($N$4*3/10))^4-N374^4)/4,0)+IF(O374&gt;($N$4*3/10),($N$4*3/10)^2*(1.5*(O374^2-MAX(N374,($N$4*3/10))^2)-($N$4*3/10)*(O374-MAX(N374,($N$4*3/10)))),0))*1000,0)</f>
        <v>0</v>
      </c>
      <c r="AQ374" s="120">
        <f>IF(AND(V374="OK",ISNUMBER($N$5),$N$5&gt;0,ISNUMBER($N$3),$N$3&gt;0),R374/(6*$N$3*1000000*$N$5)*(IF(N374&lt;($N$4*4/10),($N$4*4/10)*(MIN(O374,($N$4*4/10))^3-N374^3)-(MIN(O374,($N$4*4/10))^4-N374^4)/4,0)+IF(O374&gt;($N$4*4/10),($N$4*4/10)^2*(1.5*(O374^2-MAX(N374,($N$4*4/10))^2)-($N$4*4/10)*(O374-MAX(N374,($N$4*4/10)))),0))*1000,0)</f>
        <v>0</v>
      </c>
      <c r="AR374" s="120">
        <f>IF(AND(V374="OK",ISNUMBER($N$5),$N$5&gt;0,ISNUMBER($N$3),$N$3&gt;0),R374/(6*$N$3*1000000*$N$5)*(IF(N374&lt;($N$4*5/10),($N$4*5/10)*(MIN(O374,($N$4*5/10))^3-N374^3)-(MIN(O374,($N$4*5/10))^4-N374^4)/4,0)+IF(O374&gt;($N$4*5/10),($N$4*5/10)^2*(1.5*(O374^2-MAX(N374,($N$4*5/10))^2)-($N$4*5/10)*(O374-MAX(N374,($N$4*5/10)))),0))*1000,0)</f>
        <v>0</v>
      </c>
      <c r="AS374" s="120">
        <f>IF(AND(V374="OK",ISNUMBER($N$5),$N$5&gt;0,ISNUMBER($N$3),$N$3&gt;0),R374/(6*$N$3*1000000*$N$5)*(IF(N374&lt;($N$4*6/10),($N$4*6/10)*(MIN(O374,($N$4*6/10))^3-N374^3)-(MIN(O374,($N$4*6/10))^4-N374^4)/4,0)+IF(O374&gt;($N$4*6/10),($N$4*6/10)^2*(1.5*(O374^2-MAX(N374,($N$4*6/10))^2)-($N$4*6/10)*(O374-MAX(N374,($N$4*6/10)))),0))*1000,0)</f>
        <v>0</v>
      </c>
      <c r="AT374" s="120">
        <f>IF(AND(V374="OK",ISNUMBER($N$5),$N$5&gt;0,ISNUMBER($N$3),$N$3&gt;0),R374/(6*$N$3*1000000*$N$5)*(IF(N374&lt;($N$4*7/10),($N$4*7/10)*(MIN(O374,($N$4*7/10))^3-N374^3)-(MIN(O374,($N$4*7/10))^4-N374^4)/4,0)+IF(O374&gt;($N$4*7/10),($N$4*7/10)^2*(1.5*(O374^2-MAX(N374,($N$4*7/10))^2)-($N$4*7/10)*(O374-MAX(N374,($N$4*7/10)))),0))*1000,0)</f>
        <v>0</v>
      </c>
      <c r="AU374" s="120">
        <f>IF(AND(V374="OK",ISNUMBER($N$5),$N$5&gt;0,ISNUMBER($N$3),$N$3&gt;0),R374/(6*$N$3*1000000*$N$5)*(IF(N374&lt;($N$4*8/10),($N$4*8/10)*(MIN(O374,($N$4*8/10))^3-N374^3)-(MIN(O374,($N$4*8/10))^4-N374^4)/4,0)+IF(O374&gt;($N$4*8/10),($N$4*8/10)^2*(1.5*(O374^2-MAX(N374,($N$4*8/10))^2)-($N$4*8/10)*(O374-MAX(N374,($N$4*8/10)))),0))*1000,0)</f>
        <v>0</v>
      </c>
      <c r="AV374" s="120">
        <f>IF(AND(V374="OK",ISNUMBER($N$5),$N$5&gt;0,ISNUMBER($N$3),$N$3&gt;0),R374/(6*$N$3*1000000*$N$5)*(IF(N374&lt;($N$4*9/10),($N$4*9/10)*(MIN(O374,($N$4*9/10))^3-N374^3)-(MIN(O374,($N$4*9/10))^4-N374^4)/4,0)+IF(O374&gt;($N$4*9/10),($N$4*9/10)^2*(1.5*(O374^2-MAX(N374,($N$4*9/10))^2)-($N$4*9/10)*(O374-MAX(N374,($N$4*9/10)))),0))*1000,0)</f>
        <v>0</v>
      </c>
      <c r="AW374" s="120">
        <f>IF(AND(V374="OK",ISNUMBER($N$5),$N$5&gt;0,ISNUMBER($N$3),$N$3&gt;0),R374/(6*$N$3*1000000*$N$5)*(IF(N374&lt;($N$4*10/10),($N$4*10/10)*(MIN(O374,($N$4*10/10))^3-N374^3)-(MIN(O374,($N$4*10/10))^4-N374^4)/4,0)+IF(O374&gt;($N$4*10/10),($N$4*10/10)^2*(1.5*(O374^2-MAX(N374,($N$4*10/10))^2)-($N$4*10/10)*(O374-MAX(N374,($N$4*10/10)))),0))*1000,0)</f>
        <v>0</v>
      </c>
    </row>
    <row r="375" spans="1:49">
      <c r="A375" s="124"/>
      <c r="B375" s="125"/>
      <c r="C375" s="125"/>
      <c r="D375" s="125"/>
      <c r="E375" s="125"/>
      <c r="F375" s="126" t="str">
        <f>IF(J375="OK",D375*E375,"")</f>
        <v/>
      </c>
      <c r="G375" s="126" t="str">
        <f>IF(J375="OK",F375*(C375-B375),"")</f>
        <v/>
      </c>
      <c r="H375" s="126" t="str">
        <f>IF(J375="OK",G375*(C375+B375)/2,"")</f>
        <v/>
      </c>
      <c r="I375" s="126" t="str">
        <f>IF(AND(J375="OK",ISNUMBER($B$5),$B$5&gt;0,ISNUMBER($B$3),$B$3&gt;0),F375*(4*$B$4*(C375^3-B375^3)-(C375^4-B375^4))/(24*$B$3*1000000*$B$5)*1000,"")</f>
        <v/>
      </c>
      <c r="J375" s="120" t="str">
        <f>IF(COUNTA(A375:E375)=0,"",IF(AND(COUNT(B375:E375)=4,B375&gt;=0,C375&gt;B375,C375&lt;=$B$4,D375&gt;=0,E375&gt;0),IF(COUNTIFS($B$13:$B$374,"&lt;"&amp;C375,$C$13:$C$374,"&gt;"&amp;B375)&gt;0,"OVERLAP","OK"),"CHECK INPUTS"))</f>
        <v/>
      </c>
      <c r="M375" s="124"/>
      <c r="N375" s="125"/>
      <c r="O375" s="125"/>
      <c r="P375" s="125"/>
      <c r="Q375" s="125"/>
      <c r="R375" s="126" t="str">
        <f>IF(V375="OK",P375*Q375,"")</f>
        <v/>
      </c>
      <c r="S375" s="126" t="str">
        <f>IF(V375="OK",R375*(O375-N375),"")</f>
        <v/>
      </c>
      <c r="T375" s="126" t="str">
        <f>IF(V375="OK",S375*(O375+N375)/2,"")</f>
        <v/>
      </c>
      <c r="U375" s="126" t="str">
        <f>IF(AND(V375="OK",ISNUMBER($N$5),$N$5&gt;0,ISNUMBER($N$3),$N$3&gt;0),R375*(4*$N$4*(O375^3-N375^3)-(O375^4-N375^4))/(24*$N$3*1000000*$N$5)*1000,"")</f>
        <v/>
      </c>
      <c r="V375" s="120" t="str">
        <f>IF(COUNTA(M375:Q375)=0,"",IF(AND(COUNT(N375:Q375)=4,N375&gt;=0,O375&gt;N375,O375&lt;=$N$4,P375&gt;=0,Q375&gt;0),IF(COUNTIFS($N$13:$N$374,"&lt;"&amp;O375,$O$13:$O$374,"&gt;"&amp;N375)&gt;0,"OVERLAP","OK"),"CHECK INPUTS"))</f>
        <v/>
      </c>
      <c r="AA375" s="120">
        <f>IF(AND(J375="OK",ISNUMBER($B$5),$B$5&gt;0,ISNUMBER($B$3),$B$3&gt;0),F375/(6*$B$3*1000000*$B$5)*(IF(B375&lt;($B$4*0/10),($B$4*0/10)*(MIN(C375,($B$4*0/10))^3-B375^3)-(MIN(C375,($B$4*0/10))^4-B375^4)/4,0)+IF(C375&gt;($B$4*0/10),($B$4*0/10)^2*(1.5*(C375^2-MAX(B375,($B$4*0/10))^2)-($B$4*0/10)*(C375-MAX(B375,($B$4*0/10)))),0))*1000,0)</f>
        <v>0</v>
      </c>
      <c r="AB375" s="120">
        <f>IF(AND(J375="OK",ISNUMBER($B$5),$B$5&gt;0,ISNUMBER($B$3),$B$3&gt;0),F375/(6*$B$3*1000000*$B$5)*(IF(B375&lt;($B$4*1/10),($B$4*1/10)*(MIN(C375,($B$4*1/10))^3-B375^3)-(MIN(C375,($B$4*1/10))^4-B375^4)/4,0)+IF(C375&gt;($B$4*1/10),($B$4*1/10)^2*(1.5*(C375^2-MAX(B375,($B$4*1/10))^2)-($B$4*1/10)*(C375-MAX(B375,($B$4*1/10)))),0))*1000,0)</f>
        <v>0</v>
      </c>
      <c r="AC375" s="120">
        <f>IF(AND(J375="OK",ISNUMBER($B$5),$B$5&gt;0,ISNUMBER($B$3),$B$3&gt;0),F375/(6*$B$3*1000000*$B$5)*(IF(B375&lt;($B$4*2/10),($B$4*2/10)*(MIN(C375,($B$4*2/10))^3-B375^3)-(MIN(C375,($B$4*2/10))^4-B375^4)/4,0)+IF(C375&gt;($B$4*2/10),($B$4*2/10)^2*(1.5*(C375^2-MAX(B375,($B$4*2/10))^2)-($B$4*2/10)*(C375-MAX(B375,($B$4*2/10)))),0))*1000,0)</f>
        <v>0</v>
      </c>
      <c r="AD375" s="120">
        <f>IF(AND(J375="OK",ISNUMBER($B$5),$B$5&gt;0,ISNUMBER($B$3),$B$3&gt;0),F375/(6*$B$3*1000000*$B$5)*(IF(B375&lt;($B$4*3/10),($B$4*3/10)*(MIN(C375,($B$4*3/10))^3-B375^3)-(MIN(C375,($B$4*3/10))^4-B375^4)/4,0)+IF(C375&gt;($B$4*3/10),($B$4*3/10)^2*(1.5*(C375^2-MAX(B375,($B$4*3/10))^2)-($B$4*3/10)*(C375-MAX(B375,($B$4*3/10)))),0))*1000,0)</f>
        <v>0</v>
      </c>
      <c r="AE375" s="120">
        <f>IF(AND(J375="OK",ISNUMBER($B$5),$B$5&gt;0,ISNUMBER($B$3),$B$3&gt;0),F375/(6*$B$3*1000000*$B$5)*(IF(B375&lt;($B$4*4/10),($B$4*4/10)*(MIN(C375,($B$4*4/10))^3-B375^3)-(MIN(C375,($B$4*4/10))^4-B375^4)/4,0)+IF(C375&gt;($B$4*4/10),($B$4*4/10)^2*(1.5*(C375^2-MAX(B375,($B$4*4/10))^2)-($B$4*4/10)*(C375-MAX(B375,($B$4*4/10)))),0))*1000,0)</f>
        <v>0</v>
      </c>
      <c r="AF375" s="120">
        <f>IF(AND(J375="OK",ISNUMBER($B$5),$B$5&gt;0,ISNUMBER($B$3),$B$3&gt;0),F375/(6*$B$3*1000000*$B$5)*(IF(B375&lt;($B$4*5/10),($B$4*5/10)*(MIN(C375,($B$4*5/10))^3-B375^3)-(MIN(C375,($B$4*5/10))^4-B375^4)/4,0)+IF(C375&gt;($B$4*5/10),($B$4*5/10)^2*(1.5*(C375^2-MAX(B375,($B$4*5/10))^2)-($B$4*5/10)*(C375-MAX(B375,($B$4*5/10)))),0))*1000,0)</f>
        <v>0</v>
      </c>
      <c r="AG375" s="120">
        <f>IF(AND(J375="OK",ISNUMBER($B$5),$B$5&gt;0,ISNUMBER($B$3),$B$3&gt;0),F375/(6*$B$3*1000000*$B$5)*(IF(B375&lt;($B$4*6/10),($B$4*6/10)*(MIN(C375,($B$4*6/10))^3-B375^3)-(MIN(C375,($B$4*6/10))^4-B375^4)/4,0)+IF(C375&gt;($B$4*6/10),($B$4*6/10)^2*(1.5*(C375^2-MAX(B375,($B$4*6/10))^2)-($B$4*6/10)*(C375-MAX(B375,($B$4*6/10)))),0))*1000,0)</f>
        <v>0</v>
      </c>
      <c r="AH375" s="120">
        <f>IF(AND(J375="OK",ISNUMBER($B$5),$B$5&gt;0,ISNUMBER($B$3),$B$3&gt;0),F375/(6*$B$3*1000000*$B$5)*(IF(B375&lt;($B$4*7/10),($B$4*7/10)*(MIN(C375,($B$4*7/10))^3-B375^3)-(MIN(C375,($B$4*7/10))^4-B375^4)/4,0)+IF(C375&gt;($B$4*7/10),($B$4*7/10)^2*(1.5*(C375^2-MAX(B375,($B$4*7/10))^2)-($B$4*7/10)*(C375-MAX(B375,($B$4*7/10)))),0))*1000,0)</f>
        <v>0</v>
      </c>
      <c r="AI375" s="120">
        <f>IF(AND(J375="OK",ISNUMBER($B$5),$B$5&gt;0,ISNUMBER($B$3),$B$3&gt;0),F375/(6*$B$3*1000000*$B$5)*(IF(B375&lt;($B$4*8/10),($B$4*8/10)*(MIN(C375,($B$4*8/10))^3-B375^3)-(MIN(C375,($B$4*8/10))^4-B375^4)/4,0)+IF(C375&gt;($B$4*8/10),($B$4*8/10)^2*(1.5*(C375^2-MAX(B375,($B$4*8/10))^2)-($B$4*8/10)*(C375-MAX(B375,($B$4*8/10)))),0))*1000,0)</f>
        <v>0</v>
      </c>
      <c r="AJ375" s="120">
        <f>IF(AND(J375="OK",ISNUMBER($B$5),$B$5&gt;0,ISNUMBER($B$3),$B$3&gt;0),F375/(6*$B$3*1000000*$B$5)*(IF(B375&lt;($B$4*9/10),($B$4*9/10)*(MIN(C375,($B$4*9/10))^3-B375^3)-(MIN(C375,($B$4*9/10))^4-B375^4)/4,0)+IF(C375&gt;($B$4*9/10),($B$4*9/10)^2*(1.5*(C375^2-MAX(B375,($B$4*9/10))^2)-($B$4*9/10)*(C375-MAX(B375,($B$4*9/10)))),0))*1000,0)</f>
        <v>0</v>
      </c>
      <c r="AK375" s="120">
        <f>IF(AND(J375="OK",ISNUMBER($B$5),$B$5&gt;0,ISNUMBER($B$3),$B$3&gt;0),F375/(6*$B$3*1000000*$B$5)*(IF(B375&lt;($B$4*10/10),($B$4*10/10)*(MIN(C375,($B$4*10/10))^3-B375^3)-(MIN(C375,($B$4*10/10))^4-B375^4)/4,0)+IF(C375&gt;($B$4*10/10),($B$4*10/10)^2*(1.5*(C375^2-MAX(B375,($B$4*10/10))^2)-($B$4*10/10)*(C375-MAX(B375,($B$4*10/10)))),0))*1000,0)</f>
        <v>0</v>
      </c>
      <c r="AM375" s="120">
        <f>IF(AND(V375="OK",ISNUMBER($N$5),$N$5&gt;0,ISNUMBER($N$3),$N$3&gt;0),R375/(6*$N$3*1000000*$N$5)*(IF(N375&lt;($N$4*0/10),($N$4*0/10)*(MIN(O375,($N$4*0/10))^3-N375^3)-(MIN(O375,($N$4*0/10))^4-N375^4)/4,0)+IF(O375&gt;($N$4*0/10),($N$4*0/10)^2*(1.5*(O375^2-MAX(N375,($N$4*0/10))^2)-($N$4*0/10)*(O375-MAX(N375,($N$4*0/10)))),0))*1000,0)</f>
        <v>0</v>
      </c>
      <c r="AN375" s="120">
        <f>IF(AND(V375="OK",ISNUMBER($N$5),$N$5&gt;0,ISNUMBER($N$3),$N$3&gt;0),R375/(6*$N$3*1000000*$N$5)*(IF(N375&lt;($N$4*1/10),($N$4*1/10)*(MIN(O375,($N$4*1/10))^3-N375^3)-(MIN(O375,($N$4*1/10))^4-N375^4)/4,0)+IF(O375&gt;($N$4*1/10),($N$4*1/10)^2*(1.5*(O375^2-MAX(N375,($N$4*1/10))^2)-($N$4*1/10)*(O375-MAX(N375,($N$4*1/10)))),0))*1000,0)</f>
        <v>0</v>
      </c>
      <c r="AO375" s="120">
        <f>IF(AND(V375="OK",ISNUMBER($N$5),$N$5&gt;0,ISNUMBER($N$3),$N$3&gt;0),R375/(6*$N$3*1000000*$N$5)*(IF(N375&lt;($N$4*2/10),($N$4*2/10)*(MIN(O375,($N$4*2/10))^3-N375^3)-(MIN(O375,($N$4*2/10))^4-N375^4)/4,0)+IF(O375&gt;($N$4*2/10),($N$4*2/10)^2*(1.5*(O375^2-MAX(N375,($N$4*2/10))^2)-($N$4*2/10)*(O375-MAX(N375,($N$4*2/10)))),0))*1000,0)</f>
        <v>0</v>
      </c>
      <c r="AP375" s="120">
        <f>IF(AND(V375="OK",ISNUMBER($N$5),$N$5&gt;0,ISNUMBER($N$3),$N$3&gt;0),R375/(6*$N$3*1000000*$N$5)*(IF(N375&lt;($N$4*3/10),($N$4*3/10)*(MIN(O375,($N$4*3/10))^3-N375^3)-(MIN(O375,($N$4*3/10))^4-N375^4)/4,0)+IF(O375&gt;($N$4*3/10),($N$4*3/10)^2*(1.5*(O375^2-MAX(N375,($N$4*3/10))^2)-($N$4*3/10)*(O375-MAX(N375,($N$4*3/10)))),0))*1000,0)</f>
        <v>0</v>
      </c>
      <c r="AQ375" s="120">
        <f>IF(AND(V375="OK",ISNUMBER($N$5),$N$5&gt;0,ISNUMBER($N$3),$N$3&gt;0),R375/(6*$N$3*1000000*$N$5)*(IF(N375&lt;($N$4*4/10),($N$4*4/10)*(MIN(O375,($N$4*4/10))^3-N375^3)-(MIN(O375,($N$4*4/10))^4-N375^4)/4,0)+IF(O375&gt;($N$4*4/10),($N$4*4/10)^2*(1.5*(O375^2-MAX(N375,($N$4*4/10))^2)-($N$4*4/10)*(O375-MAX(N375,($N$4*4/10)))),0))*1000,0)</f>
        <v>0</v>
      </c>
      <c r="AR375" s="120">
        <f>IF(AND(V375="OK",ISNUMBER($N$5),$N$5&gt;0,ISNUMBER($N$3),$N$3&gt;0),R375/(6*$N$3*1000000*$N$5)*(IF(N375&lt;($N$4*5/10),($N$4*5/10)*(MIN(O375,($N$4*5/10))^3-N375^3)-(MIN(O375,($N$4*5/10))^4-N375^4)/4,0)+IF(O375&gt;($N$4*5/10),($N$4*5/10)^2*(1.5*(O375^2-MAX(N375,($N$4*5/10))^2)-($N$4*5/10)*(O375-MAX(N375,($N$4*5/10)))),0))*1000,0)</f>
        <v>0</v>
      </c>
      <c r="AS375" s="120">
        <f>IF(AND(V375="OK",ISNUMBER($N$5),$N$5&gt;0,ISNUMBER($N$3),$N$3&gt;0),R375/(6*$N$3*1000000*$N$5)*(IF(N375&lt;($N$4*6/10),($N$4*6/10)*(MIN(O375,($N$4*6/10))^3-N375^3)-(MIN(O375,($N$4*6/10))^4-N375^4)/4,0)+IF(O375&gt;($N$4*6/10),($N$4*6/10)^2*(1.5*(O375^2-MAX(N375,($N$4*6/10))^2)-($N$4*6/10)*(O375-MAX(N375,($N$4*6/10)))),0))*1000,0)</f>
        <v>0</v>
      </c>
      <c r="AT375" s="120">
        <f>IF(AND(V375="OK",ISNUMBER($N$5),$N$5&gt;0,ISNUMBER($N$3),$N$3&gt;0),R375/(6*$N$3*1000000*$N$5)*(IF(N375&lt;($N$4*7/10),($N$4*7/10)*(MIN(O375,($N$4*7/10))^3-N375^3)-(MIN(O375,($N$4*7/10))^4-N375^4)/4,0)+IF(O375&gt;($N$4*7/10),($N$4*7/10)^2*(1.5*(O375^2-MAX(N375,($N$4*7/10))^2)-($N$4*7/10)*(O375-MAX(N375,($N$4*7/10)))),0))*1000,0)</f>
        <v>0</v>
      </c>
      <c r="AU375" s="120">
        <f>IF(AND(V375="OK",ISNUMBER($N$5),$N$5&gt;0,ISNUMBER($N$3),$N$3&gt;0),R375/(6*$N$3*1000000*$N$5)*(IF(N375&lt;($N$4*8/10),($N$4*8/10)*(MIN(O375,($N$4*8/10))^3-N375^3)-(MIN(O375,($N$4*8/10))^4-N375^4)/4,0)+IF(O375&gt;($N$4*8/10),($N$4*8/10)^2*(1.5*(O375^2-MAX(N375,($N$4*8/10))^2)-($N$4*8/10)*(O375-MAX(N375,($N$4*8/10)))),0))*1000,0)</f>
        <v>0</v>
      </c>
      <c r="AV375" s="120">
        <f>IF(AND(V375="OK",ISNUMBER($N$5),$N$5&gt;0,ISNUMBER($N$3),$N$3&gt;0),R375/(6*$N$3*1000000*$N$5)*(IF(N375&lt;($N$4*9/10),($N$4*9/10)*(MIN(O375,($N$4*9/10))^3-N375^3)-(MIN(O375,($N$4*9/10))^4-N375^4)/4,0)+IF(O375&gt;($N$4*9/10),($N$4*9/10)^2*(1.5*(O375^2-MAX(N375,($N$4*9/10))^2)-($N$4*9/10)*(O375-MAX(N375,($N$4*9/10)))),0))*1000,0)</f>
        <v>0</v>
      </c>
      <c r="AW375" s="120">
        <f>IF(AND(V375="OK",ISNUMBER($N$5),$N$5&gt;0,ISNUMBER($N$3),$N$3&gt;0),R375/(6*$N$3*1000000*$N$5)*(IF(N375&lt;($N$4*10/10),($N$4*10/10)*(MIN(O375,($N$4*10/10))^3-N375^3)-(MIN(O375,($N$4*10/10))^4-N375^4)/4,0)+IF(O375&gt;($N$4*10/10),($N$4*10/10)^2*(1.5*(O375^2-MAX(N375,($N$4*10/10))^2)-($N$4*10/10)*(O375-MAX(N375,($N$4*10/10)))),0))*1000,0)</f>
        <v>0</v>
      </c>
    </row>
    <row r="376" spans="1:49">
      <c r="A376" s="124"/>
      <c r="B376" s="125"/>
      <c r="C376" s="125"/>
      <c r="D376" s="125"/>
      <c r="E376" s="125"/>
      <c r="F376" s="126" t="str">
        <f>IF(J376="OK",D376*E376,"")</f>
        <v/>
      </c>
      <c r="G376" s="126" t="str">
        <f>IF(J376="OK",F376*(C376-B376),"")</f>
        <v/>
      </c>
      <c r="H376" s="126" t="str">
        <f>IF(J376="OK",G376*(C376+B376)/2,"")</f>
        <v/>
      </c>
      <c r="I376" s="126" t="str">
        <f>IF(AND(J376="OK",ISNUMBER($B$5),$B$5&gt;0,ISNUMBER($B$3),$B$3&gt;0),F376*(4*$B$4*(C376^3-B376^3)-(C376^4-B376^4))/(24*$B$3*1000000*$B$5)*1000,"")</f>
        <v/>
      </c>
      <c r="J376" s="120" t="str">
        <f>IF(COUNTA(A376:E376)=0,"",IF(AND(COUNT(B376:E376)=4,B376&gt;=0,C376&gt;B376,C376&lt;=$B$4,D376&gt;=0,E376&gt;0),IF(COUNTIFS($B$13:$B$375,"&lt;"&amp;C376,$C$13:$C$375,"&gt;"&amp;B376)&gt;0,"OVERLAP","OK"),"CHECK INPUTS"))</f>
        <v/>
      </c>
      <c r="M376" s="124"/>
      <c r="N376" s="125"/>
      <c r="O376" s="125"/>
      <c r="P376" s="125"/>
      <c r="Q376" s="125"/>
      <c r="R376" s="126" t="str">
        <f>IF(V376="OK",P376*Q376,"")</f>
        <v/>
      </c>
      <c r="S376" s="126" t="str">
        <f>IF(V376="OK",R376*(O376-N376),"")</f>
        <v/>
      </c>
      <c r="T376" s="126" t="str">
        <f>IF(V376="OK",S376*(O376+N376)/2,"")</f>
        <v/>
      </c>
      <c r="U376" s="126" t="str">
        <f>IF(AND(V376="OK",ISNUMBER($N$5),$N$5&gt;0,ISNUMBER($N$3),$N$3&gt;0),R376*(4*$N$4*(O376^3-N376^3)-(O376^4-N376^4))/(24*$N$3*1000000*$N$5)*1000,"")</f>
        <v/>
      </c>
      <c r="V376" s="120" t="str">
        <f>IF(COUNTA(M376:Q376)=0,"",IF(AND(COUNT(N376:Q376)=4,N376&gt;=0,O376&gt;N376,O376&lt;=$N$4,P376&gt;=0,Q376&gt;0),IF(COUNTIFS($N$13:$N$375,"&lt;"&amp;O376,$O$13:$O$375,"&gt;"&amp;N376)&gt;0,"OVERLAP","OK"),"CHECK INPUTS"))</f>
        <v/>
      </c>
      <c r="AA376" s="120">
        <f>IF(AND(J376="OK",ISNUMBER($B$5),$B$5&gt;0,ISNUMBER($B$3),$B$3&gt;0),F376/(6*$B$3*1000000*$B$5)*(IF(B376&lt;($B$4*0/10),($B$4*0/10)*(MIN(C376,($B$4*0/10))^3-B376^3)-(MIN(C376,($B$4*0/10))^4-B376^4)/4,0)+IF(C376&gt;($B$4*0/10),($B$4*0/10)^2*(1.5*(C376^2-MAX(B376,($B$4*0/10))^2)-($B$4*0/10)*(C376-MAX(B376,($B$4*0/10)))),0))*1000,0)</f>
        <v>0</v>
      </c>
      <c r="AB376" s="120">
        <f>IF(AND(J376="OK",ISNUMBER($B$5),$B$5&gt;0,ISNUMBER($B$3),$B$3&gt;0),F376/(6*$B$3*1000000*$B$5)*(IF(B376&lt;($B$4*1/10),($B$4*1/10)*(MIN(C376,($B$4*1/10))^3-B376^3)-(MIN(C376,($B$4*1/10))^4-B376^4)/4,0)+IF(C376&gt;($B$4*1/10),($B$4*1/10)^2*(1.5*(C376^2-MAX(B376,($B$4*1/10))^2)-($B$4*1/10)*(C376-MAX(B376,($B$4*1/10)))),0))*1000,0)</f>
        <v>0</v>
      </c>
      <c r="AC376" s="120">
        <f>IF(AND(J376="OK",ISNUMBER($B$5),$B$5&gt;0,ISNUMBER($B$3),$B$3&gt;0),F376/(6*$B$3*1000000*$B$5)*(IF(B376&lt;($B$4*2/10),($B$4*2/10)*(MIN(C376,($B$4*2/10))^3-B376^3)-(MIN(C376,($B$4*2/10))^4-B376^4)/4,0)+IF(C376&gt;($B$4*2/10),($B$4*2/10)^2*(1.5*(C376^2-MAX(B376,($B$4*2/10))^2)-($B$4*2/10)*(C376-MAX(B376,($B$4*2/10)))),0))*1000,0)</f>
        <v>0</v>
      </c>
      <c r="AD376" s="120">
        <f>IF(AND(J376="OK",ISNUMBER($B$5),$B$5&gt;0,ISNUMBER($B$3),$B$3&gt;0),F376/(6*$B$3*1000000*$B$5)*(IF(B376&lt;($B$4*3/10),($B$4*3/10)*(MIN(C376,($B$4*3/10))^3-B376^3)-(MIN(C376,($B$4*3/10))^4-B376^4)/4,0)+IF(C376&gt;($B$4*3/10),($B$4*3/10)^2*(1.5*(C376^2-MAX(B376,($B$4*3/10))^2)-($B$4*3/10)*(C376-MAX(B376,($B$4*3/10)))),0))*1000,0)</f>
        <v>0</v>
      </c>
      <c r="AE376" s="120">
        <f>IF(AND(J376="OK",ISNUMBER($B$5),$B$5&gt;0,ISNUMBER($B$3),$B$3&gt;0),F376/(6*$B$3*1000000*$B$5)*(IF(B376&lt;($B$4*4/10),($B$4*4/10)*(MIN(C376,($B$4*4/10))^3-B376^3)-(MIN(C376,($B$4*4/10))^4-B376^4)/4,0)+IF(C376&gt;($B$4*4/10),($B$4*4/10)^2*(1.5*(C376^2-MAX(B376,($B$4*4/10))^2)-($B$4*4/10)*(C376-MAX(B376,($B$4*4/10)))),0))*1000,0)</f>
        <v>0</v>
      </c>
      <c r="AF376" s="120">
        <f>IF(AND(J376="OK",ISNUMBER($B$5),$B$5&gt;0,ISNUMBER($B$3),$B$3&gt;0),F376/(6*$B$3*1000000*$B$5)*(IF(B376&lt;($B$4*5/10),($B$4*5/10)*(MIN(C376,($B$4*5/10))^3-B376^3)-(MIN(C376,($B$4*5/10))^4-B376^4)/4,0)+IF(C376&gt;($B$4*5/10),($B$4*5/10)^2*(1.5*(C376^2-MAX(B376,($B$4*5/10))^2)-($B$4*5/10)*(C376-MAX(B376,($B$4*5/10)))),0))*1000,0)</f>
        <v>0</v>
      </c>
      <c r="AG376" s="120">
        <f>IF(AND(J376="OK",ISNUMBER($B$5),$B$5&gt;0,ISNUMBER($B$3),$B$3&gt;0),F376/(6*$B$3*1000000*$B$5)*(IF(B376&lt;($B$4*6/10),($B$4*6/10)*(MIN(C376,($B$4*6/10))^3-B376^3)-(MIN(C376,($B$4*6/10))^4-B376^4)/4,0)+IF(C376&gt;($B$4*6/10),($B$4*6/10)^2*(1.5*(C376^2-MAX(B376,($B$4*6/10))^2)-($B$4*6/10)*(C376-MAX(B376,($B$4*6/10)))),0))*1000,0)</f>
        <v>0</v>
      </c>
      <c r="AH376" s="120">
        <f>IF(AND(J376="OK",ISNUMBER($B$5),$B$5&gt;0,ISNUMBER($B$3),$B$3&gt;0),F376/(6*$B$3*1000000*$B$5)*(IF(B376&lt;($B$4*7/10),($B$4*7/10)*(MIN(C376,($B$4*7/10))^3-B376^3)-(MIN(C376,($B$4*7/10))^4-B376^4)/4,0)+IF(C376&gt;($B$4*7/10),($B$4*7/10)^2*(1.5*(C376^2-MAX(B376,($B$4*7/10))^2)-($B$4*7/10)*(C376-MAX(B376,($B$4*7/10)))),0))*1000,0)</f>
        <v>0</v>
      </c>
      <c r="AI376" s="120">
        <f>IF(AND(J376="OK",ISNUMBER($B$5),$B$5&gt;0,ISNUMBER($B$3),$B$3&gt;0),F376/(6*$B$3*1000000*$B$5)*(IF(B376&lt;($B$4*8/10),($B$4*8/10)*(MIN(C376,($B$4*8/10))^3-B376^3)-(MIN(C376,($B$4*8/10))^4-B376^4)/4,0)+IF(C376&gt;($B$4*8/10),($B$4*8/10)^2*(1.5*(C376^2-MAX(B376,($B$4*8/10))^2)-($B$4*8/10)*(C376-MAX(B376,($B$4*8/10)))),0))*1000,0)</f>
        <v>0</v>
      </c>
      <c r="AJ376" s="120">
        <f>IF(AND(J376="OK",ISNUMBER($B$5),$B$5&gt;0,ISNUMBER($B$3),$B$3&gt;0),F376/(6*$B$3*1000000*$B$5)*(IF(B376&lt;($B$4*9/10),($B$4*9/10)*(MIN(C376,($B$4*9/10))^3-B376^3)-(MIN(C376,($B$4*9/10))^4-B376^4)/4,0)+IF(C376&gt;($B$4*9/10),($B$4*9/10)^2*(1.5*(C376^2-MAX(B376,($B$4*9/10))^2)-($B$4*9/10)*(C376-MAX(B376,($B$4*9/10)))),0))*1000,0)</f>
        <v>0</v>
      </c>
      <c r="AK376" s="120">
        <f>IF(AND(J376="OK",ISNUMBER($B$5),$B$5&gt;0,ISNUMBER($B$3),$B$3&gt;0),F376/(6*$B$3*1000000*$B$5)*(IF(B376&lt;($B$4*10/10),($B$4*10/10)*(MIN(C376,($B$4*10/10))^3-B376^3)-(MIN(C376,($B$4*10/10))^4-B376^4)/4,0)+IF(C376&gt;($B$4*10/10),($B$4*10/10)^2*(1.5*(C376^2-MAX(B376,($B$4*10/10))^2)-($B$4*10/10)*(C376-MAX(B376,($B$4*10/10)))),0))*1000,0)</f>
        <v>0</v>
      </c>
      <c r="AM376" s="120">
        <f>IF(AND(V376="OK",ISNUMBER($N$5),$N$5&gt;0,ISNUMBER($N$3),$N$3&gt;0),R376/(6*$N$3*1000000*$N$5)*(IF(N376&lt;($N$4*0/10),($N$4*0/10)*(MIN(O376,($N$4*0/10))^3-N376^3)-(MIN(O376,($N$4*0/10))^4-N376^4)/4,0)+IF(O376&gt;($N$4*0/10),($N$4*0/10)^2*(1.5*(O376^2-MAX(N376,($N$4*0/10))^2)-($N$4*0/10)*(O376-MAX(N376,($N$4*0/10)))),0))*1000,0)</f>
        <v>0</v>
      </c>
      <c r="AN376" s="120">
        <f>IF(AND(V376="OK",ISNUMBER($N$5),$N$5&gt;0,ISNUMBER($N$3),$N$3&gt;0),R376/(6*$N$3*1000000*$N$5)*(IF(N376&lt;($N$4*1/10),($N$4*1/10)*(MIN(O376,($N$4*1/10))^3-N376^3)-(MIN(O376,($N$4*1/10))^4-N376^4)/4,0)+IF(O376&gt;($N$4*1/10),($N$4*1/10)^2*(1.5*(O376^2-MAX(N376,($N$4*1/10))^2)-($N$4*1/10)*(O376-MAX(N376,($N$4*1/10)))),0))*1000,0)</f>
        <v>0</v>
      </c>
      <c r="AO376" s="120">
        <f>IF(AND(V376="OK",ISNUMBER($N$5),$N$5&gt;0,ISNUMBER($N$3),$N$3&gt;0),R376/(6*$N$3*1000000*$N$5)*(IF(N376&lt;($N$4*2/10),($N$4*2/10)*(MIN(O376,($N$4*2/10))^3-N376^3)-(MIN(O376,($N$4*2/10))^4-N376^4)/4,0)+IF(O376&gt;($N$4*2/10),($N$4*2/10)^2*(1.5*(O376^2-MAX(N376,($N$4*2/10))^2)-($N$4*2/10)*(O376-MAX(N376,($N$4*2/10)))),0))*1000,0)</f>
        <v>0</v>
      </c>
      <c r="AP376" s="120">
        <f>IF(AND(V376="OK",ISNUMBER($N$5),$N$5&gt;0,ISNUMBER($N$3),$N$3&gt;0),R376/(6*$N$3*1000000*$N$5)*(IF(N376&lt;($N$4*3/10),($N$4*3/10)*(MIN(O376,($N$4*3/10))^3-N376^3)-(MIN(O376,($N$4*3/10))^4-N376^4)/4,0)+IF(O376&gt;($N$4*3/10),($N$4*3/10)^2*(1.5*(O376^2-MAX(N376,($N$4*3/10))^2)-($N$4*3/10)*(O376-MAX(N376,($N$4*3/10)))),0))*1000,0)</f>
        <v>0</v>
      </c>
      <c r="AQ376" s="120">
        <f>IF(AND(V376="OK",ISNUMBER($N$5),$N$5&gt;0,ISNUMBER($N$3),$N$3&gt;0),R376/(6*$N$3*1000000*$N$5)*(IF(N376&lt;($N$4*4/10),($N$4*4/10)*(MIN(O376,($N$4*4/10))^3-N376^3)-(MIN(O376,($N$4*4/10))^4-N376^4)/4,0)+IF(O376&gt;($N$4*4/10),($N$4*4/10)^2*(1.5*(O376^2-MAX(N376,($N$4*4/10))^2)-($N$4*4/10)*(O376-MAX(N376,($N$4*4/10)))),0))*1000,0)</f>
        <v>0</v>
      </c>
      <c r="AR376" s="120">
        <f>IF(AND(V376="OK",ISNUMBER($N$5),$N$5&gt;0,ISNUMBER($N$3),$N$3&gt;0),R376/(6*$N$3*1000000*$N$5)*(IF(N376&lt;($N$4*5/10),($N$4*5/10)*(MIN(O376,($N$4*5/10))^3-N376^3)-(MIN(O376,($N$4*5/10))^4-N376^4)/4,0)+IF(O376&gt;($N$4*5/10),($N$4*5/10)^2*(1.5*(O376^2-MAX(N376,($N$4*5/10))^2)-($N$4*5/10)*(O376-MAX(N376,($N$4*5/10)))),0))*1000,0)</f>
        <v>0</v>
      </c>
      <c r="AS376" s="120">
        <f>IF(AND(V376="OK",ISNUMBER($N$5),$N$5&gt;0,ISNUMBER($N$3),$N$3&gt;0),R376/(6*$N$3*1000000*$N$5)*(IF(N376&lt;($N$4*6/10),($N$4*6/10)*(MIN(O376,($N$4*6/10))^3-N376^3)-(MIN(O376,($N$4*6/10))^4-N376^4)/4,0)+IF(O376&gt;($N$4*6/10),($N$4*6/10)^2*(1.5*(O376^2-MAX(N376,($N$4*6/10))^2)-($N$4*6/10)*(O376-MAX(N376,($N$4*6/10)))),0))*1000,0)</f>
        <v>0</v>
      </c>
      <c r="AT376" s="120">
        <f>IF(AND(V376="OK",ISNUMBER($N$5),$N$5&gt;0,ISNUMBER($N$3),$N$3&gt;0),R376/(6*$N$3*1000000*$N$5)*(IF(N376&lt;($N$4*7/10),($N$4*7/10)*(MIN(O376,($N$4*7/10))^3-N376^3)-(MIN(O376,($N$4*7/10))^4-N376^4)/4,0)+IF(O376&gt;($N$4*7/10),($N$4*7/10)^2*(1.5*(O376^2-MAX(N376,($N$4*7/10))^2)-($N$4*7/10)*(O376-MAX(N376,($N$4*7/10)))),0))*1000,0)</f>
        <v>0</v>
      </c>
      <c r="AU376" s="120">
        <f>IF(AND(V376="OK",ISNUMBER($N$5),$N$5&gt;0,ISNUMBER($N$3),$N$3&gt;0),R376/(6*$N$3*1000000*$N$5)*(IF(N376&lt;($N$4*8/10),($N$4*8/10)*(MIN(O376,($N$4*8/10))^3-N376^3)-(MIN(O376,($N$4*8/10))^4-N376^4)/4,0)+IF(O376&gt;($N$4*8/10),($N$4*8/10)^2*(1.5*(O376^2-MAX(N376,($N$4*8/10))^2)-($N$4*8/10)*(O376-MAX(N376,($N$4*8/10)))),0))*1000,0)</f>
        <v>0</v>
      </c>
      <c r="AV376" s="120">
        <f>IF(AND(V376="OK",ISNUMBER($N$5),$N$5&gt;0,ISNUMBER($N$3),$N$3&gt;0),R376/(6*$N$3*1000000*$N$5)*(IF(N376&lt;($N$4*9/10),($N$4*9/10)*(MIN(O376,($N$4*9/10))^3-N376^3)-(MIN(O376,($N$4*9/10))^4-N376^4)/4,0)+IF(O376&gt;($N$4*9/10),($N$4*9/10)^2*(1.5*(O376^2-MAX(N376,($N$4*9/10))^2)-($N$4*9/10)*(O376-MAX(N376,($N$4*9/10)))),0))*1000,0)</f>
        <v>0</v>
      </c>
      <c r="AW376" s="120">
        <f>IF(AND(V376="OK",ISNUMBER($N$5),$N$5&gt;0,ISNUMBER($N$3),$N$3&gt;0),R376/(6*$N$3*1000000*$N$5)*(IF(N376&lt;($N$4*10/10),($N$4*10/10)*(MIN(O376,($N$4*10/10))^3-N376^3)-(MIN(O376,($N$4*10/10))^4-N376^4)/4,0)+IF(O376&gt;($N$4*10/10),($N$4*10/10)^2*(1.5*(O376^2-MAX(N376,($N$4*10/10))^2)-($N$4*10/10)*(O376-MAX(N376,($N$4*10/10)))),0))*1000,0)</f>
        <v>0</v>
      </c>
    </row>
    <row r="377" spans="1:49">
      <c r="A377" s="124"/>
      <c r="B377" s="125"/>
      <c r="C377" s="125"/>
      <c r="D377" s="125"/>
      <c r="E377" s="125"/>
      <c r="F377" s="126" t="str">
        <f>IF(J377="OK",D377*E377,"")</f>
        <v/>
      </c>
      <c r="G377" s="126" t="str">
        <f>IF(J377="OK",F377*(C377-B377),"")</f>
        <v/>
      </c>
      <c r="H377" s="126" t="str">
        <f>IF(J377="OK",G377*(C377+B377)/2,"")</f>
        <v/>
      </c>
      <c r="I377" s="126" t="str">
        <f>IF(AND(J377="OK",ISNUMBER($B$5),$B$5&gt;0,ISNUMBER($B$3),$B$3&gt;0),F377*(4*$B$4*(C377^3-B377^3)-(C377^4-B377^4))/(24*$B$3*1000000*$B$5)*1000,"")</f>
        <v/>
      </c>
      <c r="J377" s="120" t="str">
        <f>IF(COUNTA(A377:E377)=0,"",IF(AND(COUNT(B377:E377)=4,B377&gt;=0,C377&gt;B377,C377&lt;=$B$4,D377&gt;=0,E377&gt;0),IF(COUNTIFS($B$13:$B$376,"&lt;"&amp;C377,$C$13:$C$376,"&gt;"&amp;B377)&gt;0,"OVERLAP","OK"),"CHECK INPUTS"))</f>
        <v/>
      </c>
      <c r="M377" s="124"/>
      <c r="N377" s="125"/>
      <c r="O377" s="125"/>
      <c r="P377" s="125"/>
      <c r="Q377" s="125"/>
      <c r="R377" s="126" t="str">
        <f>IF(V377="OK",P377*Q377,"")</f>
        <v/>
      </c>
      <c r="S377" s="126" t="str">
        <f>IF(V377="OK",R377*(O377-N377),"")</f>
        <v/>
      </c>
      <c r="T377" s="126" t="str">
        <f>IF(V377="OK",S377*(O377+N377)/2,"")</f>
        <v/>
      </c>
      <c r="U377" s="126" t="str">
        <f>IF(AND(V377="OK",ISNUMBER($N$5),$N$5&gt;0,ISNUMBER($N$3),$N$3&gt;0),R377*(4*$N$4*(O377^3-N377^3)-(O377^4-N377^4))/(24*$N$3*1000000*$N$5)*1000,"")</f>
        <v/>
      </c>
      <c r="V377" s="120" t="str">
        <f>IF(COUNTA(M377:Q377)=0,"",IF(AND(COUNT(N377:Q377)=4,N377&gt;=0,O377&gt;N377,O377&lt;=$N$4,P377&gt;=0,Q377&gt;0),IF(COUNTIFS($N$13:$N$376,"&lt;"&amp;O377,$O$13:$O$376,"&gt;"&amp;N377)&gt;0,"OVERLAP","OK"),"CHECK INPUTS"))</f>
        <v/>
      </c>
      <c r="AA377" s="120">
        <f>IF(AND(J377="OK",ISNUMBER($B$5),$B$5&gt;0,ISNUMBER($B$3),$B$3&gt;0),F377/(6*$B$3*1000000*$B$5)*(IF(B377&lt;($B$4*0/10),($B$4*0/10)*(MIN(C377,($B$4*0/10))^3-B377^3)-(MIN(C377,($B$4*0/10))^4-B377^4)/4,0)+IF(C377&gt;($B$4*0/10),($B$4*0/10)^2*(1.5*(C377^2-MAX(B377,($B$4*0/10))^2)-($B$4*0/10)*(C377-MAX(B377,($B$4*0/10)))),0))*1000,0)</f>
        <v>0</v>
      </c>
      <c r="AB377" s="120">
        <f>IF(AND(J377="OK",ISNUMBER($B$5),$B$5&gt;0,ISNUMBER($B$3),$B$3&gt;0),F377/(6*$B$3*1000000*$B$5)*(IF(B377&lt;($B$4*1/10),($B$4*1/10)*(MIN(C377,($B$4*1/10))^3-B377^3)-(MIN(C377,($B$4*1/10))^4-B377^4)/4,0)+IF(C377&gt;($B$4*1/10),($B$4*1/10)^2*(1.5*(C377^2-MAX(B377,($B$4*1/10))^2)-($B$4*1/10)*(C377-MAX(B377,($B$4*1/10)))),0))*1000,0)</f>
        <v>0</v>
      </c>
      <c r="AC377" s="120">
        <f>IF(AND(J377="OK",ISNUMBER($B$5),$B$5&gt;0,ISNUMBER($B$3),$B$3&gt;0),F377/(6*$B$3*1000000*$B$5)*(IF(B377&lt;($B$4*2/10),($B$4*2/10)*(MIN(C377,($B$4*2/10))^3-B377^3)-(MIN(C377,($B$4*2/10))^4-B377^4)/4,0)+IF(C377&gt;($B$4*2/10),($B$4*2/10)^2*(1.5*(C377^2-MAX(B377,($B$4*2/10))^2)-($B$4*2/10)*(C377-MAX(B377,($B$4*2/10)))),0))*1000,0)</f>
        <v>0</v>
      </c>
      <c r="AD377" s="120">
        <f>IF(AND(J377="OK",ISNUMBER($B$5),$B$5&gt;0,ISNUMBER($B$3),$B$3&gt;0),F377/(6*$B$3*1000000*$B$5)*(IF(B377&lt;($B$4*3/10),($B$4*3/10)*(MIN(C377,($B$4*3/10))^3-B377^3)-(MIN(C377,($B$4*3/10))^4-B377^4)/4,0)+IF(C377&gt;($B$4*3/10),($B$4*3/10)^2*(1.5*(C377^2-MAX(B377,($B$4*3/10))^2)-($B$4*3/10)*(C377-MAX(B377,($B$4*3/10)))),0))*1000,0)</f>
        <v>0</v>
      </c>
      <c r="AE377" s="120">
        <f>IF(AND(J377="OK",ISNUMBER($B$5),$B$5&gt;0,ISNUMBER($B$3),$B$3&gt;0),F377/(6*$B$3*1000000*$B$5)*(IF(B377&lt;($B$4*4/10),($B$4*4/10)*(MIN(C377,($B$4*4/10))^3-B377^3)-(MIN(C377,($B$4*4/10))^4-B377^4)/4,0)+IF(C377&gt;($B$4*4/10),($B$4*4/10)^2*(1.5*(C377^2-MAX(B377,($B$4*4/10))^2)-($B$4*4/10)*(C377-MAX(B377,($B$4*4/10)))),0))*1000,0)</f>
        <v>0</v>
      </c>
      <c r="AF377" s="120">
        <f>IF(AND(J377="OK",ISNUMBER($B$5),$B$5&gt;0,ISNUMBER($B$3),$B$3&gt;0),F377/(6*$B$3*1000000*$B$5)*(IF(B377&lt;($B$4*5/10),($B$4*5/10)*(MIN(C377,($B$4*5/10))^3-B377^3)-(MIN(C377,($B$4*5/10))^4-B377^4)/4,0)+IF(C377&gt;($B$4*5/10),($B$4*5/10)^2*(1.5*(C377^2-MAX(B377,($B$4*5/10))^2)-($B$4*5/10)*(C377-MAX(B377,($B$4*5/10)))),0))*1000,0)</f>
        <v>0</v>
      </c>
      <c r="AG377" s="120">
        <f>IF(AND(J377="OK",ISNUMBER($B$5),$B$5&gt;0,ISNUMBER($B$3),$B$3&gt;0),F377/(6*$B$3*1000000*$B$5)*(IF(B377&lt;($B$4*6/10),($B$4*6/10)*(MIN(C377,($B$4*6/10))^3-B377^3)-(MIN(C377,($B$4*6/10))^4-B377^4)/4,0)+IF(C377&gt;($B$4*6/10),($B$4*6/10)^2*(1.5*(C377^2-MAX(B377,($B$4*6/10))^2)-($B$4*6/10)*(C377-MAX(B377,($B$4*6/10)))),0))*1000,0)</f>
        <v>0</v>
      </c>
      <c r="AH377" s="120">
        <f>IF(AND(J377="OK",ISNUMBER($B$5),$B$5&gt;0,ISNUMBER($B$3),$B$3&gt;0),F377/(6*$B$3*1000000*$B$5)*(IF(B377&lt;($B$4*7/10),($B$4*7/10)*(MIN(C377,($B$4*7/10))^3-B377^3)-(MIN(C377,($B$4*7/10))^4-B377^4)/4,0)+IF(C377&gt;($B$4*7/10),($B$4*7/10)^2*(1.5*(C377^2-MAX(B377,($B$4*7/10))^2)-($B$4*7/10)*(C377-MAX(B377,($B$4*7/10)))),0))*1000,0)</f>
        <v>0</v>
      </c>
      <c r="AI377" s="120">
        <f>IF(AND(J377="OK",ISNUMBER($B$5),$B$5&gt;0,ISNUMBER($B$3),$B$3&gt;0),F377/(6*$B$3*1000000*$B$5)*(IF(B377&lt;($B$4*8/10),($B$4*8/10)*(MIN(C377,($B$4*8/10))^3-B377^3)-(MIN(C377,($B$4*8/10))^4-B377^4)/4,0)+IF(C377&gt;($B$4*8/10),($B$4*8/10)^2*(1.5*(C377^2-MAX(B377,($B$4*8/10))^2)-($B$4*8/10)*(C377-MAX(B377,($B$4*8/10)))),0))*1000,0)</f>
        <v>0</v>
      </c>
      <c r="AJ377" s="120">
        <f>IF(AND(J377="OK",ISNUMBER($B$5),$B$5&gt;0,ISNUMBER($B$3),$B$3&gt;0),F377/(6*$B$3*1000000*$B$5)*(IF(B377&lt;($B$4*9/10),($B$4*9/10)*(MIN(C377,($B$4*9/10))^3-B377^3)-(MIN(C377,($B$4*9/10))^4-B377^4)/4,0)+IF(C377&gt;($B$4*9/10),($B$4*9/10)^2*(1.5*(C377^2-MAX(B377,($B$4*9/10))^2)-($B$4*9/10)*(C377-MAX(B377,($B$4*9/10)))),0))*1000,0)</f>
        <v>0</v>
      </c>
      <c r="AK377" s="120">
        <f>IF(AND(J377="OK",ISNUMBER($B$5),$B$5&gt;0,ISNUMBER($B$3),$B$3&gt;0),F377/(6*$B$3*1000000*$B$5)*(IF(B377&lt;($B$4*10/10),($B$4*10/10)*(MIN(C377,($B$4*10/10))^3-B377^3)-(MIN(C377,($B$4*10/10))^4-B377^4)/4,0)+IF(C377&gt;($B$4*10/10),($B$4*10/10)^2*(1.5*(C377^2-MAX(B377,($B$4*10/10))^2)-($B$4*10/10)*(C377-MAX(B377,($B$4*10/10)))),0))*1000,0)</f>
        <v>0</v>
      </c>
      <c r="AM377" s="120">
        <f>IF(AND(V377="OK",ISNUMBER($N$5),$N$5&gt;0,ISNUMBER($N$3),$N$3&gt;0),R377/(6*$N$3*1000000*$N$5)*(IF(N377&lt;($N$4*0/10),($N$4*0/10)*(MIN(O377,($N$4*0/10))^3-N377^3)-(MIN(O377,($N$4*0/10))^4-N377^4)/4,0)+IF(O377&gt;($N$4*0/10),($N$4*0/10)^2*(1.5*(O377^2-MAX(N377,($N$4*0/10))^2)-($N$4*0/10)*(O377-MAX(N377,($N$4*0/10)))),0))*1000,0)</f>
        <v>0</v>
      </c>
      <c r="AN377" s="120">
        <f>IF(AND(V377="OK",ISNUMBER($N$5),$N$5&gt;0,ISNUMBER($N$3),$N$3&gt;0),R377/(6*$N$3*1000000*$N$5)*(IF(N377&lt;($N$4*1/10),($N$4*1/10)*(MIN(O377,($N$4*1/10))^3-N377^3)-(MIN(O377,($N$4*1/10))^4-N377^4)/4,0)+IF(O377&gt;($N$4*1/10),($N$4*1/10)^2*(1.5*(O377^2-MAX(N377,($N$4*1/10))^2)-($N$4*1/10)*(O377-MAX(N377,($N$4*1/10)))),0))*1000,0)</f>
        <v>0</v>
      </c>
      <c r="AO377" s="120">
        <f>IF(AND(V377="OK",ISNUMBER($N$5),$N$5&gt;0,ISNUMBER($N$3),$N$3&gt;0),R377/(6*$N$3*1000000*$N$5)*(IF(N377&lt;($N$4*2/10),($N$4*2/10)*(MIN(O377,($N$4*2/10))^3-N377^3)-(MIN(O377,($N$4*2/10))^4-N377^4)/4,0)+IF(O377&gt;($N$4*2/10),($N$4*2/10)^2*(1.5*(O377^2-MAX(N377,($N$4*2/10))^2)-($N$4*2/10)*(O377-MAX(N377,($N$4*2/10)))),0))*1000,0)</f>
        <v>0</v>
      </c>
      <c r="AP377" s="120">
        <f>IF(AND(V377="OK",ISNUMBER($N$5),$N$5&gt;0,ISNUMBER($N$3),$N$3&gt;0),R377/(6*$N$3*1000000*$N$5)*(IF(N377&lt;($N$4*3/10),($N$4*3/10)*(MIN(O377,($N$4*3/10))^3-N377^3)-(MIN(O377,($N$4*3/10))^4-N377^4)/4,0)+IF(O377&gt;($N$4*3/10),($N$4*3/10)^2*(1.5*(O377^2-MAX(N377,($N$4*3/10))^2)-($N$4*3/10)*(O377-MAX(N377,($N$4*3/10)))),0))*1000,0)</f>
        <v>0</v>
      </c>
      <c r="AQ377" s="120">
        <f>IF(AND(V377="OK",ISNUMBER($N$5),$N$5&gt;0,ISNUMBER($N$3),$N$3&gt;0),R377/(6*$N$3*1000000*$N$5)*(IF(N377&lt;($N$4*4/10),($N$4*4/10)*(MIN(O377,($N$4*4/10))^3-N377^3)-(MIN(O377,($N$4*4/10))^4-N377^4)/4,0)+IF(O377&gt;($N$4*4/10),($N$4*4/10)^2*(1.5*(O377^2-MAX(N377,($N$4*4/10))^2)-($N$4*4/10)*(O377-MAX(N377,($N$4*4/10)))),0))*1000,0)</f>
        <v>0</v>
      </c>
      <c r="AR377" s="120">
        <f>IF(AND(V377="OK",ISNUMBER($N$5),$N$5&gt;0,ISNUMBER($N$3),$N$3&gt;0),R377/(6*$N$3*1000000*$N$5)*(IF(N377&lt;($N$4*5/10),($N$4*5/10)*(MIN(O377,($N$4*5/10))^3-N377^3)-(MIN(O377,($N$4*5/10))^4-N377^4)/4,0)+IF(O377&gt;($N$4*5/10),($N$4*5/10)^2*(1.5*(O377^2-MAX(N377,($N$4*5/10))^2)-($N$4*5/10)*(O377-MAX(N377,($N$4*5/10)))),0))*1000,0)</f>
        <v>0</v>
      </c>
      <c r="AS377" s="120">
        <f>IF(AND(V377="OK",ISNUMBER($N$5),$N$5&gt;0,ISNUMBER($N$3),$N$3&gt;0),R377/(6*$N$3*1000000*$N$5)*(IF(N377&lt;($N$4*6/10),($N$4*6/10)*(MIN(O377,($N$4*6/10))^3-N377^3)-(MIN(O377,($N$4*6/10))^4-N377^4)/4,0)+IF(O377&gt;($N$4*6/10),($N$4*6/10)^2*(1.5*(O377^2-MAX(N377,($N$4*6/10))^2)-($N$4*6/10)*(O377-MAX(N377,($N$4*6/10)))),0))*1000,0)</f>
        <v>0</v>
      </c>
      <c r="AT377" s="120">
        <f>IF(AND(V377="OK",ISNUMBER($N$5),$N$5&gt;0,ISNUMBER($N$3),$N$3&gt;0),R377/(6*$N$3*1000000*$N$5)*(IF(N377&lt;($N$4*7/10),($N$4*7/10)*(MIN(O377,($N$4*7/10))^3-N377^3)-(MIN(O377,($N$4*7/10))^4-N377^4)/4,0)+IF(O377&gt;($N$4*7/10),($N$4*7/10)^2*(1.5*(O377^2-MAX(N377,($N$4*7/10))^2)-($N$4*7/10)*(O377-MAX(N377,($N$4*7/10)))),0))*1000,0)</f>
        <v>0</v>
      </c>
      <c r="AU377" s="120">
        <f>IF(AND(V377="OK",ISNUMBER($N$5),$N$5&gt;0,ISNUMBER($N$3),$N$3&gt;0),R377/(6*$N$3*1000000*$N$5)*(IF(N377&lt;($N$4*8/10),($N$4*8/10)*(MIN(O377,($N$4*8/10))^3-N377^3)-(MIN(O377,($N$4*8/10))^4-N377^4)/4,0)+IF(O377&gt;($N$4*8/10),($N$4*8/10)^2*(1.5*(O377^2-MAX(N377,($N$4*8/10))^2)-($N$4*8/10)*(O377-MAX(N377,($N$4*8/10)))),0))*1000,0)</f>
        <v>0</v>
      </c>
      <c r="AV377" s="120">
        <f>IF(AND(V377="OK",ISNUMBER($N$5),$N$5&gt;0,ISNUMBER($N$3),$N$3&gt;0),R377/(6*$N$3*1000000*$N$5)*(IF(N377&lt;($N$4*9/10),($N$4*9/10)*(MIN(O377,($N$4*9/10))^3-N377^3)-(MIN(O377,($N$4*9/10))^4-N377^4)/4,0)+IF(O377&gt;($N$4*9/10),($N$4*9/10)^2*(1.5*(O377^2-MAX(N377,($N$4*9/10))^2)-($N$4*9/10)*(O377-MAX(N377,($N$4*9/10)))),0))*1000,0)</f>
        <v>0</v>
      </c>
      <c r="AW377" s="120">
        <f>IF(AND(V377="OK",ISNUMBER($N$5),$N$5&gt;0,ISNUMBER($N$3),$N$3&gt;0),R377/(6*$N$3*1000000*$N$5)*(IF(N377&lt;($N$4*10/10),($N$4*10/10)*(MIN(O377,($N$4*10/10))^3-N377^3)-(MIN(O377,($N$4*10/10))^4-N377^4)/4,0)+IF(O377&gt;($N$4*10/10),($N$4*10/10)^2*(1.5*(O377^2-MAX(N377,($N$4*10/10))^2)-($N$4*10/10)*(O377-MAX(N377,($N$4*10/10)))),0))*1000,0)</f>
        <v>0</v>
      </c>
    </row>
    <row r="378" spans="1:49">
      <c r="A378" s="124"/>
      <c r="B378" s="125"/>
      <c r="C378" s="125"/>
      <c r="D378" s="125"/>
      <c r="E378" s="125"/>
      <c r="F378" s="126" t="str">
        <f>IF(J378="OK",D378*E378,"")</f>
        <v/>
      </c>
      <c r="G378" s="126" t="str">
        <f>IF(J378="OK",F378*(C378-B378),"")</f>
        <v/>
      </c>
      <c r="H378" s="126" t="str">
        <f>IF(J378="OK",G378*(C378+B378)/2,"")</f>
        <v/>
      </c>
      <c r="I378" s="126" t="str">
        <f>IF(AND(J378="OK",ISNUMBER($B$5),$B$5&gt;0,ISNUMBER($B$3),$B$3&gt;0),F378*(4*$B$4*(C378^3-B378^3)-(C378^4-B378^4))/(24*$B$3*1000000*$B$5)*1000,"")</f>
        <v/>
      </c>
      <c r="J378" s="120" t="str">
        <f>IF(COUNTA(A378:E378)=0,"",IF(AND(COUNT(B378:E378)=4,B378&gt;=0,C378&gt;B378,C378&lt;=$B$4,D378&gt;=0,E378&gt;0),IF(COUNTIFS($B$13:$B$377,"&lt;"&amp;C378,$C$13:$C$377,"&gt;"&amp;B378)&gt;0,"OVERLAP","OK"),"CHECK INPUTS"))</f>
        <v/>
      </c>
      <c r="M378" s="124"/>
      <c r="N378" s="125"/>
      <c r="O378" s="125"/>
      <c r="P378" s="125"/>
      <c r="Q378" s="125"/>
      <c r="R378" s="126" t="str">
        <f>IF(V378="OK",P378*Q378,"")</f>
        <v/>
      </c>
      <c r="S378" s="126" t="str">
        <f>IF(V378="OK",R378*(O378-N378),"")</f>
        <v/>
      </c>
      <c r="T378" s="126" t="str">
        <f>IF(V378="OK",S378*(O378+N378)/2,"")</f>
        <v/>
      </c>
      <c r="U378" s="126" t="str">
        <f>IF(AND(V378="OK",ISNUMBER($N$5),$N$5&gt;0,ISNUMBER($N$3),$N$3&gt;0),R378*(4*$N$4*(O378^3-N378^3)-(O378^4-N378^4))/(24*$N$3*1000000*$N$5)*1000,"")</f>
        <v/>
      </c>
      <c r="V378" s="120" t="str">
        <f>IF(COUNTA(M378:Q378)=0,"",IF(AND(COUNT(N378:Q378)=4,N378&gt;=0,O378&gt;N378,O378&lt;=$N$4,P378&gt;=0,Q378&gt;0),IF(COUNTIFS($N$13:$N$377,"&lt;"&amp;O378,$O$13:$O$377,"&gt;"&amp;N378)&gt;0,"OVERLAP","OK"),"CHECK INPUTS"))</f>
        <v/>
      </c>
      <c r="AA378" s="120">
        <f>IF(AND(J378="OK",ISNUMBER($B$5),$B$5&gt;0,ISNUMBER($B$3),$B$3&gt;0),F378/(6*$B$3*1000000*$B$5)*(IF(B378&lt;($B$4*0/10),($B$4*0/10)*(MIN(C378,($B$4*0/10))^3-B378^3)-(MIN(C378,($B$4*0/10))^4-B378^4)/4,0)+IF(C378&gt;($B$4*0/10),($B$4*0/10)^2*(1.5*(C378^2-MAX(B378,($B$4*0/10))^2)-($B$4*0/10)*(C378-MAX(B378,($B$4*0/10)))),0))*1000,0)</f>
        <v>0</v>
      </c>
      <c r="AB378" s="120">
        <f>IF(AND(J378="OK",ISNUMBER($B$5),$B$5&gt;0,ISNUMBER($B$3),$B$3&gt;0),F378/(6*$B$3*1000000*$B$5)*(IF(B378&lt;($B$4*1/10),($B$4*1/10)*(MIN(C378,($B$4*1/10))^3-B378^3)-(MIN(C378,($B$4*1/10))^4-B378^4)/4,0)+IF(C378&gt;($B$4*1/10),($B$4*1/10)^2*(1.5*(C378^2-MAX(B378,($B$4*1/10))^2)-($B$4*1/10)*(C378-MAX(B378,($B$4*1/10)))),0))*1000,0)</f>
        <v>0</v>
      </c>
      <c r="AC378" s="120">
        <f>IF(AND(J378="OK",ISNUMBER($B$5),$B$5&gt;0,ISNUMBER($B$3),$B$3&gt;0),F378/(6*$B$3*1000000*$B$5)*(IF(B378&lt;($B$4*2/10),($B$4*2/10)*(MIN(C378,($B$4*2/10))^3-B378^3)-(MIN(C378,($B$4*2/10))^4-B378^4)/4,0)+IF(C378&gt;($B$4*2/10),($B$4*2/10)^2*(1.5*(C378^2-MAX(B378,($B$4*2/10))^2)-($B$4*2/10)*(C378-MAX(B378,($B$4*2/10)))),0))*1000,0)</f>
        <v>0</v>
      </c>
      <c r="AD378" s="120">
        <f>IF(AND(J378="OK",ISNUMBER($B$5),$B$5&gt;0,ISNUMBER($B$3),$B$3&gt;0),F378/(6*$B$3*1000000*$B$5)*(IF(B378&lt;($B$4*3/10),($B$4*3/10)*(MIN(C378,($B$4*3/10))^3-B378^3)-(MIN(C378,($B$4*3/10))^4-B378^4)/4,0)+IF(C378&gt;($B$4*3/10),($B$4*3/10)^2*(1.5*(C378^2-MAX(B378,($B$4*3/10))^2)-($B$4*3/10)*(C378-MAX(B378,($B$4*3/10)))),0))*1000,0)</f>
        <v>0</v>
      </c>
      <c r="AE378" s="120">
        <f>IF(AND(J378="OK",ISNUMBER($B$5),$B$5&gt;0,ISNUMBER($B$3),$B$3&gt;0),F378/(6*$B$3*1000000*$B$5)*(IF(B378&lt;($B$4*4/10),($B$4*4/10)*(MIN(C378,($B$4*4/10))^3-B378^3)-(MIN(C378,($B$4*4/10))^4-B378^4)/4,0)+IF(C378&gt;($B$4*4/10),($B$4*4/10)^2*(1.5*(C378^2-MAX(B378,($B$4*4/10))^2)-($B$4*4/10)*(C378-MAX(B378,($B$4*4/10)))),0))*1000,0)</f>
        <v>0</v>
      </c>
      <c r="AF378" s="120">
        <f>IF(AND(J378="OK",ISNUMBER($B$5),$B$5&gt;0,ISNUMBER($B$3),$B$3&gt;0),F378/(6*$B$3*1000000*$B$5)*(IF(B378&lt;($B$4*5/10),($B$4*5/10)*(MIN(C378,($B$4*5/10))^3-B378^3)-(MIN(C378,($B$4*5/10))^4-B378^4)/4,0)+IF(C378&gt;($B$4*5/10),($B$4*5/10)^2*(1.5*(C378^2-MAX(B378,($B$4*5/10))^2)-($B$4*5/10)*(C378-MAX(B378,($B$4*5/10)))),0))*1000,0)</f>
        <v>0</v>
      </c>
      <c r="AG378" s="120">
        <f>IF(AND(J378="OK",ISNUMBER($B$5),$B$5&gt;0,ISNUMBER($B$3),$B$3&gt;0),F378/(6*$B$3*1000000*$B$5)*(IF(B378&lt;($B$4*6/10),($B$4*6/10)*(MIN(C378,($B$4*6/10))^3-B378^3)-(MIN(C378,($B$4*6/10))^4-B378^4)/4,0)+IF(C378&gt;($B$4*6/10),($B$4*6/10)^2*(1.5*(C378^2-MAX(B378,($B$4*6/10))^2)-($B$4*6/10)*(C378-MAX(B378,($B$4*6/10)))),0))*1000,0)</f>
        <v>0</v>
      </c>
      <c r="AH378" s="120">
        <f>IF(AND(J378="OK",ISNUMBER($B$5),$B$5&gt;0,ISNUMBER($B$3),$B$3&gt;0),F378/(6*$B$3*1000000*$B$5)*(IF(B378&lt;($B$4*7/10),($B$4*7/10)*(MIN(C378,($B$4*7/10))^3-B378^3)-(MIN(C378,($B$4*7/10))^4-B378^4)/4,0)+IF(C378&gt;($B$4*7/10),($B$4*7/10)^2*(1.5*(C378^2-MAX(B378,($B$4*7/10))^2)-($B$4*7/10)*(C378-MAX(B378,($B$4*7/10)))),0))*1000,0)</f>
        <v>0</v>
      </c>
      <c r="AI378" s="120">
        <f>IF(AND(J378="OK",ISNUMBER($B$5),$B$5&gt;0,ISNUMBER($B$3),$B$3&gt;0),F378/(6*$B$3*1000000*$B$5)*(IF(B378&lt;($B$4*8/10),($B$4*8/10)*(MIN(C378,($B$4*8/10))^3-B378^3)-(MIN(C378,($B$4*8/10))^4-B378^4)/4,0)+IF(C378&gt;($B$4*8/10),($B$4*8/10)^2*(1.5*(C378^2-MAX(B378,($B$4*8/10))^2)-($B$4*8/10)*(C378-MAX(B378,($B$4*8/10)))),0))*1000,0)</f>
        <v>0</v>
      </c>
      <c r="AJ378" s="120">
        <f>IF(AND(J378="OK",ISNUMBER($B$5),$B$5&gt;0,ISNUMBER($B$3),$B$3&gt;0),F378/(6*$B$3*1000000*$B$5)*(IF(B378&lt;($B$4*9/10),($B$4*9/10)*(MIN(C378,($B$4*9/10))^3-B378^3)-(MIN(C378,($B$4*9/10))^4-B378^4)/4,0)+IF(C378&gt;($B$4*9/10),($B$4*9/10)^2*(1.5*(C378^2-MAX(B378,($B$4*9/10))^2)-($B$4*9/10)*(C378-MAX(B378,($B$4*9/10)))),0))*1000,0)</f>
        <v>0</v>
      </c>
      <c r="AK378" s="120">
        <f>IF(AND(J378="OK",ISNUMBER($B$5),$B$5&gt;0,ISNUMBER($B$3),$B$3&gt;0),F378/(6*$B$3*1000000*$B$5)*(IF(B378&lt;($B$4*10/10),($B$4*10/10)*(MIN(C378,($B$4*10/10))^3-B378^3)-(MIN(C378,($B$4*10/10))^4-B378^4)/4,0)+IF(C378&gt;($B$4*10/10),($B$4*10/10)^2*(1.5*(C378^2-MAX(B378,($B$4*10/10))^2)-($B$4*10/10)*(C378-MAX(B378,($B$4*10/10)))),0))*1000,0)</f>
        <v>0</v>
      </c>
      <c r="AM378" s="120">
        <f>IF(AND(V378="OK",ISNUMBER($N$5),$N$5&gt;0,ISNUMBER($N$3),$N$3&gt;0),R378/(6*$N$3*1000000*$N$5)*(IF(N378&lt;($N$4*0/10),($N$4*0/10)*(MIN(O378,($N$4*0/10))^3-N378^3)-(MIN(O378,($N$4*0/10))^4-N378^4)/4,0)+IF(O378&gt;($N$4*0/10),($N$4*0/10)^2*(1.5*(O378^2-MAX(N378,($N$4*0/10))^2)-($N$4*0/10)*(O378-MAX(N378,($N$4*0/10)))),0))*1000,0)</f>
        <v>0</v>
      </c>
      <c r="AN378" s="120">
        <f>IF(AND(V378="OK",ISNUMBER($N$5),$N$5&gt;0,ISNUMBER($N$3),$N$3&gt;0),R378/(6*$N$3*1000000*$N$5)*(IF(N378&lt;($N$4*1/10),($N$4*1/10)*(MIN(O378,($N$4*1/10))^3-N378^3)-(MIN(O378,($N$4*1/10))^4-N378^4)/4,0)+IF(O378&gt;($N$4*1/10),($N$4*1/10)^2*(1.5*(O378^2-MAX(N378,($N$4*1/10))^2)-($N$4*1/10)*(O378-MAX(N378,($N$4*1/10)))),0))*1000,0)</f>
        <v>0</v>
      </c>
      <c r="AO378" s="120">
        <f>IF(AND(V378="OK",ISNUMBER($N$5),$N$5&gt;0,ISNUMBER($N$3),$N$3&gt;0),R378/(6*$N$3*1000000*$N$5)*(IF(N378&lt;($N$4*2/10),($N$4*2/10)*(MIN(O378,($N$4*2/10))^3-N378^3)-(MIN(O378,($N$4*2/10))^4-N378^4)/4,0)+IF(O378&gt;($N$4*2/10),($N$4*2/10)^2*(1.5*(O378^2-MAX(N378,($N$4*2/10))^2)-($N$4*2/10)*(O378-MAX(N378,($N$4*2/10)))),0))*1000,0)</f>
        <v>0</v>
      </c>
      <c r="AP378" s="120">
        <f>IF(AND(V378="OK",ISNUMBER($N$5),$N$5&gt;0,ISNUMBER($N$3),$N$3&gt;0),R378/(6*$N$3*1000000*$N$5)*(IF(N378&lt;($N$4*3/10),($N$4*3/10)*(MIN(O378,($N$4*3/10))^3-N378^3)-(MIN(O378,($N$4*3/10))^4-N378^4)/4,0)+IF(O378&gt;($N$4*3/10),($N$4*3/10)^2*(1.5*(O378^2-MAX(N378,($N$4*3/10))^2)-($N$4*3/10)*(O378-MAX(N378,($N$4*3/10)))),0))*1000,0)</f>
        <v>0</v>
      </c>
      <c r="AQ378" s="120">
        <f>IF(AND(V378="OK",ISNUMBER($N$5),$N$5&gt;0,ISNUMBER($N$3),$N$3&gt;0),R378/(6*$N$3*1000000*$N$5)*(IF(N378&lt;($N$4*4/10),($N$4*4/10)*(MIN(O378,($N$4*4/10))^3-N378^3)-(MIN(O378,($N$4*4/10))^4-N378^4)/4,0)+IF(O378&gt;($N$4*4/10),($N$4*4/10)^2*(1.5*(O378^2-MAX(N378,($N$4*4/10))^2)-($N$4*4/10)*(O378-MAX(N378,($N$4*4/10)))),0))*1000,0)</f>
        <v>0</v>
      </c>
      <c r="AR378" s="120">
        <f>IF(AND(V378="OK",ISNUMBER($N$5),$N$5&gt;0,ISNUMBER($N$3),$N$3&gt;0),R378/(6*$N$3*1000000*$N$5)*(IF(N378&lt;($N$4*5/10),($N$4*5/10)*(MIN(O378,($N$4*5/10))^3-N378^3)-(MIN(O378,($N$4*5/10))^4-N378^4)/4,0)+IF(O378&gt;($N$4*5/10),($N$4*5/10)^2*(1.5*(O378^2-MAX(N378,($N$4*5/10))^2)-($N$4*5/10)*(O378-MAX(N378,($N$4*5/10)))),0))*1000,0)</f>
        <v>0</v>
      </c>
      <c r="AS378" s="120">
        <f>IF(AND(V378="OK",ISNUMBER($N$5),$N$5&gt;0,ISNUMBER($N$3),$N$3&gt;0),R378/(6*$N$3*1000000*$N$5)*(IF(N378&lt;($N$4*6/10),($N$4*6/10)*(MIN(O378,($N$4*6/10))^3-N378^3)-(MIN(O378,($N$4*6/10))^4-N378^4)/4,0)+IF(O378&gt;($N$4*6/10),($N$4*6/10)^2*(1.5*(O378^2-MAX(N378,($N$4*6/10))^2)-($N$4*6/10)*(O378-MAX(N378,($N$4*6/10)))),0))*1000,0)</f>
        <v>0</v>
      </c>
      <c r="AT378" s="120">
        <f>IF(AND(V378="OK",ISNUMBER($N$5),$N$5&gt;0,ISNUMBER($N$3),$N$3&gt;0),R378/(6*$N$3*1000000*$N$5)*(IF(N378&lt;($N$4*7/10),($N$4*7/10)*(MIN(O378,($N$4*7/10))^3-N378^3)-(MIN(O378,($N$4*7/10))^4-N378^4)/4,0)+IF(O378&gt;($N$4*7/10),($N$4*7/10)^2*(1.5*(O378^2-MAX(N378,($N$4*7/10))^2)-($N$4*7/10)*(O378-MAX(N378,($N$4*7/10)))),0))*1000,0)</f>
        <v>0</v>
      </c>
      <c r="AU378" s="120">
        <f>IF(AND(V378="OK",ISNUMBER($N$5),$N$5&gt;0,ISNUMBER($N$3),$N$3&gt;0),R378/(6*$N$3*1000000*$N$5)*(IF(N378&lt;($N$4*8/10),($N$4*8/10)*(MIN(O378,($N$4*8/10))^3-N378^3)-(MIN(O378,($N$4*8/10))^4-N378^4)/4,0)+IF(O378&gt;($N$4*8/10),($N$4*8/10)^2*(1.5*(O378^2-MAX(N378,($N$4*8/10))^2)-($N$4*8/10)*(O378-MAX(N378,($N$4*8/10)))),0))*1000,0)</f>
        <v>0</v>
      </c>
      <c r="AV378" s="120">
        <f>IF(AND(V378="OK",ISNUMBER($N$5),$N$5&gt;0,ISNUMBER($N$3),$N$3&gt;0),R378/(6*$N$3*1000000*$N$5)*(IF(N378&lt;($N$4*9/10),($N$4*9/10)*(MIN(O378,($N$4*9/10))^3-N378^3)-(MIN(O378,($N$4*9/10))^4-N378^4)/4,0)+IF(O378&gt;($N$4*9/10),($N$4*9/10)^2*(1.5*(O378^2-MAX(N378,($N$4*9/10))^2)-($N$4*9/10)*(O378-MAX(N378,($N$4*9/10)))),0))*1000,0)</f>
        <v>0</v>
      </c>
      <c r="AW378" s="120">
        <f>IF(AND(V378="OK",ISNUMBER($N$5),$N$5&gt;0,ISNUMBER($N$3),$N$3&gt;0),R378/(6*$N$3*1000000*$N$5)*(IF(N378&lt;($N$4*10/10),($N$4*10/10)*(MIN(O378,($N$4*10/10))^3-N378^3)-(MIN(O378,($N$4*10/10))^4-N378^4)/4,0)+IF(O378&gt;($N$4*10/10),($N$4*10/10)^2*(1.5*(O378^2-MAX(N378,($N$4*10/10))^2)-($N$4*10/10)*(O378-MAX(N378,($N$4*10/10)))),0))*1000,0)</f>
        <v>0</v>
      </c>
    </row>
    <row r="379" spans="1:49">
      <c r="A379" s="124"/>
      <c r="B379" s="125"/>
      <c r="C379" s="125"/>
      <c r="D379" s="125"/>
      <c r="E379" s="125"/>
      <c r="F379" s="126" t="str">
        <f>IF(J379="OK",D379*E379,"")</f>
        <v/>
      </c>
      <c r="G379" s="126" t="str">
        <f>IF(J379="OK",F379*(C379-B379),"")</f>
        <v/>
      </c>
      <c r="H379" s="126" t="str">
        <f>IF(J379="OK",G379*(C379+B379)/2,"")</f>
        <v/>
      </c>
      <c r="I379" s="126" t="str">
        <f>IF(AND(J379="OK",ISNUMBER($B$5),$B$5&gt;0,ISNUMBER($B$3),$B$3&gt;0),F379*(4*$B$4*(C379^3-B379^3)-(C379^4-B379^4))/(24*$B$3*1000000*$B$5)*1000,"")</f>
        <v/>
      </c>
      <c r="J379" s="120" t="str">
        <f>IF(COUNTA(A379:E379)=0,"",IF(AND(COUNT(B379:E379)=4,B379&gt;=0,C379&gt;B379,C379&lt;=$B$4,D379&gt;=0,E379&gt;0),IF(COUNTIFS($B$13:$B$378,"&lt;"&amp;C379,$C$13:$C$378,"&gt;"&amp;B379)&gt;0,"OVERLAP","OK"),"CHECK INPUTS"))</f>
        <v/>
      </c>
      <c r="M379" s="124"/>
      <c r="N379" s="125"/>
      <c r="O379" s="125"/>
      <c r="P379" s="125"/>
      <c r="Q379" s="125"/>
      <c r="R379" s="126" t="str">
        <f>IF(V379="OK",P379*Q379,"")</f>
        <v/>
      </c>
      <c r="S379" s="126" t="str">
        <f>IF(V379="OK",R379*(O379-N379),"")</f>
        <v/>
      </c>
      <c r="T379" s="126" t="str">
        <f>IF(V379="OK",S379*(O379+N379)/2,"")</f>
        <v/>
      </c>
      <c r="U379" s="126" t="str">
        <f>IF(AND(V379="OK",ISNUMBER($N$5),$N$5&gt;0,ISNUMBER($N$3),$N$3&gt;0),R379*(4*$N$4*(O379^3-N379^3)-(O379^4-N379^4))/(24*$N$3*1000000*$N$5)*1000,"")</f>
        <v/>
      </c>
      <c r="V379" s="120" t="str">
        <f>IF(COUNTA(M379:Q379)=0,"",IF(AND(COUNT(N379:Q379)=4,N379&gt;=0,O379&gt;N379,O379&lt;=$N$4,P379&gt;=0,Q379&gt;0),IF(COUNTIFS($N$13:$N$378,"&lt;"&amp;O379,$O$13:$O$378,"&gt;"&amp;N379)&gt;0,"OVERLAP","OK"),"CHECK INPUTS"))</f>
        <v/>
      </c>
      <c r="AA379" s="120">
        <f>IF(AND(J379="OK",ISNUMBER($B$5),$B$5&gt;0,ISNUMBER($B$3),$B$3&gt;0),F379/(6*$B$3*1000000*$B$5)*(IF(B379&lt;($B$4*0/10),($B$4*0/10)*(MIN(C379,($B$4*0/10))^3-B379^3)-(MIN(C379,($B$4*0/10))^4-B379^4)/4,0)+IF(C379&gt;($B$4*0/10),($B$4*0/10)^2*(1.5*(C379^2-MAX(B379,($B$4*0/10))^2)-($B$4*0/10)*(C379-MAX(B379,($B$4*0/10)))),0))*1000,0)</f>
        <v>0</v>
      </c>
      <c r="AB379" s="120">
        <f>IF(AND(J379="OK",ISNUMBER($B$5),$B$5&gt;0,ISNUMBER($B$3),$B$3&gt;0),F379/(6*$B$3*1000000*$B$5)*(IF(B379&lt;($B$4*1/10),($B$4*1/10)*(MIN(C379,($B$4*1/10))^3-B379^3)-(MIN(C379,($B$4*1/10))^4-B379^4)/4,0)+IF(C379&gt;($B$4*1/10),($B$4*1/10)^2*(1.5*(C379^2-MAX(B379,($B$4*1/10))^2)-($B$4*1/10)*(C379-MAX(B379,($B$4*1/10)))),0))*1000,0)</f>
        <v>0</v>
      </c>
      <c r="AC379" s="120">
        <f>IF(AND(J379="OK",ISNUMBER($B$5),$B$5&gt;0,ISNUMBER($B$3),$B$3&gt;0),F379/(6*$B$3*1000000*$B$5)*(IF(B379&lt;($B$4*2/10),($B$4*2/10)*(MIN(C379,($B$4*2/10))^3-B379^3)-(MIN(C379,($B$4*2/10))^4-B379^4)/4,0)+IF(C379&gt;($B$4*2/10),($B$4*2/10)^2*(1.5*(C379^2-MAX(B379,($B$4*2/10))^2)-($B$4*2/10)*(C379-MAX(B379,($B$4*2/10)))),0))*1000,0)</f>
        <v>0</v>
      </c>
      <c r="AD379" s="120">
        <f>IF(AND(J379="OK",ISNUMBER($B$5),$B$5&gt;0,ISNUMBER($B$3),$B$3&gt;0),F379/(6*$B$3*1000000*$B$5)*(IF(B379&lt;($B$4*3/10),($B$4*3/10)*(MIN(C379,($B$4*3/10))^3-B379^3)-(MIN(C379,($B$4*3/10))^4-B379^4)/4,0)+IF(C379&gt;($B$4*3/10),($B$4*3/10)^2*(1.5*(C379^2-MAX(B379,($B$4*3/10))^2)-($B$4*3/10)*(C379-MAX(B379,($B$4*3/10)))),0))*1000,0)</f>
        <v>0</v>
      </c>
      <c r="AE379" s="120">
        <f>IF(AND(J379="OK",ISNUMBER($B$5),$B$5&gt;0,ISNUMBER($B$3),$B$3&gt;0),F379/(6*$B$3*1000000*$B$5)*(IF(B379&lt;($B$4*4/10),($B$4*4/10)*(MIN(C379,($B$4*4/10))^3-B379^3)-(MIN(C379,($B$4*4/10))^4-B379^4)/4,0)+IF(C379&gt;($B$4*4/10),($B$4*4/10)^2*(1.5*(C379^2-MAX(B379,($B$4*4/10))^2)-($B$4*4/10)*(C379-MAX(B379,($B$4*4/10)))),0))*1000,0)</f>
        <v>0</v>
      </c>
      <c r="AF379" s="120">
        <f>IF(AND(J379="OK",ISNUMBER($B$5),$B$5&gt;0,ISNUMBER($B$3),$B$3&gt;0),F379/(6*$B$3*1000000*$B$5)*(IF(B379&lt;($B$4*5/10),($B$4*5/10)*(MIN(C379,($B$4*5/10))^3-B379^3)-(MIN(C379,($B$4*5/10))^4-B379^4)/4,0)+IF(C379&gt;($B$4*5/10),($B$4*5/10)^2*(1.5*(C379^2-MAX(B379,($B$4*5/10))^2)-($B$4*5/10)*(C379-MAX(B379,($B$4*5/10)))),0))*1000,0)</f>
        <v>0</v>
      </c>
      <c r="AG379" s="120">
        <f>IF(AND(J379="OK",ISNUMBER($B$5),$B$5&gt;0,ISNUMBER($B$3),$B$3&gt;0),F379/(6*$B$3*1000000*$B$5)*(IF(B379&lt;($B$4*6/10),($B$4*6/10)*(MIN(C379,($B$4*6/10))^3-B379^3)-(MIN(C379,($B$4*6/10))^4-B379^4)/4,0)+IF(C379&gt;($B$4*6/10),($B$4*6/10)^2*(1.5*(C379^2-MAX(B379,($B$4*6/10))^2)-($B$4*6/10)*(C379-MAX(B379,($B$4*6/10)))),0))*1000,0)</f>
        <v>0</v>
      </c>
      <c r="AH379" s="120">
        <f>IF(AND(J379="OK",ISNUMBER($B$5),$B$5&gt;0,ISNUMBER($B$3),$B$3&gt;0),F379/(6*$B$3*1000000*$B$5)*(IF(B379&lt;($B$4*7/10),($B$4*7/10)*(MIN(C379,($B$4*7/10))^3-B379^3)-(MIN(C379,($B$4*7/10))^4-B379^4)/4,0)+IF(C379&gt;($B$4*7/10),($B$4*7/10)^2*(1.5*(C379^2-MAX(B379,($B$4*7/10))^2)-($B$4*7/10)*(C379-MAX(B379,($B$4*7/10)))),0))*1000,0)</f>
        <v>0</v>
      </c>
      <c r="AI379" s="120">
        <f>IF(AND(J379="OK",ISNUMBER($B$5),$B$5&gt;0,ISNUMBER($B$3),$B$3&gt;0),F379/(6*$B$3*1000000*$B$5)*(IF(B379&lt;($B$4*8/10),($B$4*8/10)*(MIN(C379,($B$4*8/10))^3-B379^3)-(MIN(C379,($B$4*8/10))^4-B379^4)/4,0)+IF(C379&gt;($B$4*8/10),($B$4*8/10)^2*(1.5*(C379^2-MAX(B379,($B$4*8/10))^2)-($B$4*8/10)*(C379-MAX(B379,($B$4*8/10)))),0))*1000,0)</f>
        <v>0</v>
      </c>
      <c r="AJ379" s="120">
        <f>IF(AND(J379="OK",ISNUMBER($B$5),$B$5&gt;0,ISNUMBER($B$3),$B$3&gt;0),F379/(6*$B$3*1000000*$B$5)*(IF(B379&lt;($B$4*9/10),($B$4*9/10)*(MIN(C379,($B$4*9/10))^3-B379^3)-(MIN(C379,($B$4*9/10))^4-B379^4)/4,0)+IF(C379&gt;($B$4*9/10),($B$4*9/10)^2*(1.5*(C379^2-MAX(B379,($B$4*9/10))^2)-($B$4*9/10)*(C379-MAX(B379,($B$4*9/10)))),0))*1000,0)</f>
        <v>0</v>
      </c>
      <c r="AK379" s="120">
        <f>IF(AND(J379="OK",ISNUMBER($B$5),$B$5&gt;0,ISNUMBER($B$3),$B$3&gt;0),F379/(6*$B$3*1000000*$B$5)*(IF(B379&lt;($B$4*10/10),($B$4*10/10)*(MIN(C379,($B$4*10/10))^3-B379^3)-(MIN(C379,($B$4*10/10))^4-B379^4)/4,0)+IF(C379&gt;($B$4*10/10),($B$4*10/10)^2*(1.5*(C379^2-MAX(B379,($B$4*10/10))^2)-($B$4*10/10)*(C379-MAX(B379,($B$4*10/10)))),0))*1000,0)</f>
        <v>0</v>
      </c>
      <c r="AM379" s="120">
        <f>IF(AND(V379="OK",ISNUMBER($N$5),$N$5&gt;0,ISNUMBER($N$3),$N$3&gt;0),R379/(6*$N$3*1000000*$N$5)*(IF(N379&lt;($N$4*0/10),($N$4*0/10)*(MIN(O379,($N$4*0/10))^3-N379^3)-(MIN(O379,($N$4*0/10))^4-N379^4)/4,0)+IF(O379&gt;($N$4*0/10),($N$4*0/10)^2*(1.5*(O379^2-MAX(N379,($N$4*0/10))^2)-($N$4*0/10)*(O379-MAX(N379,($N$4*0/10)))),0))*1000,0)</f>
        <v>0</v>
      </c>
      <c r="AN379" s="120">
        <f>IF(AND(V379="OK",ISNUMBER($N$5),$N$5&gt;0,ISNUMBER($N$3),$N$3&gt;0),R379/(6*$N$3*1000000*$N$5)*(IF(N379&lt;($N$4*1/10),($N$4*1/10)*(MIN(O379,($N$4*1/10))^3-N379^3)-(MIN(O379,($N$4*1/10))^4-N379^4)/4,0)+IF(O379&gt;($N$4*1/10),($N$4*1/10)^2*(1.5*(O379^2-MAX(N379,($N$4*1/10))^2)-($N$4*1/10)*(O379-MAX(N379,($N$4*1/10)))),0))*1000,0)</f>
        <v>0</v>
      </c>
      <c r="AO379" s="120">
        <f>IF(AND(V379="OK",ISNUMBER($N$5),$N$5&gt;0,ISNUMBER($N$3),$N$3&gt;0),R379/(6*$N$3*1000000*$N$5)*(IF(N379&lt;($N$4*2/10),($N$4*2/10)*(MIN(O379,($N$4*2/10))^3-N379^3)-(MIN(O379,($N$4*2/10))^4-N379^4)/4,0)+IF(O379&gt;($N$4*2/10),($N$4*2/10)^2*(1.5*(O379^2-MAX(N379,($N$4*2/10))^2)-($N$4*2/10)*(O379-MAX(N379,($N$4*2/10)))),0))*1000,0)</f>
        <v>0</v>
      </c>
      <c r="AP379" s="120">
        <f>IF(AND(V379="OK",ISNUMBER($N$5),$N$5&gt;0,ISNUMBER($N$3),$N$3&gt;0),R379/(6*$N$3*1000000*$N$5)*(IF(N379&lt;($N$4*3/10),($N$4*3/10)*(MIN(O379,($N$4*3/10))^3-N379^3)-(MIN(O379,($N$4*3/10))^4-N379^4)/4,0)+IF(O379&gt;($N$4*3/10),($N$4*3/10)^2*(1.5*(O379^2-MAX(N379,($N$4*3/10))^2)-($N$4*3/10)*(O379-MAX(N379,($N$4*3/10)))),0))*1000,0)</f>
        <v>0</v>
      </c>
      <c r="AQ379" s="120">
        <f>IF(AND(V379="OK",ISNUMBER($N$5),$N$5&gt;0,ISNUMBER($N$3),$N$3&gt;0),R379/(6*$N$3*1000000*$N$5)*(IF(N379&lt;($N$4*4/10),($N$4*4/10)*(MIN(O379,($N$4*4/10))^3-N379^3)-(MIN(O379,($N$4*4/10))^4-N379^4)/4,0)+IF(O379&gt;($N$4*4/10),($N$4*4/10)^2*(1.5*(O379^2-MAX(N379,($N$4*4/10))^2)-($N$4*4/10)*(O379-MAX(N379,($N$4*4/10)))),0))*1000,0)</f>
        <v>0</v>
      </c>
      <c r="AR379" s="120">
        <f>IF(AND(V379="OK",ISNUMBER($N$5),$N$5&gt;0,ISNUMBER($N$3),$N$3&gt;0),R379/(6*$N$3*1000000*$N$5)*(IF(N379&lt;($N$4*5/10),($N$4*5/10)*(MIN(O379,($N$4*5/10))^3-N379^3)-(MIN(O379,($N$4*5/10))^4-N379^4)/4,0)+IF(O379&gt;($N$4*5/10),($N$4*5/10)^2*(1.5*(O379^2-MAX(N379,($N$4*5/10))^2)-($N$4*5/10)*(O379-MAX(N379,($N$4*5/10)))),0))*1000,0)</f>
        <v>0</v>
      </c>
      <c r="AS379" s="120">
        <f>IF(AND(V379="OK",ISNUMBER($N$5),$N$5&gt;0,ISNUMBER($N$3),$N$3&gt;0),R379/(6*$N$3*1000000*$N$5)*(IF(N379&lt;($N$4*6/10),($N$4*6/10)*(MIN(O379,($N$4*6/10))^3-N379^3)-(MIN(O379,($N$4*6/10))^4-N379^4)/4,0)+IF(O379&gt;($N$4*6/10),($N$4*6/10)^2*(1.5*(O379^2-MAX(N379,($N$4*6/10))^2)-($N$4*6/10)*(O379-MAX(N379,($N$4*6/10)))),0))*1000,0)</f>
        <v>0</v>
      </c>
      <c r="AT379" s="120">
        <f>IF(AND(V379="OK",ISNUMBER($N$5),$N$5&gt;0,ISNUMBER($N$3),$N$3&gt;0),R379/(6*$N$3*1000000*$N$5)*(IF(N379&lt;($N$4*7/10),($N$4*7/10)*(MIN(O379,($N$4*7/10))^3-N379^3)-(MIN(O379,($N$4*7/10))^4-N379^4)/4,0)+IF(O379&gt;($N$4*7/10),($N$4*7/10)^2*(1.5*(O379^2-MAX(N379,($N$4*7/10))^2)-($N$4*7/10)*(O379-MAX(N379,($N$4*7/10)))),0))*1000,0)</f>
        <v>0</v>
      </c>
      <c r="AU379" s="120">
        <f>IF(AND(V379="OK",ISNUMBER($N$5),$N$5&gt;0,ISNUMBER($N$3),$N$3&gt;0),R379/(6*$N$3*1000000*$N$5)*(IF(N379&lt;($N$4*8/10),($N$4*8/10)*(MIN(O379,($N$4*8/10))^3-N379^3)-(MIN(O379,($N$4*8/10))^4-N379^4)/4,0)+IF(O379&gt;($N$4*8/10),($N$4*8/10)^2*(1.5*(O379^2-MAX(N379,($N$4*8/10))^2)-($N$4*8/10)*(O379-MAX(N379,($N$4*8/10)))),0))*1000,0)</f>
        <v>0</v>
      </c>
      <c r="AV379" s="120">
        <f>IF(AND(V379="OK",ISNUMBER($N$5),$N$5&gt;0,ISNUMBER($N$3),$N$3&gt;0),R379/(6*$N$3*1000000*$N$5)*(IF(N379&lt;($N$4*9/10),($N$4*9/10)*(MIN(O379,($N$4*9/10))^3-N379^3)-(MIN(O379,($N$4*9/10))^4-N379^4)/4,0)+IF(O379&gt;($N$4*9/10),($N$4*9/10)^2*(1.5*(O379^2-MAX(N379,($N$4*9/10))^2)-($N$4*9/10)*(O379-MAX(N379,($N$4*9/10)))),0))*1000,0)</f>
        <v>0</v>
      </c>
      <c r="AW379" s="120">
        <f>IF(AND(V379="OK",ISNUMBER($N$5),$N$5&gt;0,ISNUMBER($N$3),$N$3&gt;0),R379/(6*$N$3*1000000*$N$5)*(IF(N379&lt;($N$4*10/10),($N$4*10/10)*(MIN(O379,($N$4*10/10))^3-N379^3)-(MIN(O379,($N$4*10/10))^4-N379^4)/4,0)+IF(O379&gt;($N$4*10/10),($N$4*10/10)^2*(1.5*(O379^2-MAX(N379,($N$4*10/10))^2)-($N$4*10/10)*(O379-MAX(N379,($N$4*10/10)))),0))*1000,0)</f>
        <v>0</v>
      </c>
    </row>
    <row r="380" spans="1:49">
      <c r="A380" s="124"/>
      <c r="B380" s="125"/>
      <c r="C380" s="125"/>
      <c r="D380" s="125"/>
      <c r="E380" s="125"/>
      <c r="F380" s="126" t="str">
        <f>IF(J380="OK",D380*E380,"")</f>
        <v/>
      </c>
      <c r="G380" s="126" t="str">
        <f>IF(J380="OK",F380*(C380-B380),"")</f>
        <v/>
      </c>
      <c r="H380" s="126" t="str">
        <f>IF(J380="OK",G380*(C380+B380)/2,"")</f>
        <v/>
      </c>
      <c r="I380" s="126" t="str">
        <f>IF(AND(J380="OK",ISNUMBER($B$5),$B$5&gt;0,ISNUMBER($B$3),$B$3&gt;0),F380*(4*$B$4*(C380^3-B380^3)-(C380^4-B380^4))/(24*$B$3*1000000*$B$5)*1000,"")</f>
        <v/>
      </c>
      <c r="J380" s="120" t="str">
        <f>IF(COUNTA(A380:E380)=0,"",IF(AND(COUNT(B380:E380)=4,B380&gt;=0,C380&gt;B380,C380&lt;=$B$4,D380&gt;=0,E380&gt;0),IF(COUNTIFS($B$13:$B$379,"&lt;"&amp;C380,$C$13:$C$379,"&gt;"&amp;B380)&gt;0,"OVERLAP","OK"),"CHECK INPUTS"))</f>
        <v/>
      </c>
      <c r="M380" s="124"/>
      <c r="N380" s="125"/>
      <c r="O380" s="125"/>
      <c r="P380" s="125"/>
      <c r="Q380" s="125"/>
      <c r="R380" s="126" t="str">
        <f>IF(V380="OK",P380*Q380,"")</f>
        <v/>
      </c>
      <c r="S380" s="126" t="str">
        <f>IF(V380="OK",R380*(O380-N380),"")</f>
        <v/>
      </c>
      <c r="T380" s="126" t="str">
        <f>IF(V380="OK",S380*(O380+N380)/2,"")</f>
        <v/>
      </c>
      <c r="U380" s="126" t="str">
        <f>IF(AND(V380="OK",ISNUMBER($N$5),$N$5&gt;0,ISNUMBER($N$3),$N$3&gt;0),R380*(4*$N$4*(O380^3-N380^3)-(O380^4-N380^4))/(24*$N$3*1000000*$N$5)*1000,"")</f>
        <v/>
      </c>
      <c r="V380" s="120" t="str">
        <f>IF(COUNTA(M380:Q380)=0,"",IF(AND(COUNT(N380:Q380)=4,N380&gt;=0,O380&gt;N380,O380&lt;=$N$4,P380&gt;=0,Q380&gt;0),IF(COUNTIFS($N$13:$N$379,"&lt;"&amp;O380,$O$13:$O$379,"&gt;"&amp;N380)&gt;0,"OVERLAP","OK"),"CHECK INPUTS"))</f>
        <v/>
      </c>
      <c r="AA380" s="120">
        <f>IF(AND(J380="OK",ISNUMBER($B$5),$B$5&gt;0,ISNUMBER($B$3),$B$3&gt;0),F380/(6*$B$3*1000000*$B$5)*(IF(B380&lt;($B$4*0/10),($B$4*0/10)*(MIN(C380,($B$4*0/10))^3-B380^3)-(MIN(C380,($B$4*0/10))^4-B380^4)/4,0)+IF(C380&gt;($B$4*0/10),($B$4*0/10)^2*(1.5*(C380^2-MAX(B380,($B$4*0/10))^2)-($B$4*0/10)*(C380-MAX(B380,($B$4*0/10)))),0))*1000,0)</f>
        <v>0</v>
      </c>
      <c r="AB380" s="120">
        <f>IF(AND(J380="OK",ISNUMBER($B$5),$B$5&gt;0,ISNUMBER($B$3),$B$3&gt;0),F380/(6*$B$3*1000000*$B$5)*(IF(B380&lt;($B$4*1/10),($B$4*1/10)*(MIN(C380,($B$4*1/10))^3-B380^3)-(MIN(C380,($B$4*1/10))^4-B380^4)/4,0)+IF(C380&gt;($B$4*1/10),($B$4*1/10)^2*(1.5*(C380^2-MAX(B380,($B$4*1/10))^2)-($B$4*1/10)*(C380-MAX(B380,($B$4*1/10)))),0))*1000,0)</f>
        <v>0</v>
      </c>
      <c r="AC380" s="120">
        <f>IF(AND(J380="OK",ISNUMBER($B$5),$B$5&gt;0,ISNUMBER($B$3),$B$3&gt;0),F380/(6*$B$3*1000000*$B$5)*(IF(B380&lt;($B$4*2/10),($B$4*2/10)*(MIN(C380,($B$4*2/10))^3-B380^3)-(MIN(C380,($B$4*2/10))^4-B380^4)/4,0)+IF(C380&gt;($B$4*2/10),($B$4*2/10)^2*(1.5*(C380^2-MAX(B380,($B$4*2/10))^2)-($B$4*2/10)*(C380-MAX(B380,($B$4*2/10)))),0))*1000,0)</f>
        <v>0</v>
      </c>
      <c r="AD380" s="120">
        <f>IF(AND(J380="OK",ISNUMBER($B$5),$B$5&gt;0,ISNUMBER($B$3),$B$3&gt;0),F380/(6*$B$3*1000000*$B$5)*(IF(B380&lt;($B$4*3/10),($B$4*3/10)*(MIN(C380,($B$4*3/10))^3-B380^3)-(MIN(C380,($B$4*3/10))^4-B380^4)/4,0)+IF(C380&gt;($B$4*3/10),($B$4*3/10)^2*(1.5*(C380^2-MAX(B380,($B$4*3/10))^2)-($B$4*3/10)*(C380-MAX(B380,($B$4*3/10)))),0))*1000,0)</f>
        <v>0</v>
      </c>
      <c r="AE380" s="120">
        <f>IF(AND(J380="OK",ISNUMBER($B$5),$B$5&gt;0,ISNUMBER($B$3),$B$3&gt;0),F380/(6*$B$3*1000000*$B$5)*(IF(B380&lt;($B$4*4/10),($B$4*4/10)*(MIN(C380,($B$4*4/10))^3-B380^3)-(MIN(C380,($B$4*4/10))^4-B380^4)/4,0)+IF(C380&gt;($B$4*4/10),($B$4*4/10)^2*(1.5*(C380^2-MAX(B380,($B$4*4/10))^2)-($B$4*4/10)*(C380-MAX(B380,($B$4*4/10)))),0))*1000,0)</f>
        <v>0</v>
      </c>
      <c r="AF380" s="120">
        <f>IF(AND(J380="OK",ISNUMBER($B$5),$B$5&gt;0,ISNUMBER($B$3),$B$3&gt;0),F380/(6*$B$3*1000000*$B$5)*(IF(B380&lt;($B$4*5/10),($B$4*5/10)*(MIN(C380,($B$4*5/10))^3-B380^3)-(MIN(C380,($B$4*5/10))^4-B380^4)/4,0)+IF(C380&gt;($B$4*5/10),($B$4*5/10)^2*(1.5*(C380^2-MAX(B380,($B$4*5/10))^2)-($B$4*5/10)*(C380-MAX(B380,($B$4*5/10)))),0))*1000,0)</f>
        <v>0</v>
      </c>
      <c r="AG380" s="120">
        <f>IF(AND(J380="OK",ISNUMBER($B$5),$B$5&gt;0,ISNUMBER($B$3),$B$3&gt;0),F380/(6*$B$3*1000000*$B$5)*(IF(B380&lt;($B$4*6/10),($B$4*6/10)*(MIN(C380,($B$4*6/10))^3-B380^3)-(MIN(C380,($B$4*6/10))^4-B380^4)/4,0)+IF(C380&gt;($B$4*6/10),($B$4*6/10)^2*(1.5*(C380^2-MAX(B380,($B$4*6/10))^2)-($B$4*6/10)*(C380-MAX(B380,($B$4*6/10)))),0))*1000,0)</f>
        <v>0</v>
      </c>
      <c r="AH380" s="120">
        <f>IF(AND(J380="OK",ISNUMBER($B$5),$B$5&gt;0,ISNUMBER($B$3),$B$3&gt;0),F380/(6*$B$3*1000000*$B$5)*(IF(B380&lt;($B$4*7/10),($B$4*7/10)*(MIN(C380,($B$4*7/10))^3-B380^3)-(MIN(C380,($B$4*7/10))^4-B380^4)/4,0)+IF(C380&gt;($B$4*7/10),($B$4*7/10)^2*(1.5*(C380^2-MAX(B380,($B$4*7/10))^2)-($B$4*7/10)*(C380-MAX(B380,($B$4*7/10)))),0))*1000,0)</f>
        <v>0</v>
      </c>
      <c r="AI380" s="120">
        <f>IF(AND(J380="OK",ISNUMBER($B$5),$B$5&gt;0,ISNUMBER($B$3),$B$3&gt;0),F380/(6*$B$3*1000000*$B$5)*(IF(B380&lt;($B$4*8/10),($B$4*8/10)*(MIN(C380,($B$4*8/10))^3-B380^3)-(MIN(C380,($B$4*8/10))^4-B380^4)/4,0)+IF(C380&gt;($B$4*8/10),($B$4*8/10)^2*(1.5*(C380^2-MAX(B380,($B$4*8/10))^2)-($B$4*8/10)*(C380-MAX(B380,($B$4*8/10)))),0))*1000,0)</f>
        <v>0</v>
      </c>
      <c r="AJ380" s="120">
        <f>IF(AND(J380="OK",ISNUMBER($B$5),$B$5&gt;0,ISNUMBER($B$3),$B$3&gt;0),F380/(6*$B$3*1000000*$B$5)*(IF(B380&lt;($B$4*9/10),($B$4*9/10)*(MIN(C380,($B$4*9/10))^3-B380^3)-(MIN(C380,($B$4*9/10))^4-B380^4)/4,0)+IF(C380&gt;($B$4*9/10),($B$4*9/10)^2*(1.5*(C380^2-MAX(B380,($B$4*9/10))^2)-($B$4*9/10)*(C380-MAX(B380,($B$4*9/10)))),0))*1000,0)</f>
        <v>0</v>
      </c>
      <c r="AK380" s="120">
        <f>IF(AND(J380="OK",ISNUMBER($B$5),$B$5&gt;0,ISNUMBER($B$3),$B$3&gt;0),F380/(6*$B$3*1000000*$B$5)*(IF(B380&lt;($B$4*10/10),($B$4*10/10)*(MIN(C380,($B$4*10/10))^3-B380^3)-(MIN(C380,($B$4*10/10))^4-B380^4)/4,0)+IF(C380&gt;($B$4*10/10),($B$4*10/10)^2*(1.5*(C380^2-MAX(B380,($B$4*10/10))^2)-($B$4*10/10)*(C380-MAX(B380,($B$4*10/10)))),0))*1000,0)</f>
        <v>0</v>
      </c>
      <c r="AM380" s="120">
        <f>IF(AND(V380="OK",ISNUMBER($N$5),$N$5&gt;0,ISNUMBER($N$3),$N$3&gt;0),R380/(6*$N$3*1000000*$N$5)*(IF(N380&lt;($N$4*0/10),($N$4*0/10)*(MIN(O380,($N$4*0/10))^3-N380^3)-(MIN(O380,($N$4*0/10))^4-N380^4)/4,0)+IF(O380&gt;($N$4*0/10),($N$4*0/10)^2*(1.5*(O380^2-MAX(N380,($N$4*0/10))^2)-($N$4*0/10)*(O380-MAX(N380,($N$4*0/10)))),0))*1000,0)</f>
        <v>0</v>
      </c>
      <c r="AN380" s="120">
        <f>IF(AND(V380="OK",ISNUMBER($N$5),$N$5&gt;0,ISNUMBER($N$3),$N$3&gt;0),R380/(6*$N$3*1000000*$N$5)*(IF(N380&lt;($N$4*1/10),($N$4*1/10)*(MIN(O380,($N$4*1/10))^3-N380^3)-(MIN(O380,($N$4*1/10))^4-N380^4)/4,0)+IF(O380&gt;($N$4*1/10),($N$4*1/10)^2*(1.5*(O380^2-MAX(N380,($N$4*1/10))^2)-($N$4*1/10)*(O380-MAX(N380,($N$4*1/10)))),0))*1000,0)</f>
        <v>0</v>
      </c>
      <c r="AO380" s="120">
        <f>IF(AND(V380="OK",ISNUMBER($N$5),$N$5&gt;0,ISNUMBER($N$3),$N$3&gt;0),R380/(6*$N$3*1000000*$N$5)*(IF(N380&lt;($N$4*2/10),($N$4*2/10)*(MIN(O380,($N$4*2/10))^3-N380^3)-(MIN(O380,($N$4*2/10))^4-N380^4)/4,0)+IF(O380&gt;($N$4*2/10),($N$4*2/10)^2*(1.5*(O380^2-MAX(N380,($N$4*2/10))^2)-($N$4*2/10)*(O380-MAX(N380,($N$4*2/10)))),0))*1000,0)</f>
        <v>0</v>
      </c>
      <c r="AP380" s="120">
        <f>IF(AND(V380="OK",ISNUMBER($N$5),$N$5&gt;0,ISNUMBER($N$3),$N$3&gt;0),R380/(6*$N$3*1000000*$N$5)*(IF(N380&lt;($N$4*3/10),($N$4*3/10)*(MIN(O380,($N$4*3/10))^3-N380^3)-(MIN(O380,($N$4*3/10))^4-N380^4)/4,0)+IF(O380&gt;($N$4*3/10),($N$4*3/10)^2*(1.5*(O380^2-MAX(N380,($N$4*3/10))^2)-($N$4*3/10)*(O380-MAX(N380,($N$4*3/10)))),0))*1000,0)</f>
        <v>0</v>
      </c>
      <c r="AQ380" s="120">
        <f>IF(AND(V380="OK",ISNUMBER($N$5),$N$5&gt;0,ISNUMBER($N$3),$N$3&gt;0),R380/(6*$N$3*1000000*$N$5)*(IF(N380&lt;($N$4*4/10),($N$4*4/10)*(MIN(O380,($N$4*4/10))^3-N380^3)-(MIN(O380,($N$4*4/10))^4-N380^4)/4,0)+IF(O380&gt;($N$4*4/10),($N$4*4/10)^2*(1.5*(O380^2-MAX(N380,($N$4*4/10))^2)-($N$4*4/10)*(O380-MAX(N380,($N$4*4/10)))),0))*1000,0)</f>
        <v>0</v>
      </c>
      <c r="AR380" s="120">
        <f>IF(AND(V380="OK",ISNUMBER($N$5),$N$5&gt;0,ISNUMBER($N$3),$N$3&gt;0),R380/(6*$N$3*1000000*$N$5)*(IF(N380&lt;($N$4*5/10),($N$4*5/10)*(MIN(O380,($N$4*5/10))^3-N380^3)-(MIN(O380,($N$4*5/10))^4-N380^4)/4,0)+IF(O380&gt;($N$4*5/10),($N$4*5/10)^2*(1.5*(O380^2-MAX(N380,($N$4*5/10))^2)-($N$4*5/10)*(O380-MAX(N380,($N$4*5/10)))),0))*1000,0)</f>
        <v>0</v>
      </c>
      <c r="AS380" s="120">
        <f>IF(AND(V380="OK",ISNUMBER($N$5),$N$5&gt;0,ISNUMBER($N$3),$N$3&gt;0),R380/(6*$N$3*1000000*$N$5)*(IF(N380&lt;($N$4*6/10),($N$4*6/10)*(MIN(O380,($N$4*6/10))^3-N380^3)-(MIN(O380,($N$4*6/10))^4-N380^4)/4,0)+IF(O380&gt;($N$4*6/10),($N$4*6/10)^2*(1.5*(O380^2-MAX(N380,($N$4*6/10))^2)-($N$4*6/10)*(O380-MAX(N380,($N$4*6/10)))),0))*1000,0)</f>
        <v>0</v>
      </c>
      <c r="AT380" s="120">
        <f>IF(AND(V380="OK",ISNUMBER($N$5),$N$5&gt;0,ISNUMBER($N$3),$N$3&gt;0),R380/(6*$N$3*1000000*$N$5)*(IF(N380&lt;($N$4*7/10),($N$4*7/10)*(MIN(O380,($N$4*7/10))^3-N380^3)-(MIN(O380,($N$4*7/10))^4-N380^4)/4,0)+IF(O380&gt;($N$4*7/10),($N$4*7/10)^2*(1.5*(O380^2-MAX(N380,($N$4*7/10))^2)-($N$4*7/10)*(O380-MAX(N380,($N$4*7/10)))),0))*1000,0)</f>
        <v>0</v>
      </c>
      <c r="AU380" s="120">
        <f>IF(AND(V380="OK",ISNUMBER($N$5),$N$5&gt;0,ISNUMBER($N$3),$N$3&gt;0),R380/(6*$N$3*1000000*$N$5)*(IF(N380&lt;($N$4*8/10),($N$4*8/10)*(MIN(O380,($N$4*8/10))^3-N380^3)-(MIN(O380,($N$4*8/10))^4-N380^4)/4,0)+IF(O380&gt;($N$4*8/10),($N$4*8/10)^2*(1.5*(O380^2-MAX(N380,($N$4*8/10))^2)-($N$4*8/10)*(O380-MAX(N380,($N$4*8/10)))),0))*1000,0)</f>
        <v>0</v>
      </c>
      <c r="AV380" s="120">
        <f>IF(AND(V380="OK",ISNUMBER($N$5),$N$5&gt;0,ISNUMBER($N$3),$N$3&gt;0),R380/(6*$N$3*1000000*$N$5)*(IF(N380&lt;($N$4*9/10),($N$4*9/10)*(MIN(O380,($N$4*9/10))^3-N380^3)-(MIN(O380,($N$4*9/10))^4-N380^4)/4,0)+IF(O380&gt;($N$4*9/10),($N$4*9/10)^2*(1.5*(O380^2-MAX(N380,($N$4*9/10))^2)-($N$4*9/10)*(O380-MAX(N380,($N$4*9/10)))),0))*1000,0)</f>
        <v>0</v>
      </c>
      <c r="AW380" s="120">
        <f>IF(AND(V380="OK",ISNUMBER($N$5),$N$5&gt;0,ISNUMBER($N$3),$N$3&gt;0),R380/(6*$N$3*1000000*$N$5)*(IF(N380&lt;($N$4*10/10),($N$4*10/10)*(MIN(O380,($N$4*10/10))^3-N380^3)-(MIN(O380,($N$4*10/10))^4-N380^4)/4,0)+IF(O380&gt;($N$4*10/10),($N$4*10/10)^2*(1.5*(O380^2-MAX(N380,($N$4*10/10))^2)-($N$4*10/10)*(O380-MAX(N380,($N$4*10/10)))),0))*1000,0)</f>
        <v>0</v>
      </c>
    </row>
    <row r="381" spans="1:49">
      <c r="A381" s="124"/>
      <c r="B381" s="125"/>
      <c r="C381" s="125"/>
      <c r="D381" s="125"/>
      <c r="E381" s="125"/>
      <c r="F381" s="126" t="str">
        <f>IF(J381="OK",D381*E381,"")</f>
        <v/>
      </c>
      <c r="G381" s="126" t="str">
        <f>IF(J381="OK",F381*(C381-B381),"")</f>
        <v/>
      </c>
      <c r="H381" s="126" t="str">
        <f>IF(J381="OK",G381*(C381+B381)/2,"")</f>
        <v/>
      </c>
      <c r="I381" s="126" t="str">
        <f>IF(AND(J381="OK",ISNUMBER($B$5),$B$5&gt;0,ISNUMBER($B$3),$B$3&gt;0),F381*(4*$B$4*(C381^3-B381^3)-(C381^4-B381^4))/(24*$B$3*1000000*$B$5)*1000,"")</f>
        <v/>
      </c>
      <c r="J381" s="120" t="str">
        <f>IF(COUNTA(A381:E381)=0,"",IF(AND(COUNT(B381:E381)=4,B381&gt;=0,C381&gt;B381,C381&lt;=$B$4,D381&gt;=0,E381&gt;0),IF(COUNTIFS($B$13:$B$380,"&lt;"&amp;C381,$C$13:$C$380,"&gt;"&amp;B381)&gt;0,"OVERLAP","OK"),"CHECK INPUTS"))</f>
        <v/>
      </c>
      <c r="M381" s="124"/>
      <c r="N381" s="125"/>
      <c r="O381" s="125"/>
      <c r="P381" s="125"/>
      <c r="Q381" s="125"/>
      <c r="R381" s="126" t="str">
        <f>IF(V381="OK",P381*Q381,"")</f>
        <v/>
      </c>
      <c r="S381" s="126" t="str">
        <f>IF(V381="OK",R381*(O381-N381),"")</f>
        <v/>
      </c>
      <c r="T381" s="126" t="str">
        <f>IF(V381="OK",S381*(O381+N381)/2,"")</f>
        <v/>
      </c>
      <c r="U381" s="126" t="str">
        <f>IF(AND(V381="OK",ISNUMBER($N$5),$N$5&gt;0,ISNUMBER($N$3),$N$3&gt;0),R381*(4*$N$4*(O381^3-N381^3)-(O381^4-N381^4))/(24*$N$3*1000000*$N$5)*1000,"")</f>
        <v/>
      </c>
      <c r="V381" s="120" t="str">
        <f>IF(COUNTA(M381:Q381)=0,"",IF(AND(COUNT(N381:Q381)=4,N381&gt;=0,O381&gt;N381,O381&lt;=$N$4,P381&gt;=0,Q381&gt;0),IF(COUNTIFS($N$13:$N$380,"&lt;"&amp;O381,$O$13:$O$380,"&gt;"&amp;N381)&gt;0,"OVERLAP","OK"),"CHECK INPUTS"))</f>
        <v/>
      </c>
      <c r="AA381" s="120">
        <f>IF(AND(J381="OK",ISNUMBER($B$5),$B$5&gt;0,ISNUMBER($B$3),$B$3&gt;0),F381/(6*$B$3*1000000*$B$5)*(IF(B381&lt;($B$4*0/10),($B$4*0/10)*(MIN(C381,($B$4*0/10))^3-B381^3)-(MIN(C381,($B$4*0/10))^4-B381^4)/4,0)+IF(C381&gt;($B$4*0/10),($B$4*0/10)^2*(1.5*(C381^2-MAX(B381,($B$4*0/10))^2)-($B$4*0/10)*(C381-MAX(B381,($B$4*0/10)))),0))*1000,0)</f>
        <v>0</v>
      </c>
      <c r="AB381" s="120">
        <f>IF(AND(J381="OK",ISNUMBER($B$5),$B$5&gt;0,ISNUMBER($B$3),$B$3&gt;0),F381/(6*$B$3*1000000*$B$5)*(IF(B381&lt;($B$4*1/10),($B$4*1/10)*(MIN(C381,($B$4*1/10))^3-B381^3)-(MIN(C381,($B$4*1/10))^4-B381^4)/4,0)+IF(C381&gt;($B$4*1/10),($B$4*1/10)^2*(1.5*(C381^2-MAX(B381,($B$4*1/10))^2)-($B$4*1/10)*(C381-MAX(B381,($B$4*1/10)))),0))*1000,0)</f>
        <v>0</v>
      </c>
      <c r="AC381" s="120">
        <f>IF(AND(J381="OK",ISNUMBER($B$5),$B$5&gt;0,ISNUMBER($B$3),$B$3&gt;0),F381/(6*$B$3*1000000*$B$5)*(IF(B381&lt;($B$4*2/10),($B$4*2/10)*(MIN(C381,($B$4*2/10))^3-B381^3)-(MIN(C381,($B$4*2/10))^4-B381^4)/4,0)+IF(C381&gt;($B$4*2/10),($B$4*2/10)^2*(1.5*(C381^2-MAX(B381,($B$4*2/10))^2)-($B$4*2/10)*(C381-MAX(B381,($B$4*2/10)))),0))*1000,0)</f>
        <v>0</v>
      </c>
      <c r="AD381" s="120">
        <f>IF(AND(J381="OK",ISNUMBER($B$5),$B$5&gt;0,ISNUMBER($B$3),$B$3&gt;0),F381/(6*$B$3*1000000*$B$5)*(IF(B381&lt;($B$4*3/10),($B$4*3/10)*(MIN(C381,($B$4*3/10))^3-B381^3)-(MIN(C381,($B$4*3/10))^4-B381^4)/4,0)+IF(C381&gt;($B$4*3/10),($B$4*3/10)^2*(1.5*(C381^2-MAX(B381,($B$4*3/10))^2)-($B$4*3/10)*(C381-MAX(B381,($B$4*3/10)))),0))*1000,0)</f>
        <v>0</v>
      </c>
      <c r="AE381" s="120">
        <f>IF(AND(J381="OK",ISNUMBER($B$5),$B$5&gt;0,ISNUMBER($B$3),$B$3&gt;0),F381/(6*$B$3*1000000*$B$5)*(IF(B381&lt;($B$4*4/10),($B$4*4/10)*(MIN(C381,($B$4*4/10))^3-B381^3)-(MIN(C381,($B$4*4/10))^4-B381^4)/4,0)+IF(C381&gt;($B$4*4/10),($B$4*4/10)^2*(1.5*(C381^2-MAX(B381,($B$4*4/10))^2)-($B$4*4/10)*(C381-MAX(B381,($B$4*4/10)))),0))*1000,0)</f>
        <v>0</v>
      </c>
      <c r="AF381" s="120">
        <f>IF(AND(J381="OK",ISNUMBER($B$5),$B$5&gt;0,ISNUMBER($B$3),$B$3&gt;0),F381/(6*$B$3*1000000*$B$5)*(IF(B381&lt;($B$4*5/10),($B$4*5/10)*(MIN(C381,($B$4*5/10))^3-B381^3)-(MIN(C381,($B$4*5/10))^4-B381^4)/4,0)+IF(C381&gt;($B$4*5/10),($B$4*5/10)^2*(1.5*(C381^2-MAX(B381,($B$4*5/10))^2)-($B$4*5/10)*(C381-MAX(B381,($B$4*5/10)))),0))*1000,0)</f>
        <v>0</v>
      </c>
      <c r="AG381" s="120">
        <f>IF(AND(J381="OK",ISNUMBER($B$5),$B$5&gt;0,ISNUMBER($B$3),$B$3&gt;0),F381/(6*$B$3*1000000*$B$5)*(IF(B381&lt;($B$4*6/10),($B$4*6/10)*(MIN(C381,($B$4*6/10))^3-B381^3)-(MIN(C381,($B$4*6/10))^4-B381^4)/4,0)+IF(C381&gt;($B$4*6/10),($B$4*6/10)^2*(1.5*(C381^2-MAX(B381,($B$4*6/10))^2)-($B$4*6/10)*(C381-MAX(B381,($B$4*6/10)))),0))*1000,0)</f>
        <v>0</v>
      </c>
      <c r="AH381" s="120">
        <f>IF(AND(J381="OK",ISNUMBER($B$5),$B$5&gt;0,ISNUMBER($B$3),$B$3&gt;0),F381/(6*$B$3*1000000*$B$5)*(IF(B381&lt;($B$4*7/10),($B$4*7/10)*(MIN(C381,($B$4*7/10))^3-B381^3)-(MIN(C381,($B$4*7/10))^4-B381^4)/4,0)+IF(C381&gt;($B$4*7/10),($B$4*7/10)^2*(1.5*(C381^2-MAX(B381,($B$4*7/10))^2)-($B$4*7/10)*(C381-MAX(B381,($B$4*7/10)))),0))*1000,0)</f>
        <v>0</v>
      </c>
      <c r="AI381" s="120">
        <f>IF(AND(J381="OK",ISNUMBER($B$5),$B$5&gt;0,ISNUMBER($B$3),$B$3&gt;0),F381/(6*$B$3*1000000*$B$5)*(IF(B381&lt;($B$4*8/10),($B$4*8/10)*(MIN(C381,($B$4*8/10))^3-B381^3)-(MIN(C381,($B$4*8/10))^4-B381^4)/4,0)+IF(C381&gt;($B$4*8/10),($B$4*8/10)^2*(1.5*(C381^2-MAX(B381,($B$4*8/10))^2)-($B$4*8/10)*(C381-MAX(B381,($B$4*8/10)))),0))*1000,0)</f>
        <v>0</v>
      </c>
      <c r="AJ381" s="120">
        <f>IF(AND(J381="OK",ISNUMBER($B$5),$B$5&gt;0,ISNUMBER($B$3),$B$3&gt;0),F381/(6*$B$3*1000000*$B$5)*(IF(B381&lt;($B$4*9/10),($B$4*9/10)*(MIN(C381,($B$4*9/10))^3-B381^3)-(MIN(C381,($B$4*9/10))^4-B381^4)/4,0)+IF(C381&gt;($B$4*9/10),($B$4*9/10)^2*(1.5*(C381^2-MAX(B381,($B$4*9/10))^2)-($B$4*9/10)*(C381-MAX(B381,($B$4*9/10)))),0))*1000,0)</f>
        <v>0</v>
      </c>
      <c r="AK381" s="120">
        <f>IF(AND(J381="OK",ISNUMBER($B$5),$B$5&gt;0,ISNUMBER($B$3),$B$3&gt;0),F381/(6*$B$3*1000000*$B$5)*(IF(B381&lt;($B$4*10/10),($B$4*10/10)*(MIN(C381,($B$4*10/10))^3-B381^3)-(MIN(C381,($B$4*10/10))^4-B381^4)/4,0)+IF(C381&gt;($B$4*10/10),($B$4*10/10)^2*(1.5*(C381^2-MAX(B381,($B$4*10/10))^2)-($B$4*10/10)*(C381-MAX(B381,($B$4*10/10)))),0))*1000,0)</f>
        <v>0</v>
      </c>
      <c r="AM381" s="120">
        <f>IF(AND(V381="OK",ISNUMBER($N$5),$N$5&gt;0,ISNUMBER($N$3),$N$3&gt;0),R381/(6*$N$3*1000000*$N$5)*(IF(N381&lt;($N$4*0/10),($N$4*0/10)*(MIN(O381,($N$4*0/10))^3-N381^3)-(MIN(O381,($N$4*0/10))^4-N381^4)/4,0)+IF(O381&gt;($N$4*0/10),($N$4*0/10)^2*(1.5*(O381^2-MAX(N381,($N$4*0/10))^2)-($N$4*0/10)*(O381-MAX(N381,($N$4*0/10)))),0))*1000,0)</f>
        <v>0</v>
      </c>
      <c r="AN381" s="120">
        <f>IF(AND(V381="OK",ISNUMBER($N$5),$N$5&gt;0,ISNUMBER($N$3),$N$3&gt;0),R381/(6*$N$3*1000000*$N$5)*(IF(N381&lt;($N$4*1/10),($N$4*1/10)*(MIN(O381,($N$4*1/10))^3-N381^3)-(MIN(O381,($N$4*1/10))^4-N381^4)/4,0)+IF(O381&gt;($N$4*1/10),($N$4*1/10)^2*(1.5*(O381^2-MAX(N381,($N$4*1/10))^2)-($N$4*1/10)*(O381-MAX(N381,($N$4*1/10)))),0))*1000,0)</f>
        <v>0</v>
      </c>
      <c r="AO381" s="120">
        <f>IF(AND(V381="OK",ISNUMBER($N$5),$N$5&gt;0,ISNUMBER($N$3),$N$3&gt;0),R381/(6*$N$3*1000000*$N$5)*(IF(N381&lt;($N$4*2/10),($N$4*2/10)*(MIN(O381,($N$4*2/10))^3-N381^3)-(MIN(O381,($N$4*2/10))^4-N381^4)/4,0)+IF(O381&gt;($N$4*2/10),($N$4*2/10)^2*(1.5*(O381^2-MAX(N381,($N$4*2/10))^2)-($N$4*2/10)*(O381-MAX(N381,($N$4*2/10)))),0))*1000,0)</f>
        <v>0</v>
      </c>
      <c r="AP381" s="120">
        <f>IF(AND(V381="OK",ISNUMBER($N$5),$N$5&gt;0,ISNUMBER($N$3),$N$3&gt;0),R381/(6*$N$3*1000000*$N$5)*(IF(N381&lt;($N$4*3/10),($N$4*3/10)*(MIN(O381,($N$4*3/10))^3-N381^3)-(MIN(O381,($N$4*3/10))^4-N381^4)/4,0)+IF(O381&gt;($N$4*3/10),($N$4*3/10)^2*(1.5*(O381^2-MAX(N381,($N$4*3/10))^2)-($N$4*3/10)*(O381-MAX(N381,($N$4*3/10)))),0))*1000,0)</f>
        <v>0</v>
      </c>
      <c r="AQ381" s="120">
        <f>IF(AND(V381="OK",ISNUMBER($N$5),$N$5&gt;0,ISNUMBER($N$3),$N$3&gt;0),R381/(6*$N$3*1000000*$N$5)*(IF(N381&lt;($N$4*4/10),($N$4*4/10)*(MIN(O381,($N$4*4/10))^3-N381^3)-(MIN(O381,($N$4*4/10))^4-N381^4)/4,0)+IF(O381&gt;($N$4*4/10),($N$4*4/10)^2*(1.5*(O381^2-MAX(N381,($N$4*4/10))^2)-($N$4*4/10)*(O381-MAX(N381,($N$4*4/10)))),0))*1000,0)</f>
        <v>0</v>
      </c>
      <c r="AR381" s="120">
        <f>IF(AND(V381="OK",ISNUMBER($N$5),$N$5&gt;0,ISNUMBER($N$3),$N$3&gt;0),R381/(6*$N$3*1000000*$N$5)*(IF(N381&lt;($N$4*5/10),($N$4*5/10)*(MIN(O381,($N$4*5/10))^3-N381^3)-(MIN(O381,($N$4*5/10))^4-N381^4)/4,0)+IF(O381&gt;($N$4*5/10),($N$4*5/10)^2*(1.5*(O381^2-MAX(N381,($N$4*5/10))^2)-($N$4*5/10)*(O381-MAX(N381,($N$4*5/10)))),0))*1000,0)</f>
        <v>0</v>
      </c>
      <c r="AS381" s="120">
        <f>IF(AND(V381="OK",ISNUMBER($N$5),$N$5&gt;0,ISNUMBER($N$3),$N$3&gt;0),R381/(6*$N$3*1000000*$N$5)*(IF(N381&lt;($N$4*6/10),($N$4*6/10)*(MIN(O381,($N$4*6/10))^3-N381^3)-(MIN(O381,($N$4*6/10))^4-N381^4)/4,0)+IF(O381&gt;($N$4*6/10),($N$4*6/10)^2*(1.5*(O381^2-MAX(N381,($N$4*6/10))^2)-($N$4*6/10)*(O381-MAX(N381,($N$4*6/10)))),0))*1000,0)</f>
        <v>0</v>
      </c>
      <c r="AT381" s="120">
        <f>IF(AND(V381="OK",ISNUMBER($N$5),$N$5&gt;0,ISNUMBER($N$3),$N$3&gt;0),R381/(6*$N$3*1000000*$N$5)*(IF(N381&lt;($N$4*7/10),($N$4*7/10)*(MIN(O381,($N$4*7/10))^3-N381^3)-(MIN(O381,($N$4*7/10))^4-N381^4)/4,0)+IF(O381&gt;($N$4*7/10),($N$4*7/10)^2*(1.5*(O381^2-MAX(N381,($N$4*7/10))^2)-($N$4*7/10)*(O381-MAX(N381,($N$4*7/10)))),0))*1000,0)</f>
        <v>0</v>
      </c>
      <c r="AU381" s="120">
        <f>IF(AND(V381="OK",ISNUMBER($N$5),$N$5&gt;0,ISNUMBER($N$3),$N$3&gt;0),R381/(6*$N$3*1000000*$N$5)*(IF(N381&lt;($N$4*8/10),($N$4*8/10)*(MIN(O381,($N$4*8/10))^3-N381^3)-(MIN(O381,($N$4*8/10))^4-N381^4)/4,0)+IF(O381&gt;($N$4*8/10),($N$4*8/10)^2*(1.5*(O381^2-MAX(N381,($N$4*8/10))^2)-($N$4*8/10)*(O381-MAX(N381,($N$4*8/10)))),0))*1000,0)</f>
        <v>0</v>
      </c>
      <c r="AV381" s="120">
        <f>IF(AND(V381="OK",ISNUMBER($N$5),$N$5&gt;0,ISNUMBER($N$3),$N$3&gt;0),R381/(6*$N$3*1000000*$N$5)*(IF(N381&lt;($N$4*9/10),($N$4*9/10)*(MIN(O381,($N$4*9/10))^3-N381^3)-(MIN(O381,($N$4*9/10))^4-N381^4)/4,0)+IF(O381&gt;($N$4*9/10),($N$4*9/10)^2*(1.5*(O381^2-MAX(N381,($N$4*9/10))^2)-($N$4*9/10)*(O381-MAX(N381,($N$4*9/10)))),0))*1000,0)</f>
        <v>0</v>
      </c>
      <c r="AW381" s="120">
        <f>IF(AND(V381="OK",ISNUMBER($N$5),$N$5&gt;0,ISNUMBER($N$3),$N$3&gt;0),R381/(6*$N$3*1000000*$N$5)*(IF(N381&lt;($N$4*10/10),($N$4*10/10)*(MIN(O381,($N$4*10/10))^3-N381^3)-(MIN(O381,($N$4*10/10))^4-N381^4)/4,0)+IF(O381&gt;($N$4*10/10),($N$4*10/10)^2*(1.5*(O381^2-MAX(N381,($N$4*10/10))^2)-($N$4*10/10)*(O381-MAX(N381,($N$4*10/10)))),0))*1000,0)</f>
        <v>0</v>
      </c>
    </row>
    <row r="382" spans="1:49">
      <c r="A382" s="124"/>
      <c r="B382" s="125"/>
      <c r="C382" s="125"/>
      <c r="D382" s="125"/>
      <c r="E382" s="125"/>
      <c r="F382" s="126" t="str">
        <f>IF(J382="OK",D382*E382,"")</f>
        <v/>
      </c>
      <c r="G382" s="126" t="str">
        <f>IF(J382="OK",F382*(C382-B382),"")</f>
        <v/>
      </c>
      <c r="H382" s="126" t="str">
        <f>IF(J382="OK",G382*(C382+B382)/2,"")</f>
        <v/>
      </c>
      <c r="I382" s="126" t="str">
        <f>IF(AND(J382="OK",ISNUMBER($B$5),$B$5&gt;0,ISNUMBER($B$3),$B$3&gt;0),F382*(4*$B$4*(C382^3-B382^3)-(C382^4-B382^4))/(24*$B$3*1000000*$B$5)*1000,"")</f>
        <v/>
      </c>
      <c r="J382" s="120" t="str">
        <f>IF(COUNTA(A382:E382)=0,"",IF(AND(COUNT(B382:E382)=4,B382&gt;=0,C382&gt;B382,C382&lt;=$B$4,D382&gt;=0,E382&gt;0),IF(COUNTIFS($B$13:$B$381,"&lt;"&amp;C382,$C$13:$C$381,"&gt;"&amp;B382)&gt;0,"OVERLAP","OK"),"CHECK INPUTS"))</f>
        <v/>
      </c>
      <c r="M382" s="124"/>
      <c r="N382" s="125"/>
      <c r="O382" s="125"/>
      <c r="P382" s="125"/>
      <c r="Q382" s="125"/>
      <c r="R382" s="126" t="str">
        <f>IF(V382="OK",P382*Q382,"")</f>
        <v/>
      </c>
      <c r="S382" s="126" t="str">
        <f>IF(V382="OK",R382*(O382-N382),"")</f>
        <v/>
      </c>
      <c r="T382" s="126" t="str">
        <f>IF(V382="OK",S382*(O382+N382)/2,"")</f>
        <v/>
      </c>
      <c r="U382" s="126" t="str">
        <f>IF(AND(V382="OK",ISNUMBER($N$5),$N$5&gt;0,ISNUMBER($N$3),$N$3&gt;0),R382*(4*$N$4*(O382^3-N382^3)-(O382^4-N382^4))/(24*$N$3*1000000*$N$5)*1000,"")</f>
        <v/>
      </c>
      <c r="V382" s="120" t="str">
        <f>IF(COUNTA(M382:Q382)=0,"",IF(AND(COUNT(N382:Q382)=4,N382&gt;=0,O382&gt;N382,O382&lt;=$N$4,P382&gt;=0,Q382&gt;0),IF(COUNTIFS($N$13:$N$381,"&lt;"&amp;O382,$O$13:$O$381,"&gt;"&amp;N382)&gt;0,"OVERLAP","OK"),"CHECK INPUTS"))</f>
        <v/>
      </c>
      <c r="AA382" s="120">
        <f>IF(AND(J382="OK",ISNUMBER($B$5),$B$5&gt;0,ISNUMBER($B$3),$B$3&gt;0),F382/(6*$B$3*1000000*$B$5)*(IF(B382&lt;($B$4*0/10),($B$4*0/10)*(MIN(C382,($B$4*0/10))^3-B382^3)-(MIN(C382,($B$4*0/10))^4-B382^4)/4,0)+IF(C382&gt;($B$4*0/10),($B$4*0/10)^2*(1.5*(C382^2-MAX(B382,($B$4*0/10))^2)-($B$4*0/10)*(C382-MAX(B382,($B$4*0/10)))),0))*1000,0)</f>
        <v>0</v>
      </c>
      <c r="AB382" s="120">
        <f>IF(AND(J382="OK",ISNUMBER($B$5),$B$5&gt;0,ISNUMBER($B$3),$B$3&gt;0),F382/(6*$B$3*1000000*$B$5)*(IF(B382&lt;($B$4*1/10),($B$4*1/10)*(MIN(C382,($B$4*1/10))^3-B382^3)-(MIN(C382,($B$4*1/10))^4-B382^4)/4,0)+IF(C382&gt;($B$4*1/10),($B$4*1/10)^2*(1.5*(C382^2-MAX(B382,($B$4*1/10))^2)-($B$4*1/10)*(C382-MAX(B382,($B$4*1/10)))),0))*1000,0)</f>
        <v>0</v>
      </c>
      <c r="AC382" s="120">
        <f>IF(AND(J382="OK",ISNUMBER($B$5),$B$5&gt;0,ISNUMBER($B$3),$B$3&gt;0),F382/(6*$B$3*1000000*$B$5)*(IF(B382&lt;($B$4*2/10),($B$4*2/10)*(MIN(C382,($B$4*2/10))^3-B382^3)-(MIN(C382,($B$4*2/10))^4-B382^4)/4,0)+IF(C382&gt;($B$4*2/10),($B$4*2/10)^2*(1.5*(C382^2-MAX(B382,($B$4*2/10))^2)-($B$4*2/10)*(C382-MAX(B382,($B$4*2/10)))),0))*1000,0)</f>
        <v>0</v>
      </c>
      <c r="AD382" s="120">
        <f>IF(AND(J382="OK",ISNUMBER($B$5),$B$5&gt;0,ISNUMBER($B$3),$B$3&gt;0),F382/(6*$B$3*1000000*$B$5)*(IF(B382&lt;($B$4*3/10),($B$4*3/10)*(MIN(C382,($B$4*3/10))^3-B382^3)-(MIN(C382,($B$4*3/10))^4-B382^4)/4,0)+IF(C382&gt;($B$4*3/10),($B$4*3/10)^2*(1.5*(C382^2-MAX(B382,($B$4*3/10))^2)-($B$4*3/10)*(C382-MAX(B382,($B$4*3/10)))),0))*1000,0)</f>
        <v>0</v>
      </c>
      <c r="AE382" s="120">
        <f>IF(AND(J382="OK",ISNUMBER($B$5),$B$5&gt;0,ISNUMBER($B$3),$B$3&gt;0),F382/(6*$B$3*1000000*$B$5)*(IF(B382&lt;($B$4*4/10),($B$4*4/10)*(MIN(C382,($B$4*4/10))^3-B382^3)-(MIN(C382,($B$4*4/10))^4-B382^4)/4,0)+IF(C382&gt;($B$4*4/10),($B$4*4/10)^2*(1.5*(C382^2-MAX(B382,($B$4*4/10))^2)-($B$4*4/10)*(C382-MAX(B382,($B$4*4/10)))),0))*1000,0)</f>
        <v>0</v>
      </c>
      <c r="AF382" s="120">
        <f>IF(AND(J382="OK",ISNUMBER($B$5),$B$5&gt;0,ISNUMBER($B$3),$B$3&gt;0),F382/(6*$B$3*1000000*$B$5)*(IF(B382&lt;($B$4*5/10),($B$4*5/10)*(MIN(C382,($B$4*5/10))^3-B382^3)-(MIN(C382,($B$4*5/10))^4-B382^4)/4,0)+IF(C382&gt;($B$4*5/10),($B$4*5/10)^2*(1.5*(C382^2-MAX(B382,($B$4*5/10))^2)-($B$4*5/10)*(C382-MAX(B382,($B$4*5/10)))),0))*1000,0)</f>
        <v>0</v>
      </c>
      <c r="AG382" s="120">
        <f>IF(AND(J382="OK",ISNUMBER($B$5),$B$5&gt;0,ISNUMBER($B$3),$B$3&gt;0),F382/(6*$B$3*1000000*$B$5)*(IF(B382&lt;($B$4*6/10),($B$4*6/10)*(MIN(C382,($B$4*6/10))^3-B382^3)-(MIN(C382,($B$4*6/10))^4-B382^4)/4,0)+IF(C382&gt;($B$4*6/10),($B$4*6/10)^2*(1.5*(C382^2-MAX(B382,($B$4*6/10))^2)-($B$4*6/10)*(C382-MAX(B382,($B$4*6/10)))),0))*1000,0)</f>
        <v>0</v>
      </c>
      <c r="AH382" s="120">
        <f>IF(AND(J382="OK",ISNUMBER($B$5),$B$5&gt;0,ISNUMBER($B$3),$B$3&gt;0),F382/(6*$B$3*1000000*$B$5)*(IF(B382&lt;($B$4*7/10),($B$4*7/10)*(MIN(C382,($B$4*7/10))^3-B382^3)-(MIN(C382,($B$4*7/10))^4-B382^4)/4,0)+IF(C382&gt;($B$4*7/10),($B$4*7/10)^2*(1.5*(C382^2-MAX(B382,($B$4*7/10))^2)-($B$4*7/10)*(C382-MAX(B382,($B$4*7/10)))),0))*1000,0)</f>
        <v>0</v>
      </c>
      <c r="AI382" s="120">
        <f>IF(AND(J382="OK",ISNUMBER($B$5),$B$5&gt;0,ISNUMBER($B$3),$B$3&gt;0),F382/(6*$B$3*1000000*$B$5)*(IF(B382&lt;($B$4*8/10),($B$4*8/10)*(MIN(C382,($B$4*8/10))^3-B382^3)-(MIN(C382,($B$4*8/10))^4-B382^4)/4,0)+IF(C382&gt;($B$4*8/10),($B$4*8/10)^2*(1.5*(C382^2-MAX(B382,($B$4*8/10))^2)-($B$4*8/10)*(C382-MAX(B382,($B$4*8/10)))),0))*1000,0)</f>
        <v>0</v>
      </c>
      <c r="AJ382" s="120">
        <f>IF(AND(J382="OK",ISNUMBER($B$5),$B$5&gt;0,ISNUMBER($B$3),$B$3&gt;0),F382/(6*$B$3*1000000*$B$5)*(IF(B382&lt;($B$4*9/10),($B$4*9/10)*(MIN(C382,($B$4*9/10))^3-B382^3)-(MIN(C382,($B$4*9/10))^4-B382^4)/4,0)+IF(C382&gt;($B$4*9/10),($B$4*9/10)^2*(1.5*(C382^2-MAX(B382,($B$4*9/10))^2)-($B$4*9/10)*(C382-MAX(B382,($B$4*9/10)))),0))*1000,0)</f>
        <v>0</v>
      </c>
      <c r="AK382" s="120">
        <f>IF(AND(J382="OK",ISNUMBER($B$5),$B$5&gt;0,ISNUMBER($B$3),$B$3&gt;0),F382/(6*$B$3*1000000*$B$5)*(IF(B382&lt;($B$4*10/10),($B$4*10/10)*(MIN(C382,($B$4*10/10))^3-B382^3)-(MIN(C382,($B$4*10/10))^4-B382^4)/4,0)+IF(C382&gt;($B$4*10/10),($B$4*10/10)^2*(1.5*(C382^2-MAX(B382,($B$4*10/10))^2)-($B$4*10/10)*(C382-MAX(B382,($B$4*10/10)))),0))*1000,0)</f>
        <v>0</v>
      </c>
      <c r="AM382" s="120">
        <f>IF(AND(V382="OK",ISNUMBER($N$5),$N$5&gt;0,ISNUMBER($N$3),$N$3&gt;0),R382/(6*$N$3*1000000*$N$5)*(IF(N382&lt;($N$4*0/10),($N$4*0/10)*(MIN(O382,($N$4*0/10))^3-N382^3)-(MIN(O382,($N$4*0/10))^4-N382^4)/4,0)+IF(O382&gt;($N$4*0/10),($N$4*0/10)^2*(1.5*(O382^2-MAX(N382,($N$4*0/10))^2)-($N$4*0/10)*(O382-MAX(N382,($N$4*0/10)))),0))*1000,0)</f>
        <v>0</v>
      </c>
      <c r="AN382" s="120">
        <f>IF(AND(V382="OK",ISNUMBER($N$5),$N$5&gt;0,ISNUMBER($N$3),$N$3&gt;0),R382/(6*$N$3*1000000*$N$5)*(IF(N382&lt;($N$4*1/10),($N$4*1/10)*(MIN(O382,($N$4*1/10))^3-N382^3)-(MIN(O382,($N$4*1/10))^4-N382^4)/4,0)+IF(O382&gt;($N$4*1/10),($N$4*1/10)^2*(1.5*(O382^2-MAX(N382,($N$4*1/10))^2)-($N$4*1/10)*(O382-MAX(N382,($N$4*1/10)))),0))*1000,0)</f>
        <v>0</v>
      </c>
      <c r="AO382" s="120">
        <f>IF(AND(V382="OK",ISNUMBER($N$5),$N$5&gt;0,ISNUMBER($N$3),$N$3&gt;0),R382/(6*$N$3*1000000*$N$5)*(IF(N382&lt;($N$4*2/10),($N$4*2/10)*(MIN(O382,($N$4*2/10))^3-N382^3)-(MIN(O382,($N$4*2/10))^4-N382^4)/4,0)+IF(O382&gt;($N$4*2/10),($N$4*2/10)^2*(1.5*(O382^2-MAX(N382,($N$4*2/10))^2)-($N$4*2/10)*(O382-MAX(N382,($N$4*2/10)))),0))*1000,0)</f>
        <v>0</v>
      </c>
      <c r="AP382" s="120">
        <f>IF(AND(V382="OK",ISNUMBER($N$5),$N$5&gt;0,ISNUMBER($N$3),$N$3&gt;0),R382/(6*$N$3*1000000*$N$5)*(IF(N382&lt;($N$4*3/10),($N$4*3/10)*(MIN(O382,($N$4*3/10))^3-N382^3)-(MIN(O382,($N$4*3/10))^4-N382^4)/4,0)+IF(O382&gt;($N$4*3/10),($N$4*3/10)^2*(1.5*(O382^2-MAX(N382,($N$4*3/10))^2)-($N$4*3/10)*(O382-MAX(N382,($N$4*3/10)))),0))*1000,0)</f>
        <v>0</v>
      </c>
      <c r="AQ382" s="120">
        <f>IF(AND(V382="OK",ISNUMBER($N$5),$N$5&gt;0,ISNUMBER($N$3),$N$3&gt;0),R382/(6*$N$3*1000000*$N$5)*(IF(N382&lt;($N$4*4/10),($N$4*4/10)*(MIN(O382,($N$4*4/10))^3-N382^3)-(MIN(O382,($N$4*4/10))^4-N382^4)/4,0)+IF(O382&gt;($N$4*4/10),($N$4*4/10)^2*(1.5*(O382^2-MAX(N382,($N$4*4/10))^2)-($N$4*4/10)*(O382-MAX(N382,($N$4*4/10)))),0))*1000,0)</f>
        <v>0</v>
      </c>
      <c r="AR382" s="120">
        <f>IF(AND(V382="OK",ISNUMBER($N$5),$N$5&gt;0,ISNUMBER($N$3),$N$3&gt;0),R382/(6*$N$3*1000000*$N$5)*(IF(N382&lt;($N$4*5/10),($N$4*5/10)*(MIN(O382,($N$4*5/10))^3-N382^3)-(MIN(O382,($N$4*5/10))^4-N382^4)/4,0)+IF(O382&gt;($N$4*5/10),($N$4*5/10)^2*(1.5*(O382^2-MAX(N382,($N$4*5/10))^2)-($N$4*5/10)*(O382-MAX(N382,($N$4*5/10)))),0))*1000,0)</f>
        <v>0</v>
      </c>
      <c r="AS382" s="120">
        <f>IF(AND(V382="OK",ISNUMBER($N$5),$N$5&gt;0,ISNUMBER($N$3),$N$3&gt;0),R382/(6*$N$3*1000000*$N$5)*(IF(N382&lt;($N$4*6/10),($N$4*6/10)*(MIN(O382,($N$4*6/10))^3-N382^3)-(MIN(O382,($N$4*6/10))^4-N382^4)/4,0)+IF(O382&gt;($N$4*6/10),($N$4*6/10)^2*(1.5*(O382^2-MAX(N382,($N$4*6/10))^2)-($N$4*6/10)*(O382-MAX(N382,($N$4*6/10)))),0))*1000,0)</f>
        <v>0</v>
      </c>
      <c r="AT382" s="120">
        <f>IF(AND(V382="OK",ISNUMBER($N$5),$N$5&gt;0,ISNUMBER($N$3),$N$3&gt;0),R382/(6*$N$3*1000000*$N$5)*(IF(N382&lt;($N$4*7/10),($N$4*7/10)*(MIN(O382,($N$4*7/10))^3-N382^3)-(MIN(O382,($N$4*7/10))^4-N382^4)/4,0)+IF(O382&gt;($N$4*7/10),($N$4*7/10)^2*(1.5*(O382^2-MAX(N382,($N$4*7/10))^2)-($N$4*7/10)*(O382-MAX(N382,($N$4*7/10)))),0))*1000,0)</f>
        <v>0</v>
      </c>
      <c r="AU382" s="120">
        <f>IF(AND(V382="OK",ISNUMBER($N$5),$N$5&gt;0,ISNUMBER($N$3),$N$3&gt;0),R382/(6*$N$3*1000000*$N$5)*(IF(N382&lt;($N$4*8/10),($N$4*8/10)*(MIN(O382,($N$4*8/10))^3-N382^3)-(MIN(O382,($N$4*8/10))^4-N382^4)/4,0)+IF(O382&gt;($N$4*8/10),($N$4*8/10)^2*(1.5*(O382^2-MAX(N382,($N$4*8/10))^2)-($N$4*8/10)*(O382-MAX(N382,($N$4*8/10)))),0))*1000,0)</f>
        <v>0</v>
      </c>
      <c r="AV382" s="120">
        <f>IF(AND(V382="OK",ISNUMBER($N$5),$N$5&gt;0,ISNUMBER($N$3),$N$3&gt;0),R382/(6*$N$3*1000000*$N$5)*(IF(N382&lt;($N$4*9/10),($N$4*9/10)*(MIN(O382,($N$4*9/10))^3-N382^3)-(MIN(O382,($N$4*9/10))^4-N382^4)/4,0)+IF(O382&gt;($N$4*9/10),($N$4*9/10)^2*(1.5*(O382^2-MAX(N382,($N$4*9/10))^2)-($N$4*9/10)*(O382-MAX(N382,($N$4*9/10)))),0))*1000,0)</f>
        <v>0</v>
      </c>
      <c r="AW382" s="120">
        <f>IF(AND(V382="OK",ISNUMBER($N$5),$N$5&gt;0,ISNUMBER($N$3),$N$3&gt;0),R382/(6*$N$3*1000000*$N$5)*(IF(N382&lt;($N$4*10/10),($N$4*10/10)*(MIN(O382,($N$4*10/10))^3-N382^3)-(MIN(O382,($N$4*10/10))^4-N382^4)/4,0)+IF(O382&gt;($N$4*10/10),($N$4*10/10)^2*(1.5*(O382^2-MAX(N382,($N$4*10/10))^2)-($N$4*10/10)*(O382-MAX(N382,($N$4*10/10)))),0))*1000,0)</f>
        <v>0</v>
      </c>
    </row>
    <row r="383" spans="1:49">
      <c r="A383" s="124"/>
      <c r="B383" s="125"/>
      <c r="C383" s="125"/>
      <c r="D383" s="125"/>
      <c r="E383" s="125"/>
      <c r="F383" s="126" t="str">
        <f>IF(J383="OK",D383*E383,"")</f>
        <v/>
      </c>
      <c r="G383" s="126" t="str">
        <f>IF(J383="OK",F383*(C383-B383),"")</f>
        <v/>
      </c>
      <c r="H383" s="126" t="str">
        <f>IF(J383="OK",G383*(C383+B383)/2,"")</f>
        <v/>
      </c>
      <c r="I383" s="126" t="str">
        <f>IF(AND(J383="OK",ISNUMBER($B$5),$B$5&gt;0,ISNUMBER($B$3),$B$3&gt;0),F383*(4*$B$4*(C383^3-B383^3)-(C383^4-B383^4))/(24*$B$3*1000000*$B$5)*1000,"")</f>
        <v/>
      </c>
      <c r="J383" s="120" t="str">
        <f>IF(COUNTA(A383:E383)=0,"",IF(AND(COUNT(B383:E383)=4,B383&gt;=0,C383&gt;B383,C383&lt;=$B$4,D383&gt;=0,E383&gt;0),IF(COUNTIFS($B$13:$B$382,"&lt;"&amp;C383,$C$13:$C$382,"&gt;"&amp;B383)&gt;0,"OVERLAP","OK"),"CHECK INPUTS"))</f>
        <v/>
      </c>
      <c r="M383" s="124"/>
      <c r="N383" s="125"/>
      <c r="O383" s="125"/>
      <c r="P383" s="125"/>
      <c r="Q383" s="125"/>
      <c r="R383" s="126" t="str">
        <f>IF(V383="OK",P383*Q383,"")</f>
        <v/>
      </c>
      <c r="S383" s="126" t="str">
        <f>IF(V383="OK",R383*(O383-N383),"")</f>
        <v/>
      </c>
      <c r="T383" s="126" t="str">
        <f>IF(V383="OK",S383*(O383+N383)/2,"")</f>
        <v/>
      </c>
      <c r="U383" s="126" t="str">
        <f>IF(AND(V383="OK",ISNUMBER($N$5),$N$5&gt;0,ISNUMBER($N$3),$N$3&gt;0),R383*(4*$N$4*(O383^3-N383^3)-(O383^4-N383^4))/(24*$N$3*1000000*$N$5)*1000,"")</f>
        <v/>
      </c>
      <c r="V383" s="120" t="str">
        <f>IF(COUNTA(M383:Q383)=0,"",IF(AND(COUNT(N383:Q383)=4,N383&gt;=0,O383&gt;N383,O383&lt;=$N$4,P383&gt;=0,Q383&gt;0),IF(COUNTIFS($N$13:$N$382,"&lt;"&amp;O383,$O$13:$O$382,"&gt;"&amp;N383)&gt;0,"OVERLAP","OK"),"CHECK INPUTS"))</f>
        <v/>
      </c>
      <c r="AA383" s="120">
        <f>IF(AND(J383="OK",ISNUMBER($B$5),$B$5&gt;0,ISNUMBER($B$3),$B$3&gt;0),F383/(6*$B$3*1000000*$B$5)*(IF(B383&lt;($B$4*0/10),($B$4*0/10)*(MIN(C383,($B$4*0/10))^3-B383^3)-(MIN(C383,($B$4*0/10))^4-B383^4)/4,0)+IF(C383&gt;($B$4*0/10),($B$4*0/10)^2*(1.5*(C383^2-MAX(B383,($B$4*0/10))^2)-($B$4*0/10)*(C383-MAX(B383,($B$4*0/10)))),0))*1000,0)</f>
        <v>0</v>
      </c>
      <c r="AB383" s="120">
        <f>IF(AND(J383="OK",ISNUMBER($B$5),$B$5&gt;0,ISNUMBER($B$3),$B$3&gt;0),F383/(6*$B$3*1000000*$B$5)*(IF(B383&lt;($B$4*1/10),($B$4*1/10)*(MIN(C383,($B$4*1/10))^3-B383^3)-(MIN(C383,($B$4*1/10))^4-B383^4)/4,0)+IF(C383&gt;($B$4*1/10),($B$4*1/10)^2*(1.5*(C383^2-MAX(B383,($B$4*1/10))^2)-($B$4*1/10)*(C383-MAX(B383,($B$4*1/10)))),0))*1000,0)</f>
        <v>0</v>
      </c>
      <c r="AC383" s="120">
        <f>IF(AND(J383="OK",ISNUMBER($B$5),$B$5&gt;0,ISNUMBER($B$3),$B$3&gt;0),F383/(6*$B$3*1000000*$B$5)*(IF(B383&lt;($B$4*2/10),($B$4*2/10)*(MIN(C383,($B$4*2/10))^3-B383^3)-(MIN(C383,($B$4*2/10))^4-B383^4)/4,0)+IF(C383&gt;($B$4*2/10),($B$4*2/10)^2*(1.5*(C383^2-MAX(B383,($B$4*2/10))^2)-($B$4*2/10)*(C383-MAX(B383,($B$4*2/10)))),0))*1000,0)</f>
        <v>0</v>
      </c>
      <c r="AD383" s="120">
        <f>IF(AND(J383="OK",ISNUMBER($B$5),$B$5&gt;0,ISNUMBER($B$3),$B$3&gt;0),F383/(6*$B$3*1000000*$B$5)*(IF(B383&lt;($B$4*3/10),($B$4*3/10)*(MIN(C383,($B$4*3/10))^3-B383^3)-(MIN(C383,($B$4*3/10))^4-B383^4)/4,0)+IF(C383&gt;($B$4*3/10),($B$4*3/10)^2*(1.5*(C383^2-MAX(B383,($B$4*3/10))^2)-($B$4*3/10)*(C383-MAX(B383,($B$4*3/10)))),0))*1000,0)</f>
        <v>0</v>
      </c>
      <c r="AE383" s="120">
        <f>IF(AND(J383="OK",ISNUMBER($B$5),$B$5&gt;0,ISNUMBER($B$3),$B$3&gt;0),F383/(6*$B$3*1000000*$B$5)*(IF(B383&lt;($B$4*4/10),($B$4*4/10)*(MIN(C383,($B$4*4/10))^3-B383^3)-(MIN(C383,($B$4*4/10))^4-B383^4)/4,0)+IF(C383&gt;($B$4*4/10),($B$4*4/10)^2*(1.5*(C383^2-MAX(B383,($B$4*4/10))^2)-($B$4*4/10)*(C383-MAX(B383,($B$4*4/10)))),0))*1000,0)</f>
        <v>0</v>
      </c>
      <c r="AF383" s="120">
        <f>IF(AND(J383="OK",ISNUMBER($B$5),$B$5&gt;0,ISNUMBER($B$3),$B$3&gt;0),F383/(6*$B$3*1000000*$B$5)*(IF(B383&lt;($B$4*5/10),($B$4*5/10)*(MIN(C383,($B$4*5/10))^3-B383^3)-(MIN(C383,($B$4*5/10))^4-B383^4)/4,0)+IF(C383&gt;($B$4*5/10),($B$4*5/10)^2*(1.5*(C383^2-MAX(B383,($B$4*5/10))^2)-($B$4*5/10)*(C383-MAX(B383,($B$4*5/10)))),0))*1000,0)</f>
        <v>0</v>
      </c>
      <c r="AG383" s="120">
        <f>IF(AND(J383="OK",ISNUMBER($B$5),$B$5&gt;0,ISNUMBER($B$3),$B$3&gt;0),F383/(6*$B$3*1000000*$B$5)*(IF(B383&lt;($B$4*6/10),($B$4*6/10)*(MIN(C383,($B$4*6/10))^3-B383^3)-(MIN(C383,($B$4*6/10))^4-B383^4)/4,0)+IF(C383&gt;($B$4*6/10),($B$4*6/10)^2*(1.5*(C383^2-MAX(B383,($B$4*6/10))^2)-($B$4*6/10)*(C383-MAX(B383,($B$4*6/10)))),0))*1000,0)</f>
        <v>0</v>
      </c>
      <c r="AH383" s="120">
        <f>IF(AND(J383="OK",ISNUMBER($B$5),$B$5&gt;0,ISNUMBER($B$3),$B$3&gt;0),F383/(6*$B$3*1000000*$B$5)*(IF(B383&lt;($B$4*7/10),($B$4*7/10)*(MIN(C383,($B$4*7/10))^3-B383^3)-(MIN(C383,($B$4*7/10))^4-B383^4)/4,0)+IF(C383&gt;($B$4*7/10),($B$4*7/10)^2*(1.5*(C383^2-MAX(B383,($B$4*7/10))^2)-($B$4*7/10)*(C383-MAX(B383,($B$4*7/10)))),0))*1000,0)</f>
        <v>0</v>
      </c>
      <c r="AI383" s="120">
        <f>IF(AND(J383="OK",ISNUMBER($B$5),$B$5&gt;0,ISNUMBER($B$3),$B$3&gt;0),F383/(6*$B$3*1000000*$B$5)*(IF(B383&lt;($B$4*8/10),($B$4*8/10)*(MIN(C383,($B$4*8/10))^3-B383^3)-(MIN(C383,($B$4*8/10))^4-B383^4)/4,0)+IF(C383&gt;($B$4*8/10),($B$4*8/10)^2*(1.5*(C383^2-MAX(B383,($B$4*8/10))^2)-($B$4*8/10)*(C383-MAX(B383,($B$4*8/10)))),0))*1000,0)</f>
        <v>0</v>
      </c>
      <c r="AJ383" s="120">
        <f>IF(AND(J383="OK",ISNUMBER($B$5),$B$5&gt;0,ISNUMBER($B$3),$B$3&gt;0),F383/(6*$B$3*1000000*$B$5)*(IF(B383&lt;($B$4*9/10),($B$4*9/10)*(MIN(C383,($B$4*9/10))^3-B383^3)-(MIN(C383,($B$4*9/10))^4-B383^4)/4,0)+IF(C383&gt;($B$4*9/10),($B$4*9/10)^2*(1.5*(C383^2-MAX(B383,($B$4*9/10))^2)-($B$4*9/10)*(C383-MAX(B383,($B$4*9/10)))),0))*1000,0)</f>
        <v>0</v>
      </c>
      <c r="AK383" s="120">
        <f>IF(AND(J383="OK",ISNUMBER($B$5),$B$5&gt;0,ISNUMBER($B$3),$B$3&gt;0),F383/(6*$B$3*1000000*$B$5)*(IF(B383&lt;($B$4*10/10),($B$4*10/10)*(MIN(C383,($B$4*10/10))^3-B383^3)-(MIN(C383,($B$4*10/10))^4-B383^4)/4,0)+IF(C383&gt;($B$4*10/10),($B$4*10/10)^2*(1.5*(C383^2-MAX(B383,($B$4*10/10))^2)-($B$4*10/10)*(C383-MAX(B383,($B$4*10/10)))),0))*1000,0)</f>
        <v>0</v>
      </c>
      <c r="AM383" s="120">
        <f>IF(AND(V383="OK",ISNUMBER($N$5),$N$5&gt;0,ISNUMBER($N$3),$N$3&gt;0),R383/(6*$N$3*1000000*$N$5)*(IF(N383&lt;($N$4*0/10),($N$4*0/10)*(MIN(O383,($N$4*0/10))^3-N383^3)-(MIN(O383,($N$4*0/10))^4-N383^4)/4,0)+IF(O383&gt;($N$4*0/10),($N$4*0/10)^2*(1.5*(O383^2-MAX(N383,($N$4*0/10))^2)-($N$4*0/10)*(O383-MAX(N383,($N$4*0/10)))),0))*1000,0)</f>
        <v>0</v>
      </c>
      <c r="AN383" s="120">
        <f>IF(AND(V383="OK",ISNUMBER($N$5),$N$5&gt;0,ISNUMBER($N$3),$N$3&gt;0),R383/(6*$N$3*1000000*$N$5)*(IF(N383&lt;($N$4*1/10),($N$4*1/10)*(MIN(O383,($N$4*1/10))^3-N383^3)-(MIN(O383,($N$4*1/10))^4-N383^4)/4,0)+IF(O383&gt;($N$4*1/10),($N$4*1/10)^2*(1.5*(O383^2-MAX(N383,($N$4*1/10))^2)-($N$4*1/10)*(O383-MAX(N383,($N$4*1/10)))),0))*1000,0)</f>
        <v>0</v>
      </c>
      <c r="AO383" s="120">
        <f>IF(AND(V383="OK",ISNUMBER($N$5),$N$5&gt;0,ISNUMBER($N$3),$N$3&gt;0),R383/(6*$N$3*1000000*$N$5)*(IF(N383&lt;($N$4*2/10),($N$4*2/10)*(MIN(O383,($N$4*2/10))^3-N383^3)-(MIN(O383,($N$4*2/10))^4-N383^4)/4,0)+IF(O383&gt;($N$4*2/10),($N$4*2/10)^2*(1.5*(O383^2-MAX(N383,($N$4*2/10))^2)-($N$4*2/10)*(O383-MAX(N383,($N$4*2/10)))),0))*1000,0)</f>
        <v>0</v>
      </c>
      <c r="AP383" s="120">
        <f>IF(AND(V383="OK",ISNUMBER($N$5),$N$5&gt;0,ISNUMBER($N$3),$N$3&gt;0),R383/(6*$N$3*1000000*$N$5)*(IF(N383&lt;($N$4*3/10),($N$4*3/10)*(MIN(O383,($N$4*3/10))^3-N383^3)-(MIN(O383,($N$4*3/10))^4-N383^4)/4,0)+IF(O383&gt;($N$4*3/10),($N$4*3/10)^2*(1.5*(O383^2-MAX(N383,($N$4*3/10))^2)-($N$4*3/10)*(O383-MAX(N383,($N$4*3/10)))),0))*1000,0)</f>
        <v>0</v>
      </c>
      <c r="AQ383" s="120">
        <f>IF(AND(V383="OK",ISNUMBER($N$5),$N$5&gt;0,ISNUMBER($N$3),$N$3&gt;0),R383/(6*$N$3*1000000*$N$5)*(IF(N383&lt;($N$4*4/10),($N$4*4/10)*(MIN(O383,($N$4*4/10))^3-N383^3)-(MIN(O383,($N$4*4/10))^4-N383^4)/4,0)+IF(O383&gt;($N$4*4/10),($N$4*4/10)^2*(1.5*(O383^2-MAX(N383,($N$4*4/10))^2)-($N$4*4/10)*(O383-MAX(N383,($N$4*4/10)))),0))*1000,0)</f>
        <v>0</v>
      </c>
      <c r="AR383" s="120">
        <f>IF(AND(V383="OK",ISNUMBER($N$5),$N$5&gt;0,ISNUMBER($N$3),$N$3&gt;0),R383/(6*$N$3*1000000*$N$5)*(IF(N383&lt;($N$4*5/10),($N$4*5/10)*(MIN(O383,($N$4*5/10))^3-N383^3)-(MIN(O383,($N$4*5/10))^4-N383^4)/4,0)+IF(O383&gt;($N$4*5/10),($N$4*5/10)^2*(1.5*(O383^2-MAX(N383,($N$4*5/10))^2)-($N$4*5/10)*(O383-MAX(N383,($N$4*5/10)))),0))*1000,0)</f>
        <v>0</v>
      </c>
      <c r="AS383" s="120">
        <f>IF(AND(V383="OK",ISNUMBER($N$5),$N$5&gt;0,ISNUMBER($N$3),$N$3&gt;0),R383/(6*$N$3*1000000*$N$5)*(IF(N383&lt;($N$4*6/10),($N$4*6/10)*(MIN(O383,($N$4*6/10))^3-N383^3)-(MIN(O383,($N$4*6/10))^4-N383^4)/4,0)+IF(O383&gt;($N$4*6/10),($N$4*6/10)^2*(1.5*(O383^2-MAX(N383,($N$4*6/10))^2)-($N$4*6/10)*(O383-MAX(N383,($N$4*6/10)))),0))*1000,0)</f>
        <v>0</v>
      </c>
      <c r="AT383" s="120">
        <f>IF(AND(V383="OK",ISNUMBER($N$5),$N$5&gt;0,ISNUMBER($N$3),$N$3&gt;0),R383/(6*$N$3*1000000*$N$5)*(IF(N383&lt;($N$4*7/10),($N$4*7/10)*(MIN(O383,($N$4*7/10))^3-N383^3)-(MIN(O383,($N$4*7/10))^4-N383^4)/4,0)+IF(O383&gt;($N$4*7/10),($N$4*7/10)^2*(1.5*(O383^2-MAX(N383,($N$4*7/10))^2)-($N$4*7/10)*(O383-MAX(N383,($N$4*7/10)))),0))*1000,0)</f>
        <v>0</v>
      </c>
      <c r="AU383" s="120">
        <f>IF(AND(V383="OK",ISNUMBER($N$5),$N$5&gt;0,ISNUMBER($N$3),$N$3&gt;0),R383/(6*$N$3*1000000*$N$5)*(IF(N383&lt;($N$4*8/10),($N$4*8/10)*(MIN(O383,($N$4*8/10))^3-N383^3)-(MIN(O383,($N$4*8/10))^4-N383^4)/4,0)+IF(O383&gt;($N$4*8/10),($N$4*8/10)^2*(1.5*(O383^2-MAX(N383,($N$4*8/10))^2)-($N$4*8/10)*(O383-MAX(N383,($N$4*8/10)))),0))*1000,0)</f>
        <v>0</v>
      </c>
      <c r="AV383" s="120">
        <f>IF(AND(V383="OK",ISNUMBER($N$5),$N$5&gt;0,ISNUMBER($N$3),$N$3&gt;0),R383/(6*$N$3*1000000*$N$5)*(IF(N383&lt;($N$4*9/10),($N$4*9/10)*(MIN(O383,($N$4*9/10))^3-N383^3)-(MIN(O383,($N$4*9/10))^4-N383^4)/4,0)+IF(O383&gt;($N$4*9/10),($N$4*9/10)^2*(1.5*(O383^2-MAX(N383,($N$4*9/10))^2)-($N$4*9/10)*(O383-MAX(N383,($N$4*9/10)))),0))*1000,0)</f>
        <v>0</v>
      </c>
      <c r="AW383" s="120">
        <f>IF(AND(V383="OK",ISNUMBER($N$5),$N$5&gt;0,ISNUMBER($N$3),$N$3&gt;0),R383/(6*$N$3*1000000*$N$5)*(IF(N383&lt;($N$4*10/10),($N$4*10/10)*(MIN(O383,($N$4*10/10))^3-N383^3)-(MIN(O383,($N$4*10/10))^4-N383^4)/4,0)+IF(O383&gt;($N$4*10/10),($N$4*10/10)^2*(1.5*(O383^2-MAX(N383,($N$4*10/10))^2)-($N$4*10/10)*(O383-MAX(N383,($N$4*10/10)))),0))*1000,0)</f>
        <v>0</v>
      </c>
    </row>
    <row r="384" spans="1:49">
      <c r="A384" s="124"/>
      <c r="B384" s="125"/>
      <c r="C384" s="125"/>
      <c r="D384" s="125"/>
      <c r="E384" s="125"/>
      <c r="F384" s="126" t="str">
        <f>IF(J384="OK",D384*E384,"")</f>
        <v/>
      </c>
      <c r="G384" s="126" t="str">
        <f>IF(J384="OK",F384*(C384-B384),"")</f>
        <v/>
      </c>
      <c r="H384" s="126" t="str">
        <f>IF(J384="OK",G384*(C384+B384)/2,"")</f>
        <v/>
      </c>
      <c r="I384" s="126" t="str">
        <f>IF(AND(J384="OK",ISNUMBER($B$5),$B$5&gt;0,ISNUMBER($B$3),$B$3&gt;0),F384*(4*$B$4*(C384^3-B384^3)-(C384^4-B384^4))/(24*$B$3*1000000*$B$5)*1000,"")</f>
        <v/>
      </c>
      <c r="J384" s="120" t="str">
        <f>IF(COUNTA(A384:E384)=0,"",IF(AND(COUNT(B384:E384)=4,B384&gt;=0,C384&gt;B384,C384&lt;=$B$4,D384&gt;=0,E384&gt;0),IF(COUNTIFS($B$13:$B$383,"&lt;"&amp;C384,$C$13:$C$383,"&gt;"&amp;B384)&gt;0,"OVERLAP","OK"),"CHECK INPUTS"))</f>
        <v/>
      </c>
      <c r="M384" s="124"/>
      <c r="N384" s="125"/>
      <c r="O384" s="125"/>
      <c r="P384" s="125"/>
      <c r="Q384" s="125"/>
      <c r="R384" s="126" t="str">
        <f>IF(V384="OK",P384*Q384,"")</f>
        <v/>
      </c>
      <c r="S384" s="126" t="str">
        <f>IF(V384="OK",R384*(O384-N384),"")</f>
        <v/>
      </c>
      <c r="T384" s="126" t="str">
        <f>IF(V384="OK",S384*(O384+N384)/2,"")</f>
        <v/>
      </c>
      <c r="U384" s="126" t="str">
        <f>IF(AND(V384="OK",ISNUMBER($N$5),$N$5&gt;0,ISNUMBER($N$3),$N$3&gt;0),R384*(4*$N$4*(O384^3-N384^3)-(O384^4-N384^4))/(24*$N$3*1000000*$N$5)*1000,"")</f>
        <v/>
      </c>
      <c r="V384" s="120" t="str">
        <f>IF(COUNTA(M384:Q384)=0,"",IF(AND(COUNT(N384:Q384)=4,N384&gt;=0,O384&gt;N384,O384&lt;=$N$4,P384&gt;=0,Q384&gt;0),IF(COUNTIFS($N$13:$N$383,"&lt;"&amp;O384,$O$13:$O$383,"&gt;"&amp;N384)&gt;0,"OVERLAP","OK"),"CHECK INPUTS"))</f>
        <v/>
      </c>
      <c r="AA384" s="120">
        <f>IF(AND(J384="OK",ISNUMBER($B$5),$B$5&gt;0,ISNUMBER($B$3),$B$3&gt;0),F384/(6*$B$3*1000000*$B$5)*(IF(B384&lt;($B$4*0/10),($B$4*0/10)*(MIN(C384,($B$4*0/10))^3-B384^3)-(MIN(C384,($B$4*0/10))^4-B384^4)/4,0)+IF(C384&gt;($B$4*0/10),($B$4*0/10)^2*(1.5*(C384^2-MAX(B384,($B$4*0/10))^2)-($B$4*0/10)*(C384-MAX(B384,($B$4*0/10)))),0))*1000,0)</f>
        <v>0</v>
      </c>
      <c r="AB384" s="120">
        <f>IF(AND(J384="OK",ISNUMBER($B$5),$B$5&gt;0,ISNUMBER($B$3),$B$3&gt;0),F384/(6*$B$3*1000000*$B$5)*(IF(B384&lt;($B$4*1/10),($B$4*1/10)*(MIN(C384,($B$4*1/10))^3-B384^3)-(MIN(C384,($B$4*1/10))^4-B384^4)/4,0)+IF(C384&gt;($B$4*1/10),($B$4*1/10)^2*(1.5*(C384^2-MAX(B384,($B$4*1/10))^2)-($B$4*1/10)*(C384-MAX(B384,($B$4*1/10)))),0))*1000,0)</f>
        <v>0</v>
      </c>
      <c r="AC384" s="120">
        <f>IF(AND(J384="OK",ISNUMBER($B$5),$B$5&gt;0,ISNUMBER($B$3),$B$3&gt;0),F384/(6*$B$3*1000000*$B$5)*(IF(B384&lt;($B$4*2/10),($B$4*2/10)*(MIN(C384,($B$4*2/10))^3-B384^3)-(MIN(C384,($B$4*2/10))^4-B384^4)/4,0)+IF(C384&gt;($B$4*2/10),($B$4*2/10)^2*(1.5*(C384^2-MAX(B384,($B$4*2/10))^2)-($B$4*2/10)*(C384-MAX(B384,($B$4*2/10)))),0))*1000,0)</f>
        <v>0</v>
      </c>
      <c r="AD384" s="120">
        <f>IF(AND(J384="OK",ISNUMBER($B$5),$B$5&gt;0,ISNUMBER($B$3),$B$3&gt;0),F384/(6*$B$3*1000000*$B$5)*(IF(B384&lt;($B$4*3/10),($B$4*3/10)*(MIN(C384,($B$4*3/10))^3-B384^3)-(MIN(C384,($B$4*3/10))^4-B384^4)/4,0)+IF(C384&gt;($B$4*3/10),($B$4*3/10)^2*(1.5*(C384^2-MAX(B384,($B$4*3/10))^2)-($B$4*3/10)*(C384-MAX(B384,($B$4*3/10)))),0))*1000,0)</f>
        <v>0</v>
      </c>
      <c r="AE384" s="120">
        <f>IF(AND(J384="OK",ISNUMBER($B$5),$B$5&gt;0,ISNUMBER($B$3),$B$3&gt;0),F384/(6*$B$3*1000000*$B$5)*(IF(B384&lt;($B$4*4/10),($B$4*4/10)*(MIN(C384,($B$4*4/10))^3-B384^3)-(MIN(C384,($B$4*4/10))^4-B384^4)/4,0)+IF(C384&gt;($B$4*4/10),($B$4*4/10)^2*(1.5*(C384^2-MAX(B384,($B$4*4/10))^2)-($B$4*4/10)*(C384-MAX(B384,($B$4*4/10)))),0))*1000,0)</f>
        <v>0</v>
      </c>
      <c r="AF384" s="120">
        <f>IF(AND(J384="OK",ISNUMBER($B$5),$B$5&gt;0,ISNUMBER($B$3),$B$3&gt;0),F384/(6*$B$3*1000000*$B$5)*(IF(B384&lt;($B$4*5/10),($B$4*5/10)*(MIN(C384,($B$4*5/10))^3-B384^3)-(MIN(C384,($B$4*5/10))^4-B384^4)/4,0)+IF(C384&gt;($B$4*5/10),($B$4*5/10)^2*(1.5*(C384^2-MAX(B384,($B$4*5/10))^2)-($B$4*5/10)*(C384-MAX(B384,($B$4*5/10)))),0))*1000,0)</f>
        <v>0</v>
      </c>
      <c r="AG384" s="120">
        <f>IF(AND(J384="OK",ISNUMBER($B$5),$B$5&gt;0,ISNUMBER($B$3),$B$3&gt;0),F384/(6*$B$3*1000000*$B$5)*(IF(B384&lt;($B$4*6/10),($B$4*6/10)*(MIN(C384,($B$4*6/10))^3-B384^3)-(MIN(C384,($B$4*6/10))^4-B384^4)/4,0)+IF(C384&gt;($B$4*6/10),($B$4*6/10)^2*(1.5*(C384^2-MAX(B384,($B$4*6/10))^2)-($B$4*6/10)*(C384-MAX(B384,($B$4*6/10)))),0))*1000,0)</f>
        <v>0</v>
      </c>
      <c r="AH384" s="120">
        <f>IF(AND(J384="OK",ISNUMBER($B$5),$B$5&gt;0,ISNUMBER($B$3),$B$3&gt;0),F384/(6*$B$3*1000000*$B$5)*(IF(B384&lt;($B$4*7/10),($B$4*7/10)*(MIN(C384,($B$4*7/10))^3-B384^3)-(MIN(C384,($B$4*7/10))^4-B384^4)/4,0)+IF(C384&gt;($B$4*7/10),($B$4*7/10)^2*(1.5*(C384^2-MAX(B384,($B$4*7/10))^2)-($B$4*7/10)*(C384-MAX(B384,($B$4*7/10)))),0))*1000,0)</f>
        <v>0</v>
      </c>
      <c r="AI384" s="120">
        <f>IF(AND(J384="OK",ISNUMBER($B$5),$B$5&gt;0,ISNUMBER($B$3),$B$3&gt;0),F384/(6*$B$3*1000000*$B$5)*(IF(B384&lt;($B$4*8/10),($B$4*8/10)*(MIN(C384,($B$4*8/10))^3-B384^3)-(MIN(C384,($B$4*8/10))^4-B384^4)/4,0)+IF(C384&gt;($B$4*8/10),($B$4*8/10)^2*(1.5*(C384^2-MAX(B384,($B$4*8/10))^2)-($B$4*8/10)*(C384-MAX(B384,($B$4*8/10)))),0))*1000,0)</f>
        <v>0</v>
      </c>
      <c r="AJ384" s="120">
        <f>IF(AND(J384="OK",ISNUMBER($B$5),$B$5&gt;0,ISNUMBER($B$3),$B$3&gt;0),F384/(6*$B$3*1000000*$B$5)*(IF(B384&lt;($B$4*9/10),($B$4*9/10)*(MIN(C384,($B$4*9/10))^3-B384^3)-(MIN(C384,($B$4*9/10))^4-B384^4)/4,0)+IF(C384&gt;($B$4*9/10),($B$4*9/10)^2*(1.5*(C384^2-MAX(B384,($B$4*9/10))^2)-($B$4*9/10)*(C384-MAX(B384,($B$4*9/10)))),0))*1000,0)</f>
        <v>0</v>
      </c>
      <c r="AK384" s="120">
        <f>IF(AND(J384="OK",ISNUMBER($B$5),$B$5&gt;0,ISNUMBER($B$3),$B$3&gt;0),F384/(6*$B$3*1000000*$B$5)*(IF(B384&lt;($B$4*10/10),($B$4*10/10)*(MIN(C384,($B$4*10/10))^3-B384^3)-(MIN(C384,($B$4*10/10))^4-B384^4)/4,0)+IF(C384&gt;($B$4*10/10),($B$4*10/10)^2*(1.5*(C384^2-MAX(B384,($B$4*10/10))^2)-($B$4*10/10)*(C384-MAX(B384,($B$4*10/10)))),0))*1000,0)</f>
        <v>0</v>
      </c>
      <c r="AM384" s="120">
        <f>IF(AND(V384="OK",ISNUMBER($N$5),$N$5&gt;0,ISNUMBER($N$3),$N$3&gt;0),R384/(6*$N$3*1000000*$N$5)*(IF(N384&lt;($N$4*0/10),($N$4*0/10)*(MIN(O384,($N$4*0/10))^3-N384^3)-(MIN(O384,($N$4*0/10))^4-N384^4)/4,0)+IF(O384&gt;($N$4*0/10),($N$4*0/10)^2*(1.5*(O384^2-MAX(N384,($N$4*0/10))^2)-($N$4*0/10)*(O384-MAX(N384,($N$4*0/10)))),0))*1000,0)</f>
        <v>0</v>
      </c>
      <c r="AN384" s="120">
        <f>IF(AND(V384="OK",ISNUMBER($N$5),$N$5&gt;0,ISNUMBER($N$3),$N$3&gt;0),R384/(6*$N$3*1000000*$N$5)*(IF(N384&lt;($N$4*1/10),($N$4*1/10)*(MIN(O384,($N$4*1/10))^3-N384^3)-(MIN(O384,($N$4*1/10))^4-N384^4)/4,0)+IF(O384&gt;($N$4*1/10),($N$4*1/10)^2*(1.5*(O384^2-MAX(N384,($N$4*1/10))^2)-($N$4*1/10)*(O384-MAX(N384,($N$4*1/10)))),0))*1000,0)</f>
        <v>0</v>
      </c>
      <c r="AO384" s="120">
        <f>IF(AND(V384="OK",ISNUMBER($N$5),$N$5&gt;0,ISNUMBER($N$3),$N$3&gt;0),R384/(6*$N$3*1000000*$N$5)*(IF(N384&lt;($N$4*2/10),($N$4*2/10)*(MIN(O384,($N$4*2/10))^3-N384^3)-(MIN(O384,($N$4*2/10))^4-N384^4)/4,0)+IF(O384&gt;($N$4*2/10),($N$4*2/10)^2*(1.5*(O384^2-MAX(N384,($N$4*2/10))^2)-($N$4*2/10)*(O384-MAX(N384,($N$4*2/10)))),0))*1000,0)</f>
        <v>0</v>
      </c>
      <c r="AP384" s="120">
        <f>IF(AND(V384="OK",ISNUMBER($N$5),$N$5&gt;0,ISNUMBER($N$3),$N$3&gt;0),R384/(6*$N$3*1000000*$N$5)*(IF(N384&lt;($N$4*3/10),($N$4*3/10)*(MIN(O384,($N$4*3/10))^3-N384^3)-(MIN(O384,($N$4*3/10))^4-N384^4)/4,0)+IF(O384&gt;($N$4*3/10),($N$4*3/10)^2*(1.5*(O384^2-MAX(N384,($N$4*3/10))^2)-($N$4*3/10)*(O384-MAX(N384,($N$4*3/10)))),0))*1000,0)</f>
        <v>0</v>
      </c>
      <c r="AQ384" s="120">
        <f>IF(AND(V384="OK",ISNUMBER($N$5),$N$5&gt;0,ISNUMBER($N$3),$N$3&gt;0),R384/(6*$N$3*1000000*$N$5)*(IF(N384&lt;($N$4*4/10),($N$4*4/10)*(MIN(O384,($N$4*4/10))^3-N384^3)-(MIN(O384,($N$4*4/10))^4-N384^4)/4,0)+IF(O384&gt;($N$4*4/10),($N$4*4/10)^2*(1.5*(O384^2-MAX(N384,($N$4*4/10))^2)-($N$4*4/10)*(O384-MAX(N384,($N$4*4/10)))),0))*1000,0)</f>
        <v>0</v>
      </c>
      <c r="AR384" s="120">
        <f>IF(AND(V384="OK",ISNUMBER($N$5),$N$5&gt;0,ISNUMBER($N$3),$N$3&gt;0),R384/(6*$N$3*1000000*$N$5)*(IF(N384&lt;($N$4*5/10),($N$4*5/10)*(MIN(O384,($N$4*5/10))^3-N384^3)-(MIN(O384,($N$4*5/10))^4-N384^4)/4,0)+IF(O384&gt;($N$4*5/10),($N$4*5/10)^2*(1.5*(O384^2-MAX(N384,($N$4*5/10))^2)-($N$4*5/10)*(O384-MAX(N384,($N$4*5/10)))),0))*1000,0)</f>
        <v>0</v>
      </c>
      <c r="AS384" s="120">
        <f>IF(AND(V384="OK",ISNUMBER($N$5),$N$5&gt;0,ISNUMBER($N$3),$N$3&gt;0),R384/(6*$N$3*1000000*$N$5)*(IF(N384&lt;($N$4*6/10),($N$4*6/10)*(MIN(O384,($N$4*6/10))^3-N384^3)-(MIN(O384,($N$4*6/10))^4-N384^4)/4,0)+IF(O384&gt;($N$4*6/10),($N$4*6/10)^2*(1.5*(O384^2-MAX(N384,($N$4*6/10))^2)-($N$4*6/10)*(O384-MAX(N384,($N$4*6/10)))),0))*1000,0)</f>
        <v>0</v>
      </c>
      <c r="AT384" s="120">
        <f>IF(AND(V384="OK",ISNUMBER($N$5),$N$5&gt;0,ISNUMBER($N$3),$N$3&gt;0),R384/(6*$N$3*1000000*$N$5)*(IF(N384&lt;($N$4*7/10),($N$4*7/10)*(MIN(O384,($N$4*7/10))^3-N384^3)-(MIN(O384,($N$4*7/10))^4-N384^4)/4,0)+IF(O384&gt;($N$4*7/10),($N$4*7/10)^2*(1.5*(O384^2-MAX(N384,($N$4*7/10))^2)-($N$4*7/10)*(O384-MAX(N384,($N$4*7/10)))),0))*1000,0)</f>
        <v>0</v>
      </c>
      <c r="AU384" s="120">
        <f>IF(AND(V384="OK",ISNUMBER($N$5),$N$5&gt;0,ISNUMBER($N$3),$N$3&gt;0),R384/(6*$N$3*1000000*$N$5)*(IF(N384&lt;($N$4*8/10),($N$4*8/10)*(MIN(O384,($N$4*8/10))^3-N384^3)-(MIN(O384,($N$4*8/10))^4-N384^4)/4,0)+IF(O384&gt;($N$4*8/10),($N$4*8/10)^2*(1.5*(O384^2-MAX(N384,($N$4*8/10))^2)-($N$4*8/10)*(O384-MAX(N384,($N$4*8/10)))),0))*1000,0)</f>
        <v>0</v>
      </c>
      <c r="AV384" s="120">
        <f>IF(AND(V384="OK",ISNUMBER($N$5),$N$5&gt;0,ISNUMBER($N$3),$N$3&gt;0),R384/(6*$N$3*1000000*$N$5)*(IF(N384&lt;($N$4*9/10),($N$4*9/10)*(MIN(O384,($N$4*9/10))^3-N384^3)-(MIN(O384,($N$4*9/10))^4-N384^4)/4,0)+IF(O384&gt;($N$4*9/10),($N$4*9/10)^2*(1.5*(O384^2-MAX(N384,($N$4*9/10))^2)-($N$4*9/10)*(O384-MAX(N384,($N$4*9/10)))),0))*1000,0)</f>
        <v>0</v>
      </c>
      <c r="AW384" s="120">
        <f>IF(AND(V384="OK",ISNUMBER($N$5),$N$5&gt;0,ISNUMBER($N$3),$N$3&gt;0),R384/(6*$N$3*1000000*$N$5)*(IF(N384&lt;($N$4*10/10),($N$4*10/10)*(MIN(O384,($N$4*10/10))^3-N384^3)-(MIN(O384,($N$4*10/10))^4-N384^4)/4,0)+IF(O384&gt;($N$4*10/10),($N$4*10/10)^2*(1.5*(O384^2-MAX(N384,($N$4*10/10))^2)-($N$4*10/10)*(O384-MAX(N384,($N$4*10/10)))),0))*1000,0)</f>
        <v>0</v>
      </c>
    </row>
    <row r="385" spans="1:49">
      <c r="A385" s="124"/>
      <c r="B385" s="125"/>
      <c r="C385" s="125"/>
      <c r="D385" s="125"/>
      <c r="E385" s="125"/>
      <c r="F385" s="126" t="str">
        <f>IF(J385="OK",D385*E385,"")</f>
        <v/>
      </c>
      <c r="G385" s="126" t="str">
        <f>IF(J385="OK",F385*(C385-B385),"")</f>
        <v/>
      </c>
      <c r="H385" s="126" t="str">
        <f>IF(J385="OK",G385*(C385+B385)/2,"")</f>
        <v/>
      </c>
      <c r="I385" s="126" t="str">
        <f>IF(AND(J385="OK",ISNUMBER($B$5),$B$5&gt;0,ISNUMBER($B$3),$B$3&gt;0),F385*(4*$B$4*(C385^3-B385^3)-(C385^4-B385^4))/(24*$B$3*1000000*$B$5)*1000,"")</f>
        <v/>
      </c>
      <c r="J385" s="120" t="str">
        <f>IF(COUNTA(A385:E385)=0,"",IF(AND(COUNT(B385:E385)=4,B385&gt;=0,C385&gt;B385,C385&lt;=$B$4,D385&gt;=0,E385&gt;0),IF(COUNTIFS($B$13:$B$384,"&lt;"&amp;C385,$C$13:$C$384,"&gt;"&amp;B385)&gt;0,"OVERLAP","OK"),"CHECK INPUTS"))</f>
        <v/>
      </c>
      <c r="M385" s="124"/>
      <c r="N385" s="125"/>
      <c r="O385" s="125"/>
      <c r="P385" s="125"/>
      <c r="Q385" s="125"/>
      <c r="R385" s="126" t="str">
        <f>IF(V385="OK",P385*Q385,"")</f>
        <v/>
      </c>
      <c r="S385" s="126" t="str">
        <f>IF(V385="OK",R385*(O385-N385),"")</f>
        <v/>
      </c>
      <c r="T385" s="126" t="str">
        <f>IF(V385="OK",S385*(O385+N385)/2,"")</f>
        <v/>
      </c>
      <c r="U385" s="126" t="str">
        <f>IF(AND(V385="OK",ISNUMBER($N$5),$N$5&gt;0,ISNUMBER($N$3),$N$3&gt;0),R385*(4*$N$4*(O385^3-N385^3)-(O385^4-N385^4))/(24*$N$3*1000000*$N$5)*1000,"")</f>
        <v/>
      </c>
      <c r="V385" s="120" t="str">
        <f>IF(COUNTA(M385:Q385)=0,"",IF(AND(COUNT(N385:Q385)=4,N385&gt;=0,O385&gt;N385,O385&lt;=$N$4,P385&gt;=0,Q385&gt;0),IF(COUNTIFS($N$13:$N$384,"&lt;"&amp;O385,$O$13:$O$384,"&gt;"&amp;N385)&gt;0,"OVERLAP","OK"),"CHECK INPUTS"))</f>
        <v/>
      </c>
      <c r="AA385" s="120">
        <f>IF(AND(J385="OK",ISNUMBER($B$5),$B$5&gt;0,ISNUMBER($B$3),$B$3&gt;0),F385/(6*$B$3*1000000*$B$5)*(IF(B385&lt;($B$4*0/10),($B$4*0/10)*(MIN(C385,($B$4*0/10))^3-B385^3)-(MIN(C385,($B$4*0/10))^4-B385^4)/4,0)+IF(C385&gt;($B$4*0/10),($B$4*0/10)^2*(1.5*(C385^2-MAX(B385,($B$4*0/10))^2)-($B$4*0/10)*(C385-MAX(B385,($B$4*0/10)))),0))*1000,0)</f>
        <v>0</v>
      </c>
      <c r="AB385" s="120">
        <f>IF(AND(J385="OK",ISNUMBER($B$5),$B$5&gt;0,ISNUMBER($B$3),$B$3&gt;0),F385/(6*$B$3*1000000*$B$5)*(IF(B385&lt;($B$4*1/10),($B$4*1/10)*(MIN(C385,($B$4*1/10))^3-B385^3)-(MIN(C385,($B$4*1/10))^4-B385^4)/4,0)+IF(C385&gt;($B$4*1/10),($B$4*1/10)^2*(1.5*(C385^2-MAX(B385,($B$4*1/10))^2)-($B$4*1/10)*(C385-MAX(B385,($B$4*1/10)))),0))*1000,0)</f>
        <v>0</v>
      </c>
      <c r="AC385" s="120">
        <f>IF(AND(J385="OK",ISNUMBER($B$5),$B$5&gt;0,ISNUMBER($B$3),$B$3&gt;0),F385/(6*$B$3*1000000*$B$5)*(IF(B385&lt;($B$4*2/10),($B$4*2/10)*(MIN(C385,($B$4*2/10))^3-B385^3)-(MIN(C385,($B$4*2/10))^4-B385^4)/4,0)+IF(C385&gt;($B$4*2/10),($B$4*2/10)^2*(1.5*(C385^2-MAX(B385,($B$4*2/10))^2)-($B$4*2/10)*(C385-MAX(B385,($B$4*2/10)))),0))*1000,0)</f>
        <v>0</v>
      </c>
      <c r="AD385" s="120">
        <f>IF(AND(J385="OK",ISNUMBER($B$5),$B$5&gt;0,ISNUMBER($B$3),$B$3&gt;0),F385/(6*$B$3*1000000*$B$5)*(IF(B385&lt;($B$4*3/10),($B$4*3/10)*(MIN(C385,($B$4*3/10))^3-B385^3)-(MIN(C385,($B$4*3/10))^4-B385^4)/4,0)+IF(C385&gt;($B$4*3/10),($B$4*3/10)^2*(1.5*(C385^2-MAX(B385,($B$4*3/10))^2)-($B$4*3/10)*(C385-MAX(B385,($B$4*3/10)))),0))*1000,0)</f>
        <v>0</v>
      </c>
      <c r="AE385" s="120">
        <f>IF(AND(J385="OK",ISNUMBER($B$5),$B$5&gt;0,ISNUMBER($B$3),$B$3&gt;0),F385/(6*$B$3*1000000*$B$5)*(IF(B385&lt;($B$4*4/10),($B$4*4/10)*(MIN(C385,($B$4*4/10))^3-B385^3)-(MIN(C385,($B$4*4/10))^4-B385^4)/4,0)+IF(C385&gt;($B$4*4/10),($B$4*4/10)^2*(1.5*(C385^2-MAX(B385,($B$4*4/10))^2)-($B$4*4/10)*(C385-MAX(B385,($B$4*4/10)))),0))*1000,0)</f>
        <v>0</v>
      </c>
      <c r="AF385" s="120">
        <f>IF(AND(J385="OK",ISNUMBER($B$5),$B$5&gt;0,ISNUMBER($B$3),$B$3&gt;0),F385/(6*$B$3*1000000*$B$5)*(IF(B385&lt;($B$4*5/10),($B$4*5/10)*(MIN(C385,($B$4*5/10))^3-B385^3)-(MIN(C385,($B$4*5/10))^4-B385^4)/4,0)+IF(C385&gt;($B$4*5/10),($B$4*5/10)^2*(1.5*(C385^2-MAX(B385,($B$4*5/10))^2)-($B$4*5/10)*(C385-MAX(B385,($B$4*5/10)))),0))*1000,0)</f>
        <v>0</v>
      </c>
      <c r="AG385" s="120">
        <f>IF(AND(J385="OK",ISNUMBER($B$5),$B$5&gt;0,ISNUMBER($B$3),$B$3&gt;0),F385/(6*$B$3*1000000*$B$5)*(IF(B385&lt;($B$4*6/10),($B$4*6/10)*(MIN(C385,($B$4*6/10))^3-B385^3)-(MIN(C385,($B$4*6/10))^4-B385^4)/4,0)+IF(C385&gt;($B$4*6/10),($B$4*6/10)^2*(1.5*(C385^2-MAX(B385,($B$4*6/10))^2)-($B$4*6/10)*(C385-MAX(B385,($B$4*6/10)))),0))*1000,0)</f>
        <v>0</v>
      </c>
      <c r="AH385" s="120">
        <f>IF(AND(J385="OK",ISNUMBER($B$5),$B$5&gt;0,ISNUMBER($B$3),$B$3&gt;0),F385/(6*$B$3*1000000*$B$5)*(IF(B385&lt;($B$4*7/10),($B$4*7/10)*(MIN(C385,($B$4*7/10))^3-B385^3)-(MIN(C385,($B$4*7/10))^4-B385^4)/4,0)+IF(C385&gt;($B$4*7/10),($B$4*7/10)^2*(1.5*(C385^2-MAX(B385,($B$4*7/10))^2)-($B$4*7/10)*(C385-MAX(B385,($B$4*7/10)))),0))*1000,0)</f>
        <v>0</v>
      </c>
      <c r="AI385" s="120">
        <f>IF(AND(J385="OK",ISNUMBER($B$5),$B$5&gt;0,ISNUMBER($B$3),$B$3&gt;0),F385/(6*$B$3*1000000*$B$5)*(IF(B385&lt;($B$4*8/10),($B$4*8/10)*(MIN(C385,($B$4*8/10))^3-B385^3)-(MIN(C385,($B$4*8/10))^4-B385^4)/4,0)+IF(C385&gt;($B$4*8/10),($B$4*8/10)^2*(1.5*(C385^2-MAX(B385,($B$4*8/10))^2)-($B$4*8/10)*(C385-MAX(B385,($B$4*8/10)))),0))*1000,0)</f>
        <v>0</v>
      </c>
      <c r="AJ385" s="120">
        <f>IF(AND(J385="OK",ISNUMBER($B$5),$B$5&gt;0,ISNUMBER($B$3),$B$3&gt;0),F385/(6*$B$3*1000000*$B$5)*(IF(B385&lt;($B$4*9/10),($B$4*9/10)*(MIN(C385,($B$4*9/10))^3-B385^3)-(MIN(C385,($B$4*9/10))^4-B385^4)/4,0)+IF(C385&gt;($B$4*9/10),($B$4*9/10)^2*(1.5*(C385^2-MAX(B385,($B$4*9/10))^2)-($B$4*9/10)*(C385-MAX(B385,($B$4*9/10)))),0))*1000,0)</f>
        <v>0</v>
      </c>
      <c r="AK385" s="120">
        <f>IF(AND(J385="OK",ISNUMBER($B$5),$B$5&gt;0,ISNUMBER($B$3),$B$3&gt;0),F385/(6*$B$3*1000000*$B$5)*(IF(B385&lt;($B$4*10/10),($B$4*10/10)*(MIN(C385,($B$4*10/10))^3-B385^3)-(MIN(C385,($B$4*10/10))^4-B385^4)/4,0)+IF(C385&gt;($B$4*10/10),($B$4*10/10)^2*(1.5*(C385^2-MAX(B385,($B$4*10/10))^2)-($B$4*10/10)*(C385-MAX(B385,($B$4*10/10)))),0))*1000,0)</f>
        <v>0</v>
      </c>
      <c r="AM385" s="120">
        <f>IF(AND(V385="OK",ISNUMBER($N$5),$N$5&gt;0,ISNUMBER($N$3),$N$3&gt;0),R385/(6*$N$3*1000000*$N$5)*(IF(N385&lt;($N$4*0/10),($N$4*0/10)*(MIN(O385,($N$4*0/10))^3-N385^3)-(MIN(O385,($N$4*0/10))^4-N385^4)/4,0)+IF(O385&gt;($N$4*0/10),($N$4*0/10)^2*(1.5*(O385^2-MAX(N385,($N$4*0/10))^2)-($N$4*0/10)*(O385-MAX(N385,($N$4*0/10)))),0))*1000,0)</f>
        <v>0</v>
      </c>
      <c r="AN385" s="120">
        <f>IF(AND(V385="OK",ISNUMBER($N$5),$N$5&gt;0,ISNUMBER($N$3),$N$3&gt;0),R385/(6*$N$3*1000000*$N$5)*(IF(N385&lt;($N$4*1/10),($N$4*1/10)*(MIN(O385,($N$4*1/10))^3-N385^3)-(MIN(O385,($N$4*1/10))^4-N385^4)/4,0)+IF(O385&gt;($N$4*1/10),($N$4*1/10)^2*(1.5*(O385^2-MAX(N385,($N$4*1/10))^2)-($N$4*1/10)*(O385-MAX(N385,($N$4*1/10)))),0))*1000,0)</f>
        <v>0</v>
      </c>
      <c r="AO385" s="120">
        <f>IF(AND(V385="OK",ISNUMBER($N$5),$N$5&gt;0,ISNUMBER($N$3),$N$3&gt;0),R385/(6*$N$3*1000000*$N$5)*(IF(N385&lt;($N$4*2/10),($N$4*2/10)*(MIN(O385,($N$4*2/10))^3-N385^3)-(MIN(O385,($N$4*2/10))^4-N385^4)/4,0)+IF(O385&gt;($N$4*2/10),($N$4*2/10)^2*(1.5*(O385^2-MAX(N385,($N$4*2/10))^2)-($N$4*2/10)*(O385-MAX(N385,($N$4*2/10)))),0))*1000,0)</f>
        <v>0</v>
      </c>
      <c r="AP385" s="120">
        <f>IF(AND(V385="OK",ISNUMBER($N$5),$N$5&gt;0,ISNUMBER($N$3),$N$3&gt;0),R385/(6*$N$3*1000000*$N$5)*(IF(N385&lt;($N$4*3/10),($N$4*3/10)*(MIN(O385,($N$4*3/10))^3-N385^3)-(MIN(O385,($N$4*3/10))^4-N385^4)/4,0)+IF(O385&gt;($N$4*3/10),($N$4*3/10)^2*(1.5*(O385^2-MAX(N385,($N$4*3/10))^2)-($N$4*3/10)*(O385-MAX(N385,($N$4*3/10)))),0))*1000,0)</f>
        <v>0</v>
      </c>
      <c r="AQ385" s="120">
        <f>IF(AND(V385="OK",ISNUMBER($N$5),$N$5&gt;0,ISNUMBER($N$3),$N$3&gt;0),R385/(6*$N$3*1000000*$N$5)*(IF(N385&lt;($N$4*4/10),($N$4*4/10)*(MIN(O385,($N$4*4/10))^3-N385^3)-(MIN(O385,($N$4*4/10))^4-N385^4)/4,0)+IF(O385&gt;($N$4*4/10),($N$4*4/10)^2*(1.5*(O385^2-MAX(N385,($N$4*4/10))^2)-($N$4*4/10)*(O385-MAX(N385,($N$4*4/10)))),0))*1000,0)</f>
        <v>0</v>
      </c>
      <c r="AR385" s="120">
        <f>IF(AND(V385="OK",ISNUMBER($N$5),$N$5&gt;0,ISNUMBER($N$3),$N$3&gt;0),R385/(6*$N$3*1000000*$N$5)*(IF(N385&lt;($N$4*5/10),($N$4*5/10)*(MIN(O385,($N$4*5/10))^3-N385^3)-(MIN(O385,($N$4*5/10))^4-N385^4)/4,0)+IF(O385&gt;($N$4*5/10),($N$4*5/10)^2*(1.5*(O385^2-MAX(N385,($N$4*5/10))^2)-($N$4*5/10)*(O385-MAX(N385,($N$4*5/10)))),0))*1000,0)</f>
        <v>0</v>
      </c>
      <c r="AS385" s="120">
        <f>IF(AND(V385="OK",ISNUMBER($N$5),$N$5&gt;0,ISNUMBER($N$3),$N$3&gt;0),R385/(6*$N$3*1000000*$N$5)*(IF(N385&lt;($N$4*6/10),($N$4*6/10)*(MIN(O385,($N$4*6/10))^3-N385^3)-(MIN(O385,($N$4*6/10))^4-N385^4)/4,0)+IF(O385&gt;($N$4*6/10),($N$4*6/10)^2*(1.5*(O385^2-MAX(N385,($N$4*6/10))^2)-($N$4*6/10)*(O385-MAX(N385,($N$4*6/10)))),0))*1000,0)</f>
        <v>0</v>
      </c>
      <c r="AT385" s="120">
        <f>IF(AND(V385="OK",ISNUMBER($N$5),$N$5&gt;0,ISNUMBER($N$3),$N$3&gt;0),R385/(6*$N$3*1000000*$N$5)*(IF(N385&lt;($N$4*7/10),($N$4*7/10)*(MIN(O385,($N$4*7/10))^3-N385^3)-(MIN(O385,($N$4*7/10))^4-N385^4)/4,0)+IF(O385&gt;($N$4*7/10),($N$4*7/10)^2*(1.5*(O385^2-MAX(N385,($N$4*7/10))^2)-($N$4*7/10)*(O385-MAX(N385,($N$4*7/10)))),0))*1000,0)</f>
        <v>0</v>
      </c>
      <c r="AU385" s="120">
        <f>IF(AND(V385="OK",ISNUMBER($N$5),$N$5&gt;0,ISNUMBER($N$3),$N$3&gt;0),R385/(6*$N$3*1000000*$N$5)*(IF(N385&lt;($N$4*8/10),($N$4*8/10)*(MIN(O385,($N$4*8/10))^3-N385^3)-(MIN(O385,($N$4*8/10))^4-N385^4)/4,0)+IF(O385&gt;($N$4*8/10),($N$4*8/10)^2*(1.5*(O385^2-MAX(N385,($N$4*8/10))^2)-($N$4*8/10)*(O385-MAX(N385,($N$4*8/10)))),0))*1000,0)</f>
        <v>0</v>
      </c>
      <c r="AV385" s="120">
        <f>IF(AND(V385="OK",ISNUMBER($N$5),$N$5&gt;0,ISNUMBER($N$3),$N$3&gt;0),R385/(6*$N$3*1000000*$N$5)*(IF(N385&lt;($N$4*9/10),($N$4*9/10)*(MIN(O385,($N$4*9/10))^3-N385^3)-(MIN(O385,($N$4*9/10))^4-N385^4)/4,0)+IF(O385&gt;($N$4*9/10),($N$4*9/10)^2*(1.5*(O385^2-MAX(N385,($N$4*9/10))^2)-($N$4*9/10)*(O385-MAX(N385,($N$4*9/10)))),0))*1000,0)</f>
        <v>0</v>
      </c>
      <c r="AW385" s="120">
        <f>IF(AND(V385="OK",ISNUMBER($N$5),$N$5&gt;0,ISNUMBER($N$3),$N$3&gt;0),R385/(6*$N$3*1000000*$N$5)*(IF(N385&lt;($N$4*10/10),($N$4*10/10)*(MIN(O385,($N$4*10/10))^3-N385^3)-(MIN(O385,($N$4*10/10))^4-N385^4)/4,0)+IF(O385&gt;($N$4*10/10),($N$4*10/10)^2*(1.5*(O385^2-MAX(N385,($N$4*10/10))^2)-($N$4*10/10)*(O385-MAX(N385,($N$4*10/10)))),0))*1000,0)</f>
        <v>0</v>
      </c>
    </row>
    <row r="386" spans="1:49">
      <c r="A386" s="124"/>
      <c r="B386" s="125"/>
      <c r="C386" s="125"/>
      <c r="D386" s="125"/>
      <c r="E386" s="125"/>
      <c r="F386" s="126" t="str">
        <f>IF(J386="OK",D386*E386,"")</f>
        <v/>
      </c>
      <c r="G386" s="126" t="str">
        <f>IF(J386="OK",F386*(C386-B386),"")</f>
        <v/>
      </c>
      <c r="H386" s="126" t="str">
        <f>IF(J386="OK",G386*(C386+B386)/2,"")</f>
        <v/>
      </c>
      <c r="I386" s="126" t="str">
        <f>IF(AND(J386="OK",ISNUMBER($B$5),$B$5&gt;0,ISNUMBER($B$3),$B$3&gt;0),F386*(4*$B$4*(C386^3-B386^3)-(C386^4-B386^4))/(24*$B$3*1000000*$B$5)*1000,"")</f>
        <v/>
      </c>
      <c r="J386" s="120" t="str">
        <f>IF(COUNTA(A386:E386)=0,"",IF(AND(COUNT(B386:E386)=4,B386&gt;=0,C386&gt;B386,C386&lt;=$B$4,D386&gt;=0,E386&gt;0),IF(COUNTIFS($B$13:$B$385,"&lt;"&amp;C386,$C$13:$C$385,"&gt;"&amp;B386)&gt;0,"OVERLAP","OK"),"CHECK INPUTS"))</f>
        <v/>
      </c>
      <c r="M386" s="124"/>
      <c r="N386" s="125"/>
      <c r="O386" s="125"/>
      <c r="P386" s="125"/>
      <c r="Q386" s="125"/>
      <c r="R386" s="126" t="str">
        <f>IF(V386="OK",P386*Q386,"")</f>
        <v/>
      </c>
      <c r="S386" s="126" t="str">
        <f>IF(V386="OK",R386*(O386-N386),"")</f>
        <v/>
      </c>
      <c r="T386" s="126" t="str">
        <f>IF(V386="OK",S386*(O386+N386)/2,"")</f>
        <v/>
      </c>
      <c r="U386" s="126" t="str">
        <f>IF(AND(V386="OK",ISNUMBER($N$5),$N$5&gt;0,ISNUMBER($N$3),$N$3&gt;0),R386*(4*$N$4*(O386^3-N386^3)-(O386^4-N386^4))/(24*$N$3*1000000*$N$5)*1000,"")</f>
        <v/>
      </c>
      <c r="V386" s="120" t="str">
        <f>IF(COUNTA(M386:Q386)=0,"",IF(AND(COUNT(N386:Q386)=4,N386&gt;=0,O386&gt;N386,O386&lt;=$N$4,P386&gt;=0,Q386&gt;0),IF(COUNTIFS($N$13:$N$385,"&lt;"&amp;O386,$O$13:$O$385,"&gt;"&amp;N386)&gt;0,"OVERLAP","OK"),"CHECK INPUTS"))</f>
        <v/>
      </c>
      <c r="AA386" s="120">
        <f>IF(AND(J386="OK",ISNUMBER($B$5),$B$5&gt;0,ISNUMBER($B$3),$B$3&gt;0),F386/(6*$B$3*1000000*$B$5)*(IF(B386&lt;($B$4*0/10),($B$4*0/10)*(MIN(C386,($B$4*0/10))^3-B386^3)-(MIN(C386,($B$4*0/10))^4-B386^4)/4,0)+IF(C386&gt;($B$4*0/10),($B$4*0/10)^2*(1.5*(C386^2-MAX(B386,($B$4*0/10))^2)-($B$4*0/10)*(C386-MAX(B386,($B$4*0/10)))),0))*1000,0)</f>
        <v>0</v>
      </c>
      <c r="AB386" s="120">
        <f>IF(AND(J386="OK",ISNUMBER($B$5),$B$5&gt;0,ISNUMBER($B$3),$B$3&gt;0),F386/(6*$B$3*1000000*$B$5)*(IF(B386&lt;($B$4*1/10),($B$4*1/10)*(MIN(C386,($B$4*1/10))^3-B386^3)-(MIN(C386,($B$4*1/10))^4-B386^4)/4,0)+IF(C386&gt;($B$4*1/10),($B$4*1/10)^2*(1.5*(C386^2-MAX(B386,($B$4*1/10))^2)-($B$4*1/10)*(C386-MAX(B386,($B$4*1/10)))),0))*1000,0)</f>
        <v>0</v>
      </c>
      <c r="AC386" s="120">
        <f>IF(AND(J386="OK",ISNUMBER($B$5),$B$5&gt;0,ISNUMBER($B$3),$B$3&gt;0),F386/(6*$B$3*1000000*$B$5)*(IF(B386&lt;($B$4*2/10),($B$4*2/10)*(MIN(C386,($B$4*2/10))^3-B386^3)-(MIN(C386,($B$4*2/10))^4-B386^4)/4,0)+IF(C386&gt;($B$4*2/10),($B$4*2/10)^2*(1.5*(C386^2-MAX(B386,($B$4*2/10))^2)-($B$4*2/10)*(C386-MAX(B386,($B$4*2/10)))),0))*1000,0)</f>
        <v>0</v>
      </c>
      <c r="AD386" s="120">
        <f>IF(AND(J386="OK",ISNUMBER($B$5),$B$5&gt;0,ISNUMBER($B$3),$B$3&gt;0),F386/(6*$B$3*1000000*$B$5)*(IF(B386&lt;($B$4*3/10),($B$4*3/10)*(MIN(C386,($B$4*3/10))^3-B386^3)-(MIN(C386,($B$4*3/10))^4-B386^4)/4,0)+IF(C386&gt;($B$4*3/10),($B$4*3/10)^2*(1.5*(C386^2-MAX(B386,($B$4*3/10))^2)-($B$4*3/10)*(C386-MAX(B386,($B$4*3/10)))),0))*1000,0)</f>
        <v>0</v>
      </c>
      <c r="AE386" s="120">
        <f>IF(AND(J386="OK",ISNUMBER($B$5),$B$5&gt;0,ISNUMBER($B$3),$B$3&gt;0),F386/(6*$B$3*1000000*$B$5)*(IF(B386&lt;($B$4*4/10),($B$4*4/10)*(MIN(C386,($B$4*4/10))^3-B386^3)-(MIN(C386,($B$4*4/10))^4-B386^4)/4,0)+IF(C386&gt;($B$4*4/10),($B$4*4/10)^2*(1.5*(C386^2-MAX(B386,($B$4*4/10))^2)-($B$4*4/10)*(C386-MAX(B386,($B$4*4/10)))),0))*1000,0)</f>
        <v>0</v>
      </c>
      <c r="AF386" s="120">
        <f>IF(AND(J386="OK",ISNUMBER($B$5),$B$5&gt;0,ISNUMBER($B$3),$B$3&gt;0),F386/(6*$B$3*1000000*$B$5)*(IF(B386&lt;($B$4*5/10),($B$4*5/10)*(MIN(C386,($B$4*5/10))^3-B386^3)-(MIN(C386,($B$4*5/10))^4-B386^4)/4,0)+IF(C386&gt;($B$4*5/10),($B$4*5/10)^2*(1.5*(C386^2-MAX(B386,($B$4*5/10))^2)-($B$4*5/10)*(C386-MAX(B386,($B$4*5/10)))),0))*1000,0)</f>
        <v>0</v>
      </c>
      <c r="AG386" s="120">
        <f>IF(AND(J386="OK",ISNUMBER($B$5),$B$5&gt;0,ISNUMBER($B$3),$B$3&gt;0),F386/(6*$B$3*1000000*$B$5)*(IF(B386&lt;($B$4*6/10),($B$4*6/10)*(MIN(C386,($B$4*6/10))^3-B386^3)-(MIN(C386,($B$4*6/10))^4-B386^4)/4,0)+IF(C386&gt;($B$4*6/10),($B$4*6/10)^2*(1.5*(C386^2-MAX(B386,($B$4*6/10))^2)-($B$4*6/10)*(C386-MAX(B386,($B$4*6/10)))),0))*1000,0)</f>
        <v>0</v>
      </c>
      <c r="AH386" s="120">
        <f>IF(AND(J386="OK",ISNUMBER($B$5),$B$5&gt;0,ISNUMBER($B$3),$B$3&gt;0),F386/(6*$B$3*1000000*$B$5)*(IF(B386&lt;($B$4*7/10),($B$4*7/10)*(MIN(C386,($B$4*7/10))^3-B386^3)-(MIN(C386,($B$4*7/10))^4-B386^4)/4,0)+IF(C386&gt;($B$4*7/10),($B$4*7/10)^2*(1.5*(C386^2-MAX(B386,($B$4*7/10))^2)-($B$4*7/10)*(C386-MAX(B386,($B$4*7/10)))),0))*1000,0)</f>
        <v>0</v>
      </c>
      <c r="AI386" s="120">
        <f>IF(AND(J386="OK",ISNUMBER($B$5),$B$5&gt;0,ISNUMBER($B$3),$B$3&gt;0),F386/(6*$B$3*1000000*$B$5)*(IF(B386&lt;($B$4*8/10),($B$4*8/10)*(MIN(C386,($B$4*8/10))^3-B386^3)-(MIN(C386,($B$4*8/10))^4-B386^4)/4,0)+IF(C386&gt;($B$4*8/10),($B$4*8/10)^2*(1.5*(C386^2-MAX(B386,($B$4*8/10))^2)-($B$4*8/10)*(C386-MAX(B386,($B$4*8/10)))),0))*1000,0)</f>
        <v>0</v>
      </c>
      <c r="AJ386" s="120">
        <f>IF(AND(J386="OK",ISNUMBER($B$5),$B$5&gt;0,ISNUMBER($B$3),$B$3&gt;0),F386/(6*$B$3*1000000*$B$5)*(IF(B386&lt;($B$4*9/10),($B$4*9/10)*(MIN(C386,($B$4*9/10))^3-B386^3)-(MIN(C386,($B$4*9/10))^4-B386^4)/4,0)+IF(C386&gt;($B$4*9/10),($B$4*9/10)^2*(1.5*(C386^2-MAX(B386,($B$4*9/10))^2)-($B$4*9/10)*(C386-MAX(B386,($B$4*9/10)))),0))*1000,0)</f>
        <v>0</v>
      </c>
      <c r="AK386" s="120">
        <f>IF(AND(J386="OK",ISNUMBER($B$5),$B$5&gt;0,ISNUMBER($B$3),$B$3&gt;0),F386/(6*$B$3*1000000*$B$5)*(IF(B386&lt;($B$4*10/10),($B$4*10/10)*(MIN(C386,($B$4*10/10))^3-B386^3)-(MIN(C386,($B$4*10/10))^4-B386^4)/4,0)+IF(C386&gt;($B$4*10/10),($B$4*10/10)^2*(1.5*(C386^2-MAX(B386,($B$4*10/10))^2)-($B$4*10/10)*(C386-MAX(B386,($B$4*10/10)))),0))*1000,0)</f>
        <v>0</v>
      </c>
      <c r="AM386" s="120">
        <f>IF(AND(V386="OK",ISNUMBER($N$5),$N$5&gt;0,ISNUMBER($N$3),$N$3&gt;0),R386/(6*$N$3*1000000*$N$5)*(IF(N386&lt;($N$4*0/10),($N$4*0/10)*(MIN(O386,($N$4*0/10))^3-N386^3)-(MIN(O386,($N$4*0/10))^4-N386^4)/4,0)+IF(O386&gt;($N$4*0/10),($N$4*0/10)^2*(1.5*(O386^2-MAX(N386,($N$4*0/10))^2)-($N$4*0/10)*(O386-MAX(N386,($N$4*0/10)))),0))*1000,0)</f>
        <v>0</v>
      </c>
      <c r="AN386" s="120">
        <f>IF(AND(V386="OK",ISNUMBER($N$5),$N$5&gt;0,ISNUMBER($N$3),$N$3&gt;0),R386/(6*$N$3*1000000*$N$5)*(IF(N386&lt;($N$4*1/10),($N$4*1/10)*(MIN(O386,($N$4*1/10))^3-N386^3)-(MIN(O386,($N$4*1/10))^4-N386^4)/4,0)+IF(O386&gt;($N$4*1/10),($N$4*1/10)^2*(1.5*(O386^2-MAX(N386,($N$4*1/10))^2)-($N$4*1/10)*(O386-MAX(N386,($N$4*1/10)))),0))*1000,0)</f>
        <v>0</v>
      </c>
      <c r="AO386" s="120">
        <f>IF(AND(V386="OK",ISNUMBER($N$5),$N$5&gt;0,ISNUMBER($N$3),$N$3&gt;0),R386/(6*$N$3*1000000*$N$5)*(IF(N386&lt;($N$4*2/10),($N$4*2/10)*(MIN(O386,($N$4*2/10))^3-N386^3)-(MIN(O386,($N$4*2/10))^4-N386^4)/4,0)+IF(O386&gt;($N$4*2/10),($N$4*2/10)^2*(1.5*(O386^2-MAX(N386,($N$4*2/10))^2)-($N$4*2/10)*(O386-MAX(N386,($N$4*2/10)))),0))*1000,0)</f>
        <v>0</v>
      </c>
      <c r="AP386" s="120">
        <f>IF(AND(V386="OK",ISNUMBER($N$5),$N$5&gt;0,ISNUMBER($N$3),$N$3&gt;0),R386/(6*$N$3*1000000*$N$5)*(IF(N386&lt;($N$4*3/10),($N$4*3/10)*(MIN(O386,($N$4*3/10))^3-N386^3)-(MIN(O386,($N$4*3/10))^4-N386^4)/4,0)+IF(O386&gt;($N$4*3/10),($N$4*3/10)^2*(1.5*(O386^2-MAX(N386,($N$4*3/10))^2)-($N$4*3/10)*(O386-MAX(N386,($N$4*3/10)))),0))*1000,0)</f>
        <v>0</v>
      </c>
      <c r="AQ386" s="120">
        <f>IF(AND(V386="OK",ISNUMBER($N$5),$N$5&gt;0,ISNUMBER($N$3),$N$3&gt;0),R386/(6*$N$3*1000000*$N$5)*(IF(N386&lt;($N$4*4/10),($N$4*4/10)*(MIN(O386,($N$4*4/10))^3-N386^3)-(MIN(O386,($N$4*4/10))^4-N386^4)/4,0)+IF(O386&gt;($N$4*4/10),($N$4*4/10)^2*(1.5*(O386^2-MAX(N386,($N$4*4/10))^2)-($N$4*4/10)*(O386-MAX(N386,($N$4*4/10)))),0))*1000,0)</f>
        <v>0</v>
      </c>
      <c r="AR386" s="120">
        <f>IF(AND(V386="OK",ISNUMBER($N$5),$N$5&gt;0,ISNUMBER($N$3),$N$3&gt;0),R386/(6*$N$3*1000000*$N$5)*(IF(N386&lt;($N$4*5/10),($N$4*5/10)*(MIN(O386,($N$4*5/10))^3-N386^3)-(MIN(O386,($N$4*5/10))^4-N386^4)/4,0)+IF(O386&gt;($N$4*5/10),($N$4*5/10)^2*(1.5*(O386^2-MAX(N386,($N$4*5/10))^2)-($N$4*5/10)*(O386-MAX(N386,($N$4*5/10)))),0))*1000,0)</f>
        <v>0</v>
      </c>
      <c r="AS386" s="120">
        <f>IF(AND(V386="OK",ISNUMBER($N$5),$N$5&gt;0,ISNUMBER($N$3),$N$3&gt;0),R386/(6*$N$3*1000000*$N$5)*(IF(N386&lt;($N$4*6/10),($N$4*6/10)*(MIN(O386,($N$4*6/10))^3-N386^3)-(MIN(O386,($N$4*6/10))^4-N386^4)/4,0)+IF(O386&gt;($N$4*6/10),($N$4*6/10)^2*(1.5*(O386^2-MAX(N386,($N$4*6/10))^2)-($N$4*6/10)*(O386-MAX(N386,($N$4*6/10)))),0))*1000,0)</f>
        <v>0</v>
      </c>
      <c r="AT386" s="120">
        <f>IF(AND(V386="OK",ISNUMBER($N$5),$N$5&gt;0,ISNUMBER($N$3),$N$3&gt;0),R386/(6*$N$3*1000000*$N$5)*(IF(N386&lt;($N$4*7/10),($N$4*7/10)*(MIN(O386,($N$4*7/10))^3-N386^3)-(MIN(O386,($N$4*7/10))^4-N386^4)/4,0)+IF(O386&gt;($N$4*7/10),($N$4*7/10)^2*(1.5*(O386^2-MAX(N386,($N$4*7/10))^2)-($N$4*7/10)*(O386-MAX(N386,($N$4*7/10)))),0))*1000,0)</f>
        <v>0</v>
      </c>
      <c r="AU386" s="120">
        <f>IF(AND(V386="OK",ISNUMBER($N$5),$N$5&gt;0,ISNUMBER($N$3),$N$3&gt;0),R386/(6*$N$3*1000000*$N$5)*(IF(N386&lt;($N$4*8/10),($N$4*8/10)*(MIN(O386,($N$4*8/10))^3-N386^3)-(MIN(O386,($N$4*8/10))^4-N386^4)/4,0)+IF(O386&gt;($N$4*8/10),($N$4*8/10)^2*(1.5*(O386^2-MAX(N386,($N$4*8/10))^2)-($N$4*8/10)*(O386-MAX(N386,($N$4*8/10)))),0))*1000,0)</f>
        <v>0</v>
      </c>
      <c r="AV386" s="120">
        <f>IF(AND(V386="OK",ISNUMBER($N$5),$N$5&gt;0,ISNUMBER($N$3),$N$3&gt;0),R386/(6*$N$3*1000000*$N$5)*(IF(N386&lt;($N$4*9/10),($N$4*9/10)*(MIN(O386,($N$4*9/10))^3-N386^3)-(MIN(O386,($N$4*9/10))^4-N386^4)/4,0)+IF(O386&gt;($N$4*9/10),($N$4*9/10)^2*(1.5*(O386^2-MAX(N386,($N$4*9/10))^2)-($N$4*9/10)*(O386-MAX(N386,($N$4*9/10)))),0))*1000,0)</f>
        <v>0</v>
      </c>
      <c r="AW386" s="120">
        <f>IF(AND(V386="OK",ISNUMBER($N$5),$N$5&gt;0,ISNUMBER($N$3),$N$3&gt;0),R386/(6*$N$3*1000000*$N$5)*(IF(N386&lt;($N$4*10/10),($N$4*10/10)*(MIN(O386,($N$4*10/10))^3-N386^3)-(MIN(O386,($N$4*10/10))^4-N386^4)/4,0)+IF(O386&gt;($N$4*10/10),($N$4*10/10)^2*(1.5*(O386^2-MAX(N386,($N$4*10/10))^2)-($N$4*10/10)*(O386-MAX(N386,($N$4*10/10)))),0))*1000,0)</f>
        <v>0</v>
      </c>
    </row>
    <row r="387" spans="1:49">
      <c r="A387" s="124"/>
      <c r="B387" s="125"/>
      <c r="C387" s="125"/>
      <c r="D387" s="125"/>
      <c r="E387" s="125"/>
      <c r="F387" s="126" t="str">
        <f>IF(J387="OK",D387*E387,"")</f>
        <v/>
      </c>
      <c r="G387" s="126" t="str">
        <f>IF(J387="OK",F387*(C387-B387),"")</f>
        <v/>
      </c>
      <c r="H387" s="126" t="str">
        <f>IF(J387="OK",G387*(C387+B387)/2,"")</f>
        <v/>
      </c>
      <c r="I387" s="126" t="str">
        <f>IF(AND(J387="OK",ISNUMBER($B$5),$B$5&gt;0,ISNUMBER($B$3),$B$3&gt;0),F387*(4*$B$4*(C387^3-B387^3)-(C387^4-B387^4))/(24*$B$3*1000000*$B$5)*1000,"")</f>
        <v/>
      </c>
      <c r="J387" s="120" t="str">
        <f>IF(COUNTA(A387:E387)=0,"",IF(AND(COUNT(B387:E387)=4,B387&gt;=0,C387&gt;B387,C387&lt;=$B$4,D387&gt;=0,E387&gt;0),IF(COUNTIFS($B$13:$B$386,"&lt;"&amp;C387,$C$13:$C$386,"&gt;"&amp;B387)&gt;0,"OVERLAP","OK"),"CHECK INPUTS"))</f>
        <v/>
      </c>
      <c r="M387" s="124"/>
      <c r="N387" s="125"/>
      <c r="O387" s="125"/>
      <c r="P387" s="125"/>
      <c r="Q387" s="125"/>
      <c r="R387" s="126" t="str">
        <f>IF(V387="OK",P387*Q387,"")</f>
        <v/>
      </c>
      <c r="S387" s="126" t="str">
        <f>IF(V387="OK",R387*(O387-N387),"")</f>
        <v/>
      </c>
      <c r="T387" s="126" t="str">
        <f>IF(V387="OK",S387*(O387+N387)/2,"")</f>
        <v/>
      </c>
      <c r="U387" s="126" t="str">
        <f>IF(AND(V387="OK",ISNUMBER($N$5),$N$5&gt;0,ISNUMBER($N$3),$N$3&gt;0),R387*(4*$N$4*(O387^3-N387^3)-(O387^4-N387^4))/(24*$N$3*1000000*$N$5)*1000,"")</f>
        <v/>
      </c>
      <c r="V387" s="120" t="str">
        <f>IF(COUNTA(M387:Q387)=0,"",IF(AND(COUNT(N387:Q387)=4,N387&gt;=0,O387&gt;N387,O387&lt;=$N$4,P387&gt;=0,Q387&gt;0),IF(COUNTIFS($N$13:$N$386,"&lt;"&amp;O387,$O$13:$O$386,"&gt;"&amp;N387)&gt;0,"OVERLAP","OK"),"CHECK INPUTS"))</f>
        <v/>
      </c>
      <c r="AA387" s="120">
        <f>IF(AND(J387="OK",ISNUMBER($B$5),$B$5&gt;0,ISNUMBER($B$3),$B$3&gt;0),F387/(6*$B$3*1000000*$B$5)*(IF(B387&lt;($B$4*0/10),($B$4*0/10)*(MIN(C387,($B$4*0/10))^3-B387^3)-(MIN(C387,($B$4*0/10))^4-B387^4)/4,0)+IF(C387&gt;($B$4*0/10),($B$4*0/10)^2*(1.5*(C387^2-MAX(B387,($B$4*0/10))^2)-($B$4*0/10)*(C387-MAX(B387,($B$4*0/10)))),0))*1000,0)</f>
        <v>0</v>
      </c>
      <c r="AB387" s="120">
        <f>IF(AND(J387="OK",ISNUMBER($B$5),$B$5&gt;0,ISNUMBER($B$3),$B$3&gt;0),F387/(6*$B$3*1000000*$B$5)*(IF(B387&lt;($B$4*1/10),($B$4*1/10)*(MIN(C387,($B$4*1/10))^3-B387^3)-(MIN(C387,($B$4*1/10))^4-B387^4)/4,0)+IF(C387&gt;($B$4*1/10),($B$4*1/10)^2*(1.5*(C387^2-MAX(B387,($B$4*1/10))^2)-($B$4*1/10)*(C387-MAX(B387,($B$4*1/10)))),0))*1000,0)</f>
        <v>0</v>
      </c>
      <c r="AC387" s="120">
        <f>IF(AND(J387="OK",ISNUMBER($B$5),$B$5&gt;0,ISNUMBER($B$3),$B$3&gt;0),F387/(6*$B$3*1000000*$B$5)*(IF(B387&lt;($B$4*2/10),($B$4*2/10)*(MIN(C387,($B$4*2/10))^3-B387^3)-(MIN(C387,($B$4*2/10))^4-B387^4)/4,0)+IF(C387&gt;($B$4*2/10),($B$4*2/10)^2*(1.5*(C387^2-MAX(B387,($B$4*2/10))^2)-($B$4*2/10)*(C387-MAX(B387,($B$4*2/10)))),0))*1000,0)</f>
        <v>0</v>
      </c>
      <c r="AD387" s="120">
        <f>IF(AND(J387="OK",ISNUMBER($B$5),$B$5&gt;0,ISNUMBER($B$3),$B$3&gt;0),F387/(6*$B$3*1000000*$B$5)*(IF(B387&lt;($B$4*3/10),($B$4*3/10)*(MIN(C387,($B$4*3/10))^3-B387^3)-(MIN(C387,($B$4*3/10))^4-B387^4)/4,0)+IF(C387&gt;($B$4*3/10),($B$4*3/10)^2*(1.5*(C387^2-MAX(B387,($B$4*3/10))^2)-($B$4*3/10)*(C387-MAX(B387,($B$4*3/10)))),0))*1000,0)</f>
        <v>0</v>
      </c>
      <c r="AE387" s="120">
        <f>IF(AND(J387="OK",ISNUMBER($B$5),$B$5&gt;0,ISNUMBER($B$3),$B$3&gt;0),F387/(6*$B$3*1000000*$B$5)*(IF(B387&lt;($B$4*4/10),($B$4*4/10)*(MIN(C387,($B$4*4/10))^3-B387^3)-(MIN(C387,($B$4*4/10))^4-B387^4)/4,0)+IF(C387&gt;($B$4*4/10),($B$4*4/10)^2*(1.5*(C387^2-MAX(B387,($B$4*4/10))^2)-($B$4*4/10)*(C387-MAX(B387,($B$4*4/10)))),0))*1000,0)</f>
        <v>0</v>
      </c>
      <c r="AF387" s="120">
        <f>IF(AND(J387="OK",ISNUMBER($B$5),$B$5&gt;0,ISNUMBER($B$3),$B$3&gt;0),F387/(6*$B$3*1000000*$B$5)*(IF(B387&lt;($B$4*5/10),($B$4*5/10)*(MIN(C387,($B$4*5/10))^3-B387^3)-(MIN(C387,($B$4*5/10))^4-B387^4)/4,0)+IF(C387&gt;($B$4*5/10),($B$4*5/10)^2*(1.5*(C387^2-MAX(B387,($B$4*5/10))^2)-($B$4*5/10)*(C387-MAX(B387,($B$4*5/10)))),0))*1000,0)</f>
        <v>0</v>
      </c>
      <c r="AG387" s="120">
        <f>IF(AND(J387="OK",ISNUMBER($B$5),$B$5&gt;0,ISNUMBER($B$3),$B$3&gt;0),F387/(6*$B$3*1000000*$B$5)*(IF(B387&lt;($B$4*6/10),($B$4*6/10)*(MIN(C387,($B$4*6/10))^3-B387^3)-(MIN(C387,($B$4*6/10))^4-B387^4)/4,0)+IF(C387&gt;($B$4*6/10),($B$4*6/10)^2*(1.5*(C387^2-MAX(B387,($B$4*6/10))^2)-($B$4*6/10)*(C387-MAX(B387,($B$4*6/10)))),0))*1000,0)</f>
        <v>0</v>
      </c>
      <c r="AH387" s="120">
        <f>IF(AND(J387="OK",ISNUMBER($B$5),$B$5&gt;0,ISNUMBER($B$3),$B$3&gt;0),F387/(6*$B$3*1000000*$B$5)*(IF(B387&lt;($B$4*7/10),($B$4*7/10)*(MIN(C387,($B$4*7/10))^3-B387^3)-(MIN(C387,($B$4*7/10))^4-B387^4)/4,0)+IF(C387&gt;($B$4*7/10),($B$4*7/10)^2*(1.5*(C387^2-MAX(B387,($B$4*7/10))^2)-($B$4*7/10)*(C387-MAX(B387,($B$4*7/10)))),0))*1000,0)</f>
        <v>0</v>
      </c>
      <c r="AI387" s="120">
        <f>IF(AND(J387="OK",ISNUMBER($B$5),$B$5&gt;0,ISNUMBER($B$3),$B$3&gt;0),F387/(6*$B$3*1000000*$B$5)*(IF(B387&lt;($B$4*8/10),($B$4*8/10)*(MIN(C387,($B$4*8/10))^3-B387^3)-(MIN(C387,($B$4*8/10))^4-B387^4)/4,0)+IF(C387&gt;($B$4*8/10),($B$4*8/10)^2*(1.5*(C387^2-MAX(B387,($B$4*8/10))^2)-($B$4*8/10)*(C387-MAX(B387,($B$4*8/10)))),0))*1000,0)</f>
        <v>0</v>
      </c>
      <c r="AJ387" s="120">
        <f>IF(AND(J387="OK",ISNUMBER($B$5),$B$5&gt;0,ISNUMBER($B$3),$B$3&gt;0),F387/(6*$B$3*1000000*$B$5)*(IF(B387&lt;($B$4*9/10),($B$4*9/10)*(MIN(C387,($B$4*9/10))^3-B387^3)-(MIN(C387,($B$4*9/10))^4-B387^4)/4,0)+IF(C387&gt;($B$4*9/10),($B$4*9/10)^2*(1.5*(C387^2-MAX(B387,($B$4*9/10))^2)-($B$4*9/10)*(C387-MAX(B387,($B$4*9/10)))),0))*1000,0)</f>
        <v>0</v>
      </c>
      <c r="AK387" s="120">
        <f>IF(AND(J387="OK",ISNUMBER($B$5),$B$5&gt;0,ISNUMBER($B$3),$B$3&gt;0),F387/(6*$B$3*1000000*$B$5)*(IF(B387&lt;($B$4*10/10),($B$4*10/10)*(MIN(C387,($B$4*10/10))^3-B387^3)-(MIN(C387,($B$4*10/10))^4-B387^4)/4,0)+IF(C387&gt;($B$4*10/10),($B$4*10/10)^2*(1.5*(C387^2-MAX(B387,($B$4*10/10))^2)-($B$4*10/10)*(C387-MAX(B387,($B$4*10/10)))),0))*1000,0)</f>
        <v>0</v>
      </c>
      <c r="AM387" s="120">
        <f>IF(AND(V387="OK",ISNUMBER($N$5),$N$5&gt;0,ISNUMBER($N$3),$N$3&gt;0),R387/(6*$N$3*1000000*$N$5)*(IF(N387&lt;($N$4*0/10),($N$4*0/10)*(MIN(O387,($N$4*0/10))^3-N387^3)-(MIN(O387,($N$4*0/10))^4-N387^4)/4,0)+IF(O387&gt;($N$4*0/10),($N$4*0/10)^2*(1.5*(O387^2-MAX(N387,($N$4*0/10))^2)-($N$4*0/10)*(O387-MAX(N387,($N$4*0/10)))),0))*1000,0)</f>
        <v>0</v>
      </c>
      <c r="AN387" s="120">
        <f>IF(AND(V387="OK",ISNUMBER($N$5),$N$5&gt;0,ISNUMBER($N$3),$N$3&gt;0),R387/(6*$N$3*1000000*$N$5)*(IF(N387&lt;($N$4*1/10),($N$4*1/10)*(MIN(O387,($N$4*1/10))^3-N387^3)-(MIN(O387,($N$4*1/10))^4-N387^4)/4,0)+IF(O387&gt;($N$4*1/10),($N$4*1/10)^2*(1.5*(O387^2-MAX(N387,($N$4*1/10))^2)-($N$4*1/10)*(O387-MAX(N387,($N$4*1/10)))),0))*1000,0)</f>
        <v>0</v>
      </c>
      <c r="AO387" s="120">
        <f>IF(AND(V387="OK",ISNUMBER($N$5),$N$5&gt;0,ISNUMBER($N$3),$N$3&gt;0),R387/(6*$N$3*1000000*$N$5)*(IF(N387&lt;($N$4*2/10),($N$4*2/10)*(MIN(O387,($N$4*2/10))^3-N387^3)-(MIN(O387,($N$4*2/10))^4-N387^4)/4,0)+IF(O387&gt;($N$4*2/10),($N$4*2/10)^2*(1.5*(O387^2-MAX(N387,($N$4*2/10))^2)-($N$4*2/10)*(O387-MAX(N387,($N$4*2/10)))),0))*1000,0)</f>
        <v>0</v>
      </c>
      <c r="AP387" s="120">
        <f>IF(AND(V387="OK",ISNUMBER($N$5),$N$5&gt;0,ISNUMBER($N$3),$N$3&gt;0),R387/(6*$N$3*1000000*$N$5)*(IF(N387&lt;($N$4*3/10),($N$4*3/10)*(MIN(O387,($N$4*3/10))^3-N387^3)-(MIN(O387,($N$4*3/10))^4-N387^4)/4,0)+IF(O387&gt;($N$4*3/10),($N$4*3/10)^2*(1.5*(O387^2-MAX(N387,($N$4*3/10))^2)-($N$4*3/10)*(O387-MAX(N387,($N$4*3/10)))),0))*1000,0)</f>
        <v>0</v>
      </c>
      <c r="AQ387" s="120">
        <f>IF(AND(V387="OK",ISNUMBER($N$5),$N$5&gt;0,ISNUMBER($N$3),$N$3&gt;0),R387/(6*$N$3*1000000*$N$5)*(IF(N387&lt;($N$4*4/10),($N$4*4/10)*(MIN(O387,($N$4*4/10))^3-N387^3)-(MIN(O387,($N$4*4/10))^4-N387^4)/4,0)+IF(O387&gt;($N$4*4/10),($N$4*4/10)^2*(1.5*(O387^2-MAX(N387,($N$4*4/10))^2)-($N$4*4/10)*(O387-MAX(N387,($N$4*4/10)))),0))*1000,0)</f>
        <v>0</v>
      </c>
      <c r="AR387" s="120">
        <f>IF(AND(V387="OK",ISNUMBER($N$5),$N$5&gt;0,ISNUMBER($N$3),$N$3&gt;0),R387/(6*$N$3*1000000*$N$5)*(IF(N387&lt;($N$4*5/10),($N$4*5/10)*(MIN(O387,($N$4*5/10))^3-N387^3)-(MIN(O387,($N$4*5/10))^4-N387^4)/4,0)+IF(O387&gt;($N$4*5/10),($N$4*5/10)^2*(1.5*(O387^2-MAX(N387,($N$4*5/10))^2)-($N$4*5/10)*(O387-MAX(N387,($N$4*5/10)))),0))*1000,0)</f>
        <v>0</v>
      </c>
      <c r="AS387" s="120">
        <f>IF(AND(V387="OK",ISNUMBER($N$5),$N$5&gt;0,ISNUMBER($N$3),$N$3&gt;0),R387/(6*$N$3*1000000*$N$5)*(IF(N387&lt;($N$4*6/10),($N$4*6/10)*(MIN(O387,($N$4*6/10))^3-N387^3)-(MIN(O387,($N$4*6/10))^4-N387^4)/4,0)+IF(O387&gt;($N$4*6/10),($N$4*6/10)^2*(1.5*(O387^2-MAX(N387,($N$4*6/10))^2)-($N$4*6/10)*(O387-MAX(N387,($N$4*6/10)))),0))*1000,0)</f>
        <v>0</v>
      </c>
      <c r="AT387" s="120">
        <f>IF(AND(V387="OK",ISNUMBER($N$5),$N$5&gt;0,ISNUMBER($N$3),$N$3&gt;0),R387/(6*$N$3*1000000*$N$5)*(IF(N387&lt;($N$4*7/10),($N$4*7/10)*(MIN(O387,($N$4*7/10))^3-N387^3)-(MIN(O387,($N$4*7/10))^4-N387^4)/4,0)+IF(O387&gt;($N$4*7/10),($N$4*7/10)^2*(1.5*(O387^2-MAX(N387,($N$4*7/10))^2)-($N$4*7/10)*(O387-MAX(N387,($N$4*7/10)))),0))*1000,0)</f>
        <v>0</v>
      </c>
      <c r="AU387" s="120">
        <f>IF(AND(V387="OK",ISNUMBER($N$5),$N$5&gt;0,ISNUMBER($N$3),$N$3&gt;0),R387/(6*$N$3*1000000*$N$5)*(IF(N387&lt;($N$4*8/10),($N$4*8/10)*(MIN(O387,($N$4*8/10))^3-N387^3)-(MIN(O387,($N$4*8/10))^4-N387^4)/4,0)+IF(O387&gt;($N$4*8/10),($N$4*8/10)^2*(1.5*(O387^2-MAX(N387,($N$4*8/10))^2)-($N$4*8/10)*(O387-MAX(N387,($N$4*8/10)))),0))*1000,0)</f>
        <v>0</v>
      </c>
      <c r="AV387" s="120">
        <f>IF(AND(V387="OK",ISNUMBER($N$5),$N$5&gt;0,ISNUMBER($N$3),$N$3&gt;0),R387/(6*$N$3*1000000*$N$5)*(IF(N387&lt;($N$4*9/10),($N$4*9/10)*(MIN(O387,($N$4*9/10))^3-N387^3)-(MIN(O387,($N$4*9/10))^4-N387^4)/4,0)+IF(O387&gt;($N$4*9/10),($N$4*9/10)^2*(1.5*(O387^2-MAX(N387,($N$4*9/10))^2)-($N$4*9/10)*(O387-MAX(N387,($N$4*9/10)))),0))*1000,0)</f>
        <v>0</v>
      </c>
      <c r="AW387" s="120">
        <f>IF(AND(V387="OK",ISNUMBER($N$5),$N$5&gt;0,ISNUMBER($N$3),$N$3&gt;0),R387/(6*$N$3*1000000*$N$5)*(IF(N387&lt;($N$4*10/10),($N$4*10/10)*(MIN(O387,($N$4*10/10))^3-N387^3)-(MIN(O387,($N$4*10/10))^4-N387^4)/4,0)+IF(O387&gt;($N$4*10/10),($N$4*10/10)^2*(1.5*(O387^2-MAX(N387,($N$4*10/10))^2)-($N$4*10/10)*(O387-MAX(N387,($N$4*10/10)))),0))*1000,0)</f>
        <v>0</v>
      </c>
    </row>
    <row r="388" spans="1:49">
      <c r="A388" s="124"/>
      <c r="B388" s="125"/>
      <c r="C388" s="125"/>
      <c r="D388" s="125"/>
      <c r="E388" s="125"/>
      <c r="F388" s="126" t="str">
        <f>IF(J388="OK",D388*E388,"")</f>
        <v/>
      </c>
      <c r="G388" s="126" t="str">
        <f>IF(J388="OK",F388*(C388-B388),"")</f>
        <v/>
      </c>
      <c r="H388" s="126" t="str">
        <f>IF(J388="OK",G388*(C388+B388)/2,"")</f>
        <v/>
      </c>
      <c r="I388" s="126" t="str">
        <f>IF(AND(J388="OK",ISNUMBER($B$5),$B$5&gt;0,ISNUMBER($B$3),$B$3&gt;0),F388*(4*$B$4*(C388^3-B388^3)-(C388^4-B388^4))/(24*$B$3*1000000*$B$5)*1000,"")</f>
        <v/>
      </c>
      <c r="J388" s="120" t="str">
        <f>IF(COUNTA(A388:E388)=0,"",IF(AND(COUNT(B388:E388)=4,B388&gt;=0,C388&gt;B388,C388&lt;=$B$4,D388&gt;=0,E388&gt;0),IF(COUNTIFS($B$13:$B$387,"&lt;"&amp;C388,$C$13:$C$387,"&gt;"&amp;B388)&gt;0,"OVERLAP","OK"),"CHECK INPUTS"))</f>
        <v/>
      </c>
      <c r="M388" s="124"/>
      <c r="N388" s="125"/>
      <c r="O388" s="125"/>
      <c r="P388" s="125"/>
      <c r="Q388" s="125"/>
      <c r="R388" s="126" t="str">
        <f>IF(V388="OK",P388*Q388,"")</f>
        <v/>
      </c>
      <c r="S388" s="126" t="str">
        <f>IF(V388="OK",R388*(O388-N388),"")</f>
        <v/>
      </c>
      <c r="T388" s="126" t="str">
        <f>IF(V388="OK",S388*(O388+N388)/2,"")</f>
        <v/>
      </c>
      <c r="U388" s="126" t="str">
        <f>IF(AND(V388="OK",ISNUMBER($N$5),$N$5&gt;0,ISNUMBER($N$3),$N$3&gt;0),R388*(4*$N$4*(O388^3-N388^3)-(O388^4-N388^4))/(24*$N$3*1000000*$N$5)*1000,"")</f>
        <v/>
      </c>
      <c r="V388" s="120" t="str">
        <f>IF(COUNTA(M388:Q388)=0,"",IF(AND(COUNT(N388:Q388)=4,N388&gt;=0,O388&gt;N388,O388&lt;=$N$4,P388&gt;=0,Q388&gt;0),IF(COUNTIFS($N$13:$N$387,"&lt;"&amp;O388,$O$13:$O$387,"&gt;"&amp;N388)&gt;0,"OVERLAP","OK"),"CHECK INPUTS"))</f>
        <v/>
      </c>
      <c r="AA388" s="120">
        <f>IF(AND(J388="OK",ISNUMBER($B$5),$B$5&gt;0,ISNUMBER($B$3),$B$3&gt;0),F388/(6*$B$3*1000000*$B$5)*(IF(B388&lt;($B$4*0/10),($B$4*0/10)*(MIN(C388,($B$4*0/10))^3-B388^3)-(MIN(C388,($B$4*0/10))^4-B388^4)/4,0)+IF(C388&gt;($B$4*0/10),($B$4*0/10)^2*(1.5*(C388^2-MAX(B388,($B$4*0/10))^2)-($B$4*0/10)*(C388-MAX(B388,($B$4*0/10)))),0))*1000,0)</f>
        <v>0</v>
      </c>
      <c r="AB388" s="120">
        <f>IF(AND(J388="OK",ISNUMBER($B$5),$B$5&gt;0,ISNUMBER($B$3),$B$3&gt;0),F388/(6*$B$3*1000000*$B$5)*(IF(B388&lt;($B$4*1/10),($B$4*1/10)*(MIN(C388,($B$4*1/10))^3-B388^3)-(MIN(C388,($B$4*1/10))^4-B388^4)/4,0)+IF(C388&gt;($B$4*1/10),($B$4*1/10)^2*(1.5*(C388^2-MAX(B388,($B$4*1/10))^2)-($B$4*1/10)*(C388-MAX(B388,($B$4*1/10)))),0))*1000,0)</f>
        <v>0</v>
      </c>
      <c r="AC388" s="120">
        <f>IF(AND(J388="OK",ISNUMBER($B$5),$B$5&gt;0,ISNUMBER($B$3),$B$3&gt;0),F388/(6*$B$3*1000000*$B$5)*(IF(B388&lt;($B$4*2/10),($B$4*2/10)*(MIN(C388,($B$4*2/10))^3-B388^3)-(MIN(C388,($B$4*2/10))^4-B388^4)/4,0)+IF(C388&gt;($B$4*2/10),($B$4*2/10)^2*(1.5*(C388^2-MAX(B388,($B$4*2/10))^2)-($B$4*2/10)*(C388-MAX(B388,($B$4*2/10)))),0))*1000,0)</f>
        <v>0</v>
      </c>
      <c r="AD388" s="120">
        <f>IF(AND(J388="OK",ISNUMBER($B$5),$B$5&gt;0,ISNUMBER($B$3),$B$3&gt;0),F388/(6*$B$3*1000000*$B$5)*(IF(B388&lt;($B$4*3/10),($B$4*3/10)*(MIN(C388,($B$4*3/10))^3-B388^3)-(MIN(C388,($B$4*3/10))^4-B388^4)/4,0)+IF(C388&gt;($B$4*3/10),($B$4*3/10)^2*(1.5*(C388^2-MAX(B388,($B$4*3/10))^2)-($B$4*3/10)*(C388-MAX(B388,($B$4*3/10)))),0))*1000,0)</f>
        <v>0</v>
      </c>
      <c r="AE388" s="120">
        <f>IF(AND(J388="OK",ISNUMBER($B$5),$B$5&gt;0,ISNUMBER($B$3),$B$3&gt;0),F388/(6*$B$3*1000000*$B$5)*(IF(B388&lt;($B$4*4/10),($B$4*4/10)*(MIN(C388,($B$4*4/10))^3-B388^3)-(MIN(C388,($B$4*4/10))^4-B388^4)/4,0)+IF(C388&gt;($B$4*4/10),($B$4*4/10)^2*(1.5*(C388^2-MAX(B388,($B$4*4/10))^2)-($B$4*4/10)*(C388-MAX(B388,($B$4*4/10)))),0))*1000,0)</f>
        <v>0</v>
      </c>
      <c r="AF388" s="120">
        <f>IF(AND(J388="OK",ISNUMBER($B$5),$B$5&gt;0,ISNUMBER($B$3),$B$3&gt;0),F388/(6*$B$3*1000000*$B$5)*(IF(B388&lt;($B$4*5/10),($B$4*5/10)*(MIN(C388,($B$4*5/10))^3-B388^3)-(MIN(C388,($B$4*5/10))^4-B388^4)/4,0)+IF(C388&gt;($B$4*5/10),($B$4*5/10)^2*(1.5*(C388^2-MAX(B388,($B$4*5/10))^2)-($B$4*5/10)*(C388-MAX(B388,($B$4*5/10)))),0))*1000,0)</f>
        <v>0</v>
      </c>
      <c r="AG388" s="120">
        <f>IF(AND(J388="OK",ISNUMBER($B$5),$B$5&gt;0,ISNUMBER($B$3),$B$3&gt;0),F388/(6*$B$3*1000000*$B$5)*(IF(B388&lt;($B$4*6/10),($B$4*6/10)*(MIN(C388,($B$4*6/10))^3-B388^3)-(MIN(C388,($B$4*6/10))^4-B388^4)/4,0)+IF(C388&gt;($B$4*6/10),($B$4*6/10)^2*(1.5*(C388^2-MAX(B388,($B$4*6/10))^2)-($B$4*6/10)*(C388-MAX(B388,($B$4*6/10)))),0))*1000,0)</f>
        <v>0</v>
      </c>
      <c r="AH388" s="120">
        <f>IF(AND(J388="OK",ISNUMBER($B$5),$B$5&gt;0,ISNUMBER($B$3),$B$3&gt;0),F388/(6*$B$3*1000000*$B$5)*(IF(B388&lt;($B$4*7/10),($B$4*7/10)*(MIN(C388,($B$4*7/10))^3-B388^3)-(MIN(C388,($B$4*7/10))^4-B388^4)/4,0)+IF(C388&gt;($B$4*7/10),($B$4*7/10)^2*(1.5*(C388^2-MAX(B388,($B$4*7/10))^2)-($B$4*7/10)*(C388-MAX(B388,($B$4*7/10)))),0))*1000,0)</f>
        <v>0</v>
      </c>
      <c r="AI388" s="120">
        <f>IF(AND(J388="OK",ISNUMBER($B$5),$B$5&gt;0,ISNUMBER($B$3),$B$3&gt;0),F388/(6*$B$3*1000000*$B$5)*(IF(B388&lt;($B$4*8/10),($B$4*8/10)*(MIN(C388,($B$4*8/10))^3-B388^3)-(MIN(C388,($B$4*8/10))^4-B388^4)/4,0)+IF(C388&gt;($B$4*8/10),($B$4*8/10)^2*(1.5*(C388^2-MAX(B388,($B$4*8/10))^2)-($B$4*8/10)*(C388-MAX(B388,($B$4*8/10)))),0))*1000,0)</f>
        <v>0</v>
      </c>
      <c r="AJ388" s="120">
        <f>IF(AND(J388="OK",ISNUMBER($B$5),$B$5&gt;0,ISNUMBER($B$3),$B$3&gt;0),F388/(6*$B$3*1000000*$B$5)*(IF(B388&lt;($B$4*9/10),($B$4*9/10)*(MIN(C388,($B$4*9/10))^3-B388^3)-(MIN(C388,($B$4*9/10))^4-B388^4)/4,0)+IF(C388&gt;($B$4*9/10),($B$4*9/10)^2*(1.5*(C388^2-MAX(B388,($B$4*9/10))^2)-($B$4*9/10)*(C388-MAX(B388,($B$4*9/10)))),0))*1000,0)</f>
        <v>0</v>
      </c>
      <c r="AK388" s="120">
        <f>IF(AND(J388="OK",ISNUMBER($B$5),$B$5&gt;0,ISNUMBER($B$3),$B$3&gt;0),F388/(6*$B$3*1000000*$B$5)*(IF(B388&lt;($B$4*10/10),($B$4*10/10)*(MIN(C388,($B$4*10/10))^3-B388^3)-(MIN(C388,($B$4*10/10))^4-B388^4)/4,0)+IF(C388&gt;($B$4*10/10),($B$4*10/10)^2*(1.5*(C388^2-MAX(B388,($B$4*10/10))^2)-($B$4*10/10)*(C388-MAX(B388,($B$4*10/10)))),0))*1000,0)</f>
        <v>0</v>
      </c>
      <c r="AM388" s="120">
        <f>IF(AND(V388="OK",ISNUMBER($N$5),$N$5&gt;0,ISNUMBER($N$3),$N$3&gt;0),R388/(6*$N$3*1000000*$N$5)*(IF(N388&lt;($N$4*0/10),($N$4*0/10)*(MIN(O388,($N$4*0/10))^3-N388^3)-(MIN(O388,($N$4*0/10))^4-N388^4)/4,0)+IF(O388&gt;($N$4*0/10),($N$4*0/10)^2*(1.5*(O388^2-MAX(N388,($N$4*0/10))^2)-($N$4*0/10)*(O388-MAX(N388,($N$4*0/10)))),0))*1000,0)</f>
        <v>0</v>
      </c>
      <c r="AN388" s="120">
        <f>IF(AND(V388="OK",ISNUMBER($N$5),$N$5&gt;0,ISNUMBER($N$3),$N$3&gt;0),R388/(6*$N$3*1000000*$N$5)*(IF(N388&lt;($N$4*1/10),($N$4*1/10)*(MIN(O388,($N$4*1/10))^3-N388^3)-(MIN(O388,($N$4*1/10))^4-N388^4)/4,0)+IF(O388&gt;($N$4*1/10),($N$4*1/10)^2*(1.5*(O388^2-MAX(N388,($N$4*1/10))^2)-($N$4*1/10)*(O388-MAX(N388,($N$4*1/10)))),0))*1000,0)</f>
        <v>0</v>
      </c>
      <c r="AO388" s="120">
        <f>IF(AND(V388="OK",ISNUMBER($N$5),$N$5&gt;0,ISNUMBER($N$3),$N$3&gt;0),R388/(6*$N$3*1000000*$N$5)*(IF(N388&lt;($N$4*2/10),($N$4*2/10)*(MIN(O388,($N$4*2/10))^3-N388^3)-(MIN(O388,($N$4*2/10))^4-N388^4)/4,0)+IF(O388&gt;($N$4*2/10),($N$4*2/10)^2*(1.5*(O388^2-MAX(N388,($N$4*2/10))^2)-($N$4*2/10)*(O388-MAX(N388,($N$4*2/10)))),0))*1000,0)</f>
        <v>0</v>
      </c>
      <c r="AP388" s="120">
        <f>IF(AND(V388="OK",ISNUMBER($N$5),$N$5&gt;0,ISNUMBER($N$3),$N$3&gt;0),R388/(6*$N$3*1000000*$N$5)*(IF(N388&lt;($N$4*3/10),($N$4*3/10)*(MIN(O388,($N$4*3/10))^3-N388^3)-(MIN(O388,($N$4*3/10))^4-N388^4)/4,0)+IF(O388&gt;($N$4*3/10),($N$4*3/10)^2*(1.5*(O388^2-MAX(N388,($N$4*3/10))^2)-($N$4*3/10)*(O388-MAX(N388,($N$4*3/10)))),0))*1000,0)</f>
        <v>0</v>
      </c>
      <c r="AQ388" s="120">
        <f>IF(AND(V388="OK",ISNUMBER($N$5),$N$5&gt;0,ISNUMBER($N$3),$N$3&gt;0),R388/(6*$N$3*1000000*$N$5)*(IF(N388&lt;($N$4*4/10),($N$4*4/10)*(MIN(O388,($N$4*4/10))^3-N388^3)-(MIN(O388,($N$4*4/10))^4-N388^4)/4,0)+IF(O388&gt;($N$4*4/10),($N$4*4/10)^2*(1.5*(O388^2-MAX(N388,($N$4*4/10))^2)-($N$4*4/10)*(O388-MAX(N388,($N$4*4/10)))),0))*1000,0)</f>
        <v>0</v>
      </c>
      <c r="AR388" s="120">
        <f>IF(AND(V388="OK",ISNUMBER($N$5),$N$5&gt;0,ISNUMBER($N$3),$N$3&gt;0),R388/(6*$N$3*1000000*$N$5)*(IF(N388&lt;($N$4*5/10),($N$4*5/10)*(MIN(O388,($N$4*5/10))^3-N388^3)-(MIN(O388,($N$4*5/10))^4-N388^4)/4,0)+IF(O388&gt;($N$4*5/10),($N$4*5/10)^2*(1.5*(O388^2-MAX(N388,($N$4*5/10))^2)-($N$4*5/10)*(O388-MAX(N388,($N$4*5/10)))),0))*1000,0)</f>
        <v>0</v>
      </c>
      <c r="AS388" s="120">
        <f>IF(AND(V388="OK",ISNUMBER($N$5),$N$5&gt;0,ISNUMBER($N$3),$N$3&gt;0),R388/(6*$N$3*1000000*$N$5)*(IF(N388&lt;($N$4*6/10),($N$4*6/10)*(MIN(O388,($N$4*6/10))^3-N388^3)-(MIN(O388,($N$4*6/10))^4-N388^4)/4,0)+IF(O388&gt;($N$4*6/10),($N$4*6/10)^2*(1.5*(O388^2-MAX(N388,($N$4*6/10))^2)-($N$4*6/10)*(O388-MAX(N388,($N$4*6/10)))),0))*1000,0)</f>
        <v>0</v>
      </c>
      <c r="AT388" s="120">
        <f>IF(AND(V388="OK",ISNUMBER($N$5),$N$5&gt;0,ISNUMBER($N$3),$N$3&gt;0),R388/(6*$N$3*1000000*$N$5)*(IF(N388&lt;($N$4*7/10),($N$4*7/10)*(MIN(O388,($N$4*7/10))^3-N388^3)-(MIN(O388,($N$4*7/10))^4-N388^4)/4,0)+IF(O388&gt;($N$4*7/10),($N$4*7/10)^2*(1.5*(O388^2-MAX(N388,($N$4*7/10))^2)-($N$4*7/10)*(O388-MAX(N388,($N$4*7/10)))),0))*1000,0)</f>
        <v>0</v>
      </c>
      <c r="AU388" s="120">
        <f>IF(AND(V388="OK",ISNUMBER($N$5),$N$5&gt;0,ISNUMBER($N$3),$N$3&gt;0),R388/(6*$N$3*1000000*$N$5)*(IF(N388&lt;($N$4*8/10),($N$4*8/10)*(MIN(O388,($N$4*8/10))^3-N388^3)-(MIN(O388,($N$4*8/10))^4-N388^4)/4,0)+IF(O388&gt;($N$4*8/10),($N$4*8/10)^2*(1.5*(O388^2-MAX(N388,($N$4*8/10))^2)-($N$4*8/10)*(O388-MAX(N388,($N$4*8/10)))),0))*1000,0)</f>
        <v>0</v>
      </c>
      <c r="AV388" s="120">
        <f>IF(AND(V388="OK",ISNUMBER($N$5),$N$5&gt;0,ISNUMBER($N$3),$N$3&gt;0),R388/(6*$N$3*1000000*$N$5)*(IF(N388&lt;($N$4*9/10),($N$4*9/10)*(MIN(O388,($N$4*9/10))^3-N388^3)-(MIN(O388,($N$4*9/10))^4-N388^4)/4,0)+IF(O388&gt;($N$4*9/10),($N$4*9/10)^2*(1.5*(O388^2-MAX(N388,($N$4*9/10))^2)-($N$4*9/10)*(O388-MAX(N388,($N$4*9/10)))),0))*1000,0)</f>
        <v>0</v>
      </c>
      <c r="AW388" s="120">
        <f>IF(AND(V388="OK",ISNUMBER($N$5),$N$5&gt;0,ISNUMBER($N$3),$N$3&gt;0),R388/(6*$N$3*1000000*$N$5)*(IF(N388&lt;($N$4*10/10),($N$4*10/10)*(MIN(O388,($N$4*10/10))^3-N388^3)-(MIN(O388,($N$4*10/10))^4-N388^4)/4,0)+IF(O388&gt;($N$4*10/10),($N$4*10/10)^2*(1.5*(O388^2-MAX(N388,($N$4*10/10))^2)-($N$4*10/10)*(O388-MAX(N388,($N$4*10/10)))),0))*1000,0)</f>
        <v>0</v>
      </c>
    </row>
    <row r="389" spans="1:49">
      <c r="A389" s="124"/>
      <c r="B389" s="125"/>
      <c r="C389" s="125"/>
      <c r="D389" s="125"/>
      <c r="E389" s="125"/>
      <c r="F389" s="126" t="str">
        <f>IF(J389="OK",D389*E389,"")</f>
        <v/>
      </c>
      <c r="G389" s="126" t="str">
        <f>IF(J389="OK",F389*(C389-B389),"")</f>
        <v/>
      </c>
      <c r="H389" s="126" t="str">
        <f>IF(J389="OK",G389*(C389+B389)/2,"")</f>
        <v/>
      </c>
      <c r="I389" s="126" t="str">
        <f>IF(AND(J389="OK",ISNUMBER($B$5),$B$5&gt;0,ISNUMBER($B$3),$B$3&gt;0),F389*(4*$B$4*(C389^3-B389^3)-(C389^4-B389^4))/(24*$B$3*1000000*$B$5)*1000,"")</f>
        <v/>
      </c>
      <c r="J389" s="120" t="str">
        <f>IF(COUNTA(A389:E389)=0,"",IF(AND(COUNT(B389:E389)=4,B389&gt;=0,C389&gt;B389,C389&lt;=$B$4,D389&gt;=0,E389&gt;0),IF(COUNTIFS($B$13:$B$388,"&lt;"&amp;C389,$C$13:$C$388,"&gt;"&amp;B389)&gt;0,"OVERLAP","OK"),"CHECK INPUTS"))</f>
        <v/>
      </c>
      <c r="M389" s="124"/>
      <c r="N389" s="125"/>
      <c r="O389" s="125"/>
      <c r="P389" s="125"/>
      <c r="Q389" s="125"/>
      <c r="R389" s="126" t="str">
        <f>IF(V389="OK",P389*Q389,"")</f>
        <v/>
      </c>
      <c r="S389" s="126" t="str">
        <f>IF(V389="OK",R389*(O389-N389),"")</f>
        <v/>
      </c>
      <c r="T389" s="126" t="str">
        <f>IF(V389="OK",S389*(O389+N389)/2,"")</f>
        <v/>
      </c>
      <c r="U389" s="126" t="str">
        <f>IF(AND(V389="OK",ISNUMBER($N$5),$N$5&gt;0,ISNUMBER($N$3),$N$3&gt;0),R389*(4*$N$4*(O389^3-N389^3)-(O389^4-N389^4))/(24*$N$3*1000000*$N$5)*1000,"")</f>
        <v/>
      </c>
      <c r="V389" s="120" t="str">
        <f>IF(COUNTA(M389:Q389)=0,"",IF(AND(COUNT(N389:Q389)=4,N389&gt;=0,O389&gt;N389,O389&lt;=$N$4,P389&gt;=0,Q389&gt;0),IF(COUNTIFS($N$13:$N$388,"&lt;"&amp;O389,$O$13:$O$388,"&gt;"&amp;N389)&gt;0,"OVERLAP","OK"),"CHECK INPUTS"))</f>
        <v/>
      </c>
      <c r="AA389" s="120">
        <f>IF(AND(J389="OK",ISNUMBER($B$5),$B$5&gt;0,ISNUMBER($B$3),$B$3&gt;0),F389/(6*$B$3*1000000*$B$5)*(IF(B389&lt;($B$4*0/10),($B$4*0/10)*(MIN(C389,($B$4*0/10))^3-B389^3)-(MIN(C389,($B$4*0/10))^4-B389^4)/4,0)+IF(C389&gt;($B$4*0/10),($B$4*0/10)^2*(1.5*(C389^2-MAX(B389,($B$4*0/10))^2)-($B$4*0/10)*(C389-MAX(B389,($B$4*0/10)))),0))*1000,0)</f>
        <v>0</v>
      </c>
      <c r="AB389" s="120">
        <f>IF(AND(J389="OK",ISNUMBER($B$5),$B$5&gt;0,ISNUMBER($B$3),$B$3&gt;0),F389/(6*$B$3*1000000*$B$5)*(IF(B389&lt;($B$4*1/10),($B$4*1/10)*(MIN(C389,($B$4*1/10))^3-B389^3)-(MIN(C389,($B$4*1/10))^4-B389^4)/4,0)+IF(C389&gt;($B$4*1/10),($B$4*1/10)^2*(1.5*(C389^2-MAX(B389,($B$4*1/10))^2)-($B$4*1/10)*(C389-MAX(B389,($B$4*1/10)))),0))*1000,0)</f>
        <v>0</v>
      </c>
      <c r="AC389" s="120">
        <f>IF(AND(J389="OK",ISNUMBER($B$5),$B$5&gt;0,ISNUMBER($B$3),$B$3&gt;0),F389/(6*$B$3*1000000*$B$5)*(IF(B389&lt;($B$4*2/10),($B$4*2/10)*(MIN(C389,($B$4*2/10))^3-B389^3)-(MIN(C389,($B$4*2/10))^4-B389^4)/4,0)+IF(C389&gt;($B$4*2/10),($B$4*2/10)^2*(1.5*(C389^2-MAX(B389,($B$4*2/10))^2)-($B$4*2/10)*(C389-MAX(B389,($B$4*2/10)))),0))*1000,0)</f>
        <v>0</v>
      </c>
      <c r="AD389" s="120">
        <f>IF(AND(J389="OK",ISNUMBER($B$5),$B$5&gt;0,ISNUMBER($B$3),$B$3&gt;0),F389/(6*$B$3*1000000*$B$5)*(IF(B389&lt;($B$4*3/10),($B$4*3/10)*(MIN(C389,($B$4*3/10))^3-B389^3)-(MIN(C389,($B$4*3/10))^4-B389^4)/4,0)+IF(C389&gt;($B$4*3/10),($B$4*3/10)^2*(1.5*(C389^2-MAX(B389,($B$4*3/10))^2)-($B$4*3/10)*(C389-MAX(B389,($B$4*3/10)))),0))*1000,0)</f>
        <v>0</v>
      </c>
      <c r="AE389" s="120">
        <f>IF(AND(J389="OK",ISNUMBER($B$5),$B$5&gt;0,ISNUMBER($B$3),$B$3&gt;0),F389/(6*$B$3*1000000*$B$5)*(IF(B389&lt;($B$4*4/10),($B$4*4/10)*(MIN(C389,($B$4*4/10))^3-B389^3)-(MIN(C389,($B$4*4/10))^4-B389^4)/4,0)+IF(C389&gt;($B$4*4/10),($B$4*4/10)^2*(1.5*(C389^2-MAX(B389,($B$4*4/10))^2)-($B$4*4/10)*(C389-MAX(B389,($B$4*4/10)))),0))*1000,0)</f>
        <v>0</v>
      </c>
      <c r="AF389" s="120">
        <f>IF(AND(J389="OK",ISNUMBER($B$5),$B$5&gt;0,ISNUMBER($B$3),$B$3&gt;0),F389/(6*$B$3*1000000*$B$5)*(IF(B389&lt;($B$4*5/10),($B$4*5/10)*(MIN(C389,($B$4*5/10))^3-B389^3)-(MIN(C389,($B$4*5/10))^4-B389^4)/4,0)+IF(C389&gt;($B$4*5/10),($B$4*5/10)^2*(1.5*(C389^2-MAX(B389,($B$4*5/10))^2)-($B$4*5/10)*(C389-MAX(B389,($B$4*5/10)))),0))*1000,0)</f>
        <v>0</v>
      </c>
      <c r="AG389" s="120">
        <f>IF(AND(J389="OK",ISNUMBER($B$5),$B$5&gt;0,ISNUMBER($B$3),$B$3&gt;0),F389/(6*$B$3*1000000*$B$5)*(IF(B389&lt;($B$4*6/10),($B$4*6/10)*(MIN(C389,($B$4*6/10))^3-B389^3)-(MIN(C389,($B$4*6/10))^4-B389^4)/4,0)+IF(C389&gt;($B$4*6/10),($B$4*6/10)^2*(1.5*(C389^2-MAX(B389,($B$4*6/10))^2)-($B$4*6/10)*(C389-MAX(B389,($B$4*6/10)))),0))*1000,0)</f>
        <v>0</v>
      </c>
      <c r="AH389" s="120">
        <f>IF(AND(J389="OK",ISNUMBER($B$5),$B$5&gt;0,ISNUMBER($B$3),$B$3&gt;0),F389/(6*$B$3*1000000*$B$5)*(IF(B389&lt;($B$4*7/10),($B$4*7/10)*(MIN(C389,($B$4*7/10))^3-B389^3)-(MIN(C389,($B$4*7/10))^4-B389^4)/4,0)+IF(C389&gt;($B$4*7/10),($B$4*7/10)^2*(1.5*(C389^2-MAX(B389,($B$4*7/10))^2)-($B$4*7/10)*(C389-MAX(B389,($B$4*7/10)))),0))*1000,0)</f>
        <v>0</v>
      </c>
      <c r="AI389" s="120">
        <f>IF(AND(J389="OK",ISNUMBER($B$5),$B$5&gt;0,ISNUMBER($B$3),$B$3&gt;0),F389/(6*$B$3*1000000*$B$5)*(IF(B389&lt;($B$4*8/10),($B$4*8/10)*(MIN(C389,($B$4*8/10))^3-B389^3)-(MIN(C389,($B$4*8/10))^4-B389^4)/4,0)+IF(C389&gt;($B$4*8/10),($B$4*8/10)^2*(1.5*(C389^2-MAX(B389,($B$4*8/10))^2)-($B$4*8/10)*(C389-MAX(B389,($B$4*8/10)))),0))*1000,0)</f>
        <v>0</v>
      </c>
      <c r="AJ389" s="120">
        <f>IF(AND(J389="OK",ISNUMBER($B$5),$B$5&gt;0,ISNUMBER($B$3),$B$3&gt;0),F389/(6*$B$3*1000000*$B$5)*(IF(B389&lt;($B$4*9/10),($B$4*9/10)*(MIN(C389,($B$4*9/10))^3-B389^3)-(MIN(C389,($B$4*9/10))^4-B389^4)/4,0)+IF(C389&gt;($B$4*9/10),($B$4*9/10)^2*(1.5*(C389^2-MAX(B389,($B$4*9/10))^2)-($B$4*9/10)*(C389-MAX(B389,($B$4*9/10)))),0))*1000,0)</f>
        <v>0</v>
      </c>
      <c r="AK389" s="120">
        <f>IF(AND(J389="OK",ISNUMBER($B$5),$B$5&gt;0,ISNUMBER($B$3),$B$3&gt;0),F389/(6*$B$3*1000000*$B$5)*(IF(B389&lt;($B$4*10/10),($B$4*10/10)*(MIN(C389,($B$4*10/10))^3-B389^3)-(MIN(C389,($B$4*10/10))^4-B389^4)/4,0)+IF(C389&gt;($B$4*10/10),($B$4*10/10)^2*(1.5*(C389^2-MAX(B389,($B$4*10/10))^2)-($B$4*10/10)*(C389-MAX(B389,($B$4*10/10)))),0))*1000,0)</f>
        <v>0</v>
      </c>
      <c r="AM389" s="120">
        <f>IF(AND(V389="OK",ISNUMBER($N$5),$N$5&gt;0,ISNUMBER($N$3),$N$3&gt;0),R389/(6*$N$3*1000000*$N$5)*(IF(N389&lt;($N$4*0/10),($N$4*0/10)*(MIN(O389,($N$4*0/10))^3-N389^3)-(MIN(O389,($N$4*0/10))^4-N389^4)/4,0)+IF(O389&gt;($N$4*0/10),($N$4*0/10)^2*(1.5*(O389^2-MAX(N389,($N$4*0/10))^2)-($N$4*0/10)*(O389-MAX(N389,($N$4*0/10)))),0))*1000,0)</f>
        <v>0</v>
      </c>
      <c r="AN389" s="120">
        <f>IF(AND(V389="OK",ISNUMBER($N$5),$N$5&gt;0,ISNUMBER($N$3),$N$3&gt;0),R389/(6*$N$3*1000000*$N$5)*(IF(N389&lt;($N$4*1/10),($N$4*1/10)*(MIN(O389,($N$4*1/10))^3-N389^3)-(MIN(O389,($N$4*1/10))^4-N389^4)/4,0)+IF(O389&gt;($N$4*1/10),($N$4*1/10)^2*(1.5*(O389^2-MAX(N389,($N$4*1/10))^2)-($N$4*1/10)*(O389-MAX(N389,($N$4*1/10)))),0))*1000,0)</f>
        <v>0</v>
      </c>
      <c r="AO389" s="120">
        <f>IF(AND(V389="OK",ISNUMBER($N$5),$N$5&gt;0,ISNUMBER($N$3),$N$3&gt;0),R389/(6*$N$3*1000000*$N$5)*(IF(N389&lt;($N$4*2/10),($N$4*2/10)*(MIN(O389,($N$4*2/10))^3-N389^3)-(MIN(O389,($N$4*2/10))^4-N389^4)/4,0)+IF(O389&gt;($N$4*2/10),($N$4*2/10)^2*(1.5*(O389^2-MAX(N389,($N$4*2/10))^2)-($N$4*2/10)*(O389-MAX(N389,($N$4*2/10)))),0))*1000,0)</f>
        <v>0</v>
      </c>
      <c r="AP389" s="120">
        <f>IF(AND(V389="OK",ISNUMBER($N$5),$N$5&gt;0,ISNUMBER($N$3),$N$3&gt;0),R389/(6*$N$3*1000000*$N$5)*(IF(N389&lt;($N$4*3/10),($N$4*3/10)*(MIN(O389,($N$4*3/10))^3-N389^3)-(MIN(O389,($N$4*3/10))^4-N389^4)/4,0)+IF(O389&gt;($N$4*3/10),($N$4*3/10)^2*(1.5*(O389^2-MAX(N389,($N$4*3/10))^2)-($N$4*3/10)*(O389-MAX(N389,($N$4*3/10)))),0))*1000,0)</f>
        <v>0</v>
      </c>
      <c r="AQ389" s="120">
        <f>IF(AND(V389="OK",ISNUMBER($N$5),$N$5&gt;0,ISNUMBER($N$3),$N$3&gt;0),R389/(6*$N$3*1000000*$N$5)*(IF(N389&lt;($N$4*4/10),($N$4*4/10)*(MIN(O389,($N$4*4/10))^3-N389^3)-(MIN(O389,($N$4*4/10))^4-N389^4)/4,0)+IF(O389&gt;($N$4*4/10),($N$4*4/10)^2*(1.5*(O389^2-MAX(N389,($N$4*4/10))^2)-($N$4*4/10)*(O389-MAX(N389,($N$4*4/10)))),0))*1000,0)</f>
        <v>0</v>
      </c>
      <c r="AR389" s="120">
        <f>IF(AND(V389="OK",ISNUMBER($N$5),$N$5&gt;0,ISNUMBER($N$3),$N$3&gt;0),R389/(6*$N$3*1000000*$N$5)*(IF(N389&lt;($N$4*5/10),($N$4*5/10)*(MIN(O389,($N$4*5/10))^3-N389^3)-(MIN(O389,($N$4*5/10))^4-N389^4)/4,0)+IF(O389&gt;($N$4*5/10),($N$4*5/10)^2*(1.5*(O389^2-MAX(N389,($N$4*5/10))^2)-($N$4*5/10)*(O389-MAX(N389,($N$4*5/10)))),0))*1000,0)</f>
        <v>0</v>
      </c>
      <c r="AS389" s="120">
        <f>IF(AND(V389="OK",ISNUMBER($N$5),$N$5&gt;0,ISNUMBER($N$3),$N$3&gt;0),R389/(6*$N$3*1000000*$N$5)*(IF(N389&lt;($N$4*6/10),($N$4*6/10)*(MIN(O389,($N$4*6/10))^3-N389^3)-(MIN(O389,($N$4*6/10))^4-N389^4)/4,0)+IF(O389&gt;($N$4*6/10),($N$4*6/10)^2*(1.5*(O389^2-MAX(N389,($N$4*6/10))^2)-($N$4*6/10)*(O389-MAX(N389,($N$4*6/10)))),0))*1000,0)</f>
        <v>0</v>
      </c>
      <c r="AT389" s="120">
        <f>IF(AND(V389="OK",ISNUMBER($N$5),$N$5&gt;0,ISNUMBER($N$3),$N$3&gt;0),R389/(6*$N$3*1000000*$N$5)*(IF(N389&lt;($N$4*7/10),($N$4*7/10)*(MIN(O389,($N$4*7/10))^3-N389^3)-(MIN(O389,($N$4*7/10))^4-N389^4)/4,0)+IF(O389&gt;($N$4*7/10),($N$4*7/10)^2*(1.5*(O389^2-MAX(N389,($N$4*7/10))^2)-($N$4*7/10)*(O389-MAX(N389,($N$4*7/10)))),0))*1000,0)</f>
        <v>0</v>
      </c>
      <c r="AU389" s="120">
        <f>IF(AND(V389="OK",ISNUMBER($N$5),$N$5&gt;0,ISNUMBER($N$3),$N$3&gt;0),R389/(6*$N$3*1000000*$N$5)*(IF(N389&lt;($N$4*8/10),($N$4*8/10)*(MIN(O389,($N$4*8/10))^3-N389^3)-(MIN(O389,($N$4*8/10))^4-N389^4)/4,0)+IF(O389&gt;($N$4*8/10),($N$4*8/10)^2*(1.5*(O389^2-MAX(N389,($N$4*8/10))^2)-($N$4*8/10)*(O389-MAX(N389,($N$4*8/10)))),0))*1000,0)</f>
        <v>0</v>
      </c>
      <c r="AV389" s="120">
        <f>IF(AND(V389="OK",ISNUMBER($N$5),$N$5&gt;0,ISNUMBER($N$3),$N$3&gt;0),R389/(6*$N$3*1000000*$N$5)*(IF(N389&lt;($N$4*9/10),($N$4*9/10)*(MIN(O389,($N$4*9/10))^3-N389^3)-(MIN(O389,($N$4*9/10))^4-N389^4)/4,0)+IF(O389&gt;($N$4*9/10),($N$4*9/10)^2*(1.5*(O389^2-MAX(N389,($N$4*9/10))^2)-($N$4*9/10)*(O389-MAX(N389,($N$4*9/10)))),0))*1000,0)</f>
        <v>0</v>
      </c>
      <c r="AW389" s="120">
        <f>IF(AND(V389="OK",ISNUMBER($N$5),$N$5&gt;0,ISNUMBER($N$3),$N$3&gt;0),R389/(6*$N$3*1000000*$N$5)*(IF(N389&lt;($N$4*10/10),($N$4*10/10)*(MIN(O389,($N$4*10/10))^3-N389^3)-(MIN(O389,($N$4*10/10))^4-N389^4)/4,0)+IF(O389&gt;($N$4*10/10),($N$4*10/10)^2*(1.5*(O389^2-MAX(N389,($N$4*10/10))^2)-($N$4*10/10)*(O389-MAX(N389,($N$4*10/10)))),0))*1000,0)</f>
        <v>0</v>
      </c>
    </row>
    <row r="390" spans="1:49">
      <c r="A390" s="124"/>
      <c r="B390" s="125"/>
      <c r="C390" s="125"/>
      <c r="D390" s="125"/>
      <c r="E390" s="125"/>
      <c r="F390" s="126" t="str">
        <f>IF(J390="OK",D390*E390,"")</f>
        <v/>
      </c>
      <c r="G390" s="126" t="str">
        <f>IF(J390="OK",F390*(C390-B390),"")</f>
        <v/>
      </c>
      <c r="H390" s="126" t="str">
        <f>IF(J390="OK",G390*(C390+B390)/2,"")</f>
        <v/>
      </c>
      <c r="I390" s="126" t="str">
        <f>IF(AND(J390="OK",ISNUMBER($B$5),$B$5&gt;0,ISNUMBER($B$3),$B$3&gt;0),F390*(4*$B$4*(C390^3-B390^3)-(C390^4-B390^4))/(24*$B$3*1000000*$B$5)*1000,"")</f>
        <v/>
      </c>
      <c r="J390" s="120" t="str">
        <f>IF(COUNTA(A390:E390)=0,"",IF(AND(COUNT(B390:E390)=4,B390&gt;=0,C390&gt;B390,C390&lt;=$B$4,D390&gt;=0,E390&gt;0),IF(COUNTIFS($B$13:$B$389,"&lt;"&amp;C390,$C$13:$C$389,"&gt;"&amp;B390)&gt;0,"OVERLAP","OK"),"CHECK INPUTS"))</f>
        <v/>
      </c>
      <c r="M390" s="124"/>
      <c r="N390" s="125"/>
      <c r="O390" s="125"/>
      <c r="P390" s="125"/>
      <c r="Q390" s="125"/>
      <c r="R390" s="126" t="str">
        <f>IF(V390="OK",P390*Q390,"")</f>
        <v/>
      </c>
      <c r="S390" s="126" t="str">
        <f>IF(V390="OK",R390*(O390-N390),"")</f>
        <v/>
      </c>
      <c r="T390" s="126" t="str">
        <f>IF(V390="OK",S390*(O390+N390)/2,"")</f>
        <v/>
      </c>
      <c r="U390" s="126" t="str">
        <f>IF(AND(V390="OK",ISNUMBER($N$5),$N$5&gt;0,ISNUMBER($N$3),$N$3&gt;0),R390*(4*$N$4*(O390^3-N390^3)-(O390^4-N390^4))/(24*$N$3*1000000*$N$5)*1000,"")</f>
        <v/>
      </c>
      <c r="V390" s="120" t="str">
        <f>IF(COUNTA(M390:Q390)=0,"",IF(AND(COUNT(N390:Q390)=4,N390&gt;=0,O390&gt;N390,O390&lt;=$N$4,P390&gt;=0,Q390&gt;0),IF(COUNTIFS($N$13:$N$389,"&lt;"&amp;O390,$O$13:$O$389,"&gt;"&amp;N390)&gt;0,"OVERLAP","OK"),"CHECK INPUTS"))</f>
        <v/>
      </c>
      <c r="AA390" s="120">
        <f>IF(AND(J390="OK",ISNUMBER($B$5),$B$5&gt;0,ISNUMBER($B$3),$B$3&gt;0),F390/(6*$B$3*1000000*$B$5)*(IF(B390&lt;($B$4*0/10),($B$4*0/10)*(MIN(C390,($B$4*0/10))^3-B390^3)-(MIN(C390,($B$4*0/10))^4-B390^4)/4,0)+IF(C390&gt;($B$4*0/10),($B$4*0/10)^2*(1.5*(C390^2-MAX(B390,($B$4*0/10))^2)-($B$4*0/10)*(C390-MAX(B390,($B$4*0/10)))),0))*1000,0)</f>
        <v>0</v>
      </c>
      <c r="AB390" s="120">
        <f>IF(AND(J390="OK",ISNUMBER($B$5),$B$5&gt;0,ISNUMBER($B$3),$B$3&gt;0),F390/(6*$B$3*1000000*$B$5)*(IF(B390&lt;($B$4*1/10),($B$4*1/10)*(MIN(C390,($B$4*1/10))^3-B390^3)-(MIN(C390,($B$4*1/10))^4-B390^4)/4,0)+IF(C390&gt;($B$4*1/10),($B$4*1/10)^2*(1.5*(C390^2-MAX(B390,($B$4*1/10))^2)-($B$4*1/10)*(C390-MAX(B390,($B$4*1/10)))),0))*1000,0)</f>
        <v>0</v>
      </c>
      <c r="AC390" s="120">
        <f>IF(AND(J390="OK",ISNUMBER($B$5),$B$5&gt;0,ISNUMBER($B$3),$B$3&gt;0),F390/(6*$B$3*1000000*$B$5)*(IF(B390&lt;($B$4*2/10),($B$4*2/10)*(MIN(C390,($B$4*2/10))^3-B390^3)-(MIN(C390,($B$4*2/10))^4-B390^4)/4,0)+IF(C390&gt;($B$4*2/10),($B$4*2/10)^2*(1.5*(C390^2-MAX(B390,($B$4*2/10))^2)-($B$4*2/10)*(C390-MAX(B390,($B$4*2/10)))),0))*1000,0)</f>
        <v>0</v>
      </c>
      <c r="AD390" s="120">
        <f>IF(AND(J390="OK",ISNUMBER($B$5),$B$5&gt;0,ISNUMBER($B$3),$B$3&gt;0),F390/(6*$B$3*1000000*$B$5)*(IF(B390&lt;($B$4*3/10),($B$4*3/10)*(MIN(C390,($B$4*3/10))^3-B390^3)-(MIN(C390,($B$4*3/10))^4-B390^4)/4,0)+IF(C390&gt;($B$4*3/10),($B$4*3/10)^2*(1.5*(C390^2-MAX(B390,($B$4*3/10))^2)-($B$4*3/10)*(C390-MAX(B390,($B$4*3/10)))),0))*1000,0)</f>
        <v>0</v>
      </c>
      <c r="AE390" s="120">
        <f>IF(AND(J390="OK",ISNUMBER($B$5),$B$5&gt;0,ISNUMBER($B$3),$B$3&gt;0),F390/(6*$B$3*1000000*$B$5)*(IF(B390&lt;($B$4*4/10),($B$4*4/10)*(MIN(C390,($B$4*4/10))^3-B390^3)-(MIN(C390,($B$4*4/10))^4-B390^4)/4,0)+IF(C390&gt;($B$4*4/10),($B$4*4/10)^2*(1.5*(C390^2-MAX(B390,($B$4*4/10))^2)-($B$4*4/10)*(C390-MAX(B390,($B$4*4/10)))),0))*1000,0)</f>
        <v>0</v>
      </c>
      <c r="AF390" s="120">
        <f>IF(AND(J390="OK",ISNUMBER($B$5),$B$5&gt;0,ISNUMBER($B$3),$B$3&gt;0),F390/(6*$B$3*1000000*$B$5)*(IF(B390&lt;($B$4*5/10),($B$4*5/10)*(MIN(C390,($B$4*5/10))^3-B390^3)-(MIN(C390,($B$4*5/10))^4-B390^4)/4,0)+IF(C390&gt;($B$4*5/10),($B$4*5/10)^2*(1.5*(C390^2-MAX(B390,($B$4*5/10))^2)-($B$4*5/10)*(C390-MAX(B390,($B$4*5/10)))),0))*1000,0)</f>
        <v>0</v>
      </c>
      <c r="AG390" s="120">
        <f>IF(AND(J390="OK",ISNUMBER($B$5),$B$5&gt;0,ISNUMBER($B$3),$B$3&gt;0),F390/(6*$B$3*1000000*$B$5)*(IF(B390&lt;($B$4*6/10),($B$4*6/10)*(MIN(C390,($B$4*6/10))^3-B390^3)-(MIN(C390,($B$4*6/10))^4-B390^4)/4,0)+IF(C390&gt;($B$4*6/10),($B$4*6/10)^2*(1.5*(C390^2-MAX(B390,($B$4*6/10))^2)-($B$4*6/10)*(C390-MAX(B390,($B$4*6/10)))),0))*1000,0)</f>
        <v>0</v>
      </c>
      <c r="AH390" s="120">
        <f>IF(AND(J390="OK",ISNUMBER($B$5),$B$5&gt;0,ISNUMBER($B$3),$B$3&gt;0),F390/(6*$B$3*1000000*$B$5)*(IF(B390&lt;($B$4*7/10),($B$4*7/10)*(MIN(C390,($B$4*7/10))^3-B390^3)-(MIN(C390,($B$4*7/10))^4-B390^4)/4,0)+IF(C390&gt;($B$4*7/10),($B$4*7/10)^2*(1.5*(C390^2-MAX(B390,($B$4*7/10))^2)-($B$4*7/10)*(C390-MAX(B390,($B$4*7/10)))),0))*1000,0)</f>
        <v>0</v>
      </c>
      <c r="AI390" s="120">
        <f>IF(AND(J390="OK",ISNUMBER($B$5),$B$5&gt;0,ISNUMBER($B$3),$B$3&gt;0),F390/(6*$B$3*1000000*$B$5)*(IF(B390&lt;($B$4*8/10),($B$4*8/10)*(MIN(C390,($B$4*8/10))^3-B390^3)-(MIN(C390,($B$4*8/10))^4-B390^4)/4,0)+IF(C390&gt;($B$4*8/10),($B$4*8/10)^2*(1.5*(C390^2-MAX(B390,($B$4*8/10))^2)-($B$4*8/10)*(C390-MAX(B390,($B$4*8/10)))),0))*1000,0)</f>
        <v>0</v>
      </c>
      <c r="AJ390" s="120">
        <f>IF(AND(J390="OK",ISNUMBER($B$5),$B$5&gt;0,ISNUMBER($B$3),$B$3&gt;0),F390/(6*$B$3*1000000*$B$5)*(IF(B390&lt;($B$4*9/10),($B$4*9/10)*(MIN(C390,($B$4*9/10))^3-B390^3)-(MIN(C390,($B$4*9/10))^4-B390^4)/4,0)+IF(C390&gt;($B$4*9/10),($B$4*9/10)^2*(1.5*(C390^2-MAX(B390,($B$4*9/10))^2)-($B$4*9/10)*(C390-MAX(B390,($B$4*9/10)))),0))*1000,0)</f>
        <v>0</v>
      </c>
      <c r="AK390" s="120">
        <f>IF(AND(J390="OK",ISNUMBER($B$5),$B$5&gt;0,ISNUMBER($B$3),$B$3&gt;0),F390/(6*$B$3*1000000*$B$5)*(IF(B390&lt;($B$4*10/10),($B$4*10/10)*(MIN(C390,($B$4*10/10))^3-B390^3)-(MIN(C390,($B$4*10/10))^4-B390^4)/4,0)+IF(C390&gt;($B$4*10/10),($B$4*10/10)^2*(1.5*(C390^2-MAX(B390,($B$4*10/10))^2)-($B$4*10/10)*(C390-MAX(B390,($B$4*10/10)))),0))*1000,0)</f>
        <v>0</v>
      </c>
      <c r="AM390" s="120">
        <f>IF(AND(V390="OK",ISNUMBER($N$5),$N$5&gt;0,ISNUMBER($N$3),$N$3&gt;0),R390/(6*$N$3*1000000*$N$5)*(IF(N390&lt;($N$4*0/10),($N$4*0/10)*(MIN(O390,($N$4*0/10))^3-N390^3)-(MIN(O390,($N$4*0/10))^4-N390^4)/4,0)+IF(O390&gt;($N$4*0/10),($N$4*0/10)^2*(1.5*(O390^2-MAX(N390,($N$4*0/10))^2)-($N$4*0/10)*(O390-MAX(N390,($N$4*0/10)))),0))*1000,0)</f>
        <v>0</v>
      </c>
      <c r="AN390" s="120">
        <f>IF(AND(V390="OK",ISNUMBER($N$5),$N$5&gt;0,ISNUMBER($N$3),$N$3&gt;0),R390/(6*$N$3*1000000*$N$5)*(IF(N390&lt;($N$4*1/10),($N$4*1/10)*(MIN(O390,($N$4*1/10))^3-N390^3)-(MIN(O390,($N$4*1/10))^4-N390^4)/4,0)+IF(O390&gt;($N$4*1/10),($N$4*1/10)^2*(1.5*(O390^2-MAX(N390,($N$4*1/10))^2)-($N$4*1/10)*(O390-MAX(N390,($N$4*1/10)))),0))*1000,0)</f>
        <v>0</v>
      </c>
      <c r="AO390" s="120">
        <f>IF(AND(V390="OK",ISNUMBER($N$5),$N$5&gt;0,ISNUMBER($N$3),$N$3&gt;0),R390/(6*$N$3*1000000*$N$5)*(IF(N390&lt;($N$4*2/10),($N$4*2/10)*(MIN(O390,($N$4*2/10))^3-N390^3)-(MIN(O390,($N$4*2/10))^4-N390^4)/4,0)+IF(O390&gt;($N$4*2/10),($N$4*2/10)^2*(1.5*(O390^2-MAX(N390,($N$4*2/10))^2)-($N$4*2/10)*(O390-MAX(N390,($N$4*2/10)))),0))*1000,0)</f>
        <v>0</v>
      </c>
      <c r="AP390" s="120">
        <f>IF(AND(V390="OK",ISNUMBER($N$5),$N$5&gt;0,ISNUMBER($N$3),$N$3&gt;0),R390/(6*$N$3*1000000*$N$5)*(IF(N390&lt;($N$4*3/10),($N$4*3/10)*(MIN(O390,($N$4*3/10))^3-N390^3)-(MIN(O390,($N$4*3/10))^4-N390^4)/4,0)+IF(O390&gt;($N$4*3/10),($N$4*3/10)^2*(1.5*(O390^2-MAX(N390,($N$4*3/10))^2)-($N$4*3/10)*(O390-MAX(N390,($N$4*3/10)))),0))*1000,0)</f>
        <v>0</v>
      </c>
      <c r="AQ390" s="120">
        <f>IF(AND(V390="OK",ISNUMBER($N$5),$N$5&gt;0,ISNUMBER($N$3),$N$3&gt;0),R390/(6*$N$3*1000000*$N$5)*(IF(N390&lt;($N$4*4/10),($N$4*4/10)*(MIN(O390,($N$4*4/10))^3-N390^3)-(MIN(O390,($N$4*4/10))^4-N390^4)/4,0)+IF(O390&gt;($N$4*4/10),($N$4*4/10)^2*(1.5*(O390^2-MAX(N390,($N$4*4/10))^2)-($N$4*4/10)*(O390-MAX(N390,($N$4*4/10)))),0))*1000,0)</f>
        <v>0</v>
      </c>
      <c r="AR390" s="120">
        <f>IF(AND(V390="OK",ISNUMBER($N$5),$N$5&gt;0,ISNUMBER($N$3),$N$3&gt;0),R390/(6*$N$3*1000000*$N$5)*(IF(N390&lt;($N$4*5/10),($N$4*5/10)*(MIN(O390,($N$4*5/10))^3-N390^3)-(MIN(O390,($N$4*5/10))^4-N390^4)/4,0)+IF(O390&gt;($N$4*5/10),($N$4*5/10)^2*(1.5*(O390^2-MAX(N390,($N$4*5/10))^2)-($N$4*5/10)*(O390-MAX(N390,($N$4*5/10)))),0))*1000,0)</f>
        <v>0</v>
      </c>
      <c r="AS390" s="120">
        <f>IF(AND(V390="OK",ISNUMBER($N$5),$N$5&gt;0,ISNUMBER($N$3),$N$3&gt;0),R390/(6*$N$3*1000000*$N$5)*(IF(N390&lt;($N$4*6/10),($N$4*6/10)*(MIN(O390,($N$4*6/10))^3-N390^3)-(MIN(O390,($N$4*6/10))^4-N390^4)/4,0)+IF(O390&gt;($N$4*6/10),($N$4*6/10)^2*(1.5*(O390^2-MAX(N390,($N$4*6/10))^2)-($N$4*6/10)*(O390-MAX(N390,($N$4*6/10)))),0))*1000,0)</f>
        <v>0</v>
      </c>
      <c r="AT390" s="120">
        <f>IF(AND(V390="OK",ISNUMBER($N$5),$N$5&gt;0,ISNUMBER($N$3),$N$3&gt;0),R390/(6*$N$3*1000000*$N$5)*(IF(N390&lt;($N$4*7/10),($N$4*7/10)*(MIN(O390,($N$4*7/10))^3-N390^3)-(MIN(O390,($N$4*7/10))^4-N390^4)/4,0)+IF(O390&gt;($N$4*7/10),($N$4*7/10)^2*(1.5*(O390^2-MAX(N390,($N$4*7/10))^2)-($N$4*7/10)*(O390-MAX(N390,($N$4*7/10)))),0))*1000,0)</f>
        <v>0</v>
      </c>
      <c r="AU390" s="120">
        <f>IF(AND(V390="OK",ISNUMBER($N$5),$N$5&gt;0,ISNUMBER($N$3),$N$3&gt;0),R390/(6*$N$3*1000000*$N$5)*(IF(N390&lt;($N$4*8/10),($N$4*8/10)*(MIN(O390,($N$4*8/10))^3-N390^3)-(MIN(O390,($N$4*8/10))^4-N390^4)/4,0)+IF(O390&gt;($N$4*8/10),($N$4*8/10)^2*(1.5*(O390^2-MAX(N390,($N$4*8/10))^2)-($N$4*8/10)*(O390-MAX(N390,($N$4*8/10)))),0))*1000,0)</f>
        <v>0</v>
      </c>
      <c r="AV390" s="120">
        <f>IF(AND(V390="OK",ISNUMBER($N$5),$N$5&gt;0,ISNUMBER($N$3),$N$3&gt;0),R390/(6*$N$3*1000000*$N$5)*(IF(N390&lt;($N$4*9/10),($N$4*9/10)*(MIN(O390,($N$4*9/10))^3-N390^3)-(MIN(O390,($N$4*9/10))^4-N390^4)/4,0)+IF(O390&gt;($N$4*9/10),($N$4*9/10)^2*(1.5*(O390^2-MAX(N390,($N$4*9/10))^2)-($N$4*9/10)*(O390-MAX(N390,($N$4*9/10)))),0))*1000,0)</f>
        <v>0</v>
      </c>
      <c r="AW390" s="120">
        <f>IF(AND(V390="OK",ISNUMBER($N$5),$N$5&gt;0,ISNUMBER($N$3),$N$3&gt;0),R390/(6*$N$3*1000000*$N$5)*(IF(N390&lt;($N$4*10/10),($N$4*10/10)*(MIN(O390,($N$4*10/10))^3-N390^3)-(MIN(O390,($N$4*10/10))^4-N390^4)/4,0)+IF(O390&gt;($N$4*10/10),($N$4*10/10)^2*(1.5*(O390^2-MAX(N390,($N$4*10/10))^2)-($N$4*10/10)*(O390-MAX(N390,($N$4*10/10)))),0))*1000,0)</f>
        <v>0</v>
      </c>
    </row>
    <row r="391" spans="1:49">
      <c r="A391" s="124"/>
      <c r="B391" s="125"/>
      <c r="C391" s="125"/>
      <c r="D391" s="125"/>
      <c r="E391" s="125"/>
      <c r="F391" s="126" t="str">
        <f>IF(J391="OK",D391*E391,"")</f>
        <v/>
      </c>
      <c r="G391" s="126" t="str">
        <f>IF(J391="OK",F391*(C391-B391),"")</f>
        <v/>
      </c>
      <c r="H391" s="126" t="str">
        <f>IF(J391="OK",G391*(C391+B391)/2,"")</f>
        <v/>
      </c>
      <c r="I391" s="126" t="str">
        <f>IF(AND(J391="OK",ISNUMBER($B$5),$B$5&gt;0,ISNUMBER($B$3),$B$3&gt;0),F391*(4*$B$4*(C391^3-B391^3)-(C391^4-B391^4))/(24*$B$3*1000000*$B$5)*1000,"")</f>
        <v/>
      </c>
      <c r="J391" s="120" t="str">
        <f>IF(COUNTA(A391:E391)=0,"",IF(AND(COUNT(B391:E391)=4,B391&gt;=0,C391&gt;B391,C391&lt;=$B$4,D391&gt;=0,E391&gt;0),IF(COUNTIFS($B$13:$B$390,"&lt;"&amp;C391,$C$13:$C$390,"&gt;"&amp;B391)&gt;0,"OVERLAP","OK"),"CHECK INPUTS"))</f>
        <v/>
      </c>
      <c r="M391" s="124"/>
      <c r="N391" s="125"/>
      <c r="O391" s="125"/>
      <c r="P391" s="125"/>
      <c r="Q391" s="125"/>
      <c r="R391" s="126" t="str">
        <f>IF(V391="OK",P391*Q391,"")</f>
        <v/>
      </c>
      <c r="S391" s="126" t="str">
        <f>IF(V391="OK",R391*(O391-N391),"")</f>
        <v/>
      </c>
      <c r="T391" s="126" t="str">
        <f>IF(V391="OK",S391*(O391+N391)/2,"")</f>
        <v/>
      </c>
      <c r="U391" s="126" t="str">
        <f>IF(AND(V391="OK",ISNUMBER($N$5),$N$5&gt;0,ISNUMBER($N$3),$N$3&gt;0),R391*(4*$N$4*(O391^3-N391^3)-(O391^4-N391^4))/(24*$N$3*1000000*$N$5)*1000,"")</f>
        <v/>
      </c>
      <c r="V391" s="120" t="str">
        <f>IF(COUNTA(M391:Q391)=0,"",IF(AND(COUNT(N391:Q391)=4,N391&gt;=0,O391&gt;N391,O391&lt;=$N$4,P391&gt;=0,Q391&gt;0),IF(COUNTIFS($N$13:$N$390,"&lt;"&amp;O391,$O$13:$O$390,"&gt;"&amp;N391)&gt;0,"OVERLAP","OK"),"CHECK INPUTS"))</f>
        <v/>
      </c>
      <c r="AA391" s="120">
        <f>IF(AND(J391="OK",ISNUMBER($B$5),$B$5&gt;0,ISNUMBER($B$3),$B$3&gt;0),F391/(6*$B$3*1000000*$B$5)*(IF(B391&lt;($B$4*0/10),($B$4*0/10)*(MIN(C391,($B$4*0/10))^3-B391^3)-(MIN(C391,($B$4*0/10))^4-B391^4)/4,0)+IF(C391&gt;($B$4*0/10),($B$4*0/10)^2*(1.5*(C391^2-MAX(B391,($B$4*0/10))^2)-($B$4*0/10)*(C391-MAX(B391,($B$4*0/10)))),0))*1000,0)</f>
        <v>0</v>
      </c>
      <c r="AB391" s="120">
        <f>IF(AND(J391="OK",ISNUMBER($B$5),$B$5&gt;0,ISNUMBER($B$3),$B$3&gt;0),F391/(6*$B$3*1000000*$B$5)*(IF(B391&lt;($B$4*1/10),($B$4*1/10)*(MIN(C391,($B$4*1/10))^3-B391^3)-(MIN(C391,($B$4*1/10))^4-B391^4)/4,0)+IF(C391&gt;($B$4*1/10),($B$4*1/10)^2*(1.5*(C391^2-MAX(B391,($B$4*1/10))^2)-($B$4*1/10)*(C391-MAX(B391,($B$4*1/10)))),0))*1000,0)</f>
        <v>0</v>
      </c>
      <c r="AC391" s="120">
        <f>IF(AND(J391="OK",ISNUMBER($B$5),$B$5&gt;0,ISNUMBER($B$3),$B$3&gt;0),F391/(6*$B$3*1000000*$B$5)*(IF(B391&lt;($B$4*2/10),($B$4*2/10)*(MIN(C391,($B$4*2/10))^3-B391^3)-(MIN(C391,($B$4*2/10))^4-B391^4)/4,0)+IF(C391&gt;($B$4*2/10),($B$4*2/10)^2*(1.5*(C391^2-MAX(B391,($B$4*2/10))^2)-($B$4*2/10)*(C391-MAX(B391,($B$4*2/10)))),0))*1000,0)</f>
        <v>0</v>
      </c>
      <c r="AD391" s="120">
        <f>IF(AND(J391="OK",ISNUMBER($B$5),$B$5&gt;0,ISNUMBER($B$3),$B$3&gt;0),F391/(6*$B$3*1000000*$B$5)*(IF(B391&lt;($B$4*3/10),($B$4*3/10)*(MIN(C391,($B$4*3/10))^3-B391^3)-(MIN(C391,($B$4*3/10))^4-B391^4)/4,0)+IF(C391&gt;($B$4*3/10),($B$4*3/10)^2*(1.5*(C391^2-MAX(B391,($B$4*3/10))^2)-($B$4*3/10)*(C391-MAX(B391,($B$4*3/10)))),0))*1000,0)</f>
        <v>0</v>
      </c>
      <c r="AE391" s="120">
        <f>IF(AND(J391="OK",ISNUMBER($B$5),$B$5&gt;0,ISNUMBER($B$3),$B$3&gt;0),F391/(6*$B$3*1000000*$B$5)*(IF(B391&lt;($B$4*4/10),($B$4*4/10)*(MIN(C391,($B$4*4/10))^3-B391^3)-(MIN(C391,($B$4*4/10))^4-B391^4)/4,0)+IF(C391&gt;($B$4*4/10),($B$4*4/10)^2*(1.5*(C391^2-MAX(B391,($B$4*4/10))^2)-($B$4*4/10)*(C391-MAX(B391,($B$4*4/10)))),0))*1000,0)</f>
        <v>0</v>
      </c>
      <c r="AF391" s="120">
        <f>IF(AND(J391="OK",ISNUMBER($B$5),$B$5&gt;0,ISNUMBER($B$3),$B$3&gt;0),F391/(6*$B$3*1000000*$B$5)*(IF(B391&lt;($B$4*5/10),($B$4*5/10)*(MIN(C391,($B$4*5/10))^3-B391^3)-(MIN(C391,($B$4*5/10))^4-B391^4)/4,0)+IF(C391&gt;($B$4*5/10),($B$4*5/10)^2*(1.5*(C391^2-MAX(B391,($B$4*5/10))^2)-($B$4*5/10)*(C391-MAX(B391,($B$4*5/10)))),0))*1000,0)</f>
        <v>0</v>
      </c>
      <c r="AG391" s="120">
        <f>IF(AND(J391="OK",ISNUMBER($B$5),$B$5&gt;0,ISNUMBER($B$3),$B$3&gt;0),F391/(6*$B$3*1000000*$B$5)*(IF(B391&lt;($B$4*6/10),($B$4*6/10)*(MIN(C391,($B$4*6/10))^3-B391^3)-(MIN(C391,($B$4*6/10))^4-B391^4)/4,0)+IF(C391&gt;($B$4*6/10),($B$4*6/10)^2*(1.5*(C391^2-MAX(B391,($B$4*6/10))^2)-($B$4*6/10)*(C391-MAX(B391,($B$4*6/10)))),0))*1000,0)</f>
        <v>0</v>
      </c>
      <c r="AH391" s="120">
        <f>IF(AND(J391="OK",ISNUMBER($B$5),$B$5&gt;0,ISNUMBER($B$3),$B$3&gt;0),F391/(6*$B$3*1000000*$B$5)*(IF(B391&lt;($B$4*7/10),($B$4*7/10)*(MIN(C391,($B$4*7/10))^3-B391^3)-(MIN(C391,($B$4*7/10))^4-B391^4)/4,0)+IF(C391&gt;($B$4*7/10),($B$4*7/10)^2*(1.5*(C391^2-MAX(B391,($B$4*7/10))^2)-($B$4*7/10)*(C391-MAX(B391,($B$4*7/10)))),0))*1000,0)</f>
        <v>0</v>
      </c>
      <c r="AI391" s="120">
        <f>IF(AND(J391="OK",ISNUMBER($B$5),$B$5&gt;0,ISNUMBER($B$3),$B$3&gt;0),F391/(6*$B$3*1000000*$B$5)*(IF(B391&lt;($B$4*8/10),($B$4*8/10)*(MIN(C391,($B$4*8/10))^3-B391^3)-(MIN(C391,($B$4*8/10))^4-B391^4)/4,0)+IF(C391&gt;($B$4*8/10),($B$4*8/10)^2*(1.5*(C391^2-MAX(B391,($B$4*8/10))^2)-($B$4*8/10)*(C391-MAX(B391,($B$4*8/10)))),0))*1000,0)</f>
        <v>0</v>
      </c>
      <c r="AJ391" s="120">
        <f>IF(AND(J391="OK",ISNUMBER($B$5),$B$5&gt;0,ISNUMBER($B$3),$B$3&gt;0),F391/(6*$B$3*1000000*$B$5)*(IF(B391&lt;($B$4*9/10),($B$4*9/10)*(MIN(C391,($B$4*9/10))^3-B391^3)-(MIN(C391,($B$4*9/10))^4-B391^4)/4,0)+IF(C391&gt;($B$4*9/10),($B$4*9/10)^2*(1.5*(C391^2-MAX(B391,($B$4*9/10))^2)-($B$4*9/10)*(C391-MAX(B391,($B$4*9/10)))),0))*1000,0)</f>
        <v>0</v>
      </c>
      <c r="AK391" s="120">
        <f>IF(AND(J391="OK",ISNUMBER($B$5),$B$5&gt;0,ISNUMBER($B$3),$B$3&gt;0),F391/(6*$B$3*1000000*$B$5)*(IF(B391&lt;($B$4*10/10),($B$4*10/10)*(MIN(C391,($B$4*10/10))^3-B391^3)-(MIN(C391,($B$4*10/10))^4-B391^4)/4,0)+IF(C391&gt;($B$4*10/10),($B$4*10/10)^2*(1.5*(C391^2-MAX(B391,($B$4*10/10))^2)-($B$4*10/10)*(C391-MAX(B391,($B$4*10/10)))),0))*1000,0)</f>
        <v>0</v>
      </c>
      <c r="AM391" s="120">
        <f>IF(AND(V391="OK",ISNUMBER($N$5),$N$5&gt;0,ISNUMBER($N$3),$N$3&gt;0),R391/(6*$N$3*1000000*$N$5)*(IF(N391&lt;($N$4*0/10),($N$4*0/10)*(MIN(O391,($N$4*0/10))^3-N391^3)-(MIN(O391,($N$4*0/10))^4-N391^4)/4,0)+IF(O391&gt;($N$4*0/10),($N$4*0/10)^2*(1.5*(O391^2-MAX(N391,($N$4*0/10))^2)-($N$4*0/10)*(O391-MAX(N391,($N$4*0/10)))),0))*1000,0)</f>
        <v>0</v>
      </c>
      <c r="AN391" s="120">
        <f>IF(AND(V391="OK",ISNUMBER($N$5),$N$5&gt;0,ISNUMBER($N$3),$N$3&gt;0),R391/(6*$N$3*1000000*$N$5)*(IF(N391&lt;($N$4*1/10),($N$4*1/10)*(MIN(O391,($N$4*1/10))^3-N391^3)-(MIN(O391,($N$4*1/10))^4-N391^4)/4,0)+IF(O391&gt;($N$4*1/10),($N$4*1/10)^2*(1.5*(O391^2-MAX(N391,($N$4*1/10))^2)-($N$4*1/10)*(O391-MAX(N391,($N$4*1/10)))),0))*1000,0)</f>
        <v>0</v>
      </c>
      <c r="AO391" s="120">
        <f>IF(AND(V391="OK",ISNUMBER($N$5),$N$5&gt;0,ISNUMBER($N$3),$N$3&gt;0),R391/(6*$N$3*1000000*$N$5)*(IF(N391&lt;($N$4*2/10),($N$4*2/10)*(MIN(O391,($N$4*2/10))^3-N391^3)-(MIN(O391,($N$4*2/10))^4-N391^4)/4,0)+IF(O391&gt;($N$4*2/10),($N$4*2/10)^2*(1.5*(O391^2-MAX(N391,($N$4*2/10))^2)-($N$4*2/10)*(O391-MAX(N391,($N$4*2/10)))),0))*1000,0)</f>
        <v>0</v>
      </c>
      <c r="AP391" s="120">
        <f>IF(AND(V391="OK",ISNUMBER($N$5),$N$5&gt;0,ISNUMBER($N$3),$N$3&gt;0),R391/(6*$N$3*1000000*$N$5)*(IF(N391&lt;($N$4*3/10),($N$4*3/10)*(MIN(O391,($N$4*3/10))^3-N391^3)-(MIN(O391,($N$4*3/10))^4-N391^4)/4,0)+IF(O391&gt;($N$4*3/10),($N$4*3/10)^2*(1.5*(O391^2-MAX(N391,($N$4*3/10))^2)-($N$4*3/10)*(O391-MAX(N391,($N$4*3/10)))),0))*1000,0)</f>
        <v>0</v>
      </c>
      <c r="AQ391" s="120">
        <f>IF(AND(V391="OK",ISNUMBER($N$5),$N$5&gt;0,ISNUMBER($N$3),$N$3&gt;0),R391/(6*$N$3*1000000*$N$5)*(IF(N391&lt;($N$4*4/10),($N$4*4/10)*(MIN(O391,($N$4*4/10))^3-N391^3)-(MIN(O391,($N$4*4/10))^4-N391^4)/4,0)+IF(O391&gt;($N$4*4/10),($N$4*4/10)^2*(1.5*(O391^2-MAX(N391,($N$4*4/10))^2)-($N$4*4/10)*(O391-MAX(N391,($N$4*4/10)))),0))*1000,0)</f>
        <v>0</v>
      </c>
      <c r="AR391" s="120">
        <f>IF(AND(V391="OK",ISNUMBER($N$5),$N$5&gt;0,ISNUMBER($N$3),$N$3&gt;0),R391/(6*$N$3*1000000*$N$5)*(IF(N391&lt;($N$4*5/10),($N$4*5/10)*(MIN(O391,($N$4*5/10))^3-N391^3)-(MIN(O391,($N$4*5/10))^4-N391^4)/4,0)+IF(O391&gt;($N$4*5/10),($N$4*5/10)^2*(1.5*(O391^2-MAX(N391,($N$4*5/10))^2)-($N$4*5/10)*(O391-MAX(N391,($N$4*5/10)))),0))*1000,0)</f>
        <v>0</v>
      </c>
      <c r="AS391" s="120">
        <f>IF(AND(V391="OK",ISNUMBER($N$5),$N$5&gt;0,ISNUMBER($N$3),$N$3&gt;0),R391/(6*$N$3*1000000*$N$5)*(IF(N391&lt;($N$4*6/10),($N$4*6/10)*(MIN(O391,($N$4*6/10))^3-N391^3)-(MIN(O391,($N$4*6/10))^4-N391^4)/4,0)+IF(O391&gt;($N$4*6/10),($N$4*6/10)^2*(1.5*(O391^2-MAX(N391,($N$4*6/10))^2)-($N$4*6/10)*(O391-MAX(N391,($N$4*6/10)))),0))*1000,0)</f>
        <v>0</v>
      </c>
      <c r="AT391" s="120">
        <f>IF(AND(V391="OK",ISNUMBER($N$5),$N$5&gt;0,ISNUMBER($N$3),$N$3&gt;0),R391/(6*$N$3*1000000*$N$5)*(IF(N391&lt;($N$4*7/10),($N$4*7/10)*(MIN(O391,($N$4*7/10))^3-N391^3)-(MIN(O391,($N$4*7/10))^4-N391^4)/4,0)+IF(O391&gt;($N$4*7/10),($N$4*7/10)^2*(1.5*(O391^2-MAX(N391,($N$4*7/10))^2)-($N$4*7/10)*(O391-MAX(N391,($N$4*7/10)))),0))*1000,0)</f>
        <v>0</v>
      </c>
      <c r="AU391" s="120">
        <f>IF(AND(V391="OK",ISNUMBER($N$5),$N$5&gt;0,ISNUMBER($N$3),$N$3&gt;0),R391/(6*$N$3*1000000*$N$5)*(IF(N391&lt;($N$4*8/10),($N$4*8/10)*(MIN(O391,($N$4*8/10))^3-N391^3)-(MIN(O391,($N$4*8/10))^4-N391^4)/4,0)+IF(O391&gt;($N$4*8/10),($N$4*8/10)^2*(1.5*(O391^2-MAX(N391,($N$4*8/10))^2)-($N$4*8/10)*(O391-MAX(N391,($N$4*8/10)))),0))*1000,0)</f>
        <v>0</v>
      </c>
      <c r="AV391" s="120">
        <f>IF(AND(V391="OK",ISNUMBER($N$5),$N$5&gt;0,ISNUMBER($N$3),$N$3&gt;0),R391/(6*$N$3*1000000*$N$5)*(IF(N391&lt;($N$4*9/10),($N$4*9/10)*(MIN(O391,($N$4*9/10))^3-N391^3)-(MIN(O391,($N$4*9/10))^4-N391^4)/4,0)+IF(O391&gt;($N$4*9/10),($N$4*9/10)^2*(1.5*(O391^2-MAX(N391,($N$4*9/10))^2)-($N$4*9/10)*(O391-MAX(N391,($N$4*9/10)))),0))*1000,0)</f>
        <v>0</v>
      </c>
      <c r="AW391" s="120">
        <f>IF(AND(V391="OK",ISNUMBER($N$5),$N$5&gt;0,ISNUMBER($N$3),$N$3&gt;0),R391/(6*$N$3*1000000*$N$5)*(IF(N391&lt;($N$4*10/10),($N$4*10/10)*(MIN(O391,($N$4*10/10))^3-N391^3)-(MIN(O391,($N$4*10/10))^4-N391^4)/4,0)+IF(O391&gt;($N$4*10/10),($N$4*10/10)^2*(1.5*(O391^2-MAX(N391,($N$4*10/10))^2)-($N$4*10/10)*(O391-MAX(N391,($N$4*10/10)))),0))*1000,0)</f>
        <v>0</v>
      </c>
    </row>
    <row r="392" spans="1:49">
      <c r="A392" s="124"/>
      <c r="B392" s="125"/>
      <c r="C392" s="125"/>
      <c r="D392" s="125"/>
      <c r="E392" s="125"/>
      <c r="F392" s="126" t="str">
        <f>IF(J392="OK",D392*E392,"")</f>
        <v/>
      </c>
      <c r="G392" s="126" t="str">
        <f>IF(J392="OK",F392*(C392-B392),"")</f>
        <v/>
      </c>
      <c r="H392" s="126" t="str">
        <f>IF(J392="OK",G392*(C392+B392)/2,"")</f>
        <v/>
      </c>
      <c r="I392" s="126" t="str">
        <f>IF(AND(J392="OK",ISNUMBER($B$5),$B$5&gt;0,ISNUMBER($B$3),$B$3&gt;0),F392*(4*$B$4*(C392^3-B392^3)-(C392^4-B392^4))/(24*$B$3*1000000*$B$5)*1000,"")</f>
        <v/>
      </c>
      <c r="J392" s="120" t="str">
        <f>IF(COUNTA(A392:E392)=0,"",IF(AND(COUNT(B392:E392)=4,B392&gt;=0,C392&gt;B392,C392&lt;=$B$4,D392&gt;=0,E392&gt;0),IF(COUNTIFS($B$13:$B$391,"&lt;"&amp;C392,$C$13:$C$391,"&gt;"&amp;B392)&gt;0,"OVERLAP","OK"),"CHECK INPUTS"))</f>
        <v/>
      </c>
      <c r="M392" s="124"/>
      <c r="N392" s="125"/>
      <c r="O392" s="125"/>
      <c r="P392" s="125"/>
      <c r="Q392" s="125"/>
      <c r="R392" s="126" t="str">
        <f>IF(V392="OK",P392*Q392,"")</f>
        <v/>
      </c>
      <c r="S392" s="126" t="str">
        <f>IF(V392="OK",R392*(O392-N392),"")</f>
        <v/>
      </c>
      <c r="T392" s="126" t="str">
        <f>IF(V392="OK",S392*(O392+N392)/2,"")</f>
        <v/>
      </c>
      <c r="U392" s="126" t="str">
        <f>IF(AND(V392="OK",ISNUMBER($N$5),$N$5&gt;0,ISNUMBER($N$3),$N$3&gt;0),R392*(4*$N$4*(O392^3-N392^3)-(O392^4-N392^4))/(24*$N$3*1000000*$N$5)*1000,"")</f>
        <v/>
      </c>
      <c r="V392" s="120" t="str">
        <f>IF(COUNTA(M392:Q392)=0,"",IF(AND(COUNT(N392:Q392)=4,N392&gt;=0,O392&gt;N392,O392&lt;=$N$4,P392&gt;=0,Q392&gt;0),IF(COUNTIFS($N$13:$N$391,"&lt;"&amp;O392,$O$13:$O$391,"&gt;"&amp;N392)&gt;0,"OVERLAP","OK"),"CHECK INPUTS"))</f>
        <v/>
      </c>
      <c r="AA392" s="120">
        <f>IF(AND(J392="OK",ISNUMBER($B$5),$B$5&gt;0,ISNUMBER($B$3),$B$3&gt;0),F392/(6*$B$3*1000000*$B$5)*(IF(B392&lt;($B$4*0/10),($B$4*0/10)*(MIN(C392,($B$4*0/10))^3-B392^3)-(MIN(C392,($B$4*0/10))^4-B392^4)/4,0)+IF(C392&gt;($B$4*0/10),($B$4*0/10)^2*(1.5*(C392^2-MAX(B392,($B$4*0/10))^2)-($B$4*0/10)*(C392-MAX(B392,($B$4*0/10)))),0))*1000,0)</f>
        <v>0</v>
      </c>
      <c r="AB392" s="120">
        <f>IF(AND(J392="OK",ISNUMBER($B$5),$B$5&gt;0,ISNUMBER($B$3),$B$3&gt;0),F392/(6*$B$3*1000000*$B$5)*(IF(B392&lt;($B$4*1/10),($B$4*1/10)*(MIN(C392,($B$4*1/10))^3-B392^3)-(MIN(C392,($B$4*1/10))^4-B392^4)/4,0)+IF(C392&gt;($B$4*1/10),($B$4*1/10)^2*(1.5*(C392^2-MAX(B392,($B$4*1/10))^2)-($B$4*1/10)*(C392-MAX(B392,($B$4*1/10)))),0))*1000,0)</f>
        <v>0</v>
      </c>
      <c r="AC392" s="120">
        <f>IF(AND(J392="OK",ISNUMBER($B$5),$B$5&gt;0,ISNUMBER($B$3),$B$3&gt;0),F392/(6*$B$3*1000000*$B$5)*(IF(B392&lt;($B$4*2/10),($B$4*2/10)*(MIN(C392,($B$4*2/10))^3-B392^3)-(MIN(C392,($B$4*2/10))^4-B392^4)/4,0)+IF(C392&gt;($B$4*2/10),($B$4*2/10)^2*(1.5*(C392^2-MAX(B392,($B$4*2/10))^2)-($B$4*2/10)*(C392-MAX(B392,($B$4*2/10)))),0))*1000,0)</f>
        <v>0</v>
      </c>
      <c r="AD392" s="120">
        <f>IF(AND(J392="OK",ISNUMBER($B$5),$B$5&gt;0,ISNUMBER($B$3),$B$3&gt;0),F392/(6*$B$3*1000000*$B$5)*(IF(B392&lt;($B$4*3/10),($B$4*3/10)*(MIN(C392,($B$4*3/10))^3-B392^3)-(MIN(C392,($B$4*3/10))^4-B392^4)/4,0)+IF(C392&gt;($B$4*3/10),($B$4*3/10)^2*(1.5*(C392^2-MAX(B392,($B$4*3/10))^2)-($B$4*3/10)*(C392-MAX(B392,($B$4*3/10)))),0))*1000,0)</f>
        <v>0</v>
      </c>
      <c r="AE392" s="120">
        <f>IF(AND(J392="OK",ISNUMBER($B$5),$B$5&gt;0,ISNUMBER($B$3),$B$3&gt;0),F392/(6*$B$3*1000000*$B$5)*(IF(B392&lt;($B$4*4/10),($B$4*4/10)*(MIN(C392,($B$4*4/10))^3-B392^3)-(MIN(C392,($B$4*4/10))^4-B392^4)/4,0)+IF(C392&gt;($B$4*4/10),($B$4*4/10)^2*(1.5*(C392^2-MAX(B392,($B$4*4/10))^2)-($B$4*4/10)*(C392-MAX(B392,($B$4*4/10)))),0))*1000,0)</f>
        <v>0</v>
      </c>
      <c r="AF392" s="120">
        <f>IF(AND(J392="OK",ISNUMBER($B$5),$B$5&gt;0,ISNUMBER($B$3),$B$3&gt;0),F392/(6*$B$3*1000000*$B$5)*(IF(B392&lt;($B$4*5/10),($B$4*5/10)*(MIN(C392,($B$4*5/10))^3-B392^3)-(MIN(C392,($B$4*5/10))^4-B392^4)/4,0)+IF(C392&gt;($B$4*5/10),($B$4*5/10)^2*(1.5*(C392^2-MAX(B392,($B$4*5/10))^2)-($B$4*5/10)*(C392-MAX(B392,($B$4*5/10)))),0))*1000,0)</f>
        <v>0</v>
      </c>
      <c r="AG392" s="120">
        <f>IF(AND(J392="OK",ISNUMBER($B$5),$B$5&gt;0,ISNUMBER($B$3),$B$3&gt;0),F392/(6*$B$3*1000000*$B$5)*(IF(B392&lt;($B$4*6/10),($B$4*6/10)*(MIN(C392,($B$4*6/10))^3-B392^3)-(MIN(C392,($B$4*6/10))^4-B392^4)/4,0)+IF(C392&gt;($B$4*6/10),($B$4*6/10)^2*(1.5*(C392^2-MAX(B392,($B$4*6/10))^2)-($B$4*6/10)*(C392-MAX(B392,($B$4*6/10)))),0))*1000,0)</f>
        <v>0</v>
      </c>
      <c r="AH392" s="120">
        <f>IF(AND(J392="OK",ISNUMBER($B$5),$B$5&gt;0,ISNUMBER($B$3),$B$3&gt;0),F392/(6*$B$3*1000000*$B$5)*(IF(B392&lt;($B$4*7/10),($B$4*7/10)*(MIN(C392,($B$4*7/10))^3-B392^3)-(MIN(C392,($B$4*7/10))^4-B392^4)/4,0)+IF(C392&gt;($B$4*7/10),($B$4*7/10)^2*(1.5*(C392^2-MAX(B392,($B$4*7/10))^2)-($B$4*7/10)*(C392-MAX(B392,($B$4*7/10)))),0))*1000,0)</f>
        <v>0</v>
      </c>
      <c r="AI392" s="120">
        <f>IF(AND(J392="OK",ISNUMBER($B$5),$B$5&gt;0,ISNUMBER($B$3),$B$3&gt;0),F392/(6*$B$3*1000000*$B$5)*(IF(B392&lt;($B$4*8/10),($B$4*8/10)*(MIN(C392,($B$4*8/10))^3-B392^3)-(MIN(C392,($B$4*8/10))^4-B392^4)/4,0)+IF(C392&gt;($B$4*8/10),($B$4*8/10)^2*(1.5*(C392^2-MAX(B392,($B$4*8/10))^2)-($B$4*8/10)*(C392-MAX(B392,($B$4*8/10)))),0))*1000,0)</f>
        <v>0</v>
      </c>
      <c r="AJ392" s="120">
        <f>IF(AND(J392="OK",ISNUMBER($B$5),$B$5&gt;0,ISNUMBER($B$3),$B$3&gt;0),F392/(6*$B$3*1000000*$B$5)*(IF(B392&lt;($B$4*9/10),($B$4*9/10)*(MIN(C392,($B$4*9/10))^3-B392^3)-(MIN(C392,($B$4*9/10))^4-B392^4)/4,0)+IF(C392&gt;($B$4*9/10),($B$4*9/10)^2*(1.5*(C392^2-MAX(B392,($B$4*9/10))^2)-($B$4*9/10)*(C392-MAX(B392,($B$4*9/10)))),0))*1000,0)</f>
        <v>0</v>
      </c>
      <c r="AK392" s="120">
        <f>IF(AND(J392="OK",ISNUMBER($B$5),$B$5&gt;0,ISNUMBER($B$3),$B$3&gt;0),F392/(6*$B$3*1000000*$B$5)*(IF(B392&lt;($B$4*10/10),($B$4*10/10)*(MIN(C392,($B$4*10/10))^3-B392^3)-(MIN(C392,($B$4*10/10))^4-B392^4)/4,0)+IF(C392&gt;($B$4*10/10),($B$4*10/10)^2*(1.5*(C392^2-MAX(B392,($B$4*10/10))^2)-($B$4*10/10)*(C392-MAX(B392,($B$4*10/10)))),0))*1000,0)</f>
        <v>0</v>
      </c>
      <c r="AM392" s="120">
        <f>IF(AND(V392="OK",ISNUMBER($N$5),$N$5&gt;0,ISNUMBER($N$3),$N$3&gt;0),R392/(6*$N$3*1000000*$N$5)*(IF(N392&lt;($N$4*0/10),($N$4*0/10)*(MIN(O392,($N$4*0/10))^3-N392^3)-(MIN(O392,($N$4*0/10))^4-N392^4)/4,0)+IF(O392&gt;($N$4*0/10),($N$4*0/10)^2*(1.5*(O392^2-MAX(N392,($N$4*0/10))^2)-($N$4*0/10)*(O392-MAX(N392,($N$4*0/10)))),0))*1000,0)</f>
        <v>0</v>
      </c>
      <c r="AN392" s="120">
        <f>IF(AND(V392="OK",ISNUMBER($N$5),$N$5&gt;0,ISNUMBER($N$3),$N$3&gt;0),R392/(6*$N$3*1000000*$N$5)*(IF(N392&lt;($N$4*1/10),($N$4*1/10)*(MIN(O392,($N$4*1/10))^3-N392^3)-(MIN(O392,($N$4*1/10))^4-N392^4)/4,0)+IF(O392&gt;($N$4*1/10),($N$4*1/10)^2*(1.5*(O392^2-MAX(N392,($N$4*1/10))^2)-($N$4*1/10)*(O392-MAX(N392,($N$4*1/10)))),0))*1000,0)</f>
        <v>0</v>
      </c>
      <c r="AO392" s="120">
        <f>IF(AND(V392="OK",ISNUMBER($N$5),$N$5&gt;0,ISNUMBER($N$3),$N$3&gt;0),R392/(6*$N$3*1000000*$N$5)*(IF(N392&lt;($N$4*2/10),($N$4*2/10)*(MIN(O392,($N$4*2/10))^3-N392^3)-(MIN(O392,($N$4*2/10))^4-N392^4)/4,0)+IF(O392&gt;($N$4*2/10),($N$4*2/10)^2*(1.5*(O392^2-MAX(N392,($N$4*2/10))^2)-($N$4*2/10)*(O392-MAX(N392,($N$4*2/10)))),0))*1000,0)</f>
        <v>0</v>
      </c>
      <c r="AP392" s="120">
        <f>IF(AND(V392="OK",ISNUMBER($N$5),$N$5&gt;0,ISNUMBER($N$3),$N$3&gt;0),R392/(6*$N$3*1000000*$N$5)*(IF(N392&lt;($N$4*3/10),($N$4*3/10)*(MIN(O392,($N$4*3/10))^3-N392^3)-(MIN(O392,($N$4*3/10))^4-N392^4)/4,0)+IF(O392&gt;($N$4*3/10),($N$4*3/10)^2*(1.5*(O392^2-MAX(N392,($N$4*3/10))^2)-($N$4*3/10)*(O392-MAX(N392,($N$4*3/10)))),0))*1000,0)</f>
        <v>0</v>
      </c>
      <c r="AQ392" s="120">
        <f>IF(AND(V392="OK",ISNUMBER($N$5),$N$5&gt;0,ISNUMBER($N$3),$N$3&gt;0),R392/(6*$N$3*1000000*$N$5)*(IF(N392&lt;($N$4*4/10),($N$4*4/10)*(MIN(O392,($N$4*4/10))^3-N392^3)-(MIN(O392,($N$4*4/10))^4-N392^4)/4,0)+IF(O392&gt;($N$4*4/10),($N$4*4/10)^2*(1.5*(O392^2-MAX(N392,($N$4*4/10))^2)-($N$4*4/10)*(O392-MAX(N392,($N$4*4/10)))),0))*1000,0)</f>
        <v>0</v>
      </c>
      <c r="AR392" s="120">
        <f>IF(AND(V392="OK",ISNUMBER($N$5),$N$5&gt;0,ISNUMBER($N$3),$N$3&gt;0),R392/(6*$N$3*1000000*$N$5)*(IF(N392&lt;($N$4*5/10),($N$4*5/10)*(MIN(O392,($N$4*5/10))^3-N392^3)-(MIN(O392,($N$4*5/10))^4-N392^4)/4,0)+IF(O392&gt;($N$4*5/10),($N$4*5/10)^2*(1.5*(O392^2-MAX(N392,($N$4*5/10))^2)-($N$4*5/10)*(O392-MAX(N392,($N$4*5/10)))),0))*1000,0)</f>
        <v>0</v>
      </c>
      <c r="AS392" s="120">
        <f>IF(AND(V392="OK",ISNUMBER($N$5),$N$5&gt;0,ISNUMBER($N$3),$N$3&gt;0),R392/(6*$N$3*1000000*$N$5)*(IF(N392&lt;($N$4*6/10),($N$4*6/10)*(MIN(O392,($N$4*6/10))^3-N392^3)-(MIN(O392,($N$4*6/10))^4-N392^4)/4,0)+IF(O392&gt;($N$4*6/10),($N$4*6/10)^2*(1.5*(O392^2-MAX(N392,($N$4*6/10))^2)-($N$4*6/10)*(O392-MAX(N392,($N$4*6/10)))),0))*1000,0)</f>
        <v>0</v>
      </c>
      <c r="AT392" s="120">
        <f>IF(AND(V392="OK",ISNUMBER($N$5),$N$5&gt;0,ISNUMBER($N$3),$N$3&gt;0),R392/(6*$N$3*1000000*$N$5)*(IF(N392&lt;($N$4*7/10),($N$4*7/10)*(MIN(O392,($N$4*7/10))^3-N392^3)-(MIN(O392,($N$4*7/10))^4-N392^4)/4,0)+IF(O392&gt;($N$4*7/10),($N$4*7/10)^2*(1.5*(O392^2-MAX(N392,($N$4*7/10))^2)-($N$4*7/10)*(O392-MAX(N392,($N$4*7/10)))),0))*1000,0)</f>
        <v>0</v>
      </c>
      <c r="AU392" s="120">
        <f>IF(AND(V392="OK",ISNUMBER($N$5),$N$5&gt;0,ISNUMBER($N$3),$N$3&gt;0),R392/(6*$N$3*1000000*$N$5)*(IF(N392&lt;($N$4*8/10),($N$4*8/10)*(MIN(O392,($N$4*8/10))^3-N392^3)-(MIN(O392,($N$4*8/10))^4-N392^4)/4,0)+IF(O392&gt;($N$4*8/10),($N$4*8/10)^2*(1.5*(O392^2-MAX(N392,($N$4*8/10))^2)-($N$4*8/10)*(O392-MAX(N392,($N$4*8/10)))),0))*1000,0)</f>
        <v>0</v>
      </c>
      <c r="AV392" s="120">
        <f>IF(AND(V392="OK",ISNUMBER($N$5),$N$5&gt;0,ISNUMBER($N$3),$N$3&gt;0),R392/(6*$N$3*1000000*$N$5)*(IF(N392&lt;($N$4*9/10),($N$4*9/10)*(MIN(O392,($N$4*9/10))^3-N392^3)-(MIN(O392,($N$4*9/10))^4-N392^4)/4,0)+IF(O392&gt;($N$4*9/10),($N$4*9/10)^2*(1.5*(O392^2-MAX(N392,($N$4*9/10))^2)-($N$4*9/10)*(O392-MAX(N392,($N$4*9/10)))),0))*1000,0)</f>
        <v>0</v>
      </c>
      <c r="AW392" s="120">
        <f>IF(AND(V392="OK",ISNUMBER($N$5),$N$5&gt;0,ISNUMBER($N$3),$N$3&gt;0),R392/(6*$N$3*1000000*$N$5)*(IF(N392&lt;($N$4*10/10),($N$4*10/10)*(MIN(O392,($N$4*10/10))^3-N392^3)-(MIN(O392,($N$4*10/10))^4-N392^4)/4,0)+IF(O392&gt;($N$4*10/10),($N$4*10/10)^2*(1.5*(O392^2-MAX(N392,($N$4*10/10))^2)-($N$4*10/10)*(O392-MAX(N392,($N$4*10/10)))),0))*1000,0)</f>
        <v>0</v>
      </c>
    </row>
    <row r="393" spans="1:49">
      <c r="A393" s="124"/>
      <c r="B393" s="125"/>
      <c r="C393" s="125"/>
      <c r="D393" s="125"/>
      <c r="E393" s="125"/>
      <c r="F393" s="126" t="str">
        <f>IF(J393="OK",D393*E393,"")</f>
        <v/>
      </c>
      <c r="G393" s="126" t="str">
        <f>IF(J393="OK",F393*(C393-B393),"")</f>
        <v/>
      </c>
      <c r="H393" s="126" t="str">
        <f>IF(J393="OK",G393*(C393+B393)/2,"")</f>
        <v/>
      </c>
      <c r="I393" s="126" t="str">
        <f>IF(AND(J393="OK",ISNUMBER($B$5),$B$5&gt;0,ISNUMBER($B$3),$B$3&gt;0),F393*(4*$B$4*(C393^3-B393^3)-(C393^4-B393^4))/(24*$B$3*1000000*$B$5)*1000,"")</f>
        <v/>
      </c>
      <c r="J393" s="120" t="str">
        <f>IF(COUNTA(A393:E393)=0,"",IF(AND(COUNT(B393:E393)=4,B393&gt;=0,C393&gt;B393,C393&lt;=$B$4,D393&gt;=0,E393&gt;0),IF(COUNTIFS($B$13:$B$392,"&lt;"&amp;C393,$C$13:$C$392,"&gt;"&amp;B393)&gt;0,"OVERLAP","OK"),"CHECK INPUTS"))</f>
        <v/>
      </c>
      <c r="M393" s="124"/>
      <c r="N393" s="125"/>
      <c r="O393" s="125"/>
      <c r="P393" s="125"/>
      <c r="Q393" s="125"/>
      <c r="R393" s="126" t="str">
        <f>IF(V393="OK",P393*Q393,"")</f>
        <v/>
      </c>
      <c r="S393" s="126" t="str">
        <f>IF(V393="OK",R393*(O393-N393),"")</f>
        <v/>
      </c>
      <c r="T393" s="126" t="str">
        <f>IF(V393="OK",S393*(O393+N393)/2,"")</f>
        <v/>
      </c>
      <c r="U393" s="126" t="str">
        <f>IF(AND(V393="OK",ISNUMBER($N$5),$N$5&gt;0,ISNUMBER($N$3),$N$3&gt;0),R393*(4*$N$4*(O393^3-N393^3)-(O393^4-N393^4))/(24*$N$3*1000000*$N$5)*1000,"")</f>
        <v/>
      </c>
      <c r="V393" s="120" t="str">
        <f>IF(COUNTA(M393:Q393)=0,"",IF(AND(COUNT(N393:Q393)=4,N393&gt;=0,O393&gt;N393,O393&lt;=$N$4,P393&gt;=0,Q393&gt;0),IF(COUNTIFS($N$13:$N$392,"&lt;"&amp;O393,$O$13:$O$392,"&gt;"&amp;N393)&gt;0,"OVERLAP","OK"),"CHECK INPUTS"))</f>
        <v/>
      </c>
      <c r="AA393" s="120">
        <f>IF(AND(J393="OK",ISNUMBER($B$5),$B$5&gt;0,ISNUMBER($B$3),$B$3&gt;0),F393/(6*$B$3*1000000*$B$5)*(IF(B393&lt;($B$4*0/10),($B$4*0/10)*(MIN(C393,($B$4*0/10))^3-B393^3)-(MIN(C393,($B$4*0/10))^4-B393^4)/4,0)+IF(C393&gt;($B$4*0/10),($B$4*0/10)^2*(1.5*(C393^2-MAX(B393,($B$4*0/10))^2)-($B$4*0/10)*(C393-MAX(B393,($B$4*0/10)))),0))*1000,0)</f>
        <v>0</v>
      </c>
      <c r="AB393" s="120">
        <f>IF(AND(J393="OK",ISNUMBER($B$5),$B$5&gt;0,ISNUMBER($B$3),$B$3&gt;0),F393/(6*$B$3*1000000*$B$5)*(IF(B393&lt;($B$4*1/10),($B$4*1/10)*(MIN(C393,($B$4*1/10))^3-B393^3)-(MIN(C393,($B$4*1/10))^4-B393^4)/4,0)+IF(C393&gt;($B$4*1/10),($B$4*1/10)^2*(1.5*(C393^2-MAX(B393,($B$4*1/10))^2)-($B$4*1/10)*(C393-MAX(B393,($B$4*1/10)))),0))*1000,0)</f>
        <v>0</v>
      </c>
      <c r="AC393" s="120">
        <f>IF(AND(J393="OK",ISNUMBER($B$5),$B$5&gt;0,ISNUMBER($B$3),$B$3&gt;0),F393/(6*$B$3*1000000*$B$5)*(IF(B393&lt;($B$4*2/10),($B$4*2/10)*(MIN(C393,($B$4*2/10))^3-B393^3)-(MIN(C393,($B$4*2/10))^4-B393^4)/4,0)+IF(C393&gt;($B$4*2/10),($B$4*2/10)^2*(1.5*(C393^2-MAX(B393,($B$4*2/10))^2)-($B$4*2/10)*(C393-MAX(B393,($B$4*2/10)))),0))*1000,0)</f>
        <v>0</v>
      </c>
      <c r="AD393" s="120">
        <f>IF(AND(J393="OK",ISNUMBER($B$5),$B$5&gt;0,ISNUMBER($B$3),$B$3&gt;0),F393/(6*$B$3*1000000*$B$5)*(IF(B393&lt;($B$4*3/10),($B$4*3/10)*(MIN(C393,($B$4*3/10))^3-B393^3)-(MIN(C393,($B$4*3/10))^4-B393^4)/4,0)+IF(C393&gt;($B$4*3/10),($B$4*3/10)^2*(1.5*(C393^2-MAX(B393,($B$4*3/10))^2)-($B$4*3/10)*(C393-MAX(B393,($B$4*3/10)))),0))*1000,0)</f>
        <v>0</v>
      </c>
      <c r="AE393" s="120">
        <f>IF(AND(J393="OK",ISNUMBER($B$5),$B$5&gt;0,ISNUMBER($B$3),$B$3&gt;0),F393/(6*$B$3*1000000*$B$5)*(IF(B393&lt;($B$4*4/10),($B$4*4/10)*(MIN(C393,($B$4*4/10))^3-B393^3)-(MIN(C393,($B$4*4/10))^4-B393^4)/4,0)+IF(C393&gt;($B$4*4/10),($B$4*4/10)^2*(1.5*(C393^2-MAX(B393,($B$4*4/10))^2)-($B$4*4/10)*(C393-MAX(B393,($B$4*4/10)))),0))*1000,0)</f>
        <v>0</v>
      </c>
      <c r="AF393" s="120">
        <f>IF(AND(J393="OK",ISNUMBER($B$5),$B$5&gt;0,ISNUMBER($B$3),$B$3&gt;0),F393/(6*$B$3*1000000*$B$5)*(IF(B393&lt;($B$4*5/10),($B$4*5/10)*(MIN(C393,($B$4*5/10))^3-B393^3)-(MIN(C393,($B$4*5/10))^4-B393^4)/4,0)+IF(C393&gt;($B$4*5/10),($B$4*5/10)^2*(1.5*(C393^2-MAX(B393,($B$4*5/10))^2)-($B$4*5/10)*(C393-MAX(B393,($B$4*5/10)))),0))*1000,0)</f>
        <v>0</v>
      </c>
      <c r="AG393" s="120">
        <f>IF(AND(J393="OK",ISNUMBER($B$5),$B$5&gt;0,ISNUMBER($B$3),$B$3&gt;0),F393/(6*$B$3*1000000*$B$5)*(IF(B393&lt;($B$4*6/10),($B$4*6/10)*(MIN(C393,($B$4*6/10))^3-B393^3)-(MIN(C393,($B$4*6/10))^4-B393^4)/4,0)+IF(C393&gt;($B$4*6/10),($B$4*6/10)^2*(1.5*(C393^2-MAX(B393,($B$4*6/10))^2)-($B$4*6/10)*(C393-MAX(B393,($B$4*6/10)))),0))*1000,0)</f>
        <v>0</v>
      </c>
      <c r="AH393" s="120">
        <f>IF(AND(J393="OK",ISNUMBER($B$5),$B$5&gt;0,ISNUMBER($B$3),$B$3&gt;0),F393/(6*$B$3*1000000*$B$5)*(IF(B393&lt;($B$4*7/10),($B$4*7/10)*(MIN(C393,($B$4*7/10))^3-B393^3)-(MIN(C393,($B$4*7/10))^4-B393^4)/4,0)+IF(C393&gt;($B$4*7/10),($B$4*7/10)^2*(1.5*(C393^2-MAX(B393,($B$4*7/10))^2)-($B$4*7/10)*(C393-MAX(B393,($B$4*7/10)))),0))*1000,0)</f>
        <v>0</v>
      </c>
      <c r="AI393" s="120">
        <f>IF(AND(J393="OK",ISNUMBER($B$5),$B$5&gt;0,ISNUMBER($B$3),$B$3&gt;0),F393/(6*$B$3*1000000*$B$5)*(IF(B393&lt;($B$4*8/10),($B$4*8/10)*(MIN(C393,($B$4*8/10))^3-B393^3)-(MIN(C393,($B$4*8/10))^4-B393^4)/4,0)+IF(C393&gt;($B$4*8/10),($B$4*8/10)^2*(1.5*(C393^2-MAX(B393,($B$4*8/10))^2)-($B$4*8/10)*(C393-MAX(B393,($B$4*8/10)))),0))*1000,0)</f>
        <v>0</v>
      </c>
      <c r="AJ393" s="120">
        <f>IF(AND(J393="OK",ISNUMBER($B$5),$B$5&gt;0,ISNUMBER($B$3),$B$3&gt;0),F393/(6*$B$3*1000000*$B$5)*(IF(B393&lt;($B$4*9/10),($B$4*9/10)*(MIN(C393,($B$4*9/10))^3-B393^3)-(MIN(C393,($B$4*9/10))^4-B393^4)/4,0)+IF(C393&gt;($B$4*9/10),($B$4*9/10)^2*(1.5*(C393^2-MAX(B393,($B$4*9/10))^2)-($B$4*9/10)*(C393-MAX(B393,($B$4*9/10)))),0))*1000,0)</f>
        <v>0</v>
      </c>
      <c r="AK393" s="120">
        <f>IF(AND(J393="OK",ISNUMBER($B$5),$B$5&gt;0,ISNUMBER($B$3),$B$3&gt;0),F393/(6*$B$3*1000000*$B$5)*(IF(B393&lt;($B$4*10/10),($B$4*10/10)*(MIN(C393,($B$4*10/10))^3-B393^3)-(MIN(C393,($B$4*10/10))^4-B393^4)/4,0)+IF(C393&gt;($B$4*10/10),($B$4*10/10)^2*(1.5*(C393^2-MAX(B393,($B$4*10/10))^2)-($B$4*10/10)*(C393-MAX(B393,($B$4*10/10)))),0))*1000,0)</f>
        <v>0</v>
      </c>
      <c r="AM393" s="120">
        <f>IF(AND(V393="OK",ISNUMBER($N$5),$N$5&gt;0,ISNUMBER($N$3),$N$3&gt;0),R393/(6*$N$3*1000000*$N$5)*(IF(N393&lt;($N$4*0/10),($N$4*0/10)*(MIN(O393,($N$4*0/10))^3-N393^3)-(MIN(O393,($N$4*0/10))^4-N393^4)/4,0)+IF(O393&gt;($N$4*0/10),($N$4*0/10)^2*(1.5*(O393^2-MAX(N393,($N$4*0/10))^2)-($N$4*0/10)*(O393-MAX(N393,($N$4*0/10)))),0))*1000,0)</f>
        <v>0</v>
      </c>
      <c r="AN393" s="120">
        <f>IF(AND(V393="OK",ISNUMBER($N$5),$N$5&gt;0,ISNUMBER($N$3),$N$3&gt;0),R393/(6*$N$3*1000000*$N$5)*(IF(N393&lt;($N$4*1/10),($N$4*1/10)*(MIN(O393,($N$4*1/10))^3-N393^3)-(MIN(O393,($N$4*1/10))^4-N393^4)/4,0)+IF(O393&gt;($N$4*1/10),($N$4*1/10)^2*(1.5*(O393^2-MAX(N393,($N$4*1/10))^2)-($N$4*1/10)*(O393-MAX(N393,($N$4*1/10)))),0))*1000,0)</f>
        <v>0</v>
      </c>
      <c r="AO393" s="120">
        <f>IF(AND(V393="OK",ISNUMBER($N$5),$N$5&gt;0,ISNUMBER($N$3),$N$3&gt;0),R393/(6*$N$3*1000000*$N$5)*(IF(N393&lt;($N$4*2/10),($N$4*2/10)*(MIN(O393,($N$4*2/10))^3-N393^3)-(MIN(O393,($N$4*2/10))^4-N393^4)/4,0)+IF(O393&gt;($N$4*2/10),($N$4*2/10)^2*(1.5*(O393^2-MAX(N393,($N$4*2/10))^2)-($N$4*2/10)*(O393-MAX(N393,($N$4*2/10)))),0))*1000,0)</f>
        <v>0</v>
      </c>
      <c r="AP393" s="120">
        <f>IF(AND(V393="OK",ISNUMBER($N$5),$N$5&gt;0,ISNUMBER($N$3),$N$3&gt;0),R393/(6*$N$3*1000000*$N$5)*(IF(N393&lt;($N$4*3/10),($N$4*3/10)*(MIN(O393,($N$4*3/10))^3-N393^3)-(MIN(O393,($N$4*3/10))^4-N393^4)/4,0)+IF(O393&gt;($N$4*3/10),($N$4*3/10)^2*(1.5*(O393^2-MAX(N393,($N$4*3/10))^2)-($N$4*3/10)*(O393-MAX(N393,($N$4*3/10)))),0))*1000,0)</f>
        <v>0</v>
      </c>
      <c r="AQ393" s="120">
        <f>IF(AND(V393="OK",ISNUMBER($N$5),$N$5&gt;0,ISNUMBER($N$3),$N$3&gt;0),R393/(6*$N$3*1000000*$N$5)*(IF(N393&lt;($N$4*4/10),($N$4*4/10)*(MIN(O393,($N$4*4/10))^3-N393^3)-(MIN(O393,($N$4*4/10))^4-N393^4)/4,0)+IF(O393&gt;($N$4*4/10),($N$4*4/10)^2*(1.5*(O393^2-MAX(N393,($N$4*4/10))^2)-($N$4*4/10)*(O393-MAX(N393,($N$4*4/10)))),0))*1000,0)</f>
        <v>0</v>
      </c>
      <c r="AR393" s="120">
        <f>IF(AND(V393="OK",ISNUMBER($N$5),$N$5&gt;0,ISNUMBER($N$3),$N$3&gt;0),R393/(6*$N$3*1000000*$N$5)*(IF(N393&lt;($N$4*5/10),($N$4*5/10)*(MIN(O393,($N$4*5/10))^3-N393^3)-(MIN(O393,($N$4*5/10))^4-N393^4)/4,0)+IF(O393&gt;($N$4*5/10),($N$4*5/10)^2*(1.5*(O393^2-MAX(N393,($N$4*5/10))^2)-($N$4*5/10)*(O393-MAX(N393,($N$4*5/10)))),0))*1000,0)</f>
        <v>0</v>
      </c>
      <c r="AS393" s="120">
        <f>IF(AND(V393="OK",ISNUMBER($N$5),$N$5&gt;0,ISNUMBER($N$3),$N$3&gt;0),R393/(6*$N$3*1000000*$N$5)*(IF(N393&lt;($N$4*6/10),($N$4*6/10)*(MIN(O393,($N$4*6/10))^3-N393^3)-(MIN(O393,($N$4*6/10))^4-N393^4)/4,0)+IF(O393&gt;($N$4*6/10),($N$4*6/10)^2*(1.5*(O393^2-MAX(N393,($N$4*6/10))^2)-($N$4*6/10)*(O393-MAX(N393,($N$4*6/10)))),0))*1000,0)</f>
        <v>0</v>
      </c>
      <c r="AT393" s="120">
        <f>IF(AND(V393="OK",ISNUMBER($N$5),$N$5&gt;0,ISNUMBER($N$3),$N$3&gt;0),R393/(6*$N$3*1000000*$N$5)*(IF(N393&lt;($N$4*7/10),($N$4*7/10)*(MIN(O393,($N$4*7/10))^3-N393^3)-(MIN(O393,($N$4*7/10))^4-N393^4)/4,0)+IF(O393&gt;($N$4*7/10),($N$4*7/10)^2*(1.5*(O393^2-MAX(N393,($N$4*7/10))^2)-($N$4*7/10)*(O393-MAX(N393,($N$4*7/10)))),0))*1000,0)</f>
        <v>0</v>
      </c>
      <c r="AU393" s="120">
        <f>IF(AND(V393="OK",ISNUMBER($N$5),$N$5&gt;0,ISNUMBER($N$3),$N$3&gt;0),R393/(6*$N$3*1000000*$N$5)*(IF(N393&lt;($N$4*8/10),($N$4*8/10)*(MIN(O393,($N$4*8/10))^3-N393^3)-(MIN(O393,($N$4*8/10))^4-N393^4)/4,0)+IF(O393&gt;($N$4*8/10),($N$4*8/10)^2*(1.5*(O393^2-MAX(N393,($N$4*8/10))^2)-($N$4*8/10)*(O393-MAX(N393,($N$4*8/10)))),0))*1000,0)</f>
        <v>0</v>
      </c>
      <c r="AV393" s="120">
        <f>IF(AND(V393="OK",ISNUMBER($N$5),$N$5&gt;0,ISNUMBER($N$3),$N$3&gt;0),R393/(6*$N$3*1000000*$N$5)*(IF(N393&lt;($N$4*9/10),($N$4*9/10)*(MIN(O393,($N$4*9/10))^3-N393^3)-(MIN(O393,($N$4*9/10))^4-N393^4)/4,0)+IF(O393&gt;($N$4*9/10),($N$4*9/10)^2*(1.5*(O393^2-MAX(N393,($N$4*9/10))^2)-($N$4*9/10)*(O393-MAX(N393,($N$4*9/10)))),0))*1000,0)</f>
        <v>0</v>
      </c>
      <c r="AW393" s="120">
        <f>IF(AND(V393="OK",ISNUMBER($N$5),$N$5&gt;0,ISNUMBER($N$3),$N$3&gt;0),R393/(6*$N$3*1000000*$N$5)*(IF(N393&lt;($N$4*10/10),($N$4*10/10)*(MIN(O393,($N$4*10/10))^3-N393^3)-(MIN(O393,($N$4*10/10))^4-N393^4)/4,0)+IF(O393&gt;($N$4*10/10),($N$4*10/10)^2*(1.5*(O393^2-MAX(N393,($N$4*10/10))^2)-($N$4*10/10)*(O393-MAX(N393,($N$4*10/10)))),0))*1000,0)</f>
        <v>0</v>
      </c>
    </row>
    <row r="394" spans="1:49">
      <c r="A394" s="124"/>
      <c r="B394" s="125"/>
      <c r="C394" s="125"/>
      <c r="D394" s="125"/>
      <c r="E394" s="125"/>
      <c r="F394" s="126" t="str">
        <f>IF(J394="OK",D394*E394,"")</f>
        <v/>
      </c>
      <c r="G394" s="126" t="str">
        <f>IF(J394="OK",F394*(C394-B394),"")</f>
        <v/>
      </c>
      <c r="H394" s="126" t="str">
        <f>IF(J394="OK",G394*(C394+B394)/2,"")</f>
        <v/>
      </c>
      <c r="I394" s="126" t="str">
        <f>IF(AND(J394="OK",ISNUMBER($B$5),$B$5&gt;0,ISNUMBER($B$3),$B$3&gt;0),F394*(4*$B$4*(C394^3-B394^3)-(C394^4-B394^4))/(24*$B$3*1000000*$B$5)*1000,"")</f>
        <v/>
      </c>
      <c r="J394" s="120" t="str">
        <f>IF(COUNTA(A394:E394)=0,"",IF(AND(COUNT(B394:E394)=4,B394&gt;=0,C394&gt;B394,C394&lt;=$B$4,D394&gt;=0,E394&gt;0),IF(COUNTIFS($B$13:$B$393,"&lt;"&amp;C394,$C$13:$C$393,"&gt;"&amp;B394)&gt;0,"OVERLAP","OK"),"CHECK INPUTS"))</f>
        <v/>
      </c>
      <c r="M394" s="124"/>
      <c r="N394" s="125"/>
      <c r="O394" s="125"/>
      <c r="P394" s="125"/>
      <c r="Q394" s="125"/>
      <c r="R394" s="126" t="str">
        <f>IF(V394="OK",P394*Q394,"")</f>
        <v/>
      </c>
      <c r="S394" s="126" t="str">
        <f>IF(V394="OK",R394*(O394-N394),"")</f>
        <v/>
      </c>
      <c r="T394" s="126" t="str">
        <f>IF(V394="OK",S394*(O394+N394)/2,"")</f>
        <v/>
      </c>
      <c r="U394" s="126" t="str">
        <f>IF(AND(V394="OK",ISNUMBER($N$5),$N$5&gt;0,ISNUMBER($N$3),$N$3&gt;0),R394*(4*$N$4*(O394^3-N394^3)-(O394^4-N394^4))/(24*$N$3*1000000*$N$5)*1000,"")</f>
        <v/>
      </c>
      <c r="V394" s="120" t="str">
        <f>IF(COUNTA(M394:Q394)=0,"",IF(AND(COUNT(N394:Q394)=4,N394&gt;=0,O394&gt;N394,O394&lt;=$N$4,P394&gt;=0,Q394&gt;0),IF(COUNTIFS($N$13:$N$393,"&lt;"&amp;O394,$O$13:$O$393,"&gt;"&amp;N394)&gt;0,"OVERLAP","OK"),"CHECK INPUTS"))</f>
        <v/>
      </c>
      <c r="AA394" s="120">
        <f>IF(AND(J394="OK",ISNUMBER($B$5),$B$5&gt;0,ISNUMBER($B$3),$B$3&gt;0),F394/(6*$B$3*1000000*$B$5)*(IF(B394&lt;($B$4*0/10),($B$4*0/10)*(MIN(C394,($B$4*0/10))^3-B394^3)-(MIN(C394,($B$4*0/10))^4-B394^4)/4,0)+IF(C394&gt;($B$4*0/10),($B$4*0/10)^2*(1.5*(C394^2-MAX(B394,($B$4*0/10))^2)-($B$4*0/10)*(C394-MAX(B394,($B$4*0/10)))),0))*1000,0)</f>
        <v>0</v>
      </c>
      <c r="AB394" s="120">
        <f>IF(AND(J394="OK",ISNUMBER($B$5),$B$5&gt;0,ISNUMBER($B$3),$B$3&gt;0),F394/(6*$B$3*1000000*$B$5)*(IF(B394&lt;($B$4*1/10),($B$4*1/10)*(MIN(C394,($B$4*1/10))^3-B394^3)-(MIN(C394,($B$4*1/10))^4-B394^4)/4,0)+IF(C394&gt;($B$4*1/10),($B$4*1/10)^2*(1.5*(C394^2-MAX(B394,($B$4*1/10))^2)-($B$4*1/10)*(C394-MAX(B394,($B$4*1/10)))),0))*1000,0)</f>
        <v>0</v>
      </c>
      <c r="AC394" s="120">
        <f>IF(AND(J394="OK",ISNUMBER($B$5),$B$5&gt;0,ISNUMBER($B$3),$B$3&gt;0),F394/(6*$B$3*1000000*$B$5)*(IF(B394&lt;($B$4*2/10),($B$4*2/10)*(MIN(C394,($B$4*2/10))^3-B394^3)-(MIN(C394,($B$4*2/10))^4-B394^4)/4,0)+IF(C394&gt;($B$4*2/10),($B$4*2/10)^2*(1.5*(C394^2-MAX(B394,($B$4*2/10))^2)-($B$4*2/10)*(C394-MAX(B394,($B$4*2/10)))),0))*1000,0)</f>
        <v>0</v>
      </c>
      <c r="AD394" s="120">
        <f>IF(AND(J394="OK",ISNUMBER($B$5),$B$5&gt;0,ISNUMBER($B$3),$B$3&gt;0),F394/(6*$B$3*1000000*$B$5)*(IF(B394&lt;($B$4*3/10),($B$4*3/10)*(MIN(C394,($B$4*3/10))^3-B394^3)-(MIN(C394,($B$4*3/10))^4-B394^4)/4,0)+IF(C394&gt;($B$4*3/10),($B$4*3/10)^2*(1.5*(C394^2-MAX(B394,($B$4*3/10))^2)-($B$4*3/10)*(C394-MAX(B394,($B$4*3/10)))),0))*1000,0)</f>
        <v>0</v>
      </c>
      <c r="AE394" s="120">
        <f>IF(AND(J394="OK",ISNUMBER($B$5),$B$5&gt;0,ISNUMBER($B$3),$B$3&gt;0),F394/(6*$B$3*1000000*$B$5)*(IF(B394&lt;($B$4*4/10),($B$4*4/10)*(MIN(C394,($B$4*4/10))^3-B394^3)-(MIN(C394,($B$4*4/10))^4-B394^4)/4,0)+IF(C394&gt;($B$4*4/10),($B$4*4/10)^2*(1.5*(C394^2-MAX(B394,($B$4*4/10))^2)-($B$4*4/10)*(C394-MAX(B394,($B$4*4/10)))),0))*1000,0)</f>
        <v>0</v>
      </c>
      <c r="AF394" s="120">
        <f>IF(AND(J394="OK",ISNUMBER($B$5),$B$5&gt;0,ISNUMBER($B$3),$B$3&gt;0),F394/(6*$B$3*1000000*$B$5)*(IF(B394&lt;($B$4*5/10),($B$4*5/10)*(MIN(C394,($B$4*5/10))^3-B394^3)-(MIN(C394,($B$4*5/10))^4-B394^4)/4,0)+IF(C394&gt;($B$4*5/10),($B$4*5/10)^2*(1.5*(C394^2-MAX(B394,($B$4*5/10))^2)-($B$4*5/10)*(C394-MAX(B394,($B$4*5/10)))),0))*1000,0)</f>
        <v>0</v>
      </c>
      <c r="AG394" s="120">
        <f>IF(AND(J394="OK",ISNUMBER($B$5),$B$5&gt;0,ISNUMBER($B$3),$B$3&gt;0),F394/(6*$B$3*1000000*$B$5)*(IF(B394&lt;($B$4*6/10),($B$4*6/10)*(MIN(C394,($B$4*6/10))^3-B394^3)-(MIN(C394,($B$4*6/10))^4-B394^4)/4,0)+IF(C394&gt;($B$4*6/10),($B$4*6/10)^2*(1.5*(C394^2-MAX(B394,($B$4*6/10))^2)-($B$4*6/10)*(C394-MAX(B394,($B$4*6/10)))),0))*1000,0)</f>
        <v>0</v>
      </c>
      <c r="AH394" s="120">
        <f>IF(AND(J394="OK",ISNUMBER($B$5),$B$5&gt;0,ISNUMBER($B$3),$B$3&gt;0),F394/(6*$B$3*1000000*$B$5)*(IF(B394&lt;($B$4*7/10),($B$4*7/10)*(MIN(C394,($B$4*7/10))^3-B394^3)-(MIN(C394,($B$4*7/10))^4-B394^4)/4,0)+IF(C394&gt;($B$4*7/10),($B$4*7/10)^2*(1.5*(C394^2-MAX(B394,($B$4*7/10))^2)-($B$4*7/10)*(C394-MAX(B394,($B$4*7/10)))),0))*1000,0)</f>
        <v>0</v>
      </c>
      <c r="AI394" s="120">
        <f>IF(AND(J394="OK",ISNUMBER($B$5),$B$5&gt;0,ISNUMBER($B$3),$B$3&gt;0),F394/(6*$B$3*1000000*$B$5)*(IF(B394&lt;($B$4*8/10),($B$4*8/10)*(MIN(C394,($B$4*8/10))^3-B394^3)-(MIN(C394,($B$4*8/10))^4-B394^4)/4,0)+IF(C394&gt;($B$4*8/10),($B$4*8/10)^2*(1.5*(C394^2-MAX(B394,($B$4*8/10))^2)-($B$4*8/10)*(C394-MAX(B394,($B$4*8/10)))),0))*1000,0)</f>
        <v>0</v>
      </c>
      <c r="AJ394" s="120">
        <f>IF(AND(J394="OK",ISNUMBER($B$5),$B$5&gt;0,ISNUMBER($B$3),$B$3&gt;0),F394/(6*$B$3*1000000*$B$5)*(IF(B394&lt;($B$4*9/10),($B$4*9/10)*(MIN(C394,($B$4*9/10))^3-B394^3)-(MIN(C394,($B$4*9/10))^4-B394^4)/4,0)+IF(C394&gt;($B$4*9/10),($B$4*9/10)^2*(1.5*(C394^2-MAX(B394,($B$4*9/10))^2)-($B$4*9/10)*(C394-MAX(B394,($B$4*9/10)))),0))*1000,0)</f>
        <v>0</v>
      </c>
      <c r="AK394" s="120">
        <f>IF(AND(J394="OK",ISNUMBER($B$5),$B$5&gt;0,ISNUMBER($B$3),$B$3&gt;0),F394/(6*$B$3*1000000*$B$5)*(IF(B394&lt;($B$4*10/10),($B$4*10/10)*(MIN(C394,($B$4*10/10))^3-B394^3)-(MIN(C394,($B$4*10/10))^4-B394^4)/4,0)+IF(C394&gt;($B$4*10/10),($B$4*10/10)^2*(1.5*(C394^2-MAX(B394,($B$4*10/10))^2)-($B$4*10/10)*(C394-MAX(B394,($B$4*10/10)))),0))*1000,0)</f>
        <v>0</v>
      </c>
      <c r="AM394" s="120">
        <f>IF(AND(V394="OK",ISNUMBER($N$5),$N$5&gt;0,ISNUMBER($N$3),$N$3&gt;0),R394/(6*$N$3*1000000*$N$5)*(IF(N394&lt;($N$4*0/10),($N$4*0/10)*(MIN(O394,($N$4*0/10))^3-N394^3)-(MIN(O394,($N$4*0/10))^4-N394^4)/4,0)+IF(O394&gt;($N$4*0/10),($N$4*0/10)^2*(1.5*(O394^2-MAX(N394,($N$4*0/10))^2)-($N$4*0/10)*(O394-MAX(N394,($N$4*0/10)))),0))*1000,0)</f>
        <v>0</v>
      </c>
      <c r="AN394" s="120">
        <f>IF(AND(V394="OK",ISNUMBER($N$5),$N$5&gt;0,ISNUMBER($N$3),$N$3&gt;0),R394/(6*$N$3*1000000*$N$5)*(IF(N394&lt;($N$4*1/10),($N$4*1/10)*(MIN(O394,($N$4*1/10))^3-N394^3)-(MIN(O394,($N$4*1/10))^4-N394^4)/4,0)+IF(O394&gt;($N$4*1/10),($N$4*1/10)^2*(1.5*(O394^2-MAX(N394,($N$4*1/10))^2)-($N$4*1/10)*(O394-MAX(N394,($N$4*1/10)))),0))*1000,0)</f>
        <v>0</v>
      </c>
      <c r="AO394" s="120">
        <f>IF(AND(V394="OK",ISNUMBER($N$5),$N$5&gt;0,ISNUMBER($N$3),$N$3&gt;0),R394/(6*$N$3*1000000*$N$5)*(IF(N394&lt;($N$4*2/10),($N$4*2/10)*(MIN(O394,($N$4*2/10))^3-N394^3)-(MIN(O394,($N$4*2/10))^4-N394^4)/4,0)+IF(O394&gt;($N$4*2/10),($N$4*2/10)^2*(1.5*(O394^2-MAX(N394,($N$4*2/10))^2)-($N$4*2/10)*(O394-MAX(N394,($N$4*2/10)))),0))*1000,0)</f>
        <v>0</v>
      </c>
      <c r="AP394" s="120">
        <f>IF(AND(V394="OK",ISNUMBER($N$5),$N$5&gt;0,ISNUMBER($N$3),$N$3&gt;0),R394/(6*$N$3*1000000*$N$5)*(IF(N394&lt;($N$4*3/10),($N$4*3/10)*(MIN(O394,($N$4*3/10))^3-N394^3)-(MIN(O394,($N$4*3/10))^4-N394^4)/4,0)+IF(O394&gt;($N$4*3/10),($N$4*3/10)^2*(1.5*(O394^2-MAX(N394,($N$4*3/10))^2)-($N$4*3/10)*(O394-MAX(N394,($N$4*3/10)))),0))*1000,0)</f>
        <v>0</v>
      </c>
      <c r="AQ394" s="120">
        <f>IF(AND(V394="OK",ISNUMBER($N$5),$N$5&gt;0,ISNUMBER($N$3),$N$3&gt;0),R394/(6*$N$3*1000000*$N$5)*(IF(N394&lt;($N$4*4/10),($N$4*4/10)*(MIN(O394,($N$4*4/10))^3-N394^3)-(MIN(O394,($N$4*4/10))^4-N394^4)/4,0)+IF(O394&gt;($N$4*4/10),($N$4*4/10)^2*(1.5*(O394^2-MAX(N394,($N$4*4/10))^2)-($N$4*4/10)*(O394-MAX(N394,($N$4*4/10)))),0))*1000,0)</f>
        <v>0</v>
      </c>
      <c r="AR394" s="120">
        <f>IF(AND(V394="OK",ISNUMBER($N$5),$N$5&gt;0,ISNUMBER($N$3),$N$3&gt;0),R394/(6*$N$3*1000000*$N$5)*(IF(N394&lt;($N$4*5/10),($N$4*5/10)*(MIN(O394,($N$4*5/10))^3-N394^3)-(MIN(O394,($N$4*5/10))^4-N394^4)/4,0)+IF(O394&gt;($N$4*5/10),($N$4*5/10)^2*(1.5*(O394^2-MAX(N394,($N$4*5/10))^2)-($N$4*5/10)*(O394-MAX(N394,($N$4*5/10)))),0))*1000,0)</f>
        <v>0</v>
      </c>
      <c r="AS394" s="120">
        <f>IF(AND(V394="OK",ISNUMBER($N$5),$N$5&gt;0,ISNUMBER($N$3),$N$3&gt;0),R394/(6*$N$3*1000000*$N$5)*(IF(N394&lt;($N$4*6/10),($N$4*6/10)*(MIN(O394,($N$4*6/10))^3-N394^3)-(MIN(O394,($N$4*6/10))^4-N394^4)/4,0)+IF(O394&gt;($N$4*6/10),($N$4*6/10)^2*(1.5*(O394^2-MAX(N394,($N$4*6/10))^2)-($N$4*6/10)*(O394-MAX(N394,($N$4*6/10)))),0))*1000,0)</f>
        <v>0</v>
      </c>
      <c r="AT394" s="120">
        <f>IF(AND(V394="OK",ISNUMBER($N$5),$N$5&gt;0,ISNUMBER($N$3),$N$3&gt;0),R394/(6*$N$3*1000000*$N$5)*(IF(N394&lt;($N$4*7/10),($N$4*7/10)*(MIN(O394,($N$4*7/10))^3-N394^3)-(MIN(O394,($N$4*7/10))^4-N394^4)/4,0)+IF(O394&gt;($N$4*7/10),($N$4*7/10)^2*(1.5*(O394^2-MAX(N394,($N$4*7/10))^2)-($N$4*7/10)*(O394-MAX(N394,($N$4*7/10)))),0))*1000,0)</f>
        <v>0</v>
      </c>
      <c r="AU394" s="120">
        <f>IF(AND(V394="OK",ISNUMBER($N$5),$N$5&gt;0,ISNUMBER($N$3),$N$3&gt;0),R394/(6*$N$3*1000000*$N$5)*(IF(N394&lt;($N$4*8/10),($N$4*8/10)*(MIN(O394,($N$4*8/10))^3-N394^3)-(MIN(O394,($N$4*8/10))^4-N394^4)/4,0)+IF(O394&gt;($N$4*8/10),($N$4*8/10)^2*(1.5*(O394^2-MAX(N394,($N$4*8/10))^2)-($N$4*8/10)*(O394-MAX(N394,($N$4*8/10)))),0))*1000,0)</f>
        <v>0</v>
      </c>
      <c r="AV394" s="120">
        <f>IF(AND(V394="OK",ISNUMBER($N$5),$N$5&gt;0,ISNUMBER($N$3),$N$3&gt;0),R394/(6*$N$3*1000000*$N$5)*(IF(N394&lt;($N$4*9/10),($N$4*9/10)*(MIN(O394,($N$4*9/10))^3-N394^3)-(MIN(O394,($N$4*9/10))^4-N394^4)/4,0)+IF(O394&gt;($N$4*9/10),($N$4*9/10)^2*(1.5*(O394^2-MAX(N394,($N$4*9/10))^2)-($N$4*9/10)*(O394-MAX(N394,($N$4*9/10)))),0))*1000,0)</f>
        <v>0</v>
      </c>
      <c r="AW394" s="120">
        <f>IF(AND(V394="OK",ISNUMBER($N$5),$N$5&gt;0,ISNUMBER($N$3),$N$3&gt;0),R394/(6*$N$3*1000000*$N$5)*(IF(N394&lt;($N$4*10/10),($N$4*10/10)*(MIN(O394,($N$4*10/10))^3-N394^3)-(MIN(O394,($N$4*10/10))^4-N394^4)/4,0)+IF(O394&gt;($N$4*10/10),($N$4*10/10)^2*(1.5*(O394^2-MAX(N394,($N$4*10/10))^2)-($N$4*10/10)*(O394-MAX(N394,($N$4*10/10)))),0))*1000,0)</f>
        <v>0</v>
      </c>
    </row>
    <row r="395" spans="1:49">
      <c r="A395" s="124"/>
      <c r="B395" s="125"/>
      <c r="C395" s="125"/>
      <c r="D395" s="125"/>
      <c r="E395" s="125"/>
      <c r="F395" s="126" t="str">
        <f>IF(J395="OK",D395*E395,"")</f>
        <v/>
      </c>
      <c r="G395" s="126" t="str">
        <f>IF(J395="OK",F395*(C395-B395),"")</f>
        <v/>
      </c>
      <c r="H395" s="126" t="str">
        <f>IF(J395="OK",G395*(C395+B395)/2,"")</f>
        <v/>
      </c>
      <c r="I395" s="126" t="str">
        <f>IF(AND(J395="OK",ISNUMBER($B$5),$B$5&gt;0,ISNUMBER($B$3),$B$3&gt;0),F395*(4*$B$4*(C395^3-B395^3)-(C395^4-B395^4))/(24*$B$3*1000000*$B$5)*1000,"")</f>
        <v/>
      </c>
      <c r="J395" s="120" t="str">
        <f>IF(COUNTA(A395:E395)=0,"",IF(AND(COUNT(B395:E395)=4,B395&gt;=0,C395&gt;B395,C395&lt;=$B$4,D395&gt;=0,E395&gt;0),IF(COUNTIFS($B$13:$B$394,"&lt;"&amp;C395,$C$13:$C$394,"&gt;"&amp;B395)&gt;0,"OVERLAP","OK"),"CHECK INPUTS"))</f>
        <v/>
      </c>
      <c r="M395" s="124"/>
      <c r="N395" s="125"/>
      <c r="O395" s="125"/>
      <c r="P395" s="125"/>
      <c r="Q395" s="125"/>
      <c r="R395" s="126" t="str">
        <f>IF(V395="OK",P395*Q395,"")</f>
        <v/>
      </c>
      <c r="S395" s="126" t="str">
        <f>IF(V395="OK",R395*(O395-N395),"")</f>
        <v/>
      </c>
      <c r="T395" s="126" t="str">
        <f>IF(V395="OK",S395*(O395+N395)/2,"")</f>
        <v/>
      </c>
      <c r="U395" s="126" t="str">
        <f>IF(AND(V395="OK",ISNUMBER($N$5),$N$5&gt;0,ISNUMBER($N$3),$N$3&gt;0),R395*(4*$N$4*(O395^3-N395^3)-(O395^4-N395^4))/(24*$N$3*1000000*$N$5)*1000,"")</f>
        <v/>
      </c>
      <c r="V395" s="120" t="str">
        <f>IF(COUNTA(M395:Q395)=0,"",IF(AND(COUNT(N395:Q395)=4,N395&gt;=0,O395&gt;N395,O395&lt;=$N$4,P395&gt;=0,Q395&gt;0),IF(COUNTIFS($N$13:$N$394,"&lt;"&amp;O395,$O$13:$O$394,"&gt;"&amp;N395)&gt;0,"OVERLAP","OK"),"CHECK INPUTS"))</f>
        <v/>
      </c>
      <c r="AA395" s="120">
        <f>IF(AND(J395="OK",ISNUMBER($B$5),$B$5&gt;0,ISNUMBER($B$3),$B$3&gt;0),F395/(6*$B$3*1000000*$B$5)*(IF(B395&lt;($B$4*0/10),($B$4*0/10)*(MIN(C395,($B$4*0/10))^3-B395^3)-(MIN(C395,($B$4*0/10))^4-B395^4)/4,0)+IF(C395&gt;($B$4*0/10),($B$4*0/10)^2*(1.5*(C395^2-MAX(B395,($B$4*0/10))^2)-($B$4*0/10)*(C395-MAX(B395,($B$4*0/10)))),0))*1000,0)</f>
        <v>0</v>
      </c>
      <c r="AB395" s="120">
        <f>IF(AND(J395="OK",ISNUMBER($B$5),$B$5&gt;0,ISNUMBER($B$3),$B$3&gt;0),F395/(6*$B$3*1000000*$B$5)*(IF(B395&lt;($B$4*1/10),($B$4*1/10)*(MIN(C395,($B$4*1/10))^3-B395^3)-(MIN(C395,($B$4*1/10))^4-B395^4)/4,0)+IF(C395&gt;($B$4*1/10),($B$4*1/10)^2*(1.5*(C395^2-MAX(B395,($B$4*1/10))^2)-($B$4*1/10)*(C395-MAX(B395,($B$4*1/10)))),0))*1000,0)</f>
        <v>0</v>
      </c>
      <c r="AC395" s="120">
        <f>IF(AND(J395="OK",ISNUMBER($B$5),$B$5&gt;0,ISNUMBER($B$3),$B$3&gt;0),F395/(6*$B$3*1000000*$B$5)*(IF(B395&lt;($B$4*2/10),($B$4*2/10)*(MIN(C395,($B$4*2/10))^3-B395^3)-(MIN(C395,($B$4*2/10))^4-B395^4)/4,0)+IF(C395&gt;($B$4*2/10),($B$4*2/10)^2*(1.5*(C395^2-MAX(B395,($B$4*2/10))^2)-($B$4*2/10)*(C395-MAX(B395,($B$4*2/10)))),0))*1000,0)</f>
        <v>0</v>
      </c>
      <c r="AD395" s="120">
        <f>IF(AND(J395="OK",ISNUMBER($B$5),$B$5&gt;0,ISNUMBER($B$3),$B$3&gt;0),F395/(6*$B$3*1000000*$B$5)*(IF(B395&lt;($B$4*3/10),($B$4*3/10)*(MIN(C395,($B$4*3/10))^3-B395^3)-(MIN(C395,($B$4*3/10))^4-B395^4)/4,0)+IF(C395&gt;($B$4*3/10),($B$4*3/10)^2*(1.5*(C395^2-MAX(B395,($B$4*3/10))^2)-($B$4*3/10)*(C395-MAX(B395,($B$4*3/10)))),0))*1000,0)</f>
        <v>0</v>
      </c>
      <c r="AE395" s="120">
        <f>IF(AND(J395="OK",ISNUMBER($B$5),$B$5&gt;0,ISNUMBER($B$3),$B$3&gt;0),F395/(6*$B$3*1000000*$B$5)*(IF(B395&lt;($B$4*4/10),($B$4*4/10)*(MIN(C395,($B$4*4/10))^3-B395^3)-(MIN(C395,($B$4*4/10))^4-B395^4)/4,0)+IF(C395&gt;($B$4*4/10),($B$4*4/10)^2*(1.5*(C395^2-MAX(B395,($B$4*4/10))^2)-($B$4*4/10)*(C395-MAX(B395,($B$4*4/10)))),0))*1000,0)</f>
        <v>0</v>
      </c>
      <c r="AF395" s="120">
        <f>IF(AND(J395="OK",ISNUMBER($B$5),$B$5&gt;0,ISNUMBER($B$3),$B$3&gt;0),F395/(6*$B$3*1000000*$B$5)*(IF(B395&lt;($B$4*5/10),($B$4*5/10)*(MIN(C395,($B$4*5/10))^3-B395^3)-(MIN(C395,($B$4*5/10))^4-B395^4)/4,0)+IF(C395&gt;($B$4*5/10),($B$4*5/10)^2*(1.5*(C395^2-MAX(B395,($B$4*5/10))^2)-($B$4*5/10)*(C395-MAX(B395,($B$4*5/10)))),0))*1000,0)</f>
        <v>0</v>
      </c>
      <c r="AG395" s="120">
        <f>IF(AND(J395="OK",ISNUMBER($B$5),$B$5&gt;0,ISNUMBER($B$3),$B$3&gt;0),F395/(6*$B$3*1000000*$B$5)*(IF(B395&lt;($B$4*6/10),($B$4*6/10)*(MIN(C395,($B$4*6/10))^3-B395^3)-(MIN(C395,($B$4*6/10))^4-B395^4)/4,0)+IF(C395&gt;($B$4*6/10),($B$4*6/10)^2*(1.5*(C395^2-MAX(B395,($B$4*6/10))^2)-($B$4*6/10)*(C395-MAX(B395,($B$4*6/10)))),0))*1000,0)</f>
        <v>0</v>
      </c>
      <c r="AH395" s="120">
        <f>IF(AND(J395="OK",ISNUMBER($B$5),$B$5&gt;0,ISNUMBER($B$3),$B$3&gt;0),F395/(6*$B$3*1000000*$B$5)*(IF(B395&lt;($B$4*7/10),($B$4*7/10)*(MIN(C395,($B$4*7/10))^3-B395^3)-(MIN(C395,($B$4*7/10))^4-B395^4)/4,0)+IF(C395&gt;($B$4*7/10),($B$4*7/10)^2*(1.5*(C395^2-MAX(B395,($B$4*7/10))^2)-($B$4*7/10)*(C395-MAX(B395,($B$4*7/10)))),0))*1000,0)</f>
        <v>0</v>
      </c>
      <c r="AI395" s="120">
        <f>IF(AND(J395="OK",ISNUMBER($B$5),$B$5&gt;0,ISNUMBER($B$3),$B$3&gt;0),F395/(6*$B$3*1000000*$B$5)*(IF(B395&lt;($B$4*8/10),($B$4*8/10)*(MIN(C395,($B$4*8/10))^3-B395^3)-(MIN(C395,($B$4*8/10))^4-B395^4)/4,0)+IF(C395&gt;($B$4*8/10),($B$4*8/10)^2*(1.5*(C395^2-MAX(B395,($B$4*8/10))^2)-($B$4*8/10)*(C395-MAX(B395,($B$4*8/10)))),0))*1000,0)</f>
        <v>0</v>
      </c>
      <c r="AJ395" s="120">
        <f>IF(AND(J395="OK",ISNUMBER($B$5),$B$5&gt;0,ISNUMBER($B$3),$B$3&gt;0),F395/(6*$B$3*1000000*$B$5)*(IF(B395&lt;($B$4*9/10),($B$4*9/10)*(MIN(C395,($B$4*9/10))^3-B395^3)-(MIN(C395,($B$4*9/10))^4-B395^4)/4,0)+IF(C395&gt;($B$4*9/10),($B$4*9/10)^2*(1.5*(C395^2-MAX(B395,($B$4*9/10))^2)-($B$4*9/10)*(C395-MAX(B395,($B$4*9/10)))),0))*1000,0)</f>
        <v>0</v>
      </c>
      <c r="AK395" s="120">
        <f>IF(AND(J395="OK",ISNUMBER($B$5),$B$5&gt;0,ISNUMBER($B$3),$B$3&gt;0),F395/(6*$B$3*1000000*$B$5)*(IF(B395&lt;($B$4*10/10),($B$4*10/10)*(MIN(C395,($B$4*10/10))^3-B395^3)-(MIN(C395,($B$4*10/10))^4-B395^4)/4,0)+IF(C395&gt;($B$4*10/10),($B$4*10/10)^2*(1.5*(C395^2-MAX(B395,($B$4*10/10))^2)-($B$4*10/10)*(C395-MAX(B395,($B$4*10/10)))),0))*1000,0)</f>
        <v>0</v>
      </c>
      <c r="AM395" s="120">
        <f>IF(AND(V395="OK",ISNUMBER($N$5),$N$5&gt;0,ISNUMBER($N$3),$N$3&gt;0),R395/(6*$N$3*1000000*$N$5)*(IF(N395&lt;($N$4*0/10),($N$4*0/10)*(MIN(O395,($N$4*0/10))^3-N395^3)-(MIN(O395,($N$4*0/10))^4-N395^4)/4,0)+IF(O395&gt;($N$4*0/10),($N$4*0/10)^2*(1.5*(O395^2-MAX(N395,($N$4*0/10))^2)-($N$4*0/10)*(O395-MAX(N395,($N$4*0/10)))),0))*1000,0)</f>
        <v>0</v>
      </c>
      <c r="AN395" s="120">
        <f>IF(AND(V395="OK",ISNUMBER($N$5),$N$5&gt;0,ISNUMBER($N$3),$N$3&gt;0),R395/(6*$N$3*1000000*$N$5)*(IF(N395&lt;($N$4*1/10),($N$4*1/10)*(MIN(O395,($N$4*1/10))^3-N395^3)-(MIN(O395,($N$4*1/10))^4-N395^4)/4,0)+IF(O395&gt;($N$4*1/10),($N$4*1/10)^2*(1.5*(O395^2-MAX(N395,($N$4*1/10))^2)-($N$4*1/10)*(O395-MAX(N395,($N$4*1/10)))),0))*1000,0)</f>
        <v>0</v>
      </c>
      <c r="AO395" s="120">
        <f>IF(AND(V395="OK",ISNUMBER($N$5),$N$5&gt;0,ISNUMBER($N$3),$N$3&gt;0),R395/(6*$N$3*1000000*$N$5)*(IF(N395&lt;($N$4*2/10),($N$4*2/10)*(MIN(O395,($N$4*2/10))^3-N395^3)-(MIN(O395,($N$4*2/10))^4-N395^4)/4,0)+IF(O395&gt;($N$4*2/10),($N$4*2/10)^2*(1.5*(O395^2-MAX(N395,($N$4*2/10))^2)-($N$4*2/10)*(O395-MAX(N395,($N$4*2/10)))),0))*1000,0)</f>
        <v>0</v>
      </c>
      <c r="AP395" s="120">
        <f>IF(AND(V395="OK",ISNUMBER($N$5),$N$5&gt;0,ISNUMBER($N$3),$N$3&gt;0),R395/(6*$N$3*1000000*$N$5)*(IF(N395&lt;($N$4*3/10),($N$4*3/10)*(MIN(O395,($N$4*3/10))^3-N395^3)-(MIN(O395,($N$4*3/10))^4-N395^4)/4,0)+IF(O395&gt;($N$4*3/10),($N$4*3/10)^2*(1.5*(O395^2-MAX(N395,($N$4*3/10))^2)-($N$4*3/10)*(O395-MAX(N395,($N$4*3/10)))),0))*1000,0)</f>
        <v>0</v>
      </c>
      <c r="AQ395" s="120">
        <f>IF(AND(V395="OK",ISNUMBER($N$5),$N$5&gt;0,ISNUMBER($N$3),$N$3&gt;0),R395/(6*$N$3*1000000*$N$5)*(IF(N395&lt;($N$4*4/10),($N$4*4/10)*(MIN(O395,($N$4*4/10))^3-N395^3)-(MIN(O395,($N$4*4/10))^4-N395^4)/4,0)+IF(O395&gt;($N$4*4/10),($N$4*4/10)^2*(1.5*(O395^2-MAX(N395,($N$4*4/10))^2)-($N$4*4/10)*(O395-MAX(N395,($N$4*4/10)))),0))*1000,0)</f>
        <v>0</v>
      </c>
      <c r="AR395" s="120">
        <f>IF(AND(V395="OK",ISNUMBER($N$5),$N$5&gt;0,ISNUMBER($N$3),$N$3&gt;0),R395/(6*$N$3*1000000*$N$5)*(IF(N395&lt;($N$4*5/10),($N$4*5/10)*(MIN(O395,($N$4*5/10))^3-N395^3)-(MIN(O395,($N$4*5/10))^4-N395^4)/4,0)+IF(O395&gt;($N$4*5/10),($N$4*5/10)^2*(1.5*(O395^2-MAX(N395,($N$4*5/10))^2)-($N$4*5/10)*(O395-MAX(N395,($N$4*5/10)))),0))*1000,0)</f>
        <v>0</v>
      </c>
      <c r="AS395" s="120">
        <f>IF(AND(V395="OK",ISNUMBER($N$5),$N$5&gt;0,ISNUMBER($N$3),$N$3&gt;0),R395/(6*$N$3*1000000*$N$5)*(IF(N395&lt;($N$4*6/10),($N$4*6/10)*(MIN(O395,($N$4*6/10))^3-N395^3)-(MIN(O395,($N$4*6/10))^4-N395^4)/4,0)+IF(O395&gt;($N$4*6/10),($N$4*6/10)^2*(1.5*(O395^2-MAX(N395,($N$4*6/10))^2)-($N$4*6/10)*(O395-MAX(N395,($N$4*6/10)))),0))*1000,0)</f>
        <v>0</v>
      </c>
      <c r="AT395" s="120">
        <f>IF(AND(V395="OK",ISNUMBER($N$5),$N$5&gt;0,ISNUMBER($N$3),$N$3&gt;0),R395/(6*$N$3*1000000*$N$5)*(IF(N395&lt;($N$4*7/10),($N$4*7/10)*(MIN(O395,($N$4*7/10))^3-N395^3)-(MIN(O395,($N$4*7/10))^4-N395^4)/4,0)+IF(O395&gt;($N$4*7/10),($N$4*7/10)^2*(1.5*(O395^2-MAX(N395,($N$4*7/10))^2)-($N$4*7/10)*(O395-MAX(N395,($N$4*7/10)))),0))*1000,0)</f>
        <v>0</v>
      </c>
      <c r="AU395" s="120">
        <f>IF(AND(V395="OK",ISNUMBER($N$5),$N$5&gt;0,ISNUMBER($N$3),$N$3&gt;0),R395/(6*$N$3*1000000*$N$5)*(IF(N395&lt;($N$4*8/10),($N$4*8/10)*(MIN(O395,($N$4*8/10))^3-N395^3)-(MIN(O395,($N$4*8/10))^4-N395^4)/4,0)+IF(O395&gt;($N$4*8/10),($N$4*8/10)^2*(1.5*(O395^2-MAX(N395,($N$4*8/10))^2)-($N$4*8/10)*(O395-MAX(N395,($N$4*8/10)))),0))*1000,0)</f>
        <v>0</v>
      </c>
      <c r="AV395" s="120">
        <f>IF(AND(V395="OK",ISNUMBER($N$5),$N$5&gt;0,ISNUMBER($N$3),$N$3&gt;0),R395/(6*$N$3*1000000*$N$5)*(IF(N395&lt;($N$4*9/10),($N$4*9/10)*(MIN(O395,($N$4*9/10))^3-N395^3)-(MIN(O395,($N$4*9/10))^4-N395^4)/4,0)+IF(O395&gt;($N$4*9/10),($N$4*9/10)^2*(1.5*(O395^2-MAX(N395,($N$4*9/10))^2)-($N$4*9/10)*(O395-MAX(N395,($N$4*9/10)))),0))*1000,0)</f>
        <v>0</v>
      </c>
      <c r="AW395" s="120">
        <f>IF(AND(V395="OK",ISNUMBER($N$5),$N$5&gt;0,ISNUMBER($N$3),$N$3&gt;0),R395/(6*$N$3*1000000*$N$5)*(IF(N395&lt;($N$4*10/10),($N$4*10/10)*(MIN(O395,($N$4*10/10))^3-N395^3)-(MIN(O395,($N$4*10/10))^4-N395^4)/4,0)+IF(O395&gt;($N$4*10/10),($N$4*10/10)^2*(1.5*(O395^2-MAX(N395,($N$4*10/10))^2)-($N$4*10/10)*(O395-MAX(N395,($N$4*10/10)))),0))*1000,0)</f>
        <v>0</v>
      </c>
    </row>
    <row r="396" spans="1:49">
      <c r="A396" s="124"/>
      <c r="B396" s="125"/>
      <c r="C396" s="125"/>
      <c r="D396" s="125"/>
      <c r="E396" s="125"/>
      <c r="F396" s="126" t="str">
        <f>IF(J396="OK",D396*E396,"")</f>
        <v/>
      </c>
      <c r="G396" s="126" t="str">
        <f>IF(J396="OK",F396*(C396-B396),"")</f>
        <v/>
      </c>
      <c r="H396" s="126" t="str">
        <f>IF(J396="OK",G396*(C396+B396)/2,"")</f>
        <v/>
      </c>
      <c r="I396" s="126" t="str">
        <f>IF(AND(J396="OK",ISNUMBER($B$5),$B$5&gt;0,ISNUMBER($B$3),$B$3&gt;0),F396*(4*$B$4*(C396^3-B396^3)-(C396^4-B396^4))/(24*$B$3*1000000*$B$5)*1000,"")</f>
        <v/>
      </c>
      <c r="J396" s="120" t="str">
        <f>IF(COUNTA(A396:E396)=0,"",IF(AND(COUNT(B396:E396)=4,B396&gt;=0,C396&gt;B396,C396&lt;=$B$4,D396&gt;=0,E396&gt;0),IF(COUNTIFS($B$13:$B$395,"&lt;"&amp;C396,$C$13:$C$395,"&gt;"&amp;B396)&gt;0,"OVERLAP","OK"),"CHECK INPUTS"))</f>
        <v/>
      </c>
      <c r="M396" s="124"/>
      <c r="N396" s="125"/>
      <c r="O396" s="125"/>
      <c r="P396" s="125"/>
      <c r="Q396" s="125"/>
      <c r="R396" s="126" t="str">
        <f>IF(V396="OK",P396*Q396,"")</f>
        <v/>
      </c>
      <c r="S396" s="126" t="str">
        <f>IF(V396="OK",R396*(O396-N396),"")</f>
        <v/>
      </c>
      <c r="T396" s="126" t="str">
        <f>IF(V396="OK",S396*(O396+N396)/2,"")</f>
        <v/>
      </c>
      <c r="U396" s="126" t="str">
        <f>IF(AND(V396="OK",ISNUMBER($N$5),$N$5&gt;0,ISNUMBER($N$3),$N$3&gt;0),R396*(4*$N$4*(O396^3-N396^3)-(O396^4-N396^4))/(24*$N$3*1000000*$N$5)*1000,"")</f>
        <v/>
      </c>
      <c r="V396" s="120" t="str">
        <f>IF(COUNTA(M396:Q396)=0,"",IF(AND(COUNT(N396:Q396)=4,N396&gt;=0,O396&gt;N396,O396&lt;=$N$4,P396&gt;=0,Q396&gt;0),IF(COUNTIFS($N$13:$N$395,"&lt;"&amp;O396,$O$13:$O$395,"&gt;"&amp;N396)&gt;0,"OVERLAP","OK"),"CHECK INPUTS"))</f>
        <v/>
      </c>
      <c r="AA396" s="120">
        <f>IF(AND(J396="OK",ISNUMBER($B$5),$B$5&gt;0,ISNUMBER($B$3),$B$3&gt;0),F396/(6*$B$3*1000000*$B$5)*(IF(B396&lt;($B$4*0/10),($B$4*0/10)*(MIN(C396,($B$4*0/10))^3-B396^3)-(MIN(C396,($B$4*0/10))^4-B396^4)/4,0)+IF(C396&gt;($B$4*0/10),($B$4*0/10)^2*(1.5*(C396^2-MAX(B396,($B$4*0/10))^2)-($B$4*0/10)*(C396-MAX(B396,($B$4*0/10)))),0))*1000,0)</f>
        <v>0</v>
      </c>
      <c r="AB396" s="120">
        <f>IF(AND(J396="OK",ISNUMBER($B$5),$B$5&gt;0,ISNUMBER($B$3),$B$3&gt;0),F396/(6*$B$3*1000000*$B$5)*(IF(B396&lt;($B$4*1/10),($B$4*1/10)*(MIN(C396,($B$4*1/10))^3-B396^3)-(MIN(C396,($B$4*1/10))^4-B396^4)/4,0)+IF(C396&gt;($B$4*1/10),($B$4*1/10)^2*(1.5*(C396^2-MAX(B396,($B$4*1/10))^2)-($B$4*1/10)*(C396-MAX(B396,($B$4*1/10)))),0))*1000,0)</f>
        <v>0</v>
      </c>
      <c r="AC396" s="120">
        <f>IF(AND(J396="OK",ISNUMBER($B$5),$B$5&gt;0,ISNUMBER($B$3),$B$3&gt;0),F396/(6*$B$3*1000000*$B$5)*(IF(B396&lt;($B$4*2/10),($B$4*2/10)*(MIN(C396,($B$4*2/10))^3-B396^3)-(MIN(C396,($B$4*2/10))^4-B396^4)/4,0)+IF(C396&gt;($B$4*2/10),($B$4*2/10)^2*(1.5*(C396^2-MAX(B396,($B$4*2/10))^2)-($B$4*2/10)*(C396-MAX(B396,($B$4*2/10)))),0))*1000,0)</f>
        <v>0</v>
      </c>
      <c r="AD396" s="120">
        <f>IF(AND(J396="OK",ISNUMBER($B$5),$B$5&gt;0,ISNUMBER($B$3),$B$3&gt;0),F396/(6*$B$3*1000000*$B$5)*(IF(B396&lt;($B$4*3/10),($B$4*3/10)*(MIN(C396,($B$4*3/10))^3-B396^3)-(MIN(C396,($B$4*3/10))^4-B396^4)/4,0)+IF(C396&gt;($B$4*3/10),($B$4*3/10)^2*(1.5*(C396^2-MAX(B396,($B$4*3/10))^2)-($B$4*3/10)*(C396-MAX(B396,($B$4*3/10)))),0))*1000,0)</f>
        <v>0</v>
      </c>
      <c r="AE396" s="120">
        <f>IF(AND(J396="OK",ISNUMBER($B$5),$B$5&gt;0,ISNUMBER($B$3),$B$3&gt;0),F396/(6*$B$3*1000000*$B$5)*(IF(B396&lt;($B$4*4/10),($B$4*4/10)*(MIN(C396,($B$4*4/10))^3-B396^3)-(MIN(C396,($B$4*4/10))^4-B396^4)/4,0)+IF(C396&gt;($B$4*4/10),($B$4*4/10)^2*(1.5*(C396^2-MAX(B396,($B$4*4/10))^2)-($B$4*4/10)*(C396-MAX(B396,($B$4*4/10)))),0))*1000,0)</f>
        <v>0</v>
      </c>
      <c r="AF396" s="120">
        <f>IF(AND(J396="OK",ISNUMBER($B$5),$B$5&gt;0,ISNUMBER($B$3),$B$3&gt;0),F396/(6*$B$3*1000000*$B$5)*(IF(B396&lt;($B$4*5/10),($B$4*5/10)*(MIN(C396,($B$4*5/10))^3-B396^3)-(MIN(C396,($B$4*5/10))^4-B396^4)/4,0)+IF(C396&gt;($B$4*5/10),($B$4*5/10)^2*(1.5*(C396^2-MAX(B396,($B$4*5/10))^2)-($B$4*5/10)*(C396-MAX(B396,($B$4*5/10)))),0))*1000,0)</f>
        <v>0</v>
      </c>
      <c r="AG396" s="120">
        <f>IF(AND(J396="OK",ISNUMBER($B$5),$B$5&gt;0,ISNUMBER($B$3),$B$3&gt;0),F396/(6*$B$3*1000000*$B$5)*(IF(B396&lt;($B$4*6/10),($B$4*6/10)*(MIN(C396,($B$4*6/10))^3-B396^3)-(MIN(C396,($B$4*6/10))^4-B396^4)/4,0)+IF(C396&gt;($B$4*6/10),($B$4*6/10)^2*(1.5*(C396^2-MAX(B396,($B$4*6/10))^2)-($B$4*6/10)*(C396-MAX(B396,($B$4*6/10)))),0))*1000,0)</f>
        <v>0</v>
      </c>
      <c r="AH396" s="120">
        <f>IF(AND(J396="OK",ISNUMBER($B$5),$B$5&gt;0,ISNUMBER($B$3),$B$3&gt;0),F396/(6*$B$3*1000000*$B$5)*(IF(B396&lt;($B$4*7/10),($B$4*7/10)*(MIN(C396,($B$4*7/10))^3-B396^3)-(MIN(C396,($B$4*7/10))^4-B396^4)/4,0)+IF(C396&gt;($B$4*7/10),($B$4*7/10)^2*(1.5*(C396^2-MAX(B396,($B$4*7/10))^2)-($B$4*7/10)*(C396-MAX(B396,($B$4*7/10)))),0))*1000,0)</f>
        <v>0</v>
      </c>
      <c r="AI396" s="120">
        <f>IF(AND(J396="OK",ISNUMBER($B$5),$B$5&gt;0,ISNUMBER($B$3),$B$3&gt;0),F396/(6*$B$3*1000000*$B$5)*(IF(B396&lt;($B$4*8/10),($B$4*8/10)*(MIN(C396,($B$4*8/10))^3-B396^3)-(MIN(C396,($B$4*8/10))^4-B396^4)/4,0)+IF(C396&gt;($B$4*8/10),($B$4*8/10)^2*(1.5*(C396^2-MAX(B396,($B$4*8/10))^2)-($B$4*8/10)*(C396-MAX(B396,($B$4*8/10)))),0))*1000,0)</f>
        <v>0</v>
      </c>
      <c r="AJ396" s="120">
        <f>IF(AND(J396="OK",ISNUMBER($B$5),$B$5&gt;0,ISNUMBER($B$3),$B$3&gt;0),F396/(6*$B$3*1000000*$B$5)*(IF(B396&lt;($B$4*9/10),($B$4*9/10)*(MIN(C396,($B$4*9/10))^3-B396^3)-(MIN(C396,($B$4*9/10))^4-B396^4)/4,0)+IF(C396&gt;($B$4*9/10),($B$4*9/10)^2*(1.5*(C396^2-MAX(B396,($B$4*9/10))^2)-($B$4*9/10)*(C396-MAX(B396,($B$4*9/10)))),0))*1000,0)</f>
        <v>0</v>
      </c>
      <c r="AK396" s="120">
        <f>IF(AND(J396="OK",ISNUMBER($B$5),$B$5&gt;0,ISNUMBER($B$3),$B$3&gt;0),F396/(6*$B$3*1000000*$B$5)*(IF(B396&lt;($B$4*10/10),($B$4*10/10)*(MIN(C396,($B$4*10/10))^3-B396^3)-(MIN(C396,($B$4*10/10))^4-B396^4)/4,0)+IF(C396&gt;($B$4*10/10),($B$4*10/10)^2*(1.5*(C396^2-MAX(B396,($B$4*10/10))^2)-($B$4*10/10)*(C396-MAX(B396,($B$4*10/10)))),0))*1000,0)</f>
        <v>0</v>
      </c>
      <c r="AM396" s="120">
        <f>IF(AND(V396="OK",ISNUMBER($N$5),$N$5&gt;0,ISNUMBER($N$3),$N$3&gt;0),R396/(6*$N$3*1000000*$N$5)*(IF(N396&lt;($N$4*0/10),($N$4*0/10)*(MIN(O396,($N$4*0/10))^3-N396^3)-(MIN(O396,($N$4*0/10))^4-N396^4)/4,0)+IF(O396&gt;($N$4*0/10),($N$4*0/10)^2*(1.5*(O396^2-MAX(N396,($N$4*0/10))^2)-($N$4*0/10)*(O396-MAX(N396,($N$4*0/10)))),0))*1000,0)</f>
        <v>0</v>
      </c>
      <c r="AN396" s="120">
        <f>IF(AND(V396="OK",ISNUMBER($N$5),$N$5&gt;0,ISNUMBER($N$3),$N$3&gt;0),R396/(6*$N$3*1000000*$N$5)*(IF(N396&lt;($N$4*1/10),($N$4*1/10)*(MIN(O396,($N$4*1/10))^3-N396^3)-(MIN(O396,($N$4*1/10))^4-N396^4)/4,0)+IF(O396&gt;($N$4*1/10),($N$4*1/10)^2*(1.5*(O396^2-MAX(N396,($N$4*1/10))^2)-($N$4*1/10)*(O396-MAX(N396,($N$4*1/10)))),0))*1000,0)</f>
        <v>0</v>
      </c>
      <c r="AO396" s="120">
        <f>IF(AND(V396="OK",ISNUMBER($N$5),$N$5&gt;0,ISNUMBER($N$3),$N$3&gt;0),R396/(6*$N$3*1000000*$N$5)*(IF(N396&lt;($N$4*2/10),($N$4*2/10)*(MIN(O396,($N$4*2/10))^3-N396^3)-(MIN(O396,($N$4*2/10))^4-N396^4)/4,0)+IF(O396&gt;($N$4*2/10),($N$4*2/10)^2*(1.5*(O396^2-MAX(N396,($N$4*2/10))^2)-($N$4*2/10)*(O396-MAX(N396,($N$4*2/10)))),0))*1000,0)</f>
        <v>0</v>
      </c>
      <c r="AP396" s="120">
        <f>IF(AND(V396="OK",ISNUMBER($N$5),$N$5&gt;0,ISNUMBER($N$3),$N$3&gt;0),R396/(6*$N$3*1000000*$N$5)*(IF(N396&lt;($N$4*3/10),($N$4*3/10)*(MIN(O396,($N$4*3/10))^3-N396^3)-(MIN(O396,($N$4*3/10))^4-N396^4)/4,0)+IF(O396&gt;($N$4*3/10),($N$4*3/10)^2*(1.5*(O396^2-MAX(N396,($N$4*3/10))^2)-($N$4*3/10)*(O396-MAX(N396,($N$4*3/10)))),0))*1000,0)</f>
        <v>0</v>
      </c>
      <c r="AQ396" s="120">
        <f>IF(AND(V396="OK",ISNUMBER($N$5),$N$5&gt;0,ISNUMBER($N$3),$N$3&gt;0),R396/(6*$N$3*1000000*$N$5)*(IF(N396&lt;($N$4*4/10),($N$4*4/10)*(MIN(O396,($N$4*4/10))^3-N396^3)-(MIN(O396,($N$4*4/10))^4-N396^4)/4,0)+IF(O396&gt;($N$4*4/10),($N$4*4/10)^2*(1.5*(O396^2-MAX(N396,($N$4*4/10))^2)-($N$4*4/10)*(O396-MAX(N396,($N$4*4/10)))),0))*1000,0)</f>
        <v>0</v>
      </c>
      <c r="AR396" s="120">
        <f>IF(AND(V396="OK",ISNUMBER($N$5),$N$5&gt;0,ISNUMBER($N$3),$N$3&gt;0),R396/(6*$N$3*1000000*$N$5)*(IF(N396&lt;($N$4*5/10),($N$4*5/10)*(MIN(O396,($N$4*5/10))^3-N396^3)-(MIN(O396,($N$4*5/10))^4-N396^4)/4,0)+IF(O396&gt;($N$4*5/10),($N$4*5/10)^2*(1.5*(O396^2-MAX(N396,($N$4*5/10))^2)-($N$4*5/10)*(O396-MAX(N396,($N$4*5/10)))),0))*1000,0)</f>
        <v>0</v>
      </c>
      <c r="AS396" s="120">
        <f>IF(AND(V396="OK",ISNUMBER($N$5),$N$5&gt;0,ISNUMBER($N$3),$N$3&gt;0),R396/(6*$N$3*1000000*$N$5)*(IF(N396&lt;($N$4*6/10),($N$4*6/10)*(MIN(O396,($N$4*6/10))^3-N396^3)-(MIN(O396,($N$4*6/10))^4-N396^4)/4,0)+IF(O396&gt;($N$4*6/10),($N$4*6/10)^2*(1.5*(O396^2-MAX(N396,($N$4*6/10))^2)-($N$4*6/10)*(O396-MAX(N396,($N$4*6/10)))),0))*1000,0)</f>
        <v>0</v>
      </c>
      <c r="AT396" s="120">
        <f>IF(AND(V396="OK",ISNUMBER($N$5),$N$5&gt;0,ISNUMBER($N$3),$N$3&gt;0),R396/(6*$N$3*1000000*$N$5)*(IF(N396&lt;($N$4*7/10),($N$4*7/10)*(MIN(O396,($N$4*7/10))^3-N396^3)-(MIN(O396,($N$4*7/10))^4-N396^4)/4,0)+IF(O396&gt;($N$4*7/10),($N$4*7/10)^2*(1.5*(O396^2-MAX(N396,($N$4*7/10))^2)-($N$4*7/10)*(O396-MAX(N396,($N$4*7/10)))),0))*1000,0)</f>
        <v>0</v>
      </c>
      <c r="AU396" s="120">
        <f>IF(AND(V396="OK",ISNUMBER($N$5),$N$5&gt;0,ISNUMBER($N$3),$N$3&gt;0),R396/(6*$N$3*1000000*$N$5)*(IF(N396&lt;($N$4*8/10),($N$4*8/10)*(MIN(O396,($N$4*8/10))^3-N396^3)-(MIN(O396,($N$4*8/10))^4-N396^4)/4,0)+IF(O396&gt;($N$4*8/10),($N$4*8/10)^2*(1.5*(O396^2-MAX(N396,($N$4*8/10))^2)-($N$4*8/10)*(O396-MAX(N396,($N$4*8/10)))),0))*1000,0)</f>
        <v>0</v>
      </c>
      <c r="AV396" s="120">
        <f>IF(AND(V396="OK",ISNUMBER($N$5),$N$5&gt;0,ISNUMBER($N$3),$N$3&gt;0),R396/(6*$N$3*1000000*$N$5)*(IF(N396&lt;($N$4*9/10),($N$4*9/10)*(MIN(O396,($N$4*9/10))^3-N396^3)-(MIN(O396,($N$4*9/10))^4-N396^4)/4,0)+IF(O396&gt;($N$4*9/10),($N$4*9/10)^2*(1.5*(O396^2-MAX(N396,($N$4*9/10))^2)-($N$4*9/10)*(O396-MAX(N396,($N$4*9/10)))),0))*1000,0)</f>
        <v>0</v>
      </c>
      <c r="AW396" s="120">
        <f>IF(AND(V396="OK",ISNUMBER($N$5),$N$5&gt;0,ISNUMBER($N$3),$N$3&gt;0),R396/(6*$N$3*1000000*$N$5)*(IF(N396&lt;($N$4*10/10),($N$4*10/10)*(MIN(O396,($N$4*10/10))^3-N396^3)-(MIN(O396,($N$4*10/10))^4-N396^4)/4,0)+IF(O396&gt;($N$4*10/10),($N$4*10/10)^2*(1.5*(O396^2-MAX(N396,($N$4*10/10))^2)-($N$4*10/10)*(O396-MAX(N396,($N$4*10/10)))),0))*1000,0)</f>
        <v>0</v>
      </c>
    </row>
    <row r="397" spans="1:49">
      <c r="A397" s="124"/>
      <c r="B397" s="125"/>
      <c r="C397" s="125"/>
      <c r="D397" s="125"/>
      <c r="E397" s="125"/>
      <c r="F397" s="126" t="str">
        <f>IF(J397="OK",D397*E397,"")</f>
        <v/>
      </c>
      <c r="G397" s="126" t="str">
        <f>IF(J397="OK",F397*(C397-B397),"")</f>
        <v/>
      </c>
      <c r="H397" s="126" t="str">
        <f>IF(J397="OK",G397*(C397+B397)/2,"")</f>
        <v/>
      </c>
      <c r="I397" s="126" t="str">
        <f>IF(AND(J397="OK",ISNUMBER($B$5),$B$5&gt;0,ISNUMBER($B$3),$B$3&gt;0),F397*(4*$B$4*(C397^3-B397^3)-(C397^4-B397^4))/(24*$B$3*1000000*$B$5)*1000,"")</f>
        <v/>
      </c>
      <c r="J397" s="120" t="str">
        <f>IF(COUNTA(A397:E397)=0,"",IF(AND(COUNT(B397:E397)=4,B397&gt;=0,C397&gt;B397,C397&lt;=$B$4,D397&gt;=0,E397&gt;0),IF(COUNTIFS($B$13:$B$396,"&lt;"&amp;C397,$C$13:$C$396,"&gt;"&amp;B397)&gt;0,"OVERLAP","OK"),"CHECK INPUTS"))</f>
        <v/>
      </c>
      <c r="M397" s="124"/>
      <c r="N397" s="125"/>
      <c r="O397" s="125"/>
      <c r="P397" s="125"/>
      <c r="Q397" s="125"/>
      <c r="R397" s="126" t="str">
        <f>IF(V397="OK",P397*Q397,"")</f>
        <v/>
      </c>
      <c r="S397" s="126" t="str">
        <f>IF(V397="OK",R397*(O397-N397),"")</f>
        <v/>
      </c>
      <c r="T397" s="126" t="str">
        <f>IF(V397="OK",S397*(O397+N397)/2,"")</f>
        <v/>
      </c>
      <c r="U397" s="126" t="str">
        <f>IF(AND(V397="OK",ISNUMBER($N$5),$N$5&gt;0,ISNUMBER($N$3),$N$3&gt;0),R397*(4*$N$4*(O397^3-N397^3)-(O397^4-N397^4))/(24*$N$3*1000000*$N$5)*1000,"")</f>
        <v/>
      </c>
      <c r="V397" s="120" t="str">
        <f>IF(COUNTA(M397:Q397)=0,"",IF(AND(COUNT(N397:Q397)=4,N397&gt;=0,O397&gt;N397,O397&lt;=$N$4,P397&gt;=0,Q397&gt;0),IF(COUNTIFS($N$13:$N$396,"&lt;"&amp;O397,$O$13:$O$396,"&gt;"&amp;N397)&gt;0,"OVERLAP","OK"),"CHECK INPUTS"))</f>
        <v/>
      </c>
      <c r="AA397" s="120">
        <f>IF(AND(J397="OK",ISNUMBER($B$5),$B$5&gt;0,ISNUMBER($B$3),$B$3&gt;0),F397/(6*$B$3*1000000*$B$5)*(IF(B397&lt;($B$4*0/10),($B$4*0/10)*(MIN(C397,($B$4*0/10))^3-B397^3)-(MIN(C397,($B$4*0/10))^4-B397^4)/4,0)+IF(C397&gt;($B$4*0/10),($B$4*0/10)^2*(1.5*(C397^2-MAX(B397,($B$4*0/10))^2)-($B$4*0/10)*(C397-MAX(B397,($B$4*0/10)))),0))*1000,0)</f>
        <v>0</v>
      </c>
      <c r="AB397" s="120">
        <f>IF(AND(J397="OK",ISNUMBER($B$5),$B$5&gt;0,ISNUMBER($B$3),$B$3&gt;0),F397/(6*$B$3*1000000*$B$5)*(IF(B397&lt;($B$4*1/10),($B$4*1/10)*(MIN(C397,($B$4*1/10))^3-B397^3)-(MIN(C397,($B$4*1/10))^4-B397^4)/4,0)+IF(C397&gt;($B$4*1/10),($B$4*1/10)^2*(1.5*(C397^2-MAX(B397,($B$4*1/10))^2)-($B$4*1/10)*(C397-MAX(B397,($B$4*1/10)))),0))*1000,0)</f>
        <v>0</v>
      </c>
      <c r="AC397" s="120">
        <f>IF(AND(J397="OK",ISNUMBER($B$5),$B$5&gt;0,ISNUMBER($B$3),$B$3&gt;0),F397/(6*$B$3*1000000*$B$5)*(IF(B397&lt;($B$4*2/10),($B$4*2/10)*(MIN(C397,($B$4*2/10))^3-B397^3)-(MIN(C397,($B$4*2/10))^4-B397^4)/4,0)+IF(C397&gt;($B$4*2/10),($B$4*2/10)^2*(1.5*(C397^2-MAX(B397,($B$4*2/10))^2)-($B$4*2/10)*(C397-MAX(B397,($B$4*2/10)))),0))*1000,0)</f>
        <v>0</v>
      </c>
      <c r="AD397" s="120">
        <f>IF(AND(J397="OK",ISNUMBER($B$5),$B$5&gt;0,ISNUMBER($B$3),$B$3&gt;0),F397/(6*$B$3*1000000*$B$5)*(IF(B397&lt;($B$4*3/10),($B$4*3/10)*(MIN(C397,($B$4*3/10))^3-B397^3)-(MIN(C397,($B$4*3/10))^4-B397^4)/4,0)+IF(C397&gt;($B$4*3/10),($B$4*3/10)^2*(1.5*(C397^2-MAX(B397,($B$4*3/10))^2)-($B$4*3/10)*(C397-MAX(B397,($B$4*3/10)))),0))*1000,0)</f>
        <v>0</v>
      </c>
      <c r="AE397" s="120">
        <f>IF(AND(J397="OK",ISNUMBER($B$5),$B$5&gt;0,ISNUMBER($B$3),$B$3&gt;0),F397/(6*$B$3*1000000*$B$5)*(IF(B397&lt;($B$4*4/10),($B$4*4/10)*(MIN(C397,($B$4*4/10))^3-B397^3)-(MIN(C397,($B$4*4/10))^4-B397^4)/4,0)+IF(C397&gt;($B$4*4/10),($B$4*4/10)^2*(1.5*(C397^2-MAX(B397,($B$4*4/10))^2)-($B$4*4/10)*(C397-MAX(B397,($B$4*4/10)))),0))*1000,0)</f>
        <v>0</v>
      </c>
      <c r="AF397" s="120">
        <f>IF(AND(J397="OK",ISNUMBER($B$5),$B$5&gt;0,ISNUMBER($B$3),$B$3&gt;0),F397/(6*$B$3*1000000*$B$5)*(IF(B397&lt;($B$4*5/10),($B$4*5/10)*(MIN(C397,($B$4*5/10))^3-B397^3)-(MIN(C397,($B$4*5/10))^4-B397^4)/4,0)+IF(C397&gt;($B$4*5/10),($B$4*5/10)^2*(1.5*(C397^2-MAX(B397,($B$4*5/10))^2)-($B$4*5/10)*(C397-MAX(B397,($B$4*5/10)))),0))*1000,0)</f>
        <v>0</v>
      </c>
      <c r="AG397" s="120">
        <f>IF(AND(J397="OK",ISNUMBER($B$5),$B$5&gt;0,ISNUMBER($B$3),$B$3&gt;0),F397/(6*$B$3*1000000*$B$5)*(IF(B397&lt;($B$4*6/10),($B$4*6/10)*(MIN(C397,($B$4*6/10))^3-B397^3)-(MIN(C397,($B$4*6/10))^4-B397^4)/4,0)+IF(C397&gt;($B$4*6/10),($B$4*6/10)^2*(1.5*(C397^2-MAX(B397,($B$4*6/10))^2)-($B$4*6/10)*(C397-MAX(B397,($B$4*6/10)))),0))*1000,0)</f>
        <v>0</v>
      </c>
      <c r="AH397" s="120">
        <f>IF(AND(J397="OK",ISNUMBER($B$5),$B$5&gt;0,ISNUMBER($B$3),$B$3&gt;0),F397/(6*$B$3*1000000*$B$5)*(IF(B397&lt;($B$4*7/10),($B$4*7/10)*(MIN(C397,($B$4*7/10))^3-B397^3)-(MIN(C397,($B$4*7/10))^4-B397^4)/4,0)+IF(C397&gt;($B$4*7/10),($B$4*7/10)^2*(1.5*(C397^2-MAX(B397,($B$4*7/10))^2)-($B$4*7/10)*(C397-MAX(B397,($B$4*7/10)))),0))*1000,0)</f>
        <v>0</v>
      </c>
      <c r="AI397" s="120">
        <f>IF(AND(J397="OK",ISNUMBER($B$5),$B$5&gt;0,ISNUMBER($B$3),$B$3&gt;0),F397/(6*$B$3*1000000*$B$5)*(IF(B397&lt;($B$4*8/10),($B$4*8/10)*(MIN(C397,($B$4*8/10))^3-B397^3)-(MIN(C397,($B$4*8/10))^4-B397^4)/4,0)+IF(C397&gt;($B$4*8/10),($B$4*8/10)^2*(1.5*(C397^2-MAX(B397,($B$4*8/10))^2)-($B$4*8/10)*(C397-MAX(B397,($B$4*8/10)))),0))*1000,0)</f>
        <v>0</v>
      </c>
      <c r="AJ397" s="120">
        <f>IF(AND(J397="OK",ISNUMBER($B$5),$B$5&gt;0,ISNUMBER($B$3),$B$3&gt;0),F397/(6*$B$3*1000000*$B$5)*(IF(B397&lt;($B$4*9/10),($B$4*9/10)*(MIN(C397,($B$4*9/10))^3-B397^3)-(MIN(C397,($B$4*9/10))^4-B397^4)/4,0)+IF(C397&gt;($B$4*9/10),($B$4*9/10)^2*(1.5*(C397^2-MAX(B397,($B$4*9/10))^2)-($B$4*9/10)*(C397-MAX(B397,($B$4*9/10)))),0))*1000,0)</f>
        <v>0</v>
      </c>
      <c r="AK397" s="120">
        <f>IF(AND(J397="OK",ISNUMBER($B$5),$B$5&gt;0,ISNUMBER($B$3),$B$3&gt;0),F397/(6*$B$3*1000000*$B$5)*(IF(B397&lt;($B$4*10/10),($B$4*10/10)*(MIN(C397,($B$4*10/10))^3-B397^3)-(MIN(C397,($B$4*10/10))^4-B397^4)/4,0)+IF(C397&gt;($B$4*10/10),($B$4*10/10)^2*(1.5*(C397^2-MAX(B397,($B$4*10/10))^2)-($B$4*10/10)*(C397-MAX(B397,($B$4*10/10)))),0))*1000,0)</f>
        <v>0</v>
      </c>
      <c r="AM397" s="120">
        <f>IF(AND(V397="OK",ISNUMBER($N$5),$N$5&gt;0,ISNUMBER($N$3),$N$3&gt;0),R397/(6*$N$3*1000000*$N$5)*(IF(N397&lt;($N$4*0/10),($N$4*0/10)*(MIN(O397,($N$4*0/10))^3-N397^3)-(MIN(O397,($N$4*0/10))^4-N397^4)/4,0)+IF(O397&gt;($N$4*0/10),($N$4*0/10)^2*(1.5*(O397^2-MAX(N397,($N$4*0/10))^2)-($N$4*0/10)*(O397-MAX(N397,($N$4*0/10)))),0))*1000,0)</f>
        <v>0</v>
      </c>
      <c r="AN397" s="120">
        <f>IF(AND(V397="OK",ISNUMBER($N$5),$N$5&gt;0,ISNUMBER($N$3),$N$3&gt;0),R397/(6*$N$3*1000000*$N$5)*(IF(N397&lt;($N$4*1/10),($N$4*1/10)*(MIN(O397,($N$4*1/10))^3-N397^3)-(MIN(O397,($N$4*1/10))^4-N397^4)/4,0)+IF(O397&gt;($N$4*1/10),($N$4*1/10)^2*(1.5*(O397^2-MAX(N397,($N$4*1/10))^2)-($N$4*1/10)*(O397-MAX(N397,($N$4*1/10)))),0))*1000,0)</f>
        <v>0</v>
      </c>
      <c r="AO397" s="120">
        <f>IF(AND(V397="OK",ISNUMBER($N$5),$N$5&gt;0,ISNUMBER($N$3),$N$3&gt;0),R397/(6*$N$3*1000000*$N$5)*(IF(N397&lt;($N$4*2/10),($N$4*2/10)*(MIN(O397,($N$4*2/10))^3-N397^3)-(MIN(O397,($N$4*2/10))^4-N397^4)/4,0)+IF(O397&gt;($N$4*2/10),($N$4*2/10)^2*(1.5*(O397^2-MAX(N397,($N$4*2/10))^2)-($N$4*2/10)*(O397-MAX(N397,($N$4*2/10)))),0))*1000,0)</f>
        <v>0</v>
      </c>
      <c r="AP397" s="120">
        <f>IF(AND(V397="OK",ISNUMBER($N$5),$N$5&gt;0,ISNUMBER($N$3),$N$3&gt;0),R397/(6*$N$3*1000000*$N$5)*(IF(N397&lt;($N$4*3/10),($N$4*3/10)*(MIN(O397,($N$4*3/10))^3-N397^3)-(MIN(O397,($N$4*3/10))^4-N397^4)/4,0)+IF(O397&gt;($N$4*3/10),($N$4*3/10)^2*(1.5*(O397^2-MAX(N397,($N$4*3/10))^2)-($N$4*3/10)*(O397-MAX(N397,($N$4*3/10)))),0))*1000,0)</f>
        <v>0</v>
      </c>
      <c r="AQ397" s="120">
        <f>IF(AND(V397="OK",ISNUMBER($N$5),$N$5&gt;0,ISNUMBER($N$3),$N$3&gt;0),R397/(6*$N$3*1000000*$N$5)*(IF(N397&lt;($N$4*4/10),($N$4*4/10)*(MIN(O397,($N$4*4/10))^3-N397^3)-(MIN(O397,($N$4*4/10))^4-N397^4)/4,0)+IF(O397&gt;($N$4*4/10),($N$4*4/10)^2*(1.5*(O397^2-MAX(N397,($N$4*4/10))^2)-($N$4*4/10)*(O397-MAX(N397,($N$4*4/10)))),0))*1000,0)</f>
        <v>0</v>
      </c>
      <c r="AR397" s="120">
        <f>IF(AND(V397="OK",ISNUMBER($N$5),$N$5&gt;0,ISNUMBER($N$3),$N$3&gt;0),R397/(6*$N$3*1000000*$N$5)*(IF(N397&lt;($N$4*5/10),($N$4*5/10)*(MIN(O397,($N$4*5/10))^3-N397^3)-(MIN(O397,($N$4*5/10))^4-N397^4)/4,0)+IF(O397&gt;($N$4*5/10),($N$4*5/10)^2*(1.5*(O397^2-MAX(N397,($N$4*5/10))^2)-($N$4*5/10)*(O397-MAX(N397,($N$4*5/10)))),0))*1000,0)</f>
        <v>0</v>
      </c>
      <c r="AS397" s="120">
        <f>IF(AND(V397="OK",ISNUMBER($N$5),$N$5&gt;0,ISNUMBER($N$3),$N$3&gt;0),R397/(6*$N$3*1000000*$N$5)*(IF(N397&lt;($N$4*6/10),($N$4*6/10)*(MIN(O397,($N$4*6/10))^3-N397^3)-(MIN(O397,($N$4*6/10))^4-N397^4)/4,0)+IF(O397&gt;($N$4*6/10),($N$4*6/10)^2*(1.5*(O397^2-MAX(N397,($N$4*6/10))^2)-($N$4*6/10)*(O397-MAX(N397,($N$4*6/10)))),0))*1000,0)</f>
        <v>0</v>
      </c>
      <c r="AT397" s="120">
        <f>IF(AND(V397="OK",ISNUMBER($N$5),$N$5&gt;0,ISNUMBER($N$3),$N$3&gt;0),R397/(6*$N$3*1000000*$N$5)*(IF(N397&lt;($N$4*7/10),($N$4*7/10)*(MIN(O397,($N$4*7/10))^3-N397^3)-(MIN(O397,($N$4*7/10))^4-N397^4)/4,0)+IF(O397&gt;($N$4*7/10),($N$4*7/10)^2*(1.5*(O397^2-MAX(N397,($N$4*7/10))^2)-($N$4*7/10)*(O397-MAX(N397,($N$4*7/10)))),0))*1000,0)</f>
        <v>0</v>
      </c>
      <c r="AU397" s="120">
        <f>IF(AND(V397="OK",ISNUMBER($N$5),$N$5&gt;0,ISNUMBER($N$3),$N$3&gt;0),R397/(6*$N$3*1000000*$N$5)*(IF(N397&lt;($N$4*8/10),($N$4*8/10)*(MIN(O397,($N$4*8/10))^3-N397^3)-(MIN(O397,($N$4*8/10))^4-N397^4)/4,0)+IF(O397&gt;($N$4*8/10),($N$4*8/10)^2*(1.5*(O397^2-MAX(N397,($N$4*8/10))^2)-($N$4*8/10)*(O397-MAX(N397,($N$4*8/10)))),0))*1000,0)</f>
        <v>0</v>
      </c>
      <c r="AV397" s="120">
        <f>IF(AND(V397="OK",ISNUMBER($N$5),$N$5&gt;0,ISNUMBER($N$3),$N$3&gt;0),R397/(6*$N$3*1000000*$N$5)*(IF(N397&lt;($N$4*9/10),($N$4*9/10)*(MIN(O397,($N$4*9/10))^3-N397^3)-(MIN(O397,($N$4*9/10))^4-N397^4)/4,0)+IF(O397&gt;($N$4*9/10),($N$4*9/10)^2*(1.5*(O397^2-MAX(N397,($N$4*9/10))^2)-($N$4*9/10)*(O397-MAX(N397,($N$4*9/10)))),0))*1000,0)</f>
        <v>0</v>
      </c>
      <c r="AW397" s="120">
        <f>IF(AND(V397="OK",ISNUMBER($N$5),$N$5&gt;0,ISNUMBER($N$3),$N$3&gt;0),R397/(6*$N$3*1000000*$N$5)*(IF(N397&lt;($N$4*10/10),($N$4*10/10)*(MIN(O397,($N$4*10/10))^3-N397^3)-(MIN(O397,($N$4*10/10))^4-N397^4)/4,0)+IF(O397&gt;($N$4*10/10),($N$4*10/10)^2*(1.5*(O397^2-MAX(N397,($N$4*10/10))^2)-($N$4*10/10)*(O397-MAX(N397,($N$4*10/10)))),0))*1000,0)</f>
        <v>0</v>
      </c>
    </row>
    <row r="398" spans="1:49">
      <c r="A398" s="124"/>
      <c r="B398" s="125"/>
      <c r="C398" s="125"/>
      <c r="D398" s="125"/>
      <c r="E398" s="125"/>
      <c r="F398" s="126" t="str">
        <f>IF(J398="OK",D398*E398,"")</f>
        <v/>
      </c>
      <c r="G398" s="126" t="str">
        <f>IF(J398="OK",F398*(C398-B398),"")</f>
        <v/>
      </c>
      <c r="H398" s="126" t="str">
        <f>IF(J398="OK",G398*(C398+B398)/2,"")</f>
        <v/>
      </c>
      <c r="I398" s="126" t="str">
        <f>IF(AND(J398="OK",ISNUMBER($B$5),$B$5&gt;0,ISNUMBER($B$3),$B$3&gt;0),F398*(4*$B$4*(C398^3-B398^3)-(C398^4-B398^4))/(24*$B$3*1000000*$B$5)*1000,"")</f>
        <v/>
      </c>
      <c r="J398" s="120" t="str">
        <f>IF(COUNTA(A398:E398)=0,"",IF(AND(COUNT(B398:E398)=4,B398&gt;=0,C398&gt;B398,C398&lt;=$B$4,D398&gt;=0,E398&gt;0),IF(COUNTIFS($B$13:$B$397,"&lt;"&amp;C398,$C$13:$C$397,"&gt;"&amp;B398)&gt;0,"OVERLAP","OK"),"CHECK INPUTS"))</f>
        <v/>
      </c>
      <c r="M398" s="124"/>
      <c r="N398" s="125"/>
      <c r="O398" s="125"/>
      <c r="P398" s="125"/>
      <c r="Q398" s="125"/>
      <c r="R398" s="126" t="str">
        <f>IF(V398="OK",P398*Q398,"")</f>
        <v/>
      </c>
      <c r="S398" s="126" t="str">
        <f>IF(V398="OK",R398*(O398-N398),"")</f>
        <v/>
      </c>
      <c r="T398" s="126" t="str">
        <f>IF(V398="OK",S398*(O398+N398)/2,"")</f>
        <v/>
      </c>
      <c r="U398" s="126" t="str">
        <f>IF(AND(V398="OK",ISNUMBER($N$5),$N$5&gt;0,ISNUMBER($N$3),$N$3&gt;0),R398*(4*$N$4*(O398^3-N398^3)-(O398^4-N398^4))/(24*$N$3*1000000*$N$5)*1000,"")</f>
        <v/>
      </c>
      <c r="V398" s="120" t="str">
        <f>IF(COUNTA(M398:Q398)=0,"",IF(AND(COUNT(N398:Q398)=4,N398&gt;=0,O398&gt;N398,O398&lt;=$N$4,P398&gt;=0,Q398&gt;0),IF(COUNTIFS($N$13:$N$397,"&lt;"&amp;O398,$O$13:$O$397,"&gt;"&amp;N398)&gt;0,"OVERLAP","OK"),"CHECK INPUTS"))</f>
        <v/>
      </c>
      <c r="AA398" s="120">
        <f>IF(AND(J398="OK",ISNUMBER($B$5),$B$5&gt;0,ISNUMBER($B$3),$B$3&gt;0),F398/(6*$B$3*1000000*$B$5)*(IF(B398&lt;($B$4*0/10),($B$4*0/10)*(MIN(C398,($B$4*0/10))^3-B398^3)-(MIN(C398,($B$4*0/10))^4-B398^4)/4,0)+IF(C398&gt;($B$4*0/10),($B$4*0/10)^2*(1.5*(C398^2-MAX(B398,($B$4*0/10))^2)-($B$4*0/10)*(C398-MAX(B398,($B$4*0/10)))),0))*1000,0)</f>
        <v>0</v>
      </c>
      <c r="AB398" s="120">
        <f>IF(AND(J398="OK",ISNUMBER($B$5),$B$5&gt;0,ISNUMBER($B$3),$B$3&gt;0),F398/(6*$B$3*1000000*$B$5)*(IF(B398&lt;($B$4*1/10),($B$4*1/10)*(MIN(C398,($B$4*1/10))^3-B398^3)-(MIN(C398,($B$4*1/10))^4-B398^4)/4,0)+IF(C398&gt;($B$4*1/10),($B$4*1/10)^2*(1.5*(C398^2-MAX(B398,($B$4*1/10))^2)-($B$4*1/10)*(C398-MAX(B398,($B$4*1/10)))),0))*1000,0)</f>
        <v>0</v>
      </c>
      <c r="AC398" s="120">
        <f>IF(AND(J398="OK",ISNUMBER($B$5),$B$5&gt;0,ISNUMBER($B$3),$B$3&gt;0),F398/(6*$B$3*1000000*$B$5)*(IF(B398&lt;($B$4*2/10),($B$4*2/10)*(MIN(C398,($B$4*2/10))^3-B398^3)-(MIN(C398,($B$4*2/10))^4-B398^4)/4,0)+IF(C398&gt;($B$4*2/10),($B$4*2/10)^2*(1.5*(C398^2-MAX(B398,($B$4*2/10))^2)-($B$4*2/10)*(C398-MAX(B398,($B$4*2/10)))),0))*1000,0)</f>
        <v>0</v>
      </c>
      <c r="AD398" s="120">
        <f>IF(AND(J398="OK",ISNUMBER($B$5),$B$5&gt;0,ISNUMBER($B$3),$B$3&gt;0),F398/(6*$B$3*1000000*$B$5)*(IF(B398&lt;($B$4*3/10),($B$4*3/10)*(MIN(C398,($B$4*3/10))^3-B398^3)-(MIN(C398,($B$4*3/10))^4-B398^4)/4,0)+IF(C398&gt;($B$4*3/10),($B$4*3/10)^2*(1.5*(C398^2-MAX(B398,($B$4*3/10))^2)-($B$4*3/10)*(C398-MAX(B398,($B$4*3/10)))),0))*1000,0)</f>
        <v>0</v>
      </c>
      <c r="AE398" s="120">
        <f>IF(AND(J398="OK",ISNUMBER($B$5),$B$5&gt;0,ISNUMBER($B$3),$B$3&gt;0),F398/(6*$B$3*1000000*$B$5)*(IF(B398&lt;($B$4*4/10),($B$4*4/10)*(MIN(C398,($B$4*4/10))^3-B398^3)-(MIN(C398,($B$4*4/10))^4-B398^4)/4,0)+IF(C398&gt;($B$4*4/10),($B$4*4/10)^2*(1.5*(C398^2-MAX(B398,($B$4*4/10))^2)-($B$4*4/10)*(C398-MAX(B398,($B$4*4/10)))),0))*1000,0)</f>
        <v>0</v>
      </c>
      <c r="AF398" s="120">
        <f>IF(AND(J398="OK",ISNUMBER($B$5),$B$5&gt;0,ISNUMBER($B$3),$B$3&gt;0),F398/(6*$B$3*1000000*$B$5)*(IF(B398&lt;($B$4*5/10),($B$4*5/10)*(MIN(C398,($B$4*5/10))^3-B398^3)-(MIN(C398,($B$4*5/10))^4-B398^4)/4,0)+IF(C398&gt;($B$4*5/10),($B$4*5/10)^2*(1.5*(C398^2-MAX(B398,($B$4*5/10))^2)-($B$4*5/10)*(C398-MAX(B398,($B$4*5/10)))),0))*1000,0)</f>
        <v>0</v>
      </c>
      <c r="AG398" s="120">
        <f>IF(AND(J398="OK",ISNUMBER($B$5),$B$5&gt;0,ISNUMBER($B$3),$B$3&gt;0),F398/(6*$B$3*1000000*$B$5)*(IF(B398&lt;($B$4*6/10),($B$4*6/10)*(MIN(C398,($B$4*6/10))^3-B398^3)-(MIN(C398,($B$4*6/10))^4-B398^4)/4,0)+IF(C398&gt;($B$4*6/10),($B$4*6/10)^2*(1.5*(C398^2-MAX(B398,($B$4*6/10))^2)-($B$4*6/10)*(C398-MAX(B398,($B$4*6/10)))),0))*1000,0)</f>
        <v>0</v>
      </c>
      <c r="AH398" s="120">
        <f>IF(AND(J398="OK",ISNUMBER($B$5),$B$5&gt;0,ISNUMBER($B$3),$B$3&gt;0),F398/(6*$B$3*1000000*$B$5)*(IF(B398&lt;($B$4*7/10),($B$4*7/10)*(MIN(C398,($B$4*7/10))^3-B398^3)-(MIN(C398,($B$4*7/10))^4-B398^4)/4,0)+IF(C398&gt;($B$4*7/10),($B$4*7/10)^2*(1.5*(C398^2-MAX(B398,($B$4*7/10))^2)-($B$4*7/10)*(C398-MAX(B398,($B$4*7/10)))),0))*1000,0)</f>
        <v>0</v>
      </c>
      <c r="AI398" s="120">
        <f>IF(AND(J398="OK",ISNUMBER($B$5),$B$5&gt;0,ISNUMBER($B$3),$B$3&gt;0),F398/(6*$B$3*1000000*$B$5)*(IF(B398&lt;($B$4*8/10),($B$4*8/10)*(MIN(C398,($B$4*8/10))^3-B398^3)-(MIN(C398,($B$4*8/10))^4-B398^4)/4,0)+IF(C398&gt;($B$4*8/10),($B$4*8/10)^2*(1.5*(C398^2-MAX(B398,($B$4*8/10))^2)-($B$4*8/10)*(C398-MAX(B398,($B$4*8/10)))),0))*1000,0)</f>
        <v>0</v>
      </c>
      <c r="AJ398" s="120">
        <f>IF(AND(J398="OK",ISNUMBER($B$5),$B$5&gt;0,ISNUMBER($B$3),$B$3&gt;0),F398/(6*$B$3*1000000*$B$5)*(IF(B398&lt;($B$4*9/10),($B$4*9/10)*(MIN(C398,($B$4*9/10))^3-B398^3)-(MIN(C398,($B$4*9/10))^4-B398^4)/4,0)+IF(C398&gt;($B$4*9/10),($B$4*9/10)^2*(1.5*(C398^2-MAX(B398,($B$4*9/10))^2)-($B$4*9/10)*(C398-MAX(B398,($B$4*9/10)))),0))*1000,0)</f>
        <v>0</v>
      </c>
      <c r="AK398" s="120">
        <f>IF(AND(J398="OK",ISNUMBER($B$5),$B$5&gt;0,ISNUMBER($B$3),$B$3&gt;0),F398/(6*$B$3*1000000*$B$5)*(IF(B398&lt;($B$4*10/10),($B$4*10/10)*(MIN(C398,($B$4*10/10))^3-B398^3)-(MIN(C398,($B$4*10/10))^4-B398^4)/4,0)+IF(C398&gt;($B$4*10/10),($B$4*10/10)^2*(1.5*(C398^2-MAX(B398,($B$4*10/10))^2)-($B$4*10/10)*(C398-MAX(B398,($B$4*10/10)))),0))*1000,0)</f>
        <v>0</v>
      </c>
      <c r="AM398" s="120">
        <f>IF(AND(V398="OK",ISNUMBER($N$5),$N$5&gt;0,ISNUMBER($N$3),$N$3&gt;0),R398/(6*$N$3*1000000*$N$5)*(IF(N398&lt;($N$4*0/10),($N$4*0/10)*(MIN(O398,($N$4*0/10))^3-N398^3)-(MIN(O398,($N$4*0/10))^4-N398^4)/4,0)+IF(O398&gt;($N$4*0/10),($N$4*0/10)^2*(1.5*(O398^2-MAX(N398,($N$4*0/10))^2)-($N$4*0/10)*(O398-MAX(N398,($N$4*0/10)))),0))*1000,0)</f>
        <v>0</v>
      </c>
      <c r="AN398" s="120">
        <f>IF(AND(V398="OK",ISNUMBER($N$5),$N$5&gt;0,ISNUMBER($N$3),$N$3&gt;0),R398/(6*$N$3*1000000*$N$5)*(IF(N398&lt;($N$4*1/10),($N$4*1/10)*(MIN(O398,($N$4*1/10))^3-N398^3)-(MIN(O398,($N$4*1/10))^4-N398^4)/4,0)+IF(O398&gt;($N$4*1/10),($N$4*1/10)^2*(1.5*(O398^2-MAX(N398,($N$4*1/10))^2)-($N$4*1/10)*(O398-MAX(N398,($N$4*1/10)))),0))*1000,0)</f>
        <v>0</v>
      </c>
      <c r="AO398" s="120">
        <f>IF(AND(V398="OK",ISNUMBER($N$5),$N$5&gt;0,ISNUMBER($N$3),$N$3&gt;0),R398/(6*$N$3*1000000*$N$5)*(IF(N398&lt;($N$4*2/10),($N$4*2/10)*(MIN(O398,($N$4*2/10))^3-N398^3)-(MIN(O398,($N$4*2/10))^4-N398^4)/4,0)+IF(O398&gt;($N$4*2/10),($N$4*2/10)^2*(1.5*(O398^2-MAX(N398,($N$4*2/10))^2)-($N$4*2/10)*(O398-MAX(N398,($N$4*2/10)))),0))*1000,0)</f>
        <v>0</v>
      </c>
      <c r="AP398" s="120">
        <f>IF(AND(V398="OK",ISNUMBER($N$5),$N$5&gt;0,ISNUMBER($N$3),$N$3&gt;0),R398/(6*$N$3*1000000*$N$5)*(IF(N398&lt;($N$4*3/10),($N$4*3/10)*(MIN(O398,($N$4*3/10))^3-N398^3)-(MIN(O398,($N$4*3/10))^4-N398^4)/4,0)+IF(O398&gt;($N$4*3/10),($N$4*3/10)^2*(1.5*(O398^2-MAX(N398,($N$4*3/10))^2)-($N$4*3/10)*(O398-MAX(N398,($N$4*3/10)))),0))*1000,0)</f>
        <v>0</v>
      </c>
      <c r="AQ398" s="120">
        <f>IF(AND(V398="OK",ISNUMBER($N$5),$N$5&gt;0,ISNUMBER($N$3),$N$3&gt;0),R398/(6*$N$3*1000000*$N$5)*(IF(N398&lt;($N$4*4/10),($N$4*4/10)*(MIN(O398,($N$4*4/10))^3-N398^3)-(MIN(O398,($N$4*4/10))^4-N398^4)/4,0)+IF(O398&gt;($N$4*4/10),($N$4*4/10)^2*(1.5*(O398^2-MAX(N398,($N$4*4/10))^2)-($N$4*4/10)*(O398-MAX(N398,($N$4*4/10)))),0))*1000,0)</f>
        <v>0</v>
      </c>
      <c r="AR398" s="120">
        <f>IF(AND(V398="OK",ISNUMBER($N$5),$N$5&gt;0,ISNUMBER($N$3),$N$3&gt;0),R398/(6*$N$3*1000000*$N$5)*(IF(N398&lt;($N$4*5/10),($N$4*5/10)*(MIN(O398,($N$4*5/10))^3-N398^3)-(MIN(O398,($N$4*5/10))^4-N398^4)/4,0)+IF(O398&gt;($N$4*5/10),($N$4*5/10)^2*(1.5*(O398^2-MAX(N398,($N$4*5/10))^2)-($N$4*5/10)*(O398-MAX(N398,($N$4*5/10)))),0))*1000,0)</f>
        <v>0</v>
      </c>
      <c r="AS398" s="120">
        <f>IF(AND(V398="OK",ISNUMBER($N$5),$N$5&gt;0,ISNUMBER($N$3),$N$3&gt;0),R398/(6*$N$3*1000000*$N$5)*(IF(N398&lt;($N$4*6/10),($N$4*6/10)*(MIN(O398,($N$4*6/10))^3-N398^3)-(MIN(O398,($N$4*6/10))^4-N398^4)/4,0)+IF(O398&gt;($N$4*6/10),($N$4*6/10)^2*(1.5*(O398^2-MAX(N398,($N$4*6/10))^2)-($N$4*6/10)*(O398-MAX(N398,($N$4*6/10)))),0))*1000,0)</f>
        <v>0</v>
      </c>
      <c r="AT398" s="120">
        <f>IF(AND(V398="OK",ISNUMBER($N$5),$N$5&gt;0,ISNUMBER($N$3),$N$3&gt;0),R398/(6*$N$3*1000000*$N$5)*(IF(N398&lt;($N$4*7/10),($N$4*7/10)*(MIN(O398,($N$4*7/10))^3-N398^3)-(MIN(O398,($N$4*7/10))^4-N398^4)/4,0)+IF(O398&gt;($N$4*7/10),($N$4*7/10)^2*(1.5*(O398^2-MAX(N398,($N$4*7/10))^2)-($N$4*7/10)*(O398-MAX(N398,($N$4*7/10)))),0))*1000,0)</f>
        <v>0</v>
      </c>
      <c r="AU398" s="120">
        <f>IF(AND(V398="OK",ISNUMBER($N$5),$N$5&gt;0,ISNUMBER($N$3),$N$3&gt;0),R398/(6*$N$3*1000000*$N$5)*(IF(N398&lt;($N$4*8/10),($N$4*8/10)*(MIN(O398,($N$4*8/10))^3-N398^3)-(MIN(O398,($N$4*8/10))^4-N398^4)/4,0)+IF(O398&gt;($N$4*8/10),($N$4*8/10)^2*(1.5*(O398^2-MAX(N398,($N$4*8/10))^2)-($N$4*8/10)*(O398-MAX(N398,($N$4*8/10)))),0))*1000,0)</f>
        <v>0</v>
      </c>
      <c r="AV398" s="120">
        <f>IF(AND(V398="OK",ISNUMBER($N$5),$N$5&gt;0,ISNUMBER($N$3),$N$3&gt;0),R398/(6*$N$3*1000000*$N$5)*(IF(N398&lt;($N$4*9/10),($N$4*9/10)*(MIN(O398,($N$4*9/10))^3-N398^3)-(MIN(O398,($N$4*9/10))^4-N398^4)/4,0)+IF(O398&gt;($N$4*9/10),($N$4*9/10)^2*(1.5*(O398^2-MAX(N398,($N$4*9/10))^2)-($N$4*9/10)*(O398-MAX(N398,($N$4*9/10)))),0))*1000,0)</f>
        <v>0</v>
      </c>
      <c r="AW398" s="120">
        <f>IF(AND(V398="OK",ISNUMBER($N$5),$N$5&gt;0,ISNUMBER($N$3),$N$3&gt;0),R398/(6*$N$3*1000000*$N$5)*(IF(N398&lt;($N$4*10/10),($N$4*10/10)*(MIN(O398,($N$4*10/10))^3-N398^3)-(MIN(O398,($N$4*10/10))^4-N398^4)/4,0)+IF(O398&gt;($N$4*10/10),($N$4*10/10)^2*(1.5*(O398^2-MAX(N398,($N$4*10/10))^2)-($N$4*10/10)*(O398-MAX(N398,($N$4*10/10)))),0))*1000,0)</f>
        <v>0</v>
      </c>
    </row>
    <row r="399" spans="1:49">
      <c r="A399" s="124"/>
      <c r="B399" s="125"/>
      <c r="C399" s="125"/>
      <c r="D399" s="125"/>
      <c r="E399" s="125"/>
      <c r="F399" s="126" t="str">
        <f>IF(J399="OK",D399*E399,"")</f>
        <v/>
      </c>
      <c r="G399" s="126" t="str">
        <f>IF(J399="OK",F399*(C399-B399),"")</f>
        <v/>
      </c>
      <c r="H399" s="126" t="str">
        <f>IF(J399="OK",G399*(C399+B399)/2,"")</f>
        <v/>
      </c>
      <c r="I399" s="126" t="str">
        <f>IF(AND(J399="OK",ISNUMBER($B$5),$B$5&gt;0,ISNUMBER($B$3),$B$3&gt;0),F399*(4*$B$4*(C399^3-B399^3)-(C399^4-B399^4))/(24*$B$3*1000000*$B$5)*1000,"")</f>
        <v/>
      </c>
      <c r="J399" s="120" t="str">
        <f>IF(COUNTA(A399:E399)=0,"",IF(AND(COUNT(B399:E399)=4,B399&gt;=0,C399&gt;B399,C399&lt;=$B$4,D399&gt;=0,E399&gt;0),IF(COUNTIFS($B$13:$B$398,"&lt;"&amp;C399,$C$13:$C$398,"&gt;"&amp;B399)&gt;0,"OVERLAP","OK"),"CHECK INPUTS"))</f>
        <v/>
      </c>
      <c r="M399" s="124"/>
      <c r="N399" s="125"/>
      <c r="O399" s="125"/>
      <c r="P399" s="125"/>
      <c r="Q399" s="125"/>
      <c r="R399" s="126" t="str">
        <f>IF(V399="OK",P399*Q399,"")</f>
        <v/>
      </c>
      <c r="S399" s="126" t="str">
        <f>IF(V399="OK",R399*(O399-N399),"")</f>
        <v/>
      </c>
      <c r="T399" s="126" t="str">
        <f>IF(V399="OK",S399*(O399+N399)/2,"")</f>
        <v/>
      </c>
      <c r="U399" s="126" t="str">
        <f>IF(AND(V399="OK",ISNUMBER($N$5),$N$5&gt;0,ISNUMBER($N$3),$N$3&gt;0),R399*(4*$N$4*(O399^3-N399^3)-(O399^4-N399^4))/(24*$N$3*1000000*$N$5)*1000,"")</f>
        <v/>
      </c>
      <c r="V399" s="120" t="str">
        <f>IF(COUNTA(M399:Q399)=0,"",IF(AND(COUNT(N399:Q399)=4,N399&gt;=0,O399&gt;N399,O399&lt;=$N$4,P399&gt;=0,Q399&gt;0),IF(COUNTIFS($N$13:$N$398,"&lt;"&amp;O399,$O$13:$O$398,"&gt;"&amp;N399)&gt;0,"OVERLAP","OK"),"CHECK INPUTS"))</f>
        <v/>
      </c>
      <c r="AA399" s="120">
        <f>IF(AND(J399="OK",ISNUMBER($B$5),$B$5&gt;0,ISNUMBER($B$3),$B$3&gt;0),F399/(6*$B$3*1000000*$B$5)*(IF(B399&lt;($B$4*0/10),($B$4*0/10)*(MIN(C399,($B$4*0/10))^3-B399^3)-(MIN(C399,($B$4*0/10))^4-B399^4)/4,0)+IF(C399&gt;($B$4*0/10),($B$4*0/10)^2*(1.5*(C399^2-MAX(B399,($B$4*0/10))^2)-($B$4*0/10)*(C399-MAX(B399,($B$4*0/10)))),0))*1000,0)</f>
        <v>0</v>
      </c>
      <c r="AB399" s="120">
        <f>IF(AND(J399="OK",ISNUMBER($B$5),$B$5&gt;0,ISNUMBER($B$3),$B$3&gt;0),F399/(6*$B$3*1000000*$B$5)*(IF(B399&lt;($B$4*1/10),($B$4*1/10)*(MIN(C399,($B$4*1/10))^3-B399^3)-(MIN(C399,($B$4*1/10))^4-B399^4)/4,0)+IF(C399&gt;($B$4*1/10),($B$4*1/10)^2*(1.5*(C399^2-MAX(B399,($B$4*1/10))^2)-($B$4*1/10)*(C399-MAX(B399,($B$4*1/10)))),0))*1000,0)</f>
        <v>0</v>
      </c>
      <c r="AC399" s="120">
        <f>IF(AND(J399="OK",ISNUMBER($B$5),$B$5&gt;0,ISNUMBER($B$3),$B$3&gt;0),F399/(6*$B$3*1000000*$B$5)*(IF(B399&lt;($B$4*2/10),($B$4*2/10)*(MIN(C399,($B$4*2/10))^3-B399^3)-(MIN(C399,($B$4*2/10))^4-B399^4)/4,0)+IF(C399&gt;($B$4*2/10),($B$4*2/10)^2*(1.5*(C399^2-MAX(B399,($B$4*2/10))^2)-($B$4*2/10)*(C399-MAX(B399,($B$4*2/10)))),0))*1000,0)</f>
        <v>0</v>
      </c>
      <c r="AD399" s="120">
        <f>IF(AND(J399="OK",ISNUMBER($B$5),$B$5&gt;0,ISNUMBER($B$3),$B$3&gt;0),F399/(6*$B$3*1000000*$B$5)*(IF(B399&lt;($B$4*3/10),($B$4*3/10)*(MIN(C399,($B$4*3/10))^3-B399^3)-(MIN(C399,($B$4*3/10))^4-B399^4)/4,0)+IF(C399&gt;($B$4*3/10),($B$4*3/10)^2*(1.5*(C399^2-MAX(B399,($B$4*3/10))^2)-($B$4*3/10)*(C399-MAX(B399,($B$4*3/10)))),0))*1000,0)</f>
        <v>0</v>
      </c>
      <c r="AE399" s="120">
        <f>IF(AND(J399="OK",ISNUMBER($B$5),$B$5&gt;0,ISNUMBER($B$3),$B$3&gt;0),F399/(6*$B$3*1000000*$B$5)*(IF(B399&lt;($B$4*4/10),($B$4*4/10)*(MIN(C399,($B$4*4/10))^3-B399^3)-(MIN(C399,($B$4*4/10))^4-B399^4)/4,0)+IF(C399&gt;($B$4*4/10),($B$4*4/10)^2*(1.5*(C399^2-MAX(B399,($B$4*4/10))^2)-($B$4*4/10)*(C399-MAX(B399,($B$4*4/10)))),0))*1000,0)</f>
        <v>0</v>
      </c>
      <c r="AF399" s="120">
        <f>IF(AND(J399="OK",ISNUMBER($B$5),$B$5&gt;0,ISNUMBER($B$3),$B$3&gt;0),F399/(6*$B$3*1000000*$B$5)*(IF(B399&lt;($B$4*5/10),($B$4*5/10)*(MIN(C399,($B$4*5/10))^3-B399^3)-(MIN(C399,($B$4*5/10))^4-B399^4)/4,0)+IF(C399&gt;($B$4*5/10),($B$4*5/10)^2*(1.5*(C399^2-MAX(B399,($B$4*5/10))^2)-($B$4*5/10)*(C399-MAX(B399,($B$4*5/10)))),0))*1000,0)</f>
        <v>0</v>
      </c>
      <c r="AG399" s="120">
        <f>IF(AND(J399="OK",ISNUMBER($B$5),$B$5&gt;0,ISNUMBER($B$3),$B$3&gt;0),F399/(6*$B$3*1000000*$B$5)*(IF(B399&lt;($B$4*6/10),($B$4*6/10)*(MIN(C399,($B$4*6/10))^3-B399^3)-(MIN(C399,($B$4*6/10))^4-B399^4)/4,0)+IF(C399&gt;($B$4*6/10),($B$4*6/10)^2*(1.5*(C399^2-MAX(B399,($B$4*6/10))^2)-($B$4*6/10)*(C399-MAX(B399,($B$4*6/10)))),0))*1000,0)</f>
        <v>0</v>
      </c>
      <c r="AH399" s="120">
        <f>IF(AND(J399="OK",ISNUMBER($B$5),$B$5&gt;0,ISNUMBER($B$3),$B$3&gt;0),F399/(6*$B$3*1000000*$B$5)*(IF(B399&lt;($B$4*7/10),($B$4*7/10)*(MIN(C399,($B$4*7/10))^3-B399^3)-(MIN(C399,($B$4*7/10))^4-B399^4)/4,0)+IF(C399&gt;($B$4*7/10),($B$4*7/10)^2*(1.5*(C399^2-MAX(B399,($B$4*7/10))^2)-($B$4*7/10)*(C399-MAX(B399,($B$4*7/10)))),0))*1000,0)</f>
        <v>0</v>
      </c>
      <c r="AI399" s="120">
        <f>IF(AND(J399="OK",ISNUMBER($B$5),$B$5&gt;0,ISNUMBER($B$3),$B$3&gt;0),F399/(6*$B$3*1000000*$B$5)*(IF(B399&lt;($B$4*8/10),($B$4*8/10)*(MIN(C399,($B$4*8/10))^3-B399^3)-(MIN(C399,($B$4*8/10))^4-B399^4)/4,0)+IF(C399&gt;($B$4*8/10),($B$4*8/10)^2*(1.5*(C399^2-MAX(B399,($B$4*8/10))^2)-($B$4*8/10)*(C399-MAX(B399,($B$4*8/10)))),0))*1000,0)</f>
        <v>0</v>
      </c>
      <c r="AJ399" s="120">
        <f>IF(AND(J399="OK",ISNUMBER($B$5),$B$5&gt;0,ISNUMBER($B$3),$B$3&gt;0),F399/(6*$B$3*1000000*$B$5)*(IF(B399&lt;($B$4*9/10),($B$4*9/10)*(MIN(C399,($B$4*9/10))^3-B399^3)-(MIN(C399,($B$4*9/10))^4-B399^4)/4,0)+IF(C399&gt;($B$4*9/10),($B$4*9/10)^2*(1.5*(C399^2-MAX(B399,($B$4*9/10))^2)-($B$4*9/10)*(C399-MAX(B399,($B$4*9/10)))),0))*1000,0)</f>
        <v>0</v>
      </c>
      <c r="AK399" s="120">
        <f>IF(AND(J399="OK",ISNUMBER($B$5),$B$5&gt;0,ISNUMBER($B$3),$B$3&gt;0),F399/(6*$B$3*1000000*$B$5)*(IF(B399&lt;($B$4*10/10),($B$4*10/10)*(MIN(C399,($B$4*10/10))^3-B399^3)-(MIN(C399,($B$4*10/10))^4-B399^4)/4,0)+IF(C399&gt;($B$4*10/10),($B$4*10/10)^2*(1.5*(C399^2-MAX(B399,($B$4*10/10))^2)-($B$4*10/10)*(C399-MAX(B399,($B$4*10/10)))),0))*1000,0)</f>
        <v>0</v>
      </c>
      <c r="AM399" s="120">
        <f>IF(AND(V399="OK",ISNUMBER($N$5),$N$5&gt;0,ISNUMBER($N$3),$N$3&gt;0),R399/(6*$N$3*1000000*$N$5)*(IF(N399&lt;($N$4*0/10),($N$4*0/10)*(MIN(O399,($N$4*0/10))^3-N399^3)-(MIN(O399,($N$4*0/10))^4-N399^4)/4,0)+IF(O399&gt;($N$4*0/10),($N$4*0/10)^2*(1.5*(O399^2-MAX(N399,($N$4*0/10))^2)-($N$4*0/10)*(O399-MAX(N399,($N$4*0/10)))),0))*1000,0)</f>
        <v>0</v>
      </c>
      <c r="AN399" s="120">
        <f>IF(AND(V399="OK",ISNUMBER($N$5),$N$5&gt;0,ISNUMBER($N$3),$N$3&gt;0),R399/(6*$N$3*1000000*$N$5)*(IF(N399&lt;($N$4*1/10),($N$4*1/10)*(MIN(O399,($N$4*1/10))^3-N399^3)-(MIN(O399,($N$4*1/10))^4-N399^4)/4,0)+IF(O399&gt;($N$4*1/10),($N$4*1/10)^2*(1.5*(O399^2-MAX(N399,($N$4*1/10))^2)-($N$4*1/10)*(O399-MAX(N399,($N$4*1/10)))),0))*1000,0)</f>
        <v>0</v>
      </c>
      <c r="AO399" s="120">
        <f>IF(AND(V399="OK",ISNUMBER($N$5),$N$5&gt;0,ISNUMBER($N$3),$N$3&gt;0),R399/(6*$N$3*1000000*$N$5)*(IF(N399&lt;($N$4*2/10),($N$4*2/10)*(MIN(O399,($N$4*2/10))^3-N399^3)-(MIN(O399,($N$4*2/10))^4-N399^4)/4,0)+IF(O399&gt;($N$4*2/10),($N$4*2/10)^2*(1.5*(O399^2-MAX(N399,($N$4*2/10))^2)-($N$4*2/10)*(O399-MAX(N399,($N$4*2/10)))),0))*1000,0)</f>
        <v>0</v>
      </c>
      <c r="AP399" s="120">
        <f>IF(AND(V399="OK",ISNUMBER($N$5),$N$5&gt;0,ISNUMBER($N$3),$N$3&gt;0),R399/(6*$N$3*1000000*$N$5)*(IF(N399&lt;($N$4*3/10),($N$4*3/10)*(MIN(O399,($N$4*3/10))^3-N399^3)-(MIN(O399,($N$4*3/10))^4-N399^4)/4,0)+IF(O399&gt;($N$4*3/10),($N$4*3/10)^2*(1.5*(O399^2-MAX(N399,($N$4*3/10))^2)-($N$4*3/10)*(O399-MAX(N399,($N$4*3/10)))),0))*1000,0)</f>
        <v>0</v>
      </c>
      <c r="AQ399" s="120">
        <f>IF(AND(V399="OK",ISNUMBER($N$5),$N$5&gt;0,ISNUMBER($N$3),$N$3&gt;0),R399/(6*$N$3*1000000*$N$5)*(IF(N399&lt;($N$4*4/10),($N$4*4/10)*(MIN(O399,($N$4*4/10))^3-N399^3)-(MIN(O399,($N$4*4/10))^4-N399^4)/4,0)+IF(O399&gt;($N$4*4/10),($N$4*4/10)^2*(1.5*(O399^2-MAX(N399,($N$4*4/10))^2)-($N$4*4/10)*(O399-MAX(N399,($N$4*4/10)))),0))*1000,0)</f>
        <v>0</v>
      </c>
      <c r="AR399" s="120">
        <f>IF(AND(V399="OK",ISNUMBER($N$5),$N$5&gt;0,ISNUMBER($N$3),$N$3&gt;0),R399/(6*$N$3*1000000*$N$5)*(IF(N399&lt;($N$4*5/10),($N$4*5/10)*(MIN(O399,($N$4*5/10))^3-N399^3)-(MIN(O399,($N$4*5/10))^4-N399^4)/4,0)+IF(O399&gt;($N$4*5/10),($N$4*5/10)^2*(1.5*(O399^2-MAX(N399,($N$4*5/10))^2)-($N$4*5/10)*(O399-MAX(N399,($N$4*5/10)))),0))*1000,0)</f>
        <v>0</v>
      </c>
      <c r="AS399" s="120">
        <f>IF(AND(V399="OK",ISNUMBER($N$5),$N$5&gt;0,ISNUMBER($N$3),$N$3&gt;0),R399/(6*$N$3*1000000*$N$5)*(IF(N399&lt;($N$4*6/10),($N$4*6/10)*(MIN(O399,($N$4*6/10))^3-N399^3)-(MIN(O399,($N$4*6/10))^4-N399^4)/4,0)+IF(O399&gt;($N$4*6/10),($N$4*6/10)^2*(1.5*(O399^2-MAX(N399,($N$4*6/10))^2)-($N$4*6/10)*(O399-MAX(N399,($N$4*6/10)))),0))*1000,0)</f>
        <v>0</v>
      </c>
      <c r="AT399" s="120">
        <f>IF(AND(V399="OK",ISNUMBER($N$5),$N$5&gt;0,ISNUMBER($N$3),$N$3&gt;0),R399/(6*$N$3*1000000*$N$5)*(IF(N399&lt;($N$4*7/10),($N$4*7/10)*(MIN(O399,($N$4*7/10))^3-N399^3)-(MIN(O399,($N$4*7/10))^4-N399^4)/4,0)+IF(O399&gt;($N$4*7/10),($N$4*7/10)^2*(1.5*(O399^2-MAX(N399,($N$4*7/10))^2)-($N$4*7/10)*(O399-MAX(N399,($N$4*7/10)))),0))*1000,0)</f>
        <v>0</v>
      </c>
      <c r="AU399" s="120">
        <f>IF(AND(V399="OK",ISNUMBER($N$5),$N$5&gt;0,ISNUMBER($N$3),$N$3&gt;0),R399/(6*$N$3*1000000*$N$5)*(IF(N399&lt;($N$4*8/10),($N$4*8/10)*(MIN(O399,($N$4*8/10))^3-N399^3)-(MIN(O399,($N$4*8/10))^4-N399^4)/4,0)+IF(O399&gt;($N$4*8/10),($N$4*8/10)^2*(1.5*(O399^2-MAX(N399,($N$4*8/10))^2)-($N$4*8/10)*(O399-MAX(N399,($N$4*8/10)))),0))*1000,0)</f>
        <v>0</v>
      </c>
      <c r="AV399" s="120">
        <f>IF(AND(V399="OK",ISNUMBER($N$5),$N$5&gt;0,ISNUMBER($N$3),$N$3&gt;0),R399/(6*$N$3*1000000*$N$5)*(IF(N399&lt;($N$4*9/10),($N$4*9/10)*(MIN(O399,($N$4*9/10))^3-N399^3)-(MIN(O399,($N$4*9/10))^4-N399^4)/4,0)+IF(O399&gt;($N$4*9/10),($N$4*9/10)^2*(1.5*(O399^2-MAX(N399,($N$4*9/10))^2)-($N$4*9/10)*(O399-MAX(N399,($N$4*9/10)))),0))*1000,0)</f>
        <v>0</v>
      </c>
      <c r="AW399" s="120">
        <f>IF(AND(V399="OK",ISNUMBER($N$5),$N$5&gt;0,ISNUMBER($N$3),$N$3&gt;0),R399/(6*$N$3*1000000*$N$5)*(IF(N399&lt;($N$4*10/10),($N$4*10/10)*(MIN(O399,($N$4*10/10))^3-N399^3)-(MIN(O399,($N$4*10/10))^4-N399^4)/4,0)+IF(O399&gt;($N$4*10/10),($N$4*10/10)^2*(1.5*(O399^2-MAX(N399,($N$4*10/10))^2)-($N$4*10/10)*(O399-MAX(N399,($N$4*10/10)))),0))*1000,0)</f>
        <v>0</v>
      </c>
    </row>
    <row r="400" spans="1:49">
      <c r="A400" s="124"/>
      <c r="B400" s="125"/>
      <c r="C400" s="125"/>
      <c r="D400" s="125"/>
      <c r="E400" s="125"/>
      <c r="F400" s="126" t="str">
        <f>IF(J400="OK",D400*E400,"")</f>
        <v/>
      </c>
      <c r="G400" s="126" t="str">
        <f>IF(J400="OK",F400*(C400-B400),"")</f>
        <v/>
      </c>
      <c r="H400" s="126" t="str">
        <f>IF(J400="OK",G400*(C400+B400)/2,"")</f>
        <v/>
      </c>
      <c r="I400" s="126" t="str">
        <f>IF(AND(J400="OK",ISNUMBER($B$5),$B$5&gt;0,ISNUMBER($B$3),$B$3&gt;0),F400*(4*$B$4*(C400^3-B400^3)-(C400^4-B400^4))/(24*$B$3*1000000*$B$5)*1000,"")</f>
        <v/>
      </c>
      <c r="J400" s="120" t="str">
        <f>IF(COUNTA(A400:E400)=0,"",IF(AND(COUNT(B400:E400)=4,B400&gt;=0,C400&gt;B400,C400&lt;=$B$4,D400&gt;=0,E400&gt;0),IF(COUNTIFS($B$13:$B$399,"&lt;"&amp;C400,$C$13:$C$399,"&gt;"&amp;B400)&gt;0,"OVERLAP","OK"),"CHECK INPUTS"))</f>
        <v/>
      </c>
      <c r="M400" s="124"/>
      <c r="N400" s="125"/>
      <c r="O400" s="125"/>
      <c r="P400" s="125"/>
      <c r="Q400" s="125"/>
      <c r="R400" s="126" t="str">
        <f>IF(V400="OK",P400*Q400,"")</f>
        <v/>
      </c>
      <c r="S400" s="126" t="str">
        <f>IF(V400="OK",R400*(O400-N400),"")</f>
        <v/>
      </c>
      <c r="T400" s="126" t="str">
        <f>IF(V400="OK",S400*(O400+N400)/2,"")</f>
        <v/>
      </c>
      <c r="U400" s="126" t="str">
        <f>IF(AND(V400="OK",ISNUMBER($N$5),$N$5&gt;0,ISNUMBER($N$3),$N$3&gt;0),R400*(4*$N$4*(O400^3-N400^3)-(O400^4-N400^4))/(24*$N$3*1000000*$N$5)*1000,"")</f>
        <v/>
      </c>
      <c r="V400" s="120" t="str">
        <f>IF(COUNTA(M400:Q400)=0,"",IF(AND(COUNT(N400:Q400)=4,N400&gt;=0,O400&gt;N400,O400&lt;=$N$4,P400&gt;=0,Q400&gt;0),IF(COUNTIFS($N$13:$N$399,"&lt;"&amp;O400,$O$13:$O$399,"&gt;"&amp;N400)&gt;0,"OVERLAP","OK"),"CHECK INPUTS"))</f>
        <v/>
      </c>
      <c r="AA400" s="120">
        <f>IF(AND(J400="OK",ISNUMBER($B$5),$B$5&gt;0,ISNUMBER($B$3),$B$3&gt;0),F400/(6*$B$3*1000000*$B$5)*(IF(B400&lt;($B$4*0/10),($B$4*0/10)*(MIN(C400,($B$4*0/10))^3-B400^3)-(MIN(C400,($B$4*0/10))^4-B400^4)/4,0)+IF(C400&gt;($B$4*0/10),($B$4*0/10)^2*(1.5*(C400^2-MAX(B400,($B$4*0/10))^2)-($B$4*0/10)*(C400-MAX(B400,($B$4*0/10)))),0))*1000,0)</f>
        <v>0</v>
      </c>
      <c r="AB400" s="120">
        <f>IF(AND(J400="OK",ISNUMBER($B$5),$B$5&gt;0,ISNUMBER($B$3),$B$3&gt;0),F400/(6*$B$3*1000000*$B$5)*(IF(B400&lt;($B$4*1/10),($B$4*1/10)*(MIN(C400,($B$4*1/10))^3-B400^3)-(MIN(C400,($B$4*1/10))^4-B400^4)/4,0)+IF(C400&gt;($B$4*1/10),($B$4*1/10)^2*(1.5*(C400^2-MAX(B400,($B$4*1/10))^2)-($B$4*1/10)*(C400-MAX(B400,($B$4*1/10)))),0))*1000,0)</f>
        <v>0</v>
      </c>
      <c r="AC400" s="120">
        <f>IF(AND(J400="OK",ISNUMBER($B$5),$B$5&gt;0,ISNUMBER($B$3),$B$3&gt;0),F400/(6*$B$3*1000000*$B$5)*(IF(B400&lt;($B$4*2/10),($B$4*2/10)*(MIN(C400,($B$4*2/10))^3-B400^3)-(MIN(C400,($B$4*2/10))^4-B400^4)/4,0)+IF(C400&gt;($B$4*2/10),($B$4*2/10)^2*(1.5*(C400^2-MAX(B400,($B$4*2/10))^2)-($B$4*2/10)*(C400-MAX(B400,($B$4*2/10)))),0))*1000,0)</f>
        <v>0</v>
      </c>
      <c r="AD400" s="120">
        <f>IF(AND(J400="OK",ISNUMBER($B$5),$B$5&gt;0,ISNUMBER($B$3),$B$3&gt;0),F400/(6*$B$3*1000000*$B$5)*(IF(B400&lt;($B$4*3/10),($B$4*3/10)*(MIN(C400,($B$4*3/10))^3-B400^3)-(MIN(C400,($B$4*3/10))^4-B400^4)/4,0)+IF(C400&gt;($B$4*3/10),($B$4*3/10)^2*(1.5*(C400^2-MAX(B400,($B$4*3/10))^2)-($B$4*3/10)*(C400-MAX(B400,($B$4*3/10)))),0))*1000,0)</f>
        <v>0</v>
      </c>
      <c r="AE400" s="120">
        <f>IF(AND(J400="OK",ISNUMBER($B$5),$B$5&gt;0,ISNUMBER($B$3),$B$3&gt;0),F400/(6*$B$3*1000000*$B$5)*(IF(B400&lt;($B$4*4/10),($B$4*4/10)*(MIN(C400,($B$4*4/10))^3-B400^3)-(MIN(C400,($B$4*4/10))^4-B400^4)/4,0)+IF(C400&gt;($B$4*4/10),($B$4*4/10)^2*(1.5*(C400^2-MAX(B400,($B$4*4/10))^2)-($B$4*4/10)*(C400-MAX(B400,($B$4*4/10)))),0))*1000,0)</f>
        <v>0</v>
      </c>
      <c r="AF400" s="120">
        <f>IF(AND(J400="OK",ISNUMBER($B$5),$B$5&gt;0,ISNUMBER($B$3),$B$3&gt;0),F400/(6*$B$3*1000000*$B$5)*(IF(B400&lt;($B$4*5/10),($B$4*5/10)*(MIN(C400,($B$4*5/10))^3-B400^3)-(MIN(C400,($B$4*5/10))^4-B400^4)/4,0)+IF(C400&gt;($B$4*5/10),($B$4*5/10)^2*(1.5*(C400^2-MAX(B400,($B$4*5/10))^2)-($B$4*5/10)*(C400-MAX(B400,($B$4*5/10)))),0))*1000,0)</f>
        <v>0</v>
      </c>
      <c r="AG400" s="120">
        <f>IF(AND(J400="OK",ISNUMBER($B$5),$B$5&gt;0,ISNUMBER($B$3),$B$3&gt;0),F400/(6*$B$3*1000000*$B$5)*(IF(B400&lt;($B$4*6/10),($B$4*6/10)*(MIN(C400,($B$4*6/10))^3-B400^3)-(MIN(C400,($B$4*6/10))^4-B400^4)/4,0)+IF(C400&gt;($B$4*6/10),($B$4*6/10)^2*(1.5*(C400^2-MAX(B400,($B$4*6/10))^2)-($B$4*6/10)*(C400-MAX(B400,($B$4*6/10)))),0))*1000,0)</f>
        <v>0</v>
      </c>
      <c r="AH400" s="120">
        <f>IF(AND(J400="OK",ISNUMBER($B$5),$B$5&gt;0,ISNUMBER($B$3),$B$3&gt;0),F400/(6*$B$3*1000000*$B$5)*(IF(B400&lt;($B$4*7/10),($B$4*7/10)*(MIN(C400,($B$4*7/10))^3-B400^3)-(MIN(C400,($B$4*7/10))^4-B400^4)/4,0)+IF(C400&gt;($B$4*7/10),($B$4*7/10)^2*(1.5*(C400^2-MAX(B400,($B$4*7/10))^2)-($B$4*7/10)*(C400-MAX(B400,($B$4*7/10)))),0))*1000,0)</f>
        <v>0</v>
      </c>
      <c r="AI400" s="120">
        <f>IF(AND(J400="OK",ISNUMBER($B$5),$B$5&gt;0,ISNUMBER($B$3),$B$3&gt;0),F400/(6*$B$3*1000000*$B$5)*(IF(B400&lt;($B$4*8/10),($B$4*8/10)*(MIN(C400,($B$4*8/10))^3-B400^3)-(MIN(C400,($B$4*8/10))^4-B400^4)/4,0)+IF(C400&gt;($B$4*8/10),($B$4*8/10)^2*(1.5*(C400^2-MAX(B400,($B$4*8/10))^2)-($B$4*8/10)*(C400-MAX(B400,($B$4*8/10)))),0))*1000,0)</f>
        <v>0</v>
      </c>
      <c r="AJ400" s="120">
        <f>IF(AND(J400="OK",ISNUMBER($B$5),$B$5&gt;0,ISNUMBER($B$3),$B$3&gt;0),F400/(6*$B$3*1000000*$B$5)*(IF(B400&lt;($B$4*9/10),($B$4*9/10)*(MIN(C400,($B$4*9/10))^3-B400^3)-(MIN(C400,($B$4*9/10))^4-B400^4)/4,0)+IF(C400&gt;($B$4*9/10),($B$4*9/10)^2*(1.5*(C400^2-MAX(B400,($B$4*9/10))^2)-($B$4*9/10)*(C400-MAX(B400,($B$4*9/10)))),0))*1000,0)</f>
        <v>0</v>
      </c>
      <c r="AK400" s="120">
        <f>IF(AND(J400="OK",ISNUMBER($B$5),$B$5&gt;0,ISNUMBER($B$3),$B$3&gt;0),F400/(6*$B$3*1000000*$B$5)*(IF(B400&lt;($B$4*10/10),($B$4*10/10)*(MIN(C400,($B$4*10/10))^3-B400^3)-(MIN(C400,($B$4*10/10))^4-B400^4)/4,0)+IF(C400&gt;($B$4*10/10),($B$4*10/10)^2*(1.5*(C400^2-MAX(B400,($B$4*10/10))^2)-($B$4*10/10)*(C400-MAX(B400,($B$4*10/10)))),0))*1000,0)</f>
        <v>0</v>
      </c>
      <c r="AM400" s="120">
        <f>IF(AND(V400="OK",ISNUMBER($N$5),$N$5&gt;0,ISNUMBER($N$3),$N$3&gt;0),R400/(6*$N$3*1000000*$N$5)*(IF(N400&lt;($N$4*0/10),($N$4*0/10)*(MIN(O400,($N$4*0/10))^3-N400^3)-(MIN(O400,($N$4*0/10))^4-N400^4)/4,0)+IF(O400&gt;($N$4*0/10),($N$4*0/10)^2*(1.5*(O400^2-MAX(N400,($N$4*0/10))^2)-($N$4*0/10)*(O400-MAX(N400,($N$4*0/10)))),0))*1000,0)</f>
        <v>0</v>
      </c>
      <c r="AN400" s="120">
        <f>IF(AND(V400="OK",ISNUMBER($N$5),$N$5&gt;0,ISNUMBER($N$3),$N$3&gt;0),R400/(6*$N$3*1000000*$N$5)*(IF(N400&lt;($N$4*1/10),($N$4*1/10)*(MIN(O400,($N$4*1/10))^3-N400^3)-(MIN(O400,($N$4*1/10))^4-N400^4)/4,0)+IF(O400&gt;($N$4*1/10),($N$4*1/10)^2*(1.5*(O400^2-MAX(N400,($N$4*1/10))^2)-($N$4*1/10)*(O400-MAX(N400,($N$4*1/10)))),0))*1000,0)</f>
        <v>0</v>
      </c>
      <c r="AO400" s="120">
        <f>IF(AND(V400="OK",ISNUMBER($N$5),$N$5&gt;0,ISNUMBER($N$3),$N$3&gt;0),R400/(6*$N$3*1000000*$N$5)*(IF(N400&lt;($N$4*2/10),($N$4*2/10)*(MIN(O400,($N$4*2/10))^3-N400^3)-(MIN(O400,($N$4*2/10))^4-N400^4)/4,0)+IF(O400&gt;($N$4*2/10),($N$4*2/10)^2*(1.5*(O400^2-MAX(N400,($N$4*2/10))^2)-($N$4*2/10)*(O400-MAX(N400,($N$4*2/10)))),0))*1000,0)</f>
        <v>0</v>
      </c>
      <c r="AP400" s="120">
        <f>IF(AND(V400="OK",ISNUMBER($N$5),$N$5&gt;0,ISNUMBER($N$3),$N$3&gt;0),R400/(6*$N$3*1000000*$N$5)*(IF(N400&lt;($N$4*3/10),($N$4*3/10)*(MIN(O400,($N$4*3/10))^3-N400^3)-(MIN(O400,($N$4*3/10))^4-N400^4)/4,0)+IF(O400&gt;($N$4*3/10),($N$4*3/10)^2*(1.5*(O400^2-MAX(N400,($N$4*3/10))^2)-($N$4*3/10)*(O400-MAX(N400,($N$4*3/10)))),0))*1000,0)</f>
        <v>0</v>
      </c>
      <c r="AQ400" s="120">
        <f>IF(AND(V400="OK",ISNUMBER($N$5),$N$5&gt;0,ISNUMBER($N$3),$N$3&gt;0),R400/(6*$N$3*1000000*$N$5)*(IF(N400&lt;($N$4*4/10),($N$4*4/10)*(MIN(O400,($N$4*4/10))^3-N400^3)-(MIN(O400,($N$4*4/10))^4-N400^4)/4,0)+IF(O400&gt;($N$4*4/10),($N$4*4/10)^2*(1.5*(O400^2-MAX(N400,($N$4*4/10))^2)-($N$4*4/10)*(O400-MAX(N400,($N$4*4/10)))),0))*1000,0)</f>
        <v>0</v>
      </c>
      <c r="AR400" s="120">
        <f>IF(AND(V400="OK",ISNUMBER($N$5),$N$5&gt;0,ISNUMBER($N$3),$N$3&gt;0),R400/(6*$N$3*1000000*$N$5)*(IF(N400&lt;($N$4*5/10),($N$4*5/10)*(MIN(O400,($N$4*5/10))^3-N400^3)-(MIN(O400,($N$4*5/10))^4-N400^4)/4,0)+IF(O400&gt;($N$4*5/10),($N$4*5/10)^2*(1.5*(O400^2-MAX(N400,($N$4*5/10))^2)-($N$4*5/10)*(O400-MAX(N400,($N$4*5/10)))),0))*1000,0)</f>
        <v>0</v>
      </c>
      <c r="AS400" s="120">
        <f>IF(AND(V400="OK",ISNUMBER($N$5),$N$5&gt;0,ISNUMBER($N$3),$N$3&gt;0),R400/(6*$N$3*1000000*$N$5)*(IF(N400&lt;($N$4*6/10),($N$4*6/10)*(MIN(O400,($N$4*6/10))^3-N400^3)-(MIN(O400,($N$4*6/10))^4-N400^4)/4,0)+IF(O400&gt;($N$4*6/10),($N$4*6/10)^2*(1.5*(O400^2-MAX(N400,($N$4*6/10))^2)-($N$4*6/10)*(O400-MAX(N400,($N$4*6/10)))),0))*1000,0)</f>
        <v>0</v>
      </c>
      <c r="AT400" s="120">
        <f>IF(AND(V400="OK",ISNUMBER($N$5),$N$5&gt;0,ISNUMBER($N$3),$N$3&gt;0),R400/(6*$N$3*1000000*$N$5)*(IF(N400&lt;($N$4*7/10),($N$4*7/10)*(MIN(O400,($N$4*7/10))^3-N400^3)-(MIN(O400,($N$4*7/10))^4-N400^4)/4,0)+IF(O400&gt;($N$4*7/10),($N$4*7/10)^2*(1.5*(O400^2-MAX(N400,($N$4*7/10))^2)-($N$4*7/10)*(O400-MAX(N400,($N$4*7/10)))),0))*1000,0)</f>
        <v>0</v>
      </c>
      <c r="AU400" s="120">
        <f>IF(AND(V400="OK",ISNUMBER($N$5),$N$5&gt;0,ISNUMBER($N$3),$N$3&gt;0),R400/(6*$N$3*1000000*$N$5)*(IF(N400&lt;($N$4*8/10),($N$4*8/10)*(MIN(O400,($N$4*8/10))^3-N400^3)-(MIN(O400,($N$4*8/10))^4-N400^4)/4,0)+IF(O400&gt;($N$4*8/10),($N$4*8/10)^2*(1.5*(O400^2-MAX(N400,($N$4*8/10))^2)-($N$4*8/10)*(O400-MAX(N400,($N$4*8/10)))),0))*1000,0)</f>
        <v>0</v>
      </c>
      <c r="AV400" s="120">
        <f>IF(AND(V400="OK",ISNUMBER($N$5),$N$5&gt;0,ISNUMBER($N$3),$N$3&gt;0),R400/(6*$N$3*1000000*$N$5)*(IF(N400&lt;($N$4*9/10),($N$4*9/10)*(MIN(O400,($N$4*9/10))^3-N400^3)-(MIN(O400,($N$4*9/10))^4-N400^4)/4,0)+IF(O400&gt;($N$4*9/10),($N$4*9/10)^2*(1.5*(O400^2-MAX(N400,($N$4*9/10))^2)-($N$4*9/10)*(O400-MAX(N400,($N$4*9/10)))),0))*1000,0)</f>
        <v>0</v>
      </c>
      <c r="AW400" s="120">
        <f>IF(AND(V400="OK",ISNUMBER($N$5),$N$5&gt;0,ISNUMBER($N$3),$N$3&gt;0),R400/(6*$N$3*1000000*$N$5)*(IF(N400&lt;($N$4*10/10),($N$4*10/10)*(MIN(O400,($N$4*10/10))^3-N400^3)-(MIN(O400,($N$4*10/10))^4-N400^4)/4,0)+IF(O400&gt;($N$4*10/10),($N$4*10/10)^2*(1.5*(O400^2-MAX(N400,($N$4*10/10))^2)-($N$4*10/10)*(O400-MAX(N400,($N$4*10/10)))),0))*1000,0)</f>
        <v>0</v>
      </c>
    </row>
    <row r="401" spans="1:49">
      <c r="A401" s="124"/>
      <c r="B401" s="125"/>
      <c r="C401" s="125"/>
      <c r="D401" s="125"/>
      <c r="E401" s="125"/>
      <c r="F401" s="126" t="str">
        <f>IF(J401="OK",D401*E401,"")</f>
        <v/>
      </c>
      <c r="G401" s="126" t="str">
        <f>IF(J401="OK",F401*(C401-B401),"")</f>
        <v/>
      </c>
      <c r="H401" s="126" t="str">
        <f>IF(J401="OK",G401*(C401+B401)/2,"")</f>
        <v/>
      </c>
      <c r="I401" s="126" t="str">
        <f>IF(AND(J401="OK",ISNUMBER($B$5),$B$5&gt;0,ISNUMBER($B$3),$B$3&gt;0),F401*(4*$B$4*(C401^3-B401^3)-(C401^4-B401^4))/(24*$B$3*1000000*$B$5)*1000,"")</f>
        <v/>
      </c>
      <c r="J401" s="120" t="str">
        <f>IF(COUNTA(A401:E401)=0,"",IF(AND(COUNT(B401:E401)=4,B401&gt;=0,C401&gt;B401,C401&lt;=$B$4,D401&gt;=0,E401&gt;0),IF(COUNTIFS($B$13:$B$400,"&lt;"&amp;C401,$C$13:$C$400,"&gt;"&amp;B401)&gt;0,"OVERLAP","OK"),"CHECK INPUTS"))</f>
        <v/>
      </c>
      <c r="M401" s="124"/>
      <c r="N401" s="125"/>
      <c r="O401" s="125"/>
      <c r="P401" s="125"/>
      <c r="Q401" s="125"/>
      <c r="R401" s="126" t="str">
        <f>IF(V401="OK",P401*Q401,"")</f>
        <v/>
      </c>
      <c r="S401" s="126" t="str">
        <f>IF(V401="OK",R401*(O401-N401),"")</f>
        <v/>
      </c>
      <c r="T401" s="126" t="str">
        <f>IF(V401="OK",S401*(O401+N401)/2,"")</f>
        <v/>
      </c>
      <c r="U401" s="126" t="str">
        <f>IF(AND(V401="OK",ISNUMBER($N$5),$N$5&gt;0,ISNUMBER($N$3),$N$3&gt;0),R401*(4*$N$4*(O401^3-N401^3)-(O401^4-N401^4))/(24*$N$3*1000000*$N$5)*1000,"")</f>
        <v/>
      </c>
      <c r="V401" s="120" t="str">
        <f>IF(COUNTA(M401:Q401)=0,"",IF(AND(COUNT(N401:Q401)=4,N401&gt;=0,O401&gt;N401,O401&lt;=$N$4,P401&gt;=0,Q401&gt;0),IF(COUNTIFS($N$13:$N$400,"&lt;"&amp;O401,$O$13:$O$400,"&gt;"&amp;N401)&gt;0,"OVERLAP","OK"),"CHECK INPUTS"))</f>
        <v/>
      </c>
      <c r="AA401" s="120">
        <f>IF(AND(J401="OK",ISNUMBER($B$5),$B$5&gt;0,ISNUMBER($B$3),$B$3&gt;0),F401/(6*$B$3*1000000*$B$5)*(IF(B401&lt;($B$4*0/10),($B$4*0/10)*(MIN(C401,($B$4*0/10))^3-B401^3)-(MIN(C401,($B$4*0/10))^4-B401^4)/4,0)+IF(C401&gt;($B$4*0/10),($B$4*0/10)^2*(1.5*(C401^2-MAX(B401,($B$4*0/10))^2)-($B$4*0/10)*(C401-MAX(B401,($B$4*0/10)))),0))*1000,0)</f>
        <v>0</v>
      </c>
      <c r="AB401" s="120">
        <f>IF(AND(J401="OK",ISNUMBER($B$5),$B$5&gt;0,ISNUMBER($B$3),$B$3&gt;0),F401/(6*$B$3*1000000*$B$5)*(IF(B401&lt;($B$4*1/10),($B$4*1/10)*(MIN(C401,($B$4*1/10))^3-B401^3)-(MIN(C401,($B$4*1/10))^4-B401^4)/4,0)+IF(C401&gt;($B$4*1/10),($B$4*1/10)^2*(1.5*(C401^2-MAX(B401,($B$4*1/10))^2)-($B$4*1/10)*(C401-MAX(B401,($B$4*1/10)))),0))*1000,0)</f>
        <v>0</v>
      </c>
      <c r="AC401" s="120">
        <f>IF(AND(J401="OK",ISNUMBER($B$5),$B$5&gt;0,ISNUMBER($B$3),$B$3&gt;0),F401/(6*$B$3*1000000*$B$5)*(IF(B401&lt;($B$4*2/10),($B$4*2/10)*(MIN(C401,($B$4*2/10))^3-B401^3)-(MIN(C401,($B$4*2/10))^4-B401^4)/4,0)+IF(C401&gt;($B$4*2/10),($B$4*2/10)^2*(1.5*(C401^2-MAX(B401,($B$4*2/10))^2)-($B$4*2/10)*(C401-MAX(B401,($B$4*2/10)))),0))*1000,0)</f>
        <v>0</v>
      </c>
      <c r="AD401" s="120">
        <f>IF(AND(J401="OK",ISNUMBER($B$5),$B$5&gt;0,ISNUMBER($B$3),$B$3&gt;0),F401/(6*$B$3*1000000*$B$5)*(IF(B401&lt;($B$4*3/10),($B$4*3/10)*(MIN(C401,($B$4*3/10))^3-B401^3)-(MIN(C401,($B$4*3/10))^4-B401^4)/4,0)+IF(C401&gt;($B$4*3/10),($B$4*3/10)^2*(1.5*(C401^2-MAX(B401,($B$4*3/10))^2)-($B$4*3/10)*(C401-MAX(B401,($B$4*3/10)))),0))*1000,0)</f>
        <v>0</v>
      </c>
      <c r="AE401" s="120">
        <f>IF(AND(J401="OK",ISNUMBER($B$5),$B$5&gt;0,ISNUMBER($B$3),$B$3&gt;0),F401/(6*$B$3*1000000*$B$5)*(IF(B401&lt;($B$4*4/10),($B$4*4/10)*(MIN(C401,($B$4*4/10))^3-B401^3)-(MIN(C401,($B$4*4/10))^4-B401^4)/4,0)+IF(C401&gt;($B$4*4/10),($B$4*4/10)^2*(1.5*(C401^2-MAX(B401,($B$4*4/10))^2)-($B$4*4/10)*(C401-MAX(B401,($B$4*4/10)))),0))*1000,0)</f>
        <v>0</v>
      </c>
      <c r="AF401" s="120">
        <f>IF(AND(J401="OK",ISNUMBER($B$5),$B$5&gt;0,ISNUMBER($B$3),$B$3&gt;0),F401/(6*$B$3*1000000*$B$5)*(IF(B401&lt;($B$4*5/10),($B$4*5/10)*(MIN(C401,($B$4*5/10))^3-B401^3)-(MIN(C401,($B$4*5/10))^4-B401^4)/4,0)+IF(C401&gt;($B$4*5/10),($B$4*5/10)^2*(1.5*(C401^2-MAX(B401,($B$4*5/10))^2)-($B$4*5/10)*(C401-MAX(B401,($B$4*5/10)))),0))*1000,0)</f>
        <v>0</v>
      </c>
      <c r="AG401" s="120">
        <f>IF(AND(J401="OK",ISNUMBER($B$5),$B$5&gt;0,ISNUMBER($B$3),$B$3&gt;0),F401/(6*$B$3*1000000*$B$5)*(IF(B401&lt;($B$4*6/10),($B$4*6/10)*(MIN(C401,($B$4*6/10))^3-B401^3)-(MIN(C401,($B$4*6/10))^4-B401^4)/4,0)+IF(C401&gt;($B$4*6/10),($B$4*6/10)^2*(1.5*(C401^2-MAX(B401,($B$4*6/10))^2)-($B$4*6/10)*(C401-MAX(B401,($B$4*6/10)))),0))*1000,0)</f>
        <v>0</v>
      </c>
      <c r="AH401" s="120">
        <f>IF(AND(J401="OK",ISNUMBER($B$5),$B$5&gt;0,ISNUMBER($B$3),$B$3&gt;0),F401/(6*$B$3*1000000*$B$5)*(IF(B401&lt;($B$4*7/10),($B$4*7/10)*(MIN(C401,($B$4*7/10))^3-B401^3)-(MIN(C401,($B$4*7/10))^4-B401^4)/4,0)+IF(C401&gt;($B$4*7/10),($B$4*7/10)^2*(1.5*(C401^2-MAX(B401,($B$4*7/10))^2)-($B$4*7/10)*(C401-MAX(B401,($B$4*7/10)))),0))*1000,0)</f>
        <v>0</v>
      </c>
      <c r="AI401" s="120">
        <f>IF(AND(J401="OK",ISNUMBER($B$5),$B$5&gt;0,ISNUMBER($B$3),$B$3&gt;0),F401/(6*$B$3*1000000*$B$5)*(IF(B401&lt;($B$4*8/10),($B$4*8/10)*(MIN(C401,($B$4*8/10))^3-B401^3)-(MIN(C401,($B$4*8/10))^4-B401^4)/4,0)+IF(C401&gt;($B$4*8/10),($B$4*8/10)^2*(1.5*(C401^2-MAX(B401,($B$4*8/10))^2)-($B$4*8/10)*(C401-MAX(B401,($B$4*8/10)))),0))*1000,0)</f>
        <v>0</v>
      </c>
      <c r="AJ401" s="120">
        <f>IF(AND(J401="OK",ISNUMBER($B$5),$B$5&gt;0,ISNUMBER($B$3),$B$3&gt;0),F401/(6*$B$3*1000000*$B$5)*(IF(B401&lt;($B$4*9/10),($B$4*9/10)*(MIN(C401,($B$4*9/10))^3-B401^3)-(MIN(C401,($B$4*9/10))^4-B401^4)/4,0)+IF(C401&gt;($B$4*9/10),($B$4*9/10)^2*(1.5*(C401^2-MAX(B401,($B$4*9/10))^2)-($B$4*9/10)*(C401-MAX(B401,($B$4*9/10)))),0))*1000,0)</f>
        <v>0</v>
      </c>
      <c r="AK401" s="120">
        <f>IF(AND(J401="OK",ISNUMBER($B$5),$B$5&gt;0,ISNUMBER($B$3),$B$3&gt;0),F401/(6*$B$3*1000000*$B$5)*(IF(B401&lt;($B$4*10/10),($B$4*10/10)*(MIN(C401,($B$4*10/10))^3-B401^3)-(MIN(C401,($B$4*10/10))^4-B401^4)/4,0)+IF(C401&gt;($B$4*10/10),($B$4*10/10)^2*(1.5*(C401^2-MAX(B401,($B$4*10/10))^2)-($B$4*10/10)*(C401-MAX(B401,($B$4*10/10)))),0))*1000,0)</f>
        <v>0</v>
      </c>
      <c r="AM401" s="120">
        <f>IF(AND(V401="OK",ISNUMBER($N$5),$N$5&gt;0,ISNUMBER($N$3),$N$3&gt;0),R401/(6*$N$3*1000000*$N$5)*(IF(N401&lt;($N$4*0/10),($N$4*0/10)*(MIN(O401,($N$4*0/10))^3-N401^3)-(MIN(O401,($N$4*0/10))^4-N401^4)/4,0)+IF(O401&gt;($N$4*0/10),($N$4*0/10)^2*(1.5*(O401^2-MAX(N401,($N$4*0/10))^2)-($N$4*0/10)*(O401-MAX(N401,($N$4*0/10)))),0))*1000,0)</f>
        <v>0</v>
      </c>
      <c r="AN401" s="120">
        <f>IF(AND(V401="OK",ISNUMBER($N$5),$N$5&gt;0,ISNUMBER($N$3),$N$3&gt;0),R401/(6*$N$3*1000000*$N$5)*(IF(N401&lt;($N$4*1/10),($N$4*1/10)*(MIN(O401,($N$4*1/10))^3-N401^3)-(MIN(O401,($N$4*1/10))^4-N401^4)/4,0)+IF(O401&gt;($N$4*1/10),($N$4*1/10)^2*(1.5*(O401^2-MAX(N401,($N$4*1/10))^2)-($N$4*1/10)*(O401-MAX(N401,($N$4*1/10)))),0))*1000,0)</f>
        <v>0</v>
      </c>
      <c r="AO401" s="120">
        <f>IF(AND(V401="OK",ISNUMBER($N$5),$N$5&gt;0,ISNUMBER($N$3),$N$3&gt;0),R401/(6*$N$3*1000000*$N$5)*(IF(N401&lt;($N$4*2/10),($N$4*2/10)*(MIN(O401,($N$4*2/10))^3-N401^3)-(MIN(O401,($N$4*2/10))^4-N401^4)/4,0)+IF(O401&gt;($N$4*2/10),($N$4*2/10)^2*(1.5*(O401^2-MAX(N401,($N$4*2/10))^2)-($N$4*2/10)*(O401-MAX(N401,($N$4*2/10)))),0))*1000,0)</f>
        <v>0</v>
      </c>
      <c r="AP401" s="120">
        <f>IF(AND(V401="OK",ISNUMBER($N$5),$N$5&gt;0,ISNUMBER($N$3),$N$3&gt;0),R401/(6*$N$3*1000000*$N$5)*(IF(N401&lt;($N$4*3/10),($N$4*3/10)*(MIN(O401,($N$4*3/10))^3-N401^3)-(MIN(O401,($N$4*3/10))^4-N401^4)/4,0)+IF(O401&gt;($N$4*3/10),($N$4*3/10)^2*(1.5*(O401^2-MAX(N401,($N$4*3/10))^2)-($N$4*3/10)*(O401-MAX(N401,($N$4*3/10)))),0))*1000,0)</f>
        <v>0</v>
      </c>
      <c r="AQ401" s="120">
        <f>IF(AND(V401="OK",ISNUMBER($N$5),$N$5&gt;0,ISNUMBER($N$3),$N$3&gt;0),R401/(6*$N$3*1000000*$N$5)*(IF(N401&lt;($N$4*4/10),($N$4*4/10)*(MIN(O401,($N$4*4/10))^3-N401^3)-(MIN(O401,($N$4*4/10))^4-N401^4)/4,0)+IF(O401&gt;($N$4*4/10),($N$4*4/10)^2*(1.5*(O401^2-MAX(N401,($N$4*4/10))^2)-($N$4*4/10)*(O401-MAX(N401,($N$4*4/10)))),0))*1000,0)</f>
        <v>0</v>
      </c>
      <c r="AR401" s="120">
        <f>IF(AND(V401="OK",ISNUMBER($N$5),$N$5&gt;0,ISNUMBER($N$3),$N$3&gt;0),R401/(6*$N$3*1000000*$N$5)*(IF(N401&lt;($N$4*5/10),($N$4*5/10)*(MIN(O401,($N$4*5/10))^3-N401^3)-(MIN(O401,($N$4*5/10))^4-N401^4)/4,0)+IF(O401&gt;($N$4*5/10),($N$4*5/10)^2*(1.5*(O401^2-MAX(N401,($N$4*5/10))^2)-($N$4*5/10)*(O401-MAX(N401,($N$4*5/10)))),0))*1000,0)</f>
        <v>0</v>
      </c>
      <c r="AS401" s="120">
        <f>IF(AND(V401="OK",ISNUMBER($N$5),$N$5&gt;0,ISNUMBER($N$3),$N$3&gt;0),R401/(6*$N$3*1000000*$N$5)*(IF(N401&lt;($N$4*6/10),($N$4*6/10)*(MIN(O401,($N$4*6/10))^3-N401^3)-(MIN(O401,($N$4*6/10))^4-N401^4)/4,0)+IF(O401&gt;($N$4*6/10),($N$4*6/10)^2*(1.5*(O401^2-MAX(N401,($N$4*6/10))^2)-($N$4*6/10)*(O401-MAX(N401,($N$4*6/10)))),0))*1000,0)</f>
        <v>0</v>
      </c>
      <c r="AT401" s="120">
        <f>IF(AND(V401="OK",ISNUMBER($N$5),$N$5&gt;0,ISNUMBER($N$3),$N$3&gt;0),R401/(6*$N$3*1000000*$N$5)*(IF(N401&lt;($N$4*7/10),($N$4*7/10)*(MIN(O401,($N$4*7/10))^3-N401^3)-(MIN(O401,($N$4*7/10))^4-N401^4)/4,0)+IF(O401&gt;($N$4*7/10),($N$4*7/10)^2*(1.5*(O401^2-MAX(N401,($N$4*7/10))^2)-($N$4*7/10)*(O401-MAX(N401,($N$4*7/10)))),0))*1000,0)</f>
        <v>0</v>
      </c>
      <c r="AU401" s="120">
        <f>IF(AND(V401="OK",ISNUMBER($N$5),$N$5&gt;0,ISNUMBER($N$3),$N$3&gt;0),R401/(6*$N$3*1000000*$N$5)*(IF(N401&lt;($N$4*8/10),($N$4*8/10)*(MIN(O401,($N$4*8/10))^3-N401^3)-(MIN(O401,($N$4*8/10))^4-N401^4)/4,0)+IF(O401&gt;($N$4*8/10),($N$4*8/10)^2*(1.5*(O401^2-MAX(N401,($N$4*8/10))^2)-($N$4*8/10)*(O401-MAX(N401,($N$4*8/10)))),0))*1000,0)</f>
        <v>0</v>
      </c>
      <c r="AV401" s="120">
        <f>IF(AND(V401="OK",ISNUMBER($N$5),$N$5&gt;0,ISNUMBER($N$3),$N$3&gt;0),R401/(6*$N$3*1000000*$N$5)*(IF(N401&lt;($N$4*9/10),($N$4*9/10)*(MIN(O401,($N$4*9/10))^3-N401^3)-(MIN(O401,($N$4*9/10))^4-N401^4)/4,0)+IF(O401&gt;($N$4*9/10),($N$4*9/10)^2*(1.5*(O401^2-MAX(N401,($N$4*9/10))^2)-($N$4*9/10)*(O401-MAX(N401,($N$4*9/10)))),0))*1000,0)</f>
        <v>0</v>
      </c>
      <c r="AW401" s="120">
        <f>IF(AND(V401="OK",ISNUMBER($N$5),$N$5&gt;0,ISNUMBER($N$3),$N$3&gt;0),R401/(6*$N$3*1000000*$N$5)*(IF(N401&lt;($N$4*10/10),($N$4*10/10)*(MIN(O401,($N$4*10/10))^3-N401^3)-(MIN(O401,($N$4*10/10))^4-N401^4)/4,0)+IF(O401&gt;($N$4*10/10),($N$4*10/10)^2*(1.5*(O401^2-MAX(N401,($N$4*10/10))^2)-($N$4*10/10)*(O401-MAX(N401,($N$4*10/10)))),0))*1000,0)</f>
        <v>0</v>
      </c>
    </row>
    <row r="402" spans="1:49">
      <c r="A402" s="124"/>
      <c r="B402" s="125"/>
      <c r="C402" s="125"/>
      <c r="D402" s="125"/>
      <c r="E402" s="125"/>
      <c r="F402" s="126" t="str">
        <f>IF(J402="OK",D402*E402,"")</f>
        <v/>
      </c>
      <c r="G402" s="126" t="str">
        <f>IF(J402="OK",F402*(C402-B402),"")</f>
        <v/>
      </c>
      <c r="H402" s="126" t="str">
        <f>IF(J402="OK",G402*(C402+B402)/2,"")</f>
        <v/>
      </c>
      <c r="I402" s="126" t="str">
        <f>IF(AND(J402="OK",ISNUMBER($B$5),$B$5&gt;0,ISNUMBER($B$3),$B$3&gt;0),F402*(4*$B$4*(C402^3-B402^3)-(C402^4-B402^4))/(24*$B$3*1000000*$B$5)*1000,"")</f>
        <v/>
      </c>
      <c r="J402" s="120" t="str">
        <f>IF(COUNTA(A402:E402)=0,"",IF(AND(COUNT(B402:E402)=4,B402&gt;=0,C402&gt;B402,C402&lt;=$B$4,D402&gt;=0,E402&gt;0),IF(COUNTIFS($B$13:$B$401,"&lt;"&amp;C402,$C$13:$C$401,"&gt;"&amp;B402)&gt;0,"OVERLAP","OK"),"CHECK INPUTS"))</f>
        <v/>
      </c>
      <c r="M402" s="124"/>
      <c r="N402" s="125"/>
      <c r="O402" s="125"/>
      <c r="P402" s="125"/>
      <c r="Q402" s="125"/>
      <c r="R402" s="126" t="str">
        <f>IF(V402="OK",P402*Q402,"")</f>
        <v/>
      </c>
      <c r="S402" s="126" t="str">
        <f>IF(V402="OK",R402*(O402-N402),"")</f>
        <v/>
      </c>
      <c r="T402" s="126" t="str">
        <f>IF(V402="OK",S402*(O402+N402)/2,"")</f>
        <v/>
      </c>
      <c r="U402" s="126" t="str">
        <f>IF(AND(V402="OK",ISNUMBER($N$5),$N$5&gt;0,ISNUMBER($N$3),$N$3&gt;0),R402*(4*$N$4*(O402^3-N402^3)-(O402^4-N402^4))/(24*$N$3*1000000*$N$5)*1000,"")</f>
        <v/>
      </c>
      <c r="V402" s="120" t="str">
        <f>IF(COUNTA(M402:Q402)=0,"",IF(AND(COUNT(N402:Q402)=4,N402&gt;=0,O402&gt;N402,O402&lt;=$N$4,P402&gt;=0,Q402&gt;0),IF(COUNTIFS($N$13:$N$401,"&lt;"&amp;O402,$O$13:$O$401,"&gt;"&amp;N402)&gt;0,"OVERLAP","OK"),"CHECK INPUTS"))</f>
        <v/>
      </c>
      <c r="AA402" s="120">
        <f>IF(AND(J402="OK",ISNUMBER($B$5),$B$5&gt;0,ISNUMBER($B$3),$B$3&gt;0),F402/(6*$B$3*1000000*$B$5)*(IF(B402&lt;($B$4*0/10),($B$4*0/10)*(MIN(C402,($B$4*0/10))^3-B402^3)-(MIN(C402,($B$4*0/10))^4-B402^4)/4,0)+IF(C402&gt;($B$4*0/10),($B$4*0/10)^2*(1.5*(C402^2-MAX(B402,($B$4*0/10))^2)-($B$4*0/10)*(C402-MAX(B402,($B$4*0/10)))),0))*1000,0)</f>
        <v>0</v>
      </c>
      <c r="AB402" s="120">
        <f>IF(AND(J402="OK",ISNUMBER($B$5),$B$5&gt;0,ISNUMBER($B$3),$B$3&gt;0),F402/(6*$B$3*1000000*$B$5)*(IF(B402&lt;($B$4*1/10),($B$4*1/10)*(MIN(C402,($B$4*1/10))^3-B402^3)-(MIN(C402,($B$4*1/10))^4-B402^4)/4,0)+IF(C402&gt;($B$4*1/10),($B$4*1/10)^2*(1.5*(C402^2-MAX(B402,($B$4*1/10))^2)-($B$4*1/10)*(C402-MAX(B402,($B$4*1/10)))),0))*1000,0)</f>
        <v>0</v>
      </c>
      <c r="AC402" s="120">
        <f>IF(AND(J402="OK",ISNUMBER($B$5),$B$5&gt;0,ISNUMBER($B$3),$B$3&gt;0),F402/(6*$B$3*1000000*$B$5)*(IF(B402&lt;($B$4*2/10),($B$4*2/10)*(MIN(C402,($B$4*2/10))^3-B402^3)-(MIN(C402,($B$4*2/10))^4-B402^4)/4,0)+IF(C402&gt;($B$4*2/10),($B$4*2/10)^2*(1.5*(C402^2-MAX(B402,($B$4*2/10))^2)-($B$4*2/10)*(C402-MAX(B402,($B$4*2/10)))),0))*1000,0)</f>
        <v>0</v>
      </c>
      <c r="AD402" s="120">
        <f>IF(AND(J402="OK",ISNUMBER($B$5),$B$5&gt;0,ISNUMBER($B$3),$B$3&gt;0),F402/(6*$B$3*1000000*$B$5)*(IF(B402&lt;($B$4*3/10),($B$4*3/10)*(MIN(C402,($B$4*3/10))^3-B402^3)-(MIN(C402,($B$4*3/10))^4-B402^4)/4,0)+IF(C402&gt;($B$4*3/10),($B$4*3/10)^2*(1.5*(C402^2-MAX(B402,($B$4*3/10))^2)-($B$4*3/10)*(C402-MAX(B402,($B$4*3/10)))),0))*1000,0)</f>
        <v>0</v>
      </c>
      <c r="AE402" s="120">
        <f>IF(AND(J402="OK",ISNUMBER($B$5),$B$5&gt;0,ISNUMBER($B$3),$B$3&gt;0),F402/(6*$B$3*1000000*$B$5)*(IF(B402&lt;($B$4*4/10),($B$4*4/10)*(MIN(C402,($B$4*4/10))^3-B402^3)-(MIN(C402,($B$4*4/10))^4-B402^4)/4,0)+IF(C402&gt;($B$4*4/10),($B$4*4/10)^2*(1.5*(C402^2-MAX(B402,($B$4*4/10))^2)-($B$4*4/10)*(C402-MAX(B402,($B$4*4/10)))),0))*1000,0)</f>
        <v>0</v>
      </c>
      <c r="AF402" s="120">
        <f>IF(AND(J402="OK",ISNUMBER($B$5),$B$5&gt;0,ISNUMBER($B$3),$B$3&gt;0),F402/(6*$B$3*1000000*$B$5)*(IF(B402&lt;($B$4*5/10),($B$4*5/10)*(MIN(C402,($B$4*5/10))^3-B402^3)-(MIN(C402,($B$4*5/10))^4-B402^4)/4,0)+IF(C402&gt;($B$4*5/10),($B$4*5/10)^2*(1.5*(C402^2-MAX(B402,($B$4*5/10))^2)-($B$4*5/10)*(C402-MAX(B402,($B$4*5/10)))),0))*1000,0)</f>
        <v>0</v>
      </c>
      <c r="AG402" s="120">
        <f>IF(AND(J402="OK",ISNUMBER($B$5),$B$5&gt;0,ISNUMBER($B$3),$B$3&gt;0),F402/(6*$B$3*1000000*$B$5)*(IF(B402&lt;($B$4*6/10),($B$4*6/10)*(MIN(C402,($B$4*6/10))^3-B402^3)-(MIN(C402,($B$4*6/10))^4-B402^4)/4,0)+IF(C402&gt;($B$4*6/10),($B$4*6/10)^2*(1.5*(C402^2-MAX(B402,($B$4*6/10))^2)-($B$4*6/10)*(C402-MAX(B402,($B$4*6/10)))),0))*1000,0)</f>
        <v>0</v>
      </c>
      <c r="AH402" s="120">
        <f>IF(AND(J402="OK",ISNUMBER($B$5),$B$5&gt;0,ISNUMBER($B$3),$B$3&gt;0),F402/(6*$B$3*1000000*$B$5)*(IF(B402&lt;($B$4*7/10),($B$4*7/10)*(MIN(C402,($B$4*7/10))^3-B402^3)-(MIN(C402,($B$4*7/10))^4-B402^4)/4,0)+IF(C402&gt;($B$4*7/10),($B$4*7/10)^2*(1.5*(C402^2-MAX(B402,($B$4*7/10))^2)-($B$4*7/10)*(C402-MAX(B402,($B$4*7/10)))),0))*1000,0)</f>
        <v>0</v>
      </c>
      <c r="AI402" s="120">
        <f>IF(AND(J402="OK",ISNUMBER($B$5),$B$5&gt;0,ISNUMBER($B$3),$B$3&gt;0),F402/(6*$B$3*1000000*$B$5)*(IF(B402&lt;($B$4*8/10),($B$4*8/10)*(MIN(C402,($B$4*8/10))^3-B402^3)-(MIN(C402,($B$4*8/10))^4-B402^4)/4,0)+IF(C402&gt;($B$4*8/10),($B$4*8/10)^2*(1.5*(C402^2-MAX(B402,($B$4*8/10))^2)-($B$4*8/10)*(C402-MAX(B402,($B$4*8/10)))),0))*1000,0)</f>
        <v>0</v>
      </c>
      <c r="AJ402" s="120">
        <f>IF(AND(J402="OK",ISNUMBER($B$5),$B$5&gt;0,ISNUMBER($B$3),$B$3&gt;0),F402/(6*$B$3*1000000*$B$5)*(IF(B402&lt;($B$4*9/10),($B$4*9/10)*(MIN(C402,($B$4*9/10))^3-B402^3)-(MIN(C402,($B$4*9/10))^4-B402^4)/4,0)+IF(C402&gt;($B$4*9/10),($B$4*9/10)^2*(1.5*(C402^2-MAX(B402,($B$4*9/10))^2)-($B$4*9/10)*(C402-MAX(B402,($B$4*9/10)))),0))*1000,0)</f>
        <v>0</v>
      </c>
      <c r="AK402" s="120">
        <f>IF(AND(J402="OK",ISNUMBER($B$5),$B$5&gt;0,ISNUMBER($B$3),$B$3&gt;0),F402/(6*$B$3*1000000*$B$5)*(IF(B402&lt;($B$4*10/10),($B$4*10/10)*(MIN(C402,($B$4*10/10))^3-B402^3)-(MIN(C402,($B$4*10/10))^4-B402^4)/4,0)+IF(C402&gt;($B$4*10/10),($B$4*10/10)^2*(1.5*(C402^2-MAX(B402,($B$4*10/10))^2)-($B$4*10/10)*(C402-MAX(B402,($B$4*10/10)))),0))*1000,0)</f>
        <v>0</v>
      </c>
      <c r="AM402" s="120">
        <f>IF(AND(V402="OK",ISNUMBER($N$5),$N$5&gt;0,ISNUMBER($N$3),$N$3&gt;0),R402/(6*$N$3*1000000*$N$5)*(IF(N402&lt;($N$4*0/10),($N$4*0/10)*(MIN(O402,($N$4*0/10))^3-N402^3)-(MIN(O402,($N$4*0/10))^4-N402^4)/4,0)+IF(O402&gt;($N$4*0/10),($N$4*0/10)^2*(1.5*(O402^2-MAX(N402,($N$4*0/10))^2)-($N$4*0/10)*(O402-MAX(N402,($N$4*0/10)))),0))*1000,0)</f>
        <v>0</v>
      </c>
      <c r="AN402" s="120">
        <f>IF(AND(V402="OK",ISNUMBER($N$5),$N$5&gt;0,ISNUMBER($N$3),$N$3&gt;0),R402/(6*$N$3*1000000*$N$5)*(IF(N402&lt;($N$4*1/10),($N$4*1/10)*(MIN(O402,($N$4*1/10))^3-N402^3)-(MIN(O402,($N$4*1/10))^4-N402^4)/4,0)+IF(O402&gt;($N$4*1/10),($N$4*1/10)^2*(1.5*(O402^2-MAX(N402,($N$4*1/10))^2)-($N$4*1/10)*(O402-MAX(N402,($N$4*1/10)))),0))*1000,0)</f>
        <v>0</v>
      </c>
      <c r="AO402" s="120">
        <f>IF(AND(V402="OK",ISNUMBER($N$5),$N$5&gt;0,ISNUMBER($N$3),$N$3&gt;0),R402/(6*$N$3*1000000*$N$5)*(IF(N402&lt;($N$4*2/10),($N$4*2/10)*(MIN(O402,($N$4*2/10))^3-N402^3)-(MIN(O402,($N$4*2/10))^4-N402^4)/4,0)+IF(O402&gt;($N$4*2/10),($N$4*2/10)^2*(1.5*(O402^2-MAX(N402,($N$4*2/10))^2)-($N$4*2/10)*(O402-MAX(N402,($N$4*2/10)))),0))*1000,0)</f>
        <v>0</v>
      </c>
      <c r="AP402" s="120">
        <f>IF(AND(V402="OK",ISNUMBER($N$5),$N$5&gt;0,ISNUMBER($N$3),$N$3&gt;0),R402/(6*$N$3*1000000*$N$5)*(IF(N402&lt;($N$4*3/10),($N$4*3/10)*(MIN(O402,($N$4*3/10))^3-N402^3)-(MIN(O402,($N$4*3/10))^4-N402^4)/4,0)+IF(O402&gt;($N$4*3/10),($N$4*3/10)^2*(1.5*(O402^2-MAX(N402,($N$4*3/10))^2)-($N$4*3/10)*(O402-MAX(N402,($N$4*3/10)))),0))*1000,0)</f>
        <v>0</v>
      </c>
      <c r="AQ402" s="120">
        <f>IF(AND(V402="OK",ISNUMBER($N$5),$N$5&gt;0,ISNUMBER($N$3),$N$3&gt;0),R402/(6*$N$3*1000000*$N$5)*(IF(N402&lt;($N$4*4/10),($N$4*4/10)*(MIN(O402,($N$4*4/10))^3-N402^3)-(MIN(O402,($N$4*4/10))^4-N402^4)/4,0)+IF(O402&gt;($N$4*4/10),($N$4*4/10)^2*(1.5*(O402^2-MAX(N402,($N$4*4/10))^2)-($N$4*4/10)*(O402-MAX(N402,($N$4*4/10)))),0))*1000,0)</f>
        <v>0</v>
      </c>
      <c r="AR402" s="120">
        <f>IF(AND(V402="OK",ISNUMBER($N$5),$N$5&gt;0,ISNUMBER($N$3),$N$3&gt;0),R402/(6*$N$3*1000000*$N$5)*(IF(N402&lt;($N$4*5/10),($N$4*5/10)*(MIN(O402,($N$4*5/10))^3-N402^3)-(MIN(O402,($N$4*5/10))^4-N402^4)/4,0)+IF(O402&gt;($N$4*5/10),($N$4*5/10)^2*(1.5*(O402^2-MAX(N402,($N$4*5/10))^2)-($N$4*5/10)*(O402-MAX(N402,($N$4*5/10)))),0))*1000,0)</f>
        <v>0</v>
      </c>
      <c r="AS402" s="120">
        <f>IF(AND(V402="OK",ISNUMBER($N$5),$N$5&gt;0,ISNUMBER($N$3),$N$3&gt;0),R402/(6*$N$3*1000000*$N$5)*(IF(N402&lt;($N$4*6/10),($N$4*6/10)*(MIN(O402,($N$4*6/10))^3-N402^3)-(MIN(O402,($N$4*6/10))^4-N402^4)/4,0)+IF(O402&gt;($N$4*6/10),($N$4*6/10)^2*(1.5*(O402^2-MAX(N402,($N$4*6/10))^2)-($N$4*6/10)*(O402-MAX(N402,($N$4*6/10)))),0))*1000,0)</f>
        <v>0</v>
      </c>
      <c r="AT402" s="120">
        <f>IF(AND(V402="OK",ISNUMBER($N$5),$N$5&gt;0,ISNUMBER($N$3),$N$3&gt;0),R402/(6*$N$3*1000000*$N$5)*(IF(N402&lt;($N$4*7/10),($N$4*7/10)*(MIN(O402,($N$4*7/10))^3-N402^3)-(MIN(O402,($N$4*7/10))^4-N402^4)/4,0)+IF(O402&gt;($N$4*7/10),($N$4*7/10)^2*(1.5*(O402^2-MAX(N402,($N$4*7/10))^2)-($N$4*7/10)*(O402-MAX(N402,($N$4*7/10)))),0))*1000,0)</f>
        <v>0</v>
      </c>
      <c r="AU402" s="120">
        <f>IF(AND(V402="OK",ISNUMBER($N$5),$N$5&gt;0,ISNUMBER($N$3),$N$3&gt;0),R402/(6*$N$3*1000000*$N$5)*(IF(N402&lt;($N$4*8/10),($N$4*8/10)*(MIN(O402,($N$4*8/10))^3-N402^3)-(MIN(O402,($N$4*8/10))^4-N402^4)/4,0)+IF(O402&gt;($N$4*8/10),($N$4*8/10)^2*(1.5*(O402^2-MAX(N402,($N$4*8/10))^2)-($N$4*8/10)*(O402-MAX(N402,($N$4*8/10)))),0))*1000,0)</f>
        <v>0</v>
      </c>
      <c r="AV402" s="120">
        <f>IF(AND(V402="OK",ISNUMBER($N$5),$N$5&gt;0,ISNUMBER($N$3),$N$3&gt;0),R402/(6*$N$3*1000000*$N$5)*(IF(N402&lt;($N$4*9/10),($N$4*9/10)*(MIN(O402,($N$4*9/10))^3-N402^3)-(MIN(O402,($N$4*9/10))^4-N402^4)/4,0)+IF(O402&gt;($N$4*9/10),($N$4*9/10)^2*(1.5*(O402^2-MAX(N402,($N$4*9/10))^2)-($N$4*9/10)*(O402-MAX(N402,($N$4*9/10)))),0))*1000,0)</f>
        <v>0</v>
      </c>
      <c r="AW402" s="120">
        <f>IF(AND(V402="OK",ISNUMBER($N$5),$N$5&gt;0,ISNUMBER($N$3),$N$3&gt;0),R402/(6*$N$3*1000000*$N$5)*(IF(N402&lt;($N$4*10/10),($N$4*10/10)*(MIN(O402,($N$4*10/10))^3-N402^3)-(MIN(O402,($N$4*10/10))^4-N402^4)/4,0)+IF(O402&gt;($N$4*10/10),($N$4*10/10)^2*(1.5*(O402^2-MAX(N402,($N$4*10/10))^2)-($N$4*10/10)*(O402-MAX(N402,($N$4*10/10)))),0))*1000,0)</f>
        <v>0</v>
      </c>
    </row>
    <row r="403" spans="1:49">
      <c r="A403" s="124"/>
      <c r="B403" s="125"/>
      <c r="C403" s="125"/>
      <c r="D403" s="125"/>
      <c r="E403" s="125"/>
      <c r="F403" s="126" t="str">
        <f>IF(J403="OK",D403*E403,"")</f>
        <v/>
      </c>
      <c r="G403" s="126" t="str">
        <f>IF(J403="OK",F403*(C403-B403),"")</f>
        <v/>
      </c>
      <c r="H403" s="126" t="str">
        <f>IF(J403="OK",G403*(C403+B403)/2,"")</f>
        <v/>
      </c>
      <c r="I403" s="126" t="str">
        <f>IF(AND(J403="OK",ISNUMBER($B$5),$B$5&gt;0,ISNUMBER($B$3),$B$3&gt;0),F403*(4*$B$4*(C403^3-B403^3)-(C403^4-B403^4))/(24*$B$3*1000000*$B$5)*1000,"")</f>
        <v/>
      </c>
      <c r="J403" s="120" t="str">
        <f>IF(COUNTA(A403:E403)=0,"",IF(AND(COUNT(B403:E403)=4,B403&gt;=0,C403&gt;B403,C403&lt;=$B$4,D403&gt;=0,E403&gt;0),IF(COUNTIFS($B$13:$B$402,"&lt;"&amp;C403,$C$13:$C$402,"&gt;"&amp;B403)&gt;0,"OVERLAP","OK"),"CHECK INPUTS"))</f>
        <v/>
      </c>
      <c r="M403" s="124"/>
      <c r="N403" s="125"/>
      <c r="O403" s="125"/>
      <c r="P403" s="125"/>
      <c r="Q403" s="125"/>
      <c r="R403" s="126" t="str">
        <f>IF(V403="OK",P403*Q403,"")</f>
        <v/>
      </c>
      <c r="S403" s="126" t="str">
        <f>IF(V403="OK",R403*(O403-N403),"")</f>
        <v/>
      </c>
      <c r="T403" s="126" t="str">
        <f>IF(V403="OK",S403*(O403+N403)/2,"")</f>
        <v/>
      </c>
      <c r="U403" s="126" t="str">
        <f>IF(AND(V403="OK",ISNUMBER($N$5),$N$5&gt;0,ISNUMBER($N$3),$N$3&gt;0),R403*(4*$N$4*(O403^3-N403^3)-(O403^4-N403^4))/(24*$N$3*1000000*$N$5)*1000,"")</f>
        <v/>
      </c>
      <c r="V403" s="120" t="str">
        <f>IF(COUNTA(M403:Q403)=0,"",IF(AND(COUNT(N403:Q403)=4,N403&gt;=0,O403&gt;N403,O403&lt;=$N$4,P403&gt;=0,Q403&gt;0),IF(COUNTIFS($N$13:$N$402,"&lt;"&amp;O403,$O$13:$O$402,"&gt;"&amp;N403)&gt;0,"OVERLAP","OK"),"CHECK INPUTS"))</f>
        <v/>
      </c>
      <c r="AA403" s="120">
        <f>IF(AND(J403="OK",ISNUMBER($B$5),$B$5&gt;0,ISNUMBER($B$3),$B$3&gt;0),F403/(6*$B$3*1000000*$B$5)*(IF(B403&lt;($B$4*0/10),($B$4*0/10)*(MIN(C403,($B$4*0/10))^3-B403^3)-(MIN(C403,($B$4*0/10))^4-B403^4)/4,0)+IF(C403&gt;($B$4*0/10),($B$4*0/10)^2*(1.5*(C403^2-MAX(B403,($B$4*0/10))^2)-($B$4*0/10)*(C403-MAX(B403,($B$4*0/10)))),0))*1000,0)</f>
        <v>0</v>
      </c>
      <c r="AB403" s="120">
        <f>IF(AND(J403="OK",ISNUMBER($B$5),$B$5&gt;0,ISNUMBER($B$3),$B$3&gt;0),F403/(6*$B$3*1000000*$B$5)*(IF(B403&lt;($B$4*1/10),($B$4*1/10)*(MIN(C403,($B$4*1/10))^3-B403^3)-(MIN(C403,($B$4*1/10))^4-B403^4)/4,0)+IF(C403&gt;($B$4*1/10),($B$4*1/10)^2*(1.5*(C403^2-MAX(B403,($B$4*1/10))^2)-($B$4*1/10)*(C403-MAX(B403,($B$4*1/10)))),0))*1000,0)</f>
        <v>0</v>
      </c>
      <c r="AC403" s="120">
        <f>IF(AND(J403="OK",ISNUMBER($B$5),$B$5&gt;0,ISNUMBER($B$3),$B$3&gt;0),F403/(6*$B$3*1000000*$B$5)*(IF(B403&lt;($B$4*2/10),($B$4*2/10)*(MIN(C403,($B$4*2/10))^3-B403^3)-(MIN(C403,($B$4*2/10))^4-B403^4)/4,0)+IF(C403&gt;($B$4*2/10),($B$4*2/10)^2*(1.5*(C403^2-MAX(B403,($B$4*2/10))^2)-($B$4*2/10)*(C403-MAX(B403,($B$4*2/10)))),0))*1000,0)</f>
        <v>0</v>
      </c>
      <c r="AD403" s="120">
        <f>IF(AND(J403="OK",ISNUMBER($B$5),$B$5&gt;0,ISNUMBER($B$3),$B$3&gt;0),F403/(6*$B$3*1000000*$B$5)*(IF(B403&lt;($B$4*3/10),($B$4*3/10)*(MIN(C403,($B$4*3/10))^3-B403^3)-(MIN(C403,($B$4*3/10))^4-B403^4)/4,0)+IF(C403&gt;($B$4*3/10),($B$4*3/10)^2*(1.5*(C403^2-MAX(B403,($B$4*3/10))^2)-($B$4*3/10)*(C403-MAX(B403,($B$4*3/10)))),0))*1000,0)</f>
        <v>0</v>
      </c>
      <c r="AE403" s="120">
        <f>IF(AND(J403="OK",ISNUMBER($B$5),$B$5&gt;0,ISNUMBER($B$3),$B$3&gt;0),F403/(6*$B$3*1000000*$B$5)*(IF(B403&lt;($B$4*4/10),($B$4*4/10)*(MIN(C403,($B$4*4/10))^3-B403^3)-(MIN(C403,($B$4*4/10))^4-B403^4)/4,0)+IF(C403&gt;($B$4*4/10),($B$4*4/10)^2*(1.5*(C403^2-MAX(B403,($B$4*4/10))^2)-($B$4*4/10)*(C403-MAX(B403,($B$4*4/10)))),0))*1000,0)</f>
        <v>0</v>
      </c>
      <c r="AF403" s="120">
        <f>IF(AND(J403="OK",ISNUMBER($B$5),$B$5&gt;0,ISNUMBER($B$3),$B$3&gt;0),F403/(6*$B$3*1000000*$B$5)*(IF(B403&lt;($B$4*5/10),($B$4*5/10)*(MIN(C403,($B$4*5/10))^3-B403^3)-(MIN(C403,($B$4*5/10))^4-B403^4)/4,0)+IF(C403&gt;($B$4*5/10),($B$4*5/10)^2*(1.5*(C403^2-MAX(B403,($B$4*5/10))^2)-($B$4*5/10)*(C403-MAX(B403,($B$4*5/10)))),0))*1000,0)</f>
        <v>0</v>
      </c>
      <c r="AG403" s="120">
        <f>IF(AND(J403="OK",ISNUMBER($B$5),$B$5&gt;0,ISNUMBER($B$3),$B$3&gt;0),F403/(6*$B$3*1000000*$B$5)*(IF(B403&lt;($B$4*6/10),($B$4*6/10)*(MIN(C403,($B$4*6/10))^3-B403^3)-(MIN(C403,($B$4*6/10))^4-B403^4)/4,0)+IF(C403&gt;($B$4*6/10),($B$4*6/10)^2*(1.5*(C403^2-MAX(B403,($B$4*6/10))^2)-($B$4*6/10)*(C403-MAX(B403,($B$4*6/10)))),0))*1000,0)</f>
        <v>0</v>
      </c>
      <c r="AH403" s="120">
        <f>IF(AND(J403="OK",ISNUMBER($B$5),$B$5&gt;0,ISNUMBER($B$3),$B$3&gt;0),F403/(6*$B$3*1000000*$B$5)*(IF(B403&lt;($B$4*7/10),($B$4*7/10)*(MIN(C403,($B$4*7/10))^3-B403^3)-(MIN(C403,($B$4*7/10))^4-B403^4)/4,0)+IF(C403&gt;($B$4*7/10),($B$4*7/10)^2*(1.5*(C403^2-MAX(B403,($B$4*7/10))^2)-($B$4*7/10)*(C403-MAX(B403,($B$4*7/10)))),0))*1000,0)</f>
        <v>0</v>
      </c>
      <c r="AI403" s="120">
        <f>IF(AND(J403="OK",ISNUMBER($B$5),$B$5&gt;0,ISNUMBER($B$3),$B$3&gt;0),F403/(6*$B$3*1000000*$B$5)*(IF(B403&lt;($B$4*8/10),($B$4*8/10)*(MIN(C403,($B$4*8/10))^3-B403^3)-(MIN(C403,($B$4*8/10))^4-B403^4)/4,0)+IF(C403&gt;($B$4*8/10),($B$4*8/10)^2*(1.5*(C403^2-MAX(B403,($B$4*8/10))^2)-($B$4*8/10)*(C403-MAX(B403,($B$4*8/10)))),0))*1000,0)</f>
        <v>0</v>
      </c>
      <c r="AJ403" s="120">
        <f>IF(AND(J403="OK",ISNUMBER($B$5),$B$5&gt;0,ISNUMBER($B$3),$B$3&gt;0),F403/(6*$B$3*1000000*$B$5)*(IF(B403&lt;($B$4*9/10),($B$4*9/10)*(MIN(C403,($B$4*9/10))^3-B403^3)-(MIN(C403,($B$4*9/10))^4-B403^4)/4,0)+IF(C403&gt;($B$4*9/10),($B$4*9/10)^2*(1.5*(C403^2-MAX(B403,($B$4*9/10))^2)-($B$4*9/10)*(C403-MAX(B403,($B$4*9/10)))),0))*1000,0)</f>
        <v>0</v>
      </c>
      <c r="AK403" s="120">
        <f>IF(AND(J403="OK",ISNUMBER($B$5),$B$5&gt;0,ISNUMBER($B$3),$B$3&gt;0),F403/(6*$B$3*1000000*$B$5)*(IF(B403&lt;($B$4*10/10),($B$4*10/10)*(MIN(C403,($B$4*10/10))^3-B403^3)-(MIN(C403,($B$4*10/10))^4-B403^4)/4,0)+IF(C403&gt;($B$4*10/10),($B$4*10/10)^2*(1.5*(C403^2-MAX(B403,($B$4*10/10))^2)-($B$4*10/10)*(C403-MAX(B403,($B$4*10/10)))),0))*1000,0)</f>
        <v>0</v>
      </c>
      <c r="AM403" s="120">
        <f>IF(AND(V403="OK",ISNUMBER($N$5),$N$5&gt;0,ISNUMBER($N$3),$N$3&gt;0),R403/(6*$N$3*1000000*$N$5)*(IF(N403&lt;($N$4*0/10),($N$4*0/10)*(MIN(O403,($N$4*0/10))^3-N403^3)-(MIN(O403,($N$4*0/10))^4-N403^4)/4,0)+IF(O403&gt;($N$4*0/10),($N$4*0/10)^2*(1.5*(O403^2-MAX(N403,($N$4*0/10))^2)-($N$4*0/10)*(O403-MAX(N403,($N$4*0/10)))),0))*1000,0)</f>
        <v>0</v>
      </c>
      <c r="AN403" s="120">
        <f>IF(AND(V403="OK",ISNUMBER($N$5),$N$5&gt;0,ISNUMBER($N$3),$N$3&gt;0),R403/(6*$N$3*1000000*$N$5)*(IF(N403&lt;($N$4*1/10),($N$4*1/10)*(MIN(O403,($N$4*1/10))^3-N403^3)-(MIN(O403,($N$4*1/10))^4-N403^4)/4,0)+IF(O403&gt;($N$4*1/10),($N$4*1/10)^2*(1.5*(O403^2-MAX(N403,($N$4*1/10))^2)-($N$4*1/10)*(O403-MAX(N403,($N$4*1/10)))),0))*1000,0)</f>
        <v>0</v>
      </c>
      <c r="AO403" s="120">
        <f>IF(AND(V403="OK",ISNUMBER($N$5),$N$5&gt;0,ISNUMBER($N$3),$N$3&gt;0),R403/(6*$N$3*1000000*$N$5)*(IF(N403&lt;($N$4*2/10),($N$4*2/10)*(MIN(O403,($N$4*2/10))^3-N403^3)-(MIN(O403,($N$4*2/10))^4-N403^4)/4,0)+IF(O403&gt;($N$4*2/10),($N$4*2/10)^2*(1.5*(O403^2-MAX(N403,($N$4*2/10))^2)-($N$4*2/10)*(O403-MAX(N403,($N$4*2/10)))),0))*1000,0)</f>
        <v>0</v>
      </c>
      <c r="AP403" s="120">
        <f>IF(AND(V403="OK",ISNUMBER($N$5),$N$5&gt;0,ISNUMBER($N$3),$N$3&gt;0),R403/(6*$N$3*1000000*$N$5)*(IF(N403&lt;($N$4*3/10),($N$4*3/10)*(MIN(O403,($N$4*3/10))^3-N403^3)-(MIN(O403,($N$4*3/10))^4-N403^4)/4,0)+IF(O403&gt;($N$4*3/10),($N$4*3/10)^2*(1.5*(O403^2-MAX(N403,($N$4*3/10))^2)-($N$4*3/10)*(O403-MAX(N403,($N$4*3/10)))),0))*1000,0)</f>
        <v>0</v>
      </c>
      <c r="AQ403" s="120">
        <f>IF(AND(V403="OK",ISNUMBER($N$5),$N$5&gt;0,ISNUMBER($N$3),$N$3&gt;0),R403/(6*$N$3*1000000*$N$5)*(IF(N403&lt;($N$4*4/10),($N$4*4/10)*(MIN(O403,($N$4*4/10))^3-N403^3)-(MIN(O403,($N$4*4/10))^4-N403^4)/4,0)+IF(O403&gt;($N$4*4/10),($N$4*4/10)^2*(1.5*(O403^2-MAX(N403,($N$4*4/10))^2)-($N$4*4/10)*(O403-MAX(N403,($N$4*4/10)))),0))*1000,0)</f>
        <v>0</v>
      </c>
      <c r="AR403" s="120">
        <f>IF(AND(V403="OK",ISNUMBER($N$5),$N$5&gt;0,ISNUMBER($N$3),$N$3&gt;0),R403/(6*$N$3*1000000*$N$5)*(IF(N403&lt;($N$4*5/10),($N$4*5/10)*(MIN(O403,($N$4*5/10))^3-N403^3)-(MIN(O403,($N$4*5/10))^4-N403^4)/4,0)+IF(O403&gt;($N$4*5/10),($N$4*5/10)^2*(1.5*(O403^2-MAX(N403,($N$4*5/10))^2)-($N$4*5/10)*(O403-MAX(N403,($N$4*5/10)))),0))*1000,0)</f>
        <v>0</v>
      </c>
      <c r="AS403" s="120">
        <f>IF(AND(V403="OK",ISNUMBER($N$5),$N$5&gt;0,ISNUMBER($N$3),$N$3&gt;0),R403/(6*$N$3*1000000*$N$5)*(IF(N403&lt;($N$4*6/10),($N$4*6/10)*(MIN(O403,($N$4*6/10))^3-N403^3)-(MIN(O403,($N$4*6/10))^4-N403^4)/4,0)+IF(O403&gt;($N$4*6/10),($N$4*6/10)^2*(1.5*(O403^2-MAX(N403,($N$4*6/10))^2)-($N$4*6/10)*(O403-MAX(N403,($N$4*6/10)))),0))*1000,0)</f>
        <v>0</v>
      </c>
      <c r="AT403" s="120">
        <f>IF(AND(V403="OK",ISNUMBER($N$5),$N$5&gt;0,ISNUMBER($N$3),$N$3&gt;0),R403/(6*$N$3*1000000*$N$5)*(IF(N403&lt;($N$4*7/10),($N$4*7/10)*(MIN(O403,($N$4*7/10))^3-N403^3)-(MIN(O403,($N$4*7/10))^4-N403^4)/4,0)+IF(O403&gt;($N$4*7/10),($N$4*7/10)^2*(1.5*(O403^2-MAX(N403,($N$4*7/10))^2)-($N$4*7/10)*(O403-MAX(N403,($N$4*7/10)))),0))*1000,0)</f>
        <v>0</v>
      </c>
      <c r="AU403" s="120">
        <f>IF(AND(V403="OK",ISNUMBER($N$5),$N$5&gt;0,ISNUMBER($N$3),$N$3&gt;0),R403/(6*$N$3*1000000*$N$5)*(IF(N403&lt;($N$4*8/10),($N$4*8/10)*(MIN(O403,($N$4*8/10))^3-N403^3)-(MIN(O403,($N$4*8/10))^4-N403^4)/4,0)+IF(O403&gt;($N$4*8/10),($N$4*8/10)^2*(1.5*(O403^2-MAX(N403,($N$4*8/10))^2)-($N$4*8/10)*(O403-MAX(N403,($N$4*8/10)))),0))*1000,0)</f>
        <v>0</v>
      </c>
      <c r="AV403" s="120">
        <f>IF(AND(V403="OK",ISNUMBER($N$5),$N$5&gt;0,ISNUMBER($N$3),$N$3&gt;0),R403/(6*$N$3*1000000*$N$5)*(IF(N403&lt;($N$4*9/10),($N$4*9/10)*(MIN(O403,($N$4*9/10))^3-N403^3)-(MIN(O403,($N$4*9/10))^4-N403^4)/4,0)+IF(O403&gt;($N$4*9/10),($N$4*9/10)^2*(1.5*(O403^2-MAX(N403,($N$4*9/10))^2)-($N$4*9/10)*(O403-MAX(N403,($N$4*9/10)))),0))*1000,0)</f>
        <v>0</v>
      </c>
      <c r="AW403" s="120">
        <f>IF(AND(V403="OK",ISNUMBER($N$5),$N$5&gt;0,ISNUMBER($N$3),$N$3&gt;0),R403/(6*$N$3*1000000*$N$5)*(IF(N403&lt;($N$4*10/10),($N$4*10/10)*(MIN(O403,($N$4*10/10))^3-N403^3)-(MIN(O403,($N$4*10/10))^4-N403^4)/4,0)+IF(O403&gt;($N$4*10/10),($N$4*10/10)^2*(1.5*(O403^2-MAX(N403,($N$4*10/10))^2)-($N$4*10/10)*(O403-MAX(N403,($N$4*10/10)))),0))*1000,0)</f>
        <v>0</v>
      </c>
    </row>
    <row r="404" spans="1:49">
      <c r="A404" s="124"/>
      <c r="B404" s="125"/>
      <c r="C404" s="125"/>
      <c r="D404" s="125"/>
      <c r="E404" s="125"/>
      <c r="F404" s="126" t="str">
        <f>IF(J404="OK",D404*E404,"")</f>
        <v/>
      </c>
      <c r="G404" s="126" t="str">
        <f>IF(J404="OK",F404*(C404-B404),"")</f>
        <v/>
      </c>
      <c r="H404" s="126" t="str">
        <f>IF(J404="OK",G404*(C404+B404)/2,"")</f>
        <v/>
      </c>
      <c r="I404" s="126" t="str">
        <f>IF(AND(J404="OK",ISNUMBER($B$5),$B$5&gt;0,ISNUMBER($B$3),$B$3&gt;0),F404*(4*$B$4*(C404^3-B404^3)-(C404^4-B404^4))/(24*$B$3*1000000*$B$5)*1000,"")</f>
        <v/>
      </c>
      <c r="J404" s="120" t="str">
        <f>IF(COUNTA(A404:E404)=0,"",IF(AND(COUNT(B404:E404)=4,B404&gt;=0,C404&gt;B404,C404&lt;=$B$4,D404&gt;=0,E404&gt;0),IF(COUNTIFS($B$13:$B$403,"&lt;"&amp;C404,$C$13:$C$403,"&gt;"&amp;B404)&gt;0,"OVERLAP","OK"),"CHECK INPUTS"))</f>
        <v/>
      </c>
      <c r="M404" s="124"/>
      <c r="N404" s="125"/>
      <c r="O404" s="125"/>
      <c r="P404" s="125"/>
      <c r="Q404" s="125"/>
      <c r="R404" s="126" t="str">
        <f>IF(V404="OK",P404*Q404,"")</f>
        <v/>
      </c>
      <c r="S404" s="126" t="str">
        <f>IF(V404="OK",R404*(O404-N404),"")</f>
        <v/>
      </c>
      <c r="T404" s="126" t="str">
        <f>IF(V404="OK",S404*(O404+N404)/2,"")</f>
        <v/>
      </c>
      <c r="U404" s="126" t="str">
        <f>IF(AND(V404="OK",ISNUMBER($N$5),$N$5&gt;0,ISNUMBER($N$3),$N$3&gt;0),R404*(4*$N$4*(O404^3-N404^3)-(O404^4-N404^4))/(24*$N$3*1000000*$N$5)*1000,"")</f>
        <v/>
      </c>
      <c r="V404" s="120" t="str">
        <f>IF(COUNTA(M404:Q404)=0,"",IF(AND(COUNT(N404:Q404)=4,N404&gt;=0,O404&gt;N404,O404&lt;=$N$4,P404&gt;=0,Q404&gt;0),IF(COUNTIFS($N$13:$N$403,"&lt;"&amp;O404,$O$13:$O$403,"&gt;"&amp;N404)&gt;0,"OVERLAP","OK"),"CHECK INPUTS"))</f>
        <v/>
      </c>
      <c r="AA404" s="120">
        <f>IF(AND(J404="OK",ISNUMBER($B$5),$B$5&gt;0,ISNUMBER($B$3),$B$3&gt;0),F404/(6*$B$3*1000000*$B$5)*(IF(B404&lt;($B$4*0/10),($B$4*0/10)*(MIN(C404,($B$4*0/10))^3-B404^3)-(MIN(C404,($B$4*0/10))^4-B404^4)/4,0)+IF(C404&gt;($B$4*0/10),($B$4*0/10)^2*(1.5*(C404^2-MAX(B404,($B$4*0/10))^2)-($B$4*0/10)*(C404-MAX(B404,($B$4*0/10)))),0))*1000,0)</f>
        <v>0</v>
      </c>
      <c r="AB404" s="120">
        <f>IF(AND(J404="OK",ISNUMBER($B$5),$B$5&gt;0,ISNUMBER($B$3),$B$3&gt;0),F404/(6*$B$3*1000000*$B$5)*(IF(B404&lt;($B$4*1/10),($B$4*1/10)*(MIN(C404,($B$4*1/10))^3-B404^3)-(MIN(C404,($B$4*1/10))^4-B404^4)/4,0)+IF(C404&gt;($B$4*1/10),($B$4*1/10)^2*(1.5*(C404^2-MAX(B404,($B$4*1/10))^2)-($B$4*1/10)*(C404-MAX(B404,($B$4*1/10)))),0))*1000,0)</f>
        <v>0</v>
      </c>
      <c r="AC404" s="120">
        <f>IF(AND(J404="OK",ISNUMBER($B$5),$B$5&gt;0,ISNUMBER($B$3),$B$3&gt;0),F404/(6*$B$3*1000000*$B$5)*(IF(B404&lt;($B$4*2/10),($B$4*2/10)*(MIN(C404,($B$4*2/10))^3-B404^3)-(MIN(C404,($B$4*2/10))^4-B404^4)/4,0)+IF(C404&gt;($B$4*2/10),($B$4*2/10)^2*(1.5*(C404^2-MAX(B404,($B$4*2/10))^2)-($B$4*2/10)*(C404-MAX(B404,($B$4*2/10)))),0))*1000,0)</f>
        <v>0</v>
      </c>
      <c r="AD404" s="120">
        <f>IF(AND(J404="OK",ISNUMBER($B$5),$B$5&gt;0,ISNUMBER($B$3),$B$3&gt;0),F404/(6*$B$3*1000000*$B$5)*(IF(B404&lt;($B$4*3/10),($B$4*3/10)*(MIN(C404,($B$4*3/10))^3-B404^3)-(MIN(C404,($B$4*3/10))^4-B404^4)/4,0)+IF(C404&gt;($B$4*3/10),($B$4*3/10)^2*(1.5*(C404^2-MAX(B404,($B$4*3/10))^2)-($B$4*3/10)*(C404-MAX(B404,($B$4*3/10)))),0))*1000,0)</f>
        <v>0</v>
      </c>
      <c r="AE404" s="120">
        <f>IF(AND(J404="OK",ISNUMBER($B$5),$B$5&gt;0,ISNUMBER($B$3),$B$3&gt;0),F404/(6*$B$3*1000000*$B$5)*(IF(B404&lt;($B$4*4/10),($B$4*4/10)*(MIN(C404,($B$4*4/10))^3-B404^3)-(MIN(C404,($B$4*4/10))^4-B404^4)/4,0)+IF(C404&gt;($B$4*4/10),($B$4*4/10)^2*(1.5*(C404^2-MAX(B404,($B$4*4/10))^2)-($B$4*4/10)*(C404-MAX(B404,($B$4*4/10)))),0))*1000,0)</f>
        <v>0</v>
      </c>
      <c r="AF404" s="120">
        <f>IF(AND(J404="OK",ISNUMBER($B$5),$B$5&gt;0,ISNUMBER($B$3),$B$3&gt;0),F404/(6*$B$3*1000000*$B$5)*(IF(B404&lt;($B$4*5/10),($B$4*5/10)*(MIN(C404,($B$4*5/10))^3-B404^3)-(MIN(C404,($B$4*5/10))^4-B404^4)/4,0)+IF(C404&gt;($B$4*5/10),($B$4*5/10)^2*(1.5*(C404^2-MAX(B404,($B$4*5/10))^2)-($B$4*5/10)*(C404-MAX(B404,($B$4*5/10)))),0))*1000,0)</f>
        <v>0</v>
      </c>
      <c r="AG404" s="120">
        <f>IF(AND(J404="OK",ISNUMBER($B$5),$B$5&gt;0,ISNUMBER($B$3),$B$3&gt;0),F404/(6*$B$3*1000000*$B$5)*(IF(B404&lt;($B$4*6/10),($B$4*6/10)*(MIN(C404,($B$4*6/10))^3-B404^3)-(MIN(C404,($B$4*6/10))^4-B404^4)/4,0)+IF(C404&gt;($B$4*6/10),($B$4*6/10)^2*(1.5*(C404^2-MAX(B404,($B$4*6/10))^2)-($B$4*6/10)*(C404-MAX(B404,($B$4*6/10)))),0))*1000,0)</f>
        <v>0</v>
      </c>
      <c r="AH404" s="120">
        <f>IF(AND(J404="OK",ISNUMBER($B$5),$B$5&gt;0,ISNUMBER($B$3),$B$3&gt;0),F404/(6*$B$3*1000000*$B$5)*(IF(B404&lt;($B$4*7/10),($B$4*7/10)*(MIN(C404,($B$4*7/10))^3-B404^3)-(MIN(C404,($B$4*7/10))^4-B404^4)/4,0)+IF(C404&gt;($B$4*7/10),($B$4*7/10)^2*(1.5*(C404^2-MAX(B404,($B$4*7/10))^2)-($B$4*7/10)*(C404-MAX(B404,($B$4*7/10)))),0))*1000,0)</f>
        <v>0</v>
      </c>
      <c r="AI404" s="120">
        <f>IF(AND(J404="OK",ISNUMBER($B$5),$B$5&gt;0,ISNUMBER($B$3),$B$3&gt;0),F404/(6*$B$3*1000000*$B$5)*(IF(B404&lt;($B$4*8/10),($B$4*8/10)*(MIN(C404,($B$4*8/10))^3-B404^3)-(MIN(C404,($B$4*8/10))^4-B404^4)/4,0)+IF(C404&gt;($B$4*8/10),($B$4*8/10)^2*(1.5*(C404^2-MAX(B404,($B$4*8/10))^2)-($B$4*8/10)*(C404-MAX(B404,($B$4*8/10)))),0))*1000,0)</f>
        <v>0</v>
      </c>
      <c r="AJ404" s="120">
        <f>IF(AND(J404="OK",ISNUMBER($B$5),$B$5&gt;0,ISNUMBER($B$3),$B$3&gt;0),F404/(6*$B$3*1000000*$B$5)*(IF(B404&lt;($B$4*9/10),($B$4*9/10)*(MIN(C404,($B$4*9/10))^3-B404^3)-(MIN(C404,($B$4*9/10))^4-B404^4)/4,0)+IF(C404&gt;($B$4*9/10),($B$4*9/10)^2*(1.5*(C404^2-MAX(B404,($B$4*9/10))^2)-($B$4*9/10)*(C404-MAX(B404,($B$4*9/10)))),0))*1000,0)</f>
        <v>0</v>
      </c>
      <c r="AK404" s="120">
        <f>IF(AND(J404="OK",ISNUMBER($B$5),$B$5&gt;0,ISNUMBER($B$3),$B$3&gt;0),F404/(6*$B$3*1000000*$B$5)*(IF(B404&lt;($B$4*10/10),($B$4*10/10)*(MIN(C404,($B$4*10/10))^3-B404^3)-(MIN(C404,($B$4*10/10))^4-B404^4)/4,0)+IF(C404&gt;($B$4*10/10),($B$4*10/10)^2*(1.5*(C404^2-MAX(B404,($B$4*10/10))^2)-($B$4*10/10)*(C404-MAX(B404,($B$4*10/10)))),0))*1000,0)</f>
        <v>0</v>
      </c>
      <c r="AM404" s="120">
        <f>IF(AND(V404="OK",ISNUMBER($N$5),$N$5&gt;0,ISNUMBER($N$3),$N$3&gt;0),R404/(6*$N$3*1000000*$N$5)*(IF(N404&lt;($N$4*0/10),($N$4*0/10)*(MIN(O404,($N$4*0/10))^3-N404^3)-(MIN(O404,($N$4*0/10))^4-N404^4)/4,0)+IF(O404&gt;($N$4*0/10),($N$4*0/10)^2*(1.5*(O404^2-MAX(N404,($N$4*0/10))^2)-($N$4*0/10)*(O404-MAX(N404,($N$4*0/10)))),0))*1000,0)</f>
        <v>0</v>
      </c>
      <c r="AN404" s="120">
        <f>IF(AND(V404="OK",ISNUMBER($N$5),$N$5&gt;0,ISNUMBER($N$3),$N$3&gt;0),R404/(6*$N$3*1000000*$N$5)*(IF(N404&lt;($N$4*1/10),($N$4*1/10)*(MIN(O404,($N$4*1/10))^3-N404^3)-(MIN(O404,($N$4*1/10))^4-N404^4)/4,0)+IF(O404&gt;($N$4*1/10),($N$4*1/10)^2*(1.5*(O404^2-MAX(N404,($N$4*1/10))^2)-($N$4*1/10)*(O404-MAX(N404,($N$4*1/10)))),0))*1000,0)</f>
        <v>0</v>
      </c>
      <c r="AO404" s="120">
        <f>IF(AND(V404="OK",ISNUMBER($N$5),$N$5&gt;0,ISNUMBER($N$3),$N$3&gt;0),R404/(6*$N$3*1000000*$N$5)*(IF(N404&lt;($N$4*2/10),($N$4*2/10)*(MIN(O404,($N$4*2/10))^3-N404^3)-(MIN(O404,($N$4*2/10))^4-N404^4)/4,0)+IF(O404&gt;($N$4*2/10),($N$4*2/10)^2*(1.5*(O404^2-MAX(N404,($N$4*2/10))^2)-($N$4*2/10)*(O404-MAX(N404,($N$4*2/10)))),0))*1000,0)</f>
        <v>0</v>
      </c>
      <c r="AP404" s="120">
        <f>IF(AND(V404="OK",ISNUMBER($N$5),$N$5&gt;0,ISNUMBER($N$3),$N$3&gt;0),R404/(6*$N$3*1000000*$N$5)*(IF(N404&lt;($N$4*3/10),($N$4*3/10)*(MIN(O404,($N$4*3/10))^3-N404^3)-(MIN(O404,($N$4*3/10))^4-N404^4)/4,0)+IF(O404&gt;($N$4*3/10),($N$4*3/10)^2*(1.5*(O404^2-MAX(N404,($N$4*3/10))^2)-($N$4*3/10)*(O404-MAX(N404,($N$4*3/10)))),0))*1000,0)</f>
        <v>0</v>
      </c>
      <c r="AQ404" s="120">
        <f>IF(AND(V404="OK",ISNUMBER($N$5),$N$5&gt;0,ISNUMBER($N$3),$N$3&gt;0),R404/(6*$N$3*1000000*$N$5)*(IF(N404&lt;($N$4*4/10),($N$4*4/10)*(MIN(O404,($N$4*4/10))^3-N404^3)-(MIN(O404,($N$4*4/10))^4-N404^4)/4,0)+IF(O404&gt;($N$4*4/10),($N$4*4/10)^2*(1.5*(O404^2-MAX(N404,($N$4*4/10))^2)-($N$4*4/10)*(O404-MAX(N404,($N$4*4/10)))),0))*1000,0)</f>
        <v>0</v>
      </c>
      <c r="AR404" s="120">
        <f>IF(AND(V404="OK",ISNUMBER($N$5),$N$5&gt;0,ISNUMBER($N$3),$N$3&gt;0),R404/(6*$N$3*1000000*$N$5)*(IF(N404&lt;($N$4*5/10),($N$4*5/10)*(MIN(O404,($N$4*5/10))^3-N404^3)-(MIN(O404,($N$4*5/10))^4-N404^4)/4,0)+IF(O404&gt;($N$4*5/10),($N$4*5/10)^2*(1.5*(O404^2-MAX(N404,($N$4*5/10))^2)-($N$4*5/10)*(O404-MAX(N404,($N$4*5/10)))),0))*1000,0)</f>
        <v>0</v>
      </c>
      <c r="AS404" s="120">
        <f>IF(AND(V404="OK",ISNUMBER($N$5),$N$5&gt;0,ISNUMBER($N$3),$N$3&gt;0),R404/(6*$N$3*1000000*$N$5)*(IF(N404&lt;($N$4*6/10),($N$4*6/10)*(MIN(O404,($N$4*6/10))^3-N404^3)-(MIN(O404,($N$4*6/10))^4-N404^4)/4,0)+IF(O404&gt;($N$4*6/10),($N$4*6/10)^2*(1.5*(O404^2-MAX(N404,($N$4*6/10))^2)-($N$4*6/10)*(O404-MAX(N404,($N$4*6/10)))),0))*1000,0)</f>
        <v>0</v>
      </c>
      <c r="AT404" s="120">
        <f>IF(AND(V404="OK",ISNUMBER($N$5),$N$5&gt;0,ISNUMBER($N$3),$N$3&gt;0),R404/(6*$N$3*1000000*$N$5)*(IF(N404&lt;($N$4*7/10),($N$4*7/10)*(MIN(O404,($N$4*7/10))^3-N404^3)-(MIN(O404,($N$4*7/10))^4-N404^4)/4,0)+IF(O404&gt;($N$4*7/10),($N$4*7/10)^2*(1.5*(O404^2-MAX(N404,($N$4*7/10))^2)-($N$4*7/10)*(O404-MAX(N404,($N$4*7/10)))),0))*1000,0)</f>
        <v>0</v>
      </c>
      <c r="AU404" s="120">
        <f>IF(AND(V404="OK",ISNUMBER($N$5),$N$5&gt;0,ISNUMBER($N$3),$N$3&gt;0),R404/(6*$N$3*1000000*$N$5)*(IF(N404&lt;($N$4*8/10),($N$4*8/10)*(MIN(O404,($N$4*8/10))^3-N404^3)-(MIN(O404,($N$4*8/10))^4-N404^4)/4,0)+IF(O404&gt;($N$4*8/10),($N$4*8/10)^2*(1.5*(O404^2-MAX(N404,($N$4*8/10))^2)-($N$4*8/10)*(O404-MAX(N404,($N$4*8/10)))),0))*1000,0)</f>
        <v>0</v>
      </c>
      <c r="AV404" s="120">
        <f>IF(AND(V404="OK",ISNUMBER($N$5),$N$5&gt;0,ISNUMBER($N$3),$N$3&gt;0),R404/(6*$N$3*1000000*$N$5)*(IF(N404&lt;($N$4*9/10),($N$4*9/10)*(MIN(O404,($N$4*9/10))^3-N404^3)-(MIN(O404,($N$4*9/10))^4-N404^4)/4,0)+IF(O404&gt;($N$4*9/10),($N$4*9/10)^2*(1.5*(O404^2-MAX(N404,($N$4*9/10))^2)-($N$4*9/10)*(O404-MAX(N404,($N$4*9/10)))),0))*1000,0)</f>
        <v>0</v>
      </c>
      <c r="AW404" s="120">
        <f>IF(AND(V404="OK",ISNUMBER($N$5),$N$5&gt;0,ISNUMBER($N$3),$N$3&gt;0),R404/(6*$N$3*1000000*$N$5)*(IF(N404&lt;($N$4*10/10),($N$4*10/10)*(MIN(O404,($N$4*10/10))^3-N404^3)-(MIN(O404,($N$4*10/10))^4-N404^4)/4,0)+IF(O404&gt;($N$4*10/10),($N$4*10/10)^2*(1.5*(O404^2-MAX(N404,($N$4*10/10))^2)-($N$4*10/10)*(O404-MAX(N404,($N$4*10/10)))),0))*1000,0)</f>
        <v>0</v>
      </c>
    </row>
    <row r="405" spans="1:49">
      <c r="A405" s="124"/>
      <c r="B405" s="125"/>
      <c r="C405" s="125"/>
      <c r="D405" s="125"/>
      <c r="E405" s="125"/>
      <c r="F405" s="126" t="str">
        <f>IF(J405="OK",D405*E405,"")</f>
        <v/>
      </c>
      <c r="G405" s="126" t="str">
        <f>IF(J405="OK",F405*(C405-B405),"")</f>
        <v/>
      </c>
      <c r="H405" s="126" t="str">
        <f>IF(J405="OK",G405*(C405+B405)/2,"")</f>
        <v/>
      </c>
      <c r="I405" s="126" t="str">
        <f>IF(AND(J405="OK",ISNUMBER($B$5),$B$5&gt;0,ISNUMBER($B$3),$B$3&gt;0),F405*(4*$B$4*(C405^3-B405^3)-(C405^4-B405^4))/(24*$B$3*1000000*$B$5)*1000,"")</f>
        <v/>
      </c>
      <c r="J405" s="120" t="str">
        <f>IF(COUNTA(A405:E405)=0,"",IF(AND(COUNT(B405:E405)=4,B405&gt;=0,C405&gt;B405,C405&lt;=$B$4,D405&gt;=0,E405&gt;0),IF(COUNTIFS($B$13:$B$404,"&lt;"&amp;C405,$C$13:$C$404,"&gt;"&amp;B405)&gt;0,"OVERLAP","OK"),"CHECK INPUTS"))</f>
        <v/>
      </c>
      <c r="M405" s="124"/>
      <c r="N405" s="125"/>
      <c r="O405" s="125"/>
      <c r="P405" s="125"/>
      <c r="Q405" s="125"/>
      <c r="R405" s="126" t="str">
        <f>IF(V405="OK",P405*Q405,"")</f>
        <v/>
      </c>
      <c r="S405" s="126" t="str">
        <f>IF(V405="OK",R405*(O405-N405),"")</f>
        <v/>
      </c>
      <c r="T405" s="126" t="str">
        <f>IF(V405="OK",S405*(O405+N405)/2,"")</f>
        <v/>
      </c>
      <c r="U405" s="126" t="str">
        <f>IF(AND(V405="OK",ISNUMBER($N$5),$N$5&gt;0,ISNUMBER($N$3),$N$3&gt;0),R405*(4*$N$4*(O405^3-N405^3)-(O405^4-N405^4))/(24*$N$3*1000000*$N$5)*1000,"")</f>
        <v/>
      </c>
      <c r="V405" s="120" t="str">
        <f>IF(COUNTA(M405:Q405)=0,"",IF(AND(COUNT(N405:Q405)=4,N405&gt;=0,O405&gt;N405,O405&lt;=$N$4,P405&gt;=0,Q405&gt;0),IF(COUNTIFS($N$13:$N$404,"&lt;"&amp;O405,$O$13:$O$404,"&gt;"&amp;N405)&gt;0,"OVERLAP","OK"),"CHECK INPUTS"))</f>
        <v/>
      </c>
      <c r="AA405" s="120">
        <f>IF(AND(J405="OK",ISNUMBER($B$5),$B$5&gt;0,ISNUMBER($B$3),$B$3&gt;0),F405/(6*$B$3*1000000*$B$5)*(IF(B405&lt;($B$4*0/10),($B$4*0/10)*(MIN(C405,($B$4*0/10))^3-B405^3)-(MIN(C405,($B$4*0/10))^4-B405^4)/4,0)+IF(C405&gt;($B$4*0/10),($B$4*0/10)^2*(1.5*(C405^2-MAX(B405,($B$4*0/10))^2)-($B$4*0/10)*(C405-MAX(B405,($B$4*0/10)))),0))*1000,0)</f>
        <v>0</v>
      </c>
      <c r="AB405" s="120">
        <f>IF(AND(J405="OK",ISNUMBER($B$5),$B$5&gt;0,ISNUMBER($B$3),$B$3&gt;0),F405/(6*$B$3*1000000*$B$5)*(IF(B405&lt;($B$4*1/10),($B$4*1/10)*(MIN(C405,($B$4*1/10))^3-B405^3)-(MIN(C405,($B$4*1/10))^4-B405^4)/4,0)+IF(C405&gt;($B$4*1/10),($B$4*1/10)^2*(1.5*(C405^2-MAX(B405,($B$4*1/10))^2)-($B$4*1/10)*(C405-MAX(B405,($B$4*1/10)))),0))*1000,0)</f>
        <v>0</v>
      </c>
      <c r="AC405" s="120">
        <f>IF(AND(J405="OK",ISNUMBER($B$5),$B$5&gt;0,ISNUMBER($B$3),$B$3&gt;0),F405/(6*$B$3*1000000*$B$5)*(IF(B405&lt;($B$4*2/10),($B$4*2/10)*(MIN(C405,($B$4*2/10))^3-B405^3)-(MIN(C405,($B$4*2/10))^4-B405^4)/4,0)+IF(C405&gt;($B$4*2/10),($B$4*2/10)^2*(1.5*(C405^2-MAX(B405,($B$4*2/10))^2)-($B$4*2/10)*(C405-MAX(B405,($B$4*2/10)))),0))*1000,0)</f>
        <v>0</v>
      </c>
      <c r="AD405" s="120">
        <f>IF(AND(J405="OK",ISNUMBER($B$5),$B$5&gt;0,ISNUMBER($B$3),$B$3&gt;0),F405/(6*$B$3*1000000*$B$5)*(IF(B405&lt;($B$4*3/10),($B$4*3/10)*(MIN(C405,($B$4*3/10))^3-B405^3)-(MIN(C405,($B$4*3/10))^4-B405^4)/4,0)+IF(C405&gt;($B$4*3/10),($B$4*3/10)^2*(1.5*(C405^2-MAX(B405,($B$4*3/10))^2)-($B$4*3/10)*(C405-MAX(B405,($B$4*3/10)))),0))*1000,0)</f>
        <v>0</v>
      </c>
      <c r="AE405" s="120">
        <f>IF(AND(J405="OK",ISNUMBER($B$5),$B$5&gt;0,ISNUMBER($B$3),$B$3&gt;0),F405/(6*$B$3*1000000*$B$5)*(IF(B405&lt;($B$4*4/10),($B$4*4/10)*(MIN(C405,($B$4*4/10))^3-B405^3)-(MIN(C405,($B$4*4/10))^4-B405^4)/4,0)+IF(C405&gt;($B$4*4/10),($B$4*4/10)^2*(1.5*(C405^2-MAX(B405,($B$4*4/10))^2)-($B$4*4/10)*(C405-MAX(B405,($B$4*4/10)))),0))*1000,0)</f>
        <v>0</v>
      </c>
      <c r="AF405" s="120">
        <f>IF(AND(J405="OK",ISNUMBER($B$5),$B$5&gt;0,ISNUMBER($B$3),$B$3&gt;0),F405/(6*$B$3*1000000*$B$5)*(IF(B405&lt;($B$4*5/10),($B$4*5/10)*(MIN(C405,($B$4*5/10))^3-B405^3)-(MIN(C405,($B$4*5/10))^4-B405^4)/4,0)+IF(C405&gt;($B$4*5/10),($B$4*5/10)^2*(1.5*(C405^2-MAX(B405,($B$4*5/10))^2)-($B$4*5/10)*(C405-MAX(B405,($B$4*5/10)))),0))*1000,0)</f>
        <v>0</v>
      </c>
      <c r="AG405" s="120">
        <f>IF(AND(J405="OK",ISNUMBER($B$5),$B$5&gt;0,ISNUMBER($B$3),$B$3&gt;0),F405/(6*$B$3*1000000*$B$5)*(IF(B405&lt;($B$4*6/10),($B$4*6/10)*(MIN(C405,($B$4*6/10))^3-B405^3)-(MIN(C405,($B$4*6/10))^4-B405^4)/4,0)+IF(C405&gt;($B$4*6/10),($B$4*6/10)^2*(1.5*(C405^2-MAX(B405,($B$4*6/10))^2)-($B$4*6/10)*(C405-MAX(B405,($B$4*6/10)))),0))*1000,0)</f>
        <v>0</v>
      </c>
      <c r="AH405" s="120">
        <f>IF(AND(J405="OK",ISNUMBER($B$5),$B$5&gt;0,ISNUMBER($B$3),$B$3&gt;0),F405/(6*$B$3*1000000*$B$5)*(IF(B405&lt;($B$4*7/10),($B$4*7/10)*(MIN(C405,($B$4*7/10))^3-B405^3)-(MIN(C405,($B$4*7/10))^4-B405^4)/4,0)+IF(C405&gt;($B$4*7/10),($B$4*7/10)^2*(1.5*(C405^2-MAX(B405,($B$4*7/10))^2)-($B$4*7/10)*(C405-MAX(B405,($B$4*7/10)))),0))*1000,0)</f>
        <v>0</v>
      </c>
      <c r="AI405" s="120">
        <f>IF(AND(J405="OK",ISNUMBER($B$5),$B$5&gt;0,ISNUMBER($B$3),$B$3&gt;0),F405/(6*$B$3*1000000*$B$5)*(IF(B405&lt;($B$4*8/10),($B$4*8/10)*(MIN(C405,($B$4*8/10))^3-B405^3)-(MIN(C405,($B$4*8/10))^4-B405^4)/4,0)+IF(C405&gt;($B$4*8/10),($B$4*8/10)^2*(1.5*(C405^2-MAX(B405,($B$4*8/10))^2)-($B$4*8/10)*(C405-MAX(B405,($B$4*8/10)))),0))*1000,0)</f>
        <v>0</v>
      </c>
      <c r="AJ405" s="120">
        <f>IF(AND(J405="OK",ISNUMBER($B$5),$B$5&gt;0,ISNUMBER($B$3),$B$3&gt;0),F405/(6*$B$3*1000000*$B$5)*(IF(B405&lt;($B$4*9/10),($B$4*9/10)*(MIN(C405,($B$4*9/10))^3-B405^3)-(MIN(C405,($B$4*9/10))^4-B405^4)/4,0)+IF(C405&gt;($B$4*9/10),($B$4*9/10)^2*(1.5*(C405^2-MAX(B405,($B$4*9/10))^2)-($B$4*9/10)*(C405-MAX(B405,($B$4*9/10)))),0))*1000,0)</f>
        <v>0</v>
      </c>
      <c r="AK405" s="120">
        <f>IF(AND(J405="OK",ISNUMBER($B$5),$B$5&gt;0,ISNUMBER($B$3),$B$3&gt;0),F405/(6*$B$3*1000000*$B$5)*(IF(B405&lt;($B$4*10/10),($B$4*10/10)*(MIN(C405,($B$4*10/10))^3-B405^3)-(MIN(C405,($B$4*10/10))^4-B405^4)/4,0)+IF(C405&gt;($B$4*10/10),($B$4*10/10)^2*(1.5*(C405^2-MAX(B405,($B$4*10/10))^2)-($B$4*10/10)*(C405-MAX(B405,($B$4*10/10)))),0))*1000,0)</f>
        <v>0</v>
      </c>
      <c r="AM405" s="120">
        <f>IF(AND(V405="OK",ISNUMBER($N$5),$N$5&gt;0,ISNUMBER($N$3),$N$3&gt;0),R405/(6*$N$3*1000000*$N$5)*(IF(N405&lt;($N$4*0/10),($N$4*0/10)*(MIN(O405,($N$4*0/10))^3-N405^3)-(MIN(O405,($N$4*0/10))^4-N405^4)/4,0)+IF(O405&gt;($N$4*0/10),($N$4*0/10)^2*(1.5*(O405^2-MAX(N405,($N$4*0/10))^2)-($N$4*0/10)*(O405-MAX(N405,($N$4*0/10)))),0))*1000,0)</f>
        <v>0</v>
      </c>
      <c r="AN405" s="120">
        <f>IF(AND(V405="OK",ISNUMBER($N$5),$N$5&gt;0,ISNUMBER($N$3),$N$3&gt;0),R405/(6*$N$3*1000000*$N$5)*(IF(N405&lt;($N$4*1/10),($N$4*1/10)*(MIN(O405,($N$4*1/10))^3-N405^3)-(MIN(O405,($N$4*1/10))^4-N405^4)/4,0)+IF(O405&gt;($N$4*1/10),($N$4*1/10)^2*(1.5*(O405^2-MAX(N405,($N$4*1/10))^2)-($N$4*1/10)*(O405-MAX(N405,($N$4*1/10)))),0))*1000,0)</f>
        <v>0</v>
      </c>
      <c r="AO405" s="120">
        <f>IF(AND(V405="OK",ISNUMBER($N$5),$N$5&gt;0,ISNUMBER($N$3),$N$3&gt;0),R405/(6*$N$3*1000000*$N$5)*(IF(N405&lt;($N$4*2/10),($N$4*2/10)*(MIN(O405,($N$4*2/10))^3-N405^3)-(MIN(O405,($N$4*2/10))^4-N405^4)/4,0)+IF(O405&gt;($N$4*2/10),($N$4*2/10)^2*(1.5*(O405^2-MAX(N405,($N$4*2/10))^2)-($N$4*2/10)*(O405-MAX(N405,($N$4*2/10)))),0))*1000,0)</f>
        <v>0</v>
      </c>
      <c r="AP405" s="120">
        <f>IF(AND(V405="OK",ISNUMBER($N$5),$N$5&gt;0,ISNUMBER($N$3),$N$3&gt;0),R405/(6*$N$3*1000000*$N$5)*(IF(N405&lt;($N$4*3/10),($N$4*3/10)*(MIN(O405,($N$4*3/10))^3-N405^3)-(MIN(O405,($N$4*3/10))^4-N405^4)/4,0)+IF(O405&gt;($N$4*3/10),($N$4*3/10)^2*(1.5*(O405^2-MAX(N405,($N$4*3/10))^2)-($N$4*3/10)*(O405-MAX(N405,($N$4*3/10)))),0))*1000,0)</f>
        <v>0</v>
      </c>
      <c r="AQ405" s="120">
        <f>IF(AND(V405="OK",ISNUMBER($N$5),$N$5&gt;0,ISNUMBER($N$3),$N$3&gt;0),R405/(6*$N$3*1000000*$N$5)*(IF(N405&lt;($N$4*4/10),($N$4*4/10)*(MIN(O405,($N$4*4/10))^3-N405^3)-(MIN(O405,($N$4*4/10))^4-N405^4)/4,0)+IF(O405&gt;($N$4*4/10),($N$4*4/10)^2*(1.5*(O405^2-MAX(N405,($N$4*4/10))^2)-($N$4*4/10)*(O405-MAX(N405,($N$4*4/10)))),0))*1000,0)</f>
        <v>0</v>
      </c>
      <c r="AR405" s="120">
        <f>IF(AND(V405="OK",ISNUMBER($N$5),$N$5&gt;0,ISNUMBER($N$3),$N$3&gt;0),R405/(6*$N$3*1000000*$N$5)*(IF(N405&lt;($N$4*5/10),($N$4*5/10)*(MIN(O405,($N$4*5/10))^3-N405^3)-(MIN(O405,($N$4*5/10))^4-N405^4)/4,0)+IF(O405&gt;($N$4*5/10),($N$4*5/10)^2*(1.5*(O405^2-MAX(N405,($N$4*5/10))^2)-($N$4*5/10)*(O405-MAX(N405,($N$4*5/10)))),0))*1000,0)</f>
        <v>0</v>
      </c>
      <c r="AS405" s="120">
        <f>IF(AND(V405="OK",ISNUMBER($N$5),$N$5&gt;0,ISNUMBER($N$3),$N$3&gt;0),R405/(6*$N$3*1000000*$N$5)*(IF(N405&lt;($N$4*6/10),($N$4*6/10)*(MIN(O405,($N$4*6/10))^3-N405^3)-(MIN(O405,($N$4*6/10))^4-N405^4)/4,0)+IF(O405&gt;($N$4*6/10),($N$4*6/10)^2*(1.5*(O405^2-MAX(N405,($N$4*6/10))^2)-($N$4*6/10)*(O405-MAX(N405,($N$4*6/10)))),0))*1000,0)</f>
        <v>0</v>
      </c>
      <c r="AT405" s="120">
        <f>IF(AND(V405="OK",ISNUMBER($N$5),$N$5&gt;0,ISNUMBER($N$3),$N$3&gt;0),R405/(6*$N$3*1000000*$N$5)*(IF(N405&lt;($N$4*7/10),($N$4*7/10)*(MIN(O405,($N$4*7/10))^3-N405^3)-(MIN(O405,($N$4*7/10))^4-N405^4)/4,0)+IF(O405&gt;($N$4*7/10),($N$4*7/10)^2*(1.5*(O405^2-MAX(N405,($N$4*7/10))^2)-($N$4*7/10)*(O405-MAX(N405,($N$4*7/10)))),0))*1000,0)</f>
        <v>0</v>
      </c>
      <c r="AU405" s="120">
        <f>IF(AND(V405="OK",ISNUMBER($N$5),$N$5&gt;0,ISNUMBER($N$3),$N$3&gt;0),R405/(6*$N$3*1000000*$N$5)*(IF(N405&lt;($N$4*8/10),($N$4*8/10)*(MIN(O405,($N$4*8/10))^3-N405^3)-(MIN(O405,($N$4*8/10))^4-N405^4)/4,0)+IF(O405&gt;($N$4*8/10),($N$4*8/10)^2*(1.5*(O405^2-MAX(N405,($N$4*8/10))^2)-($N$4*8/10)*(O405-MAX(N405,($N$4*8/10)))),0))*1000,0)</f>
        <v>0</v>
      </c>
      <c r="AV405" s="120">
        <f>IF(AND(V405="OK",ISNUMBER($N$5),$N$5&gt;0,ISNUMBER($N$3),$N$3&gt;0),R405/(6*$N$3*1000000*$N$5)*(IF(N405&lt;($N$4*9/10),($N$4*9/10)*(MIN(O405,($N$4*9/10))^3-N405^3)-(MIN(O405,($N$4*9/10))^4-N405^4)/4,0)+IF(O405&gt;($N$4*9/10),($N$4*9/10)^2*(1.5*(O405^2-MAX(N405,($N$4*9/10))^2)-($N$4*9/10)*(O405-MAX(N405,($N$4*9/10)))),0))*1000,0)</f>
        <v>0</v>
      </c>
      <c r="AW405" s="120">
        <f>IF(AND(V405="OK",ISNUMBER($N$5),$N$5&gt;0,ISNUMBER($N$3),$N$3&gt;0),R405/(6*$N$3*1000000*$N$5)*(IF(N405&lt;($N$4*10/10),($N$4*10/10)*(MIN(O405,($N$4*10/10))^3-N405^3)-(MIN(O405,($N$4*10/10))^4-N405^4)/4,0)+IF(O405&gt;($N$4*10/10),($N$4*10/10)^2*(1.5*(O405^2-MAX(N405,($N$4*10/10))^2)-($N$4*10/10)*(O405-MAX(N405,($N$4*10/10)))),0))*1000,0)</f>
        <v>0</v>
      </c>
    </row>
    <row r="406" spans="1:49">
      <c r="A406" s="124"/>
      <c r="B406" s="125"/>
      <c r="C406" s="125"/>
      <c r="D406" s="125"/>
      <c r="E406" s="125"/>
      <c r="F406" s="126" t="str">
        <f>IF(J406="OK",D406*E406,"")</f>
        <v/>
      </c>
      <c r="G406" s="126" t="str">
        <f>IF(J406="OK",F406*(C406-B406),"")</f>
        <v/>
      </c>
      <c r="H406" s="126" t="str">
        <f>IF(J406="OK",G406*(C406+B406)/2,"")</f>
        <v/>
      </c>
      <c r="I406" s="126" t="str">
        <f>IF(AND(J406="OK",ISNUMBER($B$5),$B$5&gt;0,ISNUMBER($B$3),$B$3&gt;0),F406*(4*$B$4*(C406^3-B406^3)-(C406^4-B406^4))/(24*$B$3*1000000*$B$5)*1000,"")</f>
        <v/>
      </c>
      <c r="J406" s="120" t="str">
        <f>IF(COUNTA(A406:E406)=0,"",IF(AND(COUNT(B406:E406)=4,B406&gt;=0,C406&gt;B406,C406&lt;=$B$4,D406&gt;=0,E406&gt;0),IF(COUNTIFS($B$13:$B$405,"&lt;"&amp;C406,$C$13:$C$405,"&gt;"&amp;B406)&gt;0,"OVERLAP","OK"),"CHECK INPUTS"))</f>
        <v/>
      </c>
      <c r="M406" s="124"/>
      <c r="N406" s="125"/>
      <c r="O406" s="125"/>
      <c r="P406" s="125"/>
      <c r="Q406" s="125"/>
      <c r="R406" s="126" t="str">
        <f>IF(V406="OK",P406*Q406,"")</f>
        <v/>
      </c>
      <c r="S406" s="126" t="str">
        <f>IF(V406="OK",R406*(O406-N406),"")</f>
        <v/>
      </c>
      <c r="T406" s="126" t="str">
        <f>IF(V406="OK",S406*(O406+N406)/2,"")</f>
        <v/>
      </c>
      <c r="U406" s="126" t="str">
        <f>IF(AND(V406="OK",ISNUMBER($N$5),$N$5&gt;0,ISNUMBER($N$3),$N$3&gt;0),R406*(4*$N$4*(O406^3-N406^3)-(O406^4-N406^4))/(24*$N$3*1000000*$N$5)*1000,"")</f>
        <v/>
      </c>
      <c r="V406" s="120" t="str">
        <f>IF(COUNTA(M406:Q406)=0,"",IF(AND(COUNT(N406:Q406)=4,N406&gt;=0,O406&gt;N406,O406&lt;=$N$4,P406&gt;=0,Q406&gt;0),IF(COUNTIFS($N$13:$N$405,"&lt;"&amp;O406,$O$13:$O$405,"&gt;"&amp;N406)&gt;0,"OVERLAP","OK"),"CHECK INPUTS"))</f>
        <v/>
      </c>
      <c r="AA406" s="120">
        <f>IF(AND(J406="OK",ISNUMBER($B$5),$B$5&gt;0,ISNUMBER($B$3),$B$3&gt;0),F406/(6*$B$3*1000000*$B$5)*(IF(B406&lt;($B$4*0/10),($B$4*0/10)*(MIN(C406,($B$4*0/10))^3-B406^3)-(MIN(C406,($B$4*0/10))^4-B406^4)/4,0)+IF(C406&gt;($B$4*0/10),($B$4*0/10)^2*(1.5*(C406^2-MAX(B406,($B$4*0/10))^2)-($B$4*0/10)*(C406-MAX(B406,($B$4*0/10)))),0))*1000,0)</f>
        <v>0</v>
      </c>
      <c r="AB406" s="120">
        <f>IF(AND(J406="OK",ISNUMBER($B$5),$B$5&gt;0,ISNUMBER($B$3),$B$3&gt;0),F406/(6*$B$3*1000000*$B$5)*(IF(B406&lt;($B$4*1/10),($B$4*1/10)*(MIN(C406,($B$4*1/10))^3-B406^3)-(MIN(C406,($B$4*1/10))^4-B406^4)/4,0)+IF(C406&gt;($B$4*1/10),($B$4*1/10)^2*(1.5*(C406^2-MAX(B406,($B$4*1/10))^2)-($B$4*1/10)*(C406-MAX(B406,($B$4*1/10)))),0))*1000,0)</f>
        <v>0</v>
      </c>
      <c r="AC406" s="120">
        <f>IF(AND(J406="OK",ISNUMBER($B$5),$B$5&gt;0,ISNUMBER($B$3),$B$3&gt;0),F406/(6*$B$3*1000000*$B$5)*(IF(B406&lt;($B$4*2/10),($B$4*2/10)*(MIN(C406,($B$4*2/10))^3-B406^3)-(MIN(C406,($B$4*2/10))^4-B406^4)/4,0)+IF(C406&gt;($B$4*2/10),($B$4*2/10)^2*(1.5*(C406^2-MAX(B406,($B$4*2/10))^2)-($B$4*2/10)*(C406-MAX(B406,($B$4*2/10)))),0))*1000,0)</f>
        <v>0</v>
      </c>
      <c r="AD406" s="120">
        <f>IF(AND(J406="OK",ISNUMBER($B$5),$B$5&gt;0,ISNUMBER($B$3),$B$3&gt;0),F406/(6*$B$3*1000000*$B$5)*(IF(B406&lt;($B$4*3/10),($B$4*3/10)*(MIN(C406,($B$4*3/10))^3-B406^3)-(MIN(C406,($B$4*3/10))^4-B406^4)/4,0)+IF(C406&gt;($B$4*3/10),($B$4*3/10)^2*(1.5*(C406^2-MAX(B406,($B$4*3/10))^2)-($B$4*3/10)*(C406-MAX(B406,($B$4*3/10)))),0))*1000,0)</f>
        <v>0</v>
      </c>
      <c r="AE406" s="120">
        <f>IF(AND(J406="OK",ISNUMBER($B$5),$B$5&gt;0,ISNUMBER($B$3),$B$3&gt;0),F406/(6*$B$3*1000000*$B$5)*(IF(B406&lt;($B$4*4/10),($B$4*4/10)*(MIN(C406,($B$4*4/10))^3-B406^3)-(MIN(C406,($B$4*4/10))^4-B406^4)/4,0)+IF(C406&gt;($B$4*4/10),($B$4*4/10)^2*(1.5*(C406^2-MAX(B406,($B$4*4/10))^2)-($B$4*4/10)*(C406-MAX(B406,($B$4*4/10)))),0))*1000,0)</f>
        <v>0</v>
      </c>
      <c r="AF406" s="120">
        <f>IF(AND(J406="OK",ISNUMBER($B$5),$B$5&gt;0,ISNUMBER($B$3),$B$3&gt;0),F406/(6*$B$3*1000000*$B$5)*(IF(B406&lt;($B$4*5/10),($B$4*5/10)*(MIN(C406,($B$4*5/10))^3-B406^3)-(MIN(C406,($B$4*5/10))^4-B406^4)/4,0)+IF(C406&gt;($B$4*5/10),($B$4*5/10)^2*(1.5*(C406^2-MAX(B406,($B$4*5/10))^2)-($B$4*5/10)*(C406-MAX(B406,($B$4*5/10)))),0))*1000,0)</f>
        <v>0</v>
      </c>
      <c r="AG406" s="120">
        <f>IF(AND(J406="OK",ISNUMBER($B$5),$B$5&gt;0,ISNUMBER($B$3),$B$3&gt;0),F406/(6*$B$3*1000000*$B$5)*(IF(B406&lt;($B$4*6/10),($B$4*6/10)*(MIN(C406,($B$4*6/10))^3-B406^3)-(MIN(C406,($B$4*6/10))^4-B406^4)/4,0)+IF(C406&gt;($B$4*6/10),($B$4*6/10)^2*(1.5*(C406^2-MAX(B406,($B$4*6/10))^2)-($B$4*6/10)*(C406-MAX(B406,($B$4*6/10)))),0))*1000,0)</f>
        <v>0</v>
      </c>
      <c r="AH406" s="120">
        <f>IF(AND(J406="OK",ISNUMBER($B$5),$B$5&gt;0,ISNUMBER($B$3),$B$3&gt;0),F406/(6*$B$3*1000000*$B$5)*(IF(B406&lt;($B$4*7/10),($B$4*7/10)*(MIN(C406,($B$4*7/10))^3-B406^3)-(MIN(C406,($B$4*7/10))^4-B406^4)/4,0)+IF(C406&gt;($B$4*7/10),($B$4*7/10)^2*(1.5*(C406^2-MAX(B406,($B$4*7/10))^2)-($B$4*7/10)*(C406-MAX(B406,($B$4*7/10)))),0))*1000,0)</f>
        <v>0</v>
      </c>
      <c r="AI406" s="120">
        <f>IF(AND(J406="OK",ISNUMBER($B$5),$B$5&gt;0,ISNUMBER($B$3),$B$3&gt;0),F406/(6*$B$3*1000000*$B$5)*(IF(B406&lt;($B$4*8/10),($B$4*8/10)*(MIN(C406,($B$4*8/10))^3-B406^3)-(MIN(C406,($B$4*8/10))^4-B406^4)/4,0)+IF(C406&gt;($B$4*8/10),($B$4*8/10)^2*(1.5*(C406^2-MAX(B406,($B$4*8/10))^2)-($B$4*8/10)*(C406-MAX(B406,($B$4*8/10)))),0))*1000,0)</f>
        <v>0</v>
      </c>
      <c r="AJ406" s="120">
        <f>IF(AND(J406="OK",ISNUMBER($B$5),$B$5&gt;0,ISNUMBER($B$3),$B$3&gt;0),F406/(6*$B$3*1000000*$B$5)*(IF(B406&lt;($B$4*9/10),($B$4*9/10)*(MIN(C406,($B$4*9/10))^3-B406^3)-(MIN(C406,($B$4*9/10))^4-B406^4)/4,0)+IF(C406&gt;($B$4*9/10),($B$4*9/10)^2*(1.5*(C406^2-MAX(B406,($B$4*9/10))^2)-($B$4*9/10)*(C406-MAX(B406,($B$4*9/10)))),0))*1000,0)</f>
        <v>0</v>
      </c>
      <c r="AK406" s="120">
        <f>IF(AND(J406="OK",ISNUMBER($B$5),$B$5&gt;0,ISNUMBER($B$3),$B$3&gt;0),F406/(6*$B$3*1000000*$B$5)*(IF(B406&lt;($B$4*10/10),($B$4*10/10)*(MIN(C406,($B$4*10/10))^3-B406^3)-(MIN(C406,($B$4*10/10))^4-B406^4)/4,0)+IF(C406&gt;($B$4*10/10),($B$4*10/10)^2*(1.5*(C406^2-MAX(B406,($B$4*10/10))^2)-($B$4*10/10)*(C406-MAX(B406,($B$4*10/10)))),0))*1000,0)</f>
        <v>0</v>
      </c>
      <c r="AM406" s="120">
        <f>IF(AND(V406="OK",ISNUMBER($N$5),$N$5&gt;0,ISNUMBER($N$3),$N$3&gt;0),R406/(6*$N$3*1000000*$N$5)*(IF(N406&lt;($N$4*0/10),($N$4*0/10)*(MIN(O406,($N$4*0/10))^3-N406^3)-(MIN(O406,($N$4*0/10))^4-N406^4)/4,0)+IF(O406&gt;($N$4*0/10),($N$4*0/10)^2*(1.5*(O406^2-MAX(N406,($N$4*0/10))^2)-($N$4*0/10)*(O406-MAX(N406,($N$4*0/10)))),0))*1000,0)</f>
        <v>0</v>
      </c>
      <c r="AN406" s="120">
        <f>IF(AND(V406="OK",ISNUMBER($N$5),$N$5&gt;0,ISNUMBER($N$3),$N$3&gt;0),R406/(6*$N$3*1000000*$N$5)*(IF(N406&lt;($N$4*1/10),($N$4*1/10)*(MIN(O406,($N$4*1/10))^3-N406^3)-(MIN(O406,($N$4*1/10))^4-N406^4)/4,0)+IF(O406&gt;($N$4*1/10),($N$4*1/10)^2*(1.5*(O406^2-MAX(N406,($N$4*1/10))^2)-($N$4*1/10)*(O406-MAX(N406,($N$4*1/10)))),0))*1000,0)</f>
        <v>0</v>
      </c>
      <c r="AO406" s="120">
        <f>IF(AND(V406="OK",ISNUMBER($N$5),$N$5&gt;0,ISNUMBER($N$3),$N$3&gt;0),R406/(6*$N$3*1000000*$N$5)*(IF(N406&lt;($N$4*2/10),($N$4*2/10)*(MIN(O406,($N$4*2/10))^3-N406^3)-(MIN(O406,($N$4*2/10))^4-N406^4)/4,0)+IF(O406&gt;($N$4*2/10),($N$4*2/10)^2*(1.5*(O406^2-MAX(N406,($N$4*2/10))^2)-($N$4*2/10)*(O406-MAX(N406,($N$4*2/10)))),0))*1000,0)</f>
        <v>0</v>
      </c>
      <c r="AP406" s="120">
        <f>IF(AND(V406="OK",ISNUMBER($N$5),$N$5&gt;0,ISNUMBER($N$3),$N$3&gt;0),R406/(6*$N$3*1000000*$N$5)*(IF(N406&lt;($N$4*3/10),($N$4*3/10)*(MIN(O406,($N$4*3/10))^3-N406^3)-(MIN(O406,($N$4*3/10))^4-N406^4)/4,0)+IF(O406&gt;($N$4*3/10),($N$4*3/10)^2*(1.5*(O406^2-MAX(N406,($N$4*3/10))^2)-($N$4*3/10)*(O406-MAX(N406,($N$4*3/10)))),0))*1000,0)</f>
        <v>0</v>
      </c>
      <c r="AQ406" s="120">
        <f>IF(AND(V406="OK",ISNUMBER($N$5),$N$5&gt;0,ISNUMBER($N$3),$N$3&gt;0),R406/(6*$N$3*1000000*$N$5)*(IF(N406&lt;($N$4*4/10),($N$4*4/10)*(MIN(O406,($N$4*4/10))^3-N406^3)-(MIN(O406,($N$4*4/10))^4-N406^4)/4,0)+IF(O406&gt;($N$4*4/10),($N$4*4/10)^2*(1.5*(O406^2-MAX(N406,($N$4*4/10))^2)-($N$4*4/10)*(O406-MAX(N406,($N$4*4/10)))),0))*1000,0)</f>
        <v>0</v>
      </c>
      <c r="AR406" s="120">
        <f>IF(AND(V406="OK",ISNUMBER($N$5),$N$5&gt;0,ISNUMBER($N$3),$N$3&gt;0),R406/(6*$N$3*1000000*$N$5)*(IF(N406&lt;($N$4*5/10),($N$4*5/10)*(MIN(O406,($N$4*5/10))^3-N406^3)-(MIN(O406,($N$4*5/10))^4-N406^4)/4,0)+IF(O406&gt;($N$4*5/10),($N$4*5/10)^2*(1.5*(O406^2-MAX(N406,($N$4*5/10))^2)-($N$4*5/10)*(O406-MAX(N406,($N$4*5/10)))),0))*1000,0)</f>
        <v>0</v>
      </c>
      <c r="AS406" s="120">
        <f>IF(AND(V406="OK",ISNUMBER($N$5),$N$5&gt;0,ISNUMBER($N$3),$N$3&gt;0),R406/(6*$N$3*1000000*$N$5)*(IF(N406&lt;($N$4*6/10),($N$4*6/10)*(MIN(O406,($N$4*6/10))^3-N406^3)-(MIN(O406,($N$4*6/10))^4-N406^4)/4,0)+IF(O406&gt;($N$4*6/10),($N$4*6/10)^2*(1.5*(O406^2-MAX(N406,($N$4*6/10))^2)-($N$4*6/10)*(O406-MAX(N406,($N$4*6/10)))),0))*1000,0)</f>
        <v>0</v>
      </c>
      <c r="AT406" s="120">
        <f>IF(AND(V406="OK",ISNUMBER($N$5),$N$5&gt;0,ISNUMBER($N$3),$N$3&gt;0),R406/(6*$N$3*1000000*$N$5)*(IF(N406&lt;($N$4*7/10),($N$4*7/10)*(MIN(O406,($N$4*7/10))^3-N406^3)-(MIN(O406,($N$4*7/10))^4-N406^4)/4,0)+IF(O406&gt;($N$4*7/10),($N$4*7/10)^2*(1.5*(O406^2-MAX(N406,($N$4*7/10))^2)-($N$4*7/10)*(O406-MAX(N406,($N$4*7/10)))),0))*1000,0)</f>
        <v>0</v>
      </c>
      <c r="AU406" s="120">
        <f>IF(AND(V406="OK",ISNUMBER($N$5),$N$5&gt;0,ISNUMBER($N$3),$N$3&gt;0),R406/(6*$N$3*1000000*$N$5)*(IF(N406&lt;($N$4*8/10),($N$4*8/10)*(MIN(O406,($N$4*8/10))^3-N406^3)-(MIN(O406,($N$4*8/10))^4-N406^4)/4,0)+IF(O406&gt;($N$4*8/10),($N$4*8/10)^2*(1.5*(O406^2-MAX(N406,($N$4*8/10))^2)-($N$4*8/10)*(O406-MAX(N406,($N$4*8/10)))),0))*1000,0)</f>
        <v>0</v>
      </c>
      <c r="AV406" s="120">
        <f>IF(AND(V406="OK",ISNUMBER($N$5),$N$5&gt;0,ISNUMBER($N$3),$N$3&gt;0),R406/(6*$N$3*1000000*$N$5)*(IF(N406&lt;($N$4*9/10),($N$4*9/10)*(MIN(O406,($N$4*9/10))^3-N406^3)-(MIN(O406,($N$4*9/10))^4-N406^4)/4,0)+IF(O406&gt;($N$4*9/10),($N$4*9/10)^2*(1.5*(O406^2-MAX(N406,($N$4*9/10))^2)-($N$4*9/10)*(O406-MAX(N406,($N$4*9/10)))),0))*1000,0)</f>
        <v>0</v>
      </c>
      <c r="AW406" s="120">
        <f>IF(AND(V406="OK",ISNUMBER($N$5),$N$5&gt;0,ISNUMBER($N$3),$N$3&gt;0),R406/(6*$N$3*1000000*$N$5)*(IF(N406&lt;($N$4*10/10),($N$4*10/10)*(MIN(O406,($N$4*10/10))^3-N406^3)-(MIN(O406,($N$4*10/10))^4-N406^4)/4,0)+IF(O406&gt;($N$4*10/10),($N$4*10/10)^2*(1.5*(O406^2-MAX(N406,($N$4*10/10))^2)-($N$4*10/10)*(O406-MAX(N406,($N$4*10/10)))),0))*1000,0)</f>
        <v>0</v>
      </c>
    </row>
    <row r="407" spans="1:49">
      <c r="A407" s="124"/>
      <c r="B407" s="125"/>
      <c r="C407" s="125"/>
      <c r="D407" s="125"/>
      <c r="E407" s="125"/>
      <c r="F407" s="126" t="str">
        <f>IF(J407="OK",D407*E407,"")</f>
        <v/>
      </c>
      <c r="G407" s="126" t="str">
        <f>IF(J407="OK",F407*(C407-B407),"")</f>
        <v/>
      </c>
      <c r="H407" s="126" t="str">
        <f>IF(J407="OK",G407*(C407+B407)/2,"")</f>
        <v/>
      </c>
      <c r="I407" s="126" t="str">
        <f>IF(AND(J407="OK",ISNUMBER($B$5),$B$5&gt;0,ISNUMBER($B$3),$B$3&gt;0),F407*(4*$B$4*(C407^3-B407^3)-(C407^4-B407^4))/(24*$B$3*1000000*$B$5)*1000,"")</f>
        <v/>
      </c>
      <c r="J407" s="120" t="str">
        <f>IF(COUNTA(A407:E407)=0,"",IF(AND(COUNT(B407:E407)=4,B407&gt;=0,C407&gt;B407,C407&lt;=$B$4,D407&gt;=0,E407&gt;0),IF(COUNTIFS($B$13:$B$406,"&lt;"&amp;C407,$C$13:$C$406,"&gt;"&amp;B407)&gt;0,"OVERLAP","OK"),"CHECK INPUTS"))</f>
        <v/>
      </c>
      <c r="M407" s="124"/>
      <c r="N407" s="125"/>
      <c r="O407" s="125"/>
      <c r="P407" s="125"/>
      <c r="Q407" s="125"/>
      <c r="R407" s="126" t="str">
        <f>IF(V407="OK",P407*Q407,"")</f>
        <v/>
      </c>
      <c r="S407" s="126" t="str">
        <f>IF(V407="OK",R407*(O407-N407),"")</f>
        <v/>
      </c>
      <c r="T407" s="126" t="str">
        <f>IF(V407="OK",S407*(O407+N407)/2,"")</f>
        <v/>
      </c>
      <c r="U407" s="126" t="str">
        <f>IF(AND(V407="OK",ISNUMBER($N$5),$N$5&gt;0,ISNUMBER($N$3),$N$3&gt;0),R407*(4*$N$4*(O407^3-N407^3)-(O407^4-N407^4))/(24*$N$3*1000000*$N$5)*1000,"")</f>
        <v/>
      </c>
      <c r="V407" s="120" t="str">
        <f>IF(COUNTA(M407:Q407)=0,"",IF(AND(COUNT(N407:Q407)=4,N407&gt;=0,O407&gt;N407,O407&lt;=$N$4,P407&gt;=0,Q407&gt;0),IF(COUNTIFS($N$13:$N$406,"&lt;"&amp;O407,$O$13:$O$406,"&gt;"&amp;N407)&gt;0,"OVERLAP","OK"),"CHECK INPUTS"))</f>
        <v/>
      </c>
      <c r="AA407" s="120">
        <f>IF(AND(J407="OK",ISNUMBER($B$5),$B$5&gt;0,ISNUMBER($B$3),$B$3&gt;0),F407/(6*$B$3*1000000*$B$5)*(IF(B407&lt;($B$4*0/10),($B$4*0/10)*(MIN(C407,($B$4*0/10))^3-B407^3)-(MIN(C407,($B$4*0/10))^4-B407^4)/4,0)+IF(C407&gt;($B$4*0/10),($B$4*0/10)^2*(1.5*(C407^2-MAX(B407,($B$4*0/10))^2)-($B$4*0/10)*(C407-MAX(B407,($B$4*0/10)))),0))*1000,0)</f>
        <v>0</v>
      </c>
      <c r="AB407" s="120">
        <f>IF(AND(J407="OK",ISNUMBER($B$5),$B$5&gt;0,ISNUMBER($B$3),$B$3&gt;0),F407/(6*$B$3*1000000*$B$5)*(IF(B407&lt;($B$4*1/10),($B$4*1/10)*(MIN(C407,($B$4*1/10))^3-B407^3)-(MIN(C407,($B$4*1/10))^4-B407^4)/4,0)+IF(C407&gt;($B$4*1/10),($B$4*1/10)^2*(1.5*(C407^2-MAX(B407,($B$4*1/10))^2)-($B$4*1/10)*(C407-MAX(B407,($B$4*1/10)))),0))*1000,0)</f>
        <v>0</v>
      </c>
      <c r="AC407" s="120">
        <f>IF(AND(J407="OK",ISNUMBER($B$5),$B$5&gt;0,ISNUMBER($B$3),$B$3&gt;0),F407/(6*$B$3*1000000*$B$5)*(IF(B407&lt;($B$4*2/10),($B$4*2/10)*(MIN(C407,($B$4*2/10))^3-B407^3)-(MIN(C407,($B$4*2/10))^4-B407^4)/4,0)+IF(C407&gt;($B$4*2/10),($B$4*2/10)^2*(1.5*(C407^2-MAX(B407,($B$4*2/10))^2)-($B$4*2/10)*(C407-MAX(B407,($B$4*2/10)))),0))*1000,0)</f>
        <v>0</v>
      </c>
      <c r="AD407" s="120">
        <f>IF(AND(J407="OK",ISNUMBER($B$5),$B$5&gt;0,ISNUMBER($B$3),$B$3&gt;0),F407/(6*$B$3*1000000*$B$5)*(IF(B407&lt;($B$4*3/10),($B$4*3/10)*(MIN(C407,($B$4*3/10))^3-B407^3)-(MIN(C407,($B$4*3/10))^4-B407^4)/4,0)+IF(C407&gt;($B$4*3/10),($B$4*3/10)^2*(1.5*(C407^2-MAX(B407,($B$4*3/10))^2)-($B$4*3/10)*(C407-MAX(B407,($B$4*3/10)))),0))*1000,0)</f>
        <v>0</v>
      </c>
      <c r="AE407" s="120">
        <f>IF(AND(J407="OK",ISNUMBER($B$5),$B$5&gt;0,ISNUMBER($B$3),$B$3&gt;0),F407/(6*$B$3*1000000*$B$5)*(IF(B407&lt;($B$4*4/10),($B$4*4/10)*(MIN(C407,($B$4*4/10))^3-B407^3)-(MIN(C407,($B$4*4/10))^4-B407^4)/4,0)+IF(C407&gt;($B$4*4/10),($B$4*4/10)^2*(1.5*(C407^2-MAX(B407,($B$4*4/10))^2)-($B$4*4/10)*(C407-MAX(B407,($B$4*4/10)))),0))*1000,0)</f>
        <v>0</v>
      </c>
      <c r="AF407" s="120">
        <f>IF(AND(J407="OK",ISNUMBER($B$5),$B$5&gt;0,ISNUMBER($B$3),$B$3&gt;0),F407/(6*$B$3*1000000*$B$5)*(IF(B407&lt;($B$4*5/10),($B$4*5/10)*(MIN(C407,($B$4*5/10))^3-B407^3)-(MIN(C407,($B$4*5/10))^4-B407^4)/4,0)+IF(C407&gt;($B$4*5/10),($B$4*5/10)^2*(1.5*(C407^2-MAX(B407,($B$4*5/10))^2)-($B$4*5/10)*(C407-MAX(B407,($B$4*5/10)))),0))*1000,0)</f>
        <v>0</v>
      </c>
      <c r="AG407" s="120">
        <f>IF(AND(J407="OK",ISNUMBER($B$5),$B$5&gt;0,ISNUMBER($B$3),$B$3&gt;0),F407/(6*$B$3*1000000*$B$5)*(IF(B407&lt;($B$4*6/10),($B$4*6/10)*(MIN(C407,($B$4*6/10))^3-B407^3)-(MIN(C407,($B$4*6/10))^4-B407^4)/4,0)+IF(C407&gt;($B$4*6/10),($B$4*6/10)^2*(1.5*(C407^2-MAX(B407,($B$4*6/10))^2)-($B$4*6/10)*(C407-MAX(B407,($B$4*6/10)))),0))*1000,0)</f>
        <v>0</v>
      </c>
      <c r="AH407" s="120">
        <f>IF(AND(J407="OK",ISNUMBER($B$5),$B$5&gt;0,ISNUMBER($B$3),$B$3&gt;0),F407/(6*$B$3*1000000*$B$5)*(IF(B407&lt;($B$4*7/10),($B$4*7/10)*(MIN(C407,($B$4*7/10))^3-B407^3)-(MIN(C407,($B$4*7/10))^4-B407^4)/4,0)+IF(C407&gt;($B$4*7/10),($B$4*7/10)^2*(1.5*(C407^2-MAX(B407,($B$4*7/10))^2)-($B$4*7/10)*(C407-MAX(B407,($B$4*7/10)))),0))*1000,0)</f>
        <v>0</v>
      </c>
      <c r="AI407" s="120">
        <f>IF(AND(J407="OK",ISNUMBER($B$5),$B$5&gt;0,ISNUMBER($B$3),$B$3&gt;0),F407/(6*$B$3*1000000*$B$5)*(IF(B407&lt;($B$4*8/10),($B$4*8/10)*(MIN(C407,($B$4*8/10))^3-B407^3)-(MIN(C407,($B$4*8/10))^4-B407^4)/4,0)+IF(C407&gt;($B$4*8/10),($B$4*8/10)^2*(1.5*(C407^2-MAX(B407,($B$4*8/10))^2)-($B$4*8/10)*(C407-MAX(B407,($B$4*8/10)))),0))*1000,0)</f>
        <v>0</v>
      </c>
      <c r="AJ407" s="120">
        <f>IF(AND(J407="OK",ISNUMBER($B$5),$B$5&gt;0,ISNUMBER($B$3),$B$3&gt;0),F407/(6*$B$3*1000000*$B$5)*(IF(B407&lt;($B$4*9/10),($B$4*9/10)*(MIN(C407,($B$4*9/10))^3-B407^3)-(MIN(C407,($B$4*9/10))^4-B407^4)/4,0)+IF(C407&gt;($B$4*9/10),($B$4*9/10)^2*(1.5*(C407^2-MAX(B407,($B$4*9/10))^2)-($B$4*9/10)*(C407-MAX(B407,($B$4*9/10)))),0))*1000,0)</f>
        <v>0</v>
      </c>
      <c r="AK407" s="120">
        <f>IF(AND(J407="OK",ISNUMBER($B$5),$B$5&gt;0,ISNUMBER($B$3),$B$3&gt;0),F407/(6*$B$3*1000000*$B$5)*(IF(B407&lt;($B$4*10/10),($B$4*10/10)*(MIN(C407,($B$4*10/10))^3-B407^3)-(MIN(C407,($B$4*10/10))^4-B407^4)/4,0)+IF(C407&gt;($B$4*10/10),($B$4*10/10)^2*(1.5*(C407^2-MAX(B407,($B$4*10/10))^2)-($B$4*10/10)*(C407-MAX(B407,($B$4*10/10)))),0))*1000,0)</f>
        <v>0</v>
      </c>
      <c r="AM407" s="120">
        <f>IF(AND(V407="OK",ISNUMBER($N$5),$N$5&gt;0,ISNUMBER($N$3),$N$3&gt;0),R407/(6*$N$3*1000000*$N$5)*(IF(N407&lt;($N$4*0/10),($N$4*0/10)*(MIN(O407,($N$4*0/10))^3-N407^3)-(MIN(O407,($N$4*0/10))^4-N407^4)/4,0)+IF(O407&gt;($N$4*0/10),($N$4*0/10)^2*(1.5*(O407^2-MAX(N407,($N$4*0/10))^2)-($N$4*0/10)*(O407-MAX(N407,($N$4*0/10)))),0))*1000,0)</f>
        <v>0</v>
      </c>
      <c r="AN407" s="120">
        <f>IF(AND(V407="OK",ISNUMBER($N$5),$N$5&gt;0,ISNUMBER($N$3),$N$3&gt;0),R407/(6*$N$3*1000000*$N$5)*(IF(N407&lt;($N$4*1/10),($N$4*1/10)*(MIN(O407,($N$4*1/10))^3-N407^3)-(MIN(O407,($N$4*1/10))^4-N407^4)/4,0)+IF(O407&gt;($N$4*1/10),($N$4*1/10)^2*(1.5*(O407^2-MAX(N407,($N$4*1/10))^2)-($N$4*1/10)*(O407-MAX(N407,($N$4*1/10)))),0))*1000,0)</f>
        <v>0</v>
      </c>
      <c r="AO407" s="120">
        <f>IF(AND(V407="OK",ISNUMBER($N$5),$N$5&gt;0,ISNUMBER($N$3),$N$3&gt;0),R407/(6*$N$3*1000000*$N$5)*(IF(N407&lt;($N$4*2/10),($N$4*2/10)*(MIN(O407,($N$4*2/10))^3-N407^3)-(MIN(O407,($N$4*2/10))^4-N407^4)/4,0)+IF(O407&gt;($N$4*2/10),($N$4*2/10)^2*(1.5*(O407^2-MAX(N407,($N$4*2/10))^2)-($N$4*2/10)*(O407-MAX(N407,($N$4*2/10)))),0))*1000,0)</f>
        <v>0</v>
      </c>
      <c r="AP407" s="120">
        <f>IF(AND(V407="OK",ISNUMBER($N$5),$N$5&gt;0,ISNUMBER($N$3),$N$3&gt;0),R407/(6*$N$3*1000000*$N$5)*(IF(N407&lt;($N$4*3/10),($N$4*3/10)*(MIN(O407,($N$4*3/10))^3-N407^3)-(MIN(O407,($N$4*3/10))^4-N407^4)/4,0)+IF(O407&gt;($N$4*3/10),($N$4*3/10)^2*(1.5*(O407^2-MAX(N407,($N$4*3/10))^2)-($N$4*3/10)*(O407-MAX(N407,($N$4*3/10)))),0))*1000,0)</f>
        <v>0</v>
      </c>
      <c r="AQ407" s="120">
        <f>IF(AND(V407="OK",ISNUMBER($N$5),$N$5&gt;0,ISNUMBER($N$3),$N$3&gt;0),R407/(6*$N$3*1000000*$N$5)*(IF(N407&lt;($N$4*4/10),($N$4*4/10)*(MIN(O407,($N$4*4/10))^3-N407^3)-(MIN(O407,($N$4*4/10))^4-N407^4)/4,0)+IF(O407&gt;($N$4*4/10),($N$4*4/10)^2*(1.5*(O407^2-MAX(N407,($N$4*4/10))^2)-($N$4*4/10)*(O407-MAX(N407,($N$4*4/10)))),0))*1000,0)</f>
        <v>0</v>
      </c>
      <c r="AR407" s="120">
        <f>IF(AND(V407="OK",ISNUMBER($N$5),$N$5&gt;0,ISNUMBER($N$3),$N$3&gt;0),R407/(6*$N$3*1000000*$N$5)*(IF(N407&lt;($N$4*5/10),($N$4*5/10)*(MIN(O407,($N$4*5/10))^3-N407^3)-(MIN(O407,($N$4*5/10))^4-N407^4)/4,0)+IF(O407&gt;($N$4*5/10),($N$4*5/10)^2*(1.5*(O407^2-MAX(N407,($N$4*5/10))^2)-($N$4*5/10)*(O407-MAX(N407,($N$4*5/10)))),0))*1000,0)</f>
        <v>0</v>
      </c>
      <c r="AS407" s="120">
        <f>IF(AND(V407="OK",ISNUMBER($N$5),$N$5&gt;0,ISNUMBER($N$3),$N$3&gt;0),R407/(6*$N$3*1000000*$N$5)*(IF(N407&lt;($N$4*6/10),($N$4*6/10)*(MIN(O407,($N$4*6/10))^3-N407^3)-(MIN(O407,($N$4*6/10))^4-N407^4)/4,0)+IF(O407&gt;($N$4*6/10),($N$4*6/10)^2*(1.5*(O407^2-MAX(N407,($N$4*6/10))^2)-($N$4*6/10)*(O407-MAX(N407,($N$4*6/10)))),0))*1000,0)</f>
        <v>0</v>
      </c>
      <c r="AT407" s="120">
        <f>IF(AND(V407="OK",ISNUMBER($N$5),$N$5&gt;0,ISNUMBER($N$3),$N$3&gt;0),R407/(6*$N$3*1000000*$N$5)*(IF(N407&lt;($N$4*7/10),($N$4*7/10)*(MIN(O407,($N$4*7/10))^3-N407^3)-(MIN(O407,($N$4*7/10))^4-N407^4)/4,0)+IF(O407&gt;($N$4*7/10),($N$4*7/10)^2*(1.5*(O407^2-MAX(N407,($N$4*7/10))^2)-($N$4*7/10)*(O407-MAX(N407,($N$4*7/10)))),0))*1000,0)</f>
        <v>0</v>
      </c>
      <c r="AU407" s="120">
        <f>IF(AND(V407="OK",ISNUMBER($N$5),$N$5&gt;0,ISNUMBER($N$3),$N$3&gt;0),R407/(6*$N$3*1000000*$N$5)*(IF(N407&lt;($N$4*8/10),($N$4*8/10)*(MIN(O407,($N$4*8/10))^3-N407^3)-(MIN(O407,($N$4*8/10))^4-N407^4)/4,0)+IF(O407&gt;($N$4*8/10),($N$4*8/10)^2*(1.5*(O407^2-MAX(N407,($N$4*8/10))^2)-($N$4*8/10)*(O407-MAX(N407,($N$4*8/10)))),0))*1000,0)</f>
        <v>0</v>
      </c>
      <c r="AV407" s="120">
        <f>IF(AND(V407="OK",ISNUMBER($N$5),$N$5&gt;0,ISNUMBER($N$3),$N$3&gt;0),R407/(6*$N$3*1000000*$N$5)*(IF(N407&lt;($N$4*9/10),($N$4*9/10)*(MIN(O407,($N$4*9/10))^3-N407^3)-(MIN(O407,($N$4*9/10))^4-N407^4)/4,0)+IF(O407&gt;($N$4*9/10),($N$4*9/10)^2*(1.5*(O407^2-MAX(N407,($N$4*9/10))^2)-($N$4*9/10)*(O407-MAX(N407,($N$4*9/10)))),0))*1000,0)</f>
        <v>0</v>
      </c>
      <c r="AW407" s="120">
        <f>IF(AND(V407="OK",ISNUMBER($N$5),$N$5&gt;0,ISNUMBER($N$3),$N$3&gt;0),R407/(6*$N$3*1000000*$N$5)*(IF(N407&lt;($N$4*10/10),($N$4*10/10)*(MIN(O407,($N$4*10/10))^3-N407^3)-(MIN(O407,($N$4*10/10))^4-N407^4)/4,0)+IF(O407&gt;($N$4*10/10),($N$4*10/10)^2*(1.5*(O407^2-MAX(N407,($N$4*10/10))^2)-($N$4*10/10)*(O407-MAX(N407,($N$4*10/10)))),0))*1000,0)</f>
        <v>0</v>
      </c>
    </row>
    <row r="408" spans="1:49">
      <c r="A408" s="124"/>
      <c r="B408" s="125"/>
      <c r="C408" s="125"/>
      <c r="D408" s="125"/>
      <c r="E408" s="125"/>
      <c r="F408" s="126" t="str">
        <f>IF(J408="OK",D408*E408,"")</f>
        <v/>
      </c>
      <c r="G408" s="126" t="str">
        <f>IF(J408="OK",F408*(C408-B408),"")</f>
        <v/>
      </c>
      <c r="H408" s="126" t="str">
        <f>IF(J408="OK",G408*(C408+B408)/2,"")</f>
        <v/>
      </c>
      <c r="I408" s="126" t="str">
        <f>IF(AND(J408="OK",ISNUMBER($B$5),$B$5&gt;0,ISNUMBER($B$3),$B$3&gt;0),F408*(4*$B$4*(C408^3-B408^3)-(C408^4-B408^4))/(24*$B$3*1000000*$B$5)*1000,"")</f>
        <v/>
      </c>
      <c r="J408" s="120" t="str">
        <f>IF(COUNTA(A408:E408)=0,"",IF(AND(COUNT(B408:E408)=4,B408&gt;=0,C408&gt;B408,C408&lt;=$B$4,D408&gt;=0,E408&gt;0),IF(COUNTIFS($B$13:$B$407,"&lt;"&amp;C408,$C$13:$C$407,"&gt;"&amp;B408)&gt;0,"OVERLAP","OK"),"CHECK INPUTS"))</f>
        <v/>
      </c>
      <c r="M408" s="124"/>
      <c r="N408" s="125"/>
      <c r="O408" s="125"/>
      <c r="P408" s="125"/>
      <c r="Q408" s="125"/>
      <c r="R408" s="126" t="str">
        <f>IF(V408="OK",P408*Q408,"")</f>
        <v/>
      </c>
      <c r="S408" s="126" t="str">
        <f>IF(V408="OK",R408*(O408-N408),"")</f>
        <v/>
      </c>
      <c r="T408" s="126" t="str">
        <f>IF(V408="OK",S408*(O408+N408)/2,"")</f>
        <v/>
      </c>
      <c r="U408" s="126" t="str">
        <f>IF(AND(V408="OK",ISNUMBER($N$5),$N$5&gt;0,ISNUMBER($N$3),$N$3&gt;0),R408*(4*$N$4*(O408^3-N408^3)-(O408^4-N408^4))/(24*$N$3*1000000*$N$5)*1000,"")</f>
        <v/>
      </c>
      <c r="V408" s="120" t="str">
        <f>IF(COUNTA(M408:Q408)=0,"",IF(AND(COUNT(N408:Q408)=4,N408&gt;=0,O408&gt;N408,O408&lt;=$N$4,P408&gt;=0,Q408&gt;0),IF(COUNTIFS($N$13:$N$407,"&lt;"&amp;O408,$O$13:$O$407,"&gt;"&amp;N408)&gt;0,"OVERLAP","OK"),"CHECK INPUTS"))</f>
        <v/>
      </c>
      <c r="AA408" s="120">
        <f>IF(AND(J408="OK",ISNUMBER($B$5),$B$5&gt;0,ISNUMBER($B$3),$B$3&gt;0),F408/(6*$B$3*1000000*$B$5)*(IF(B408&lt;($B$4*0/10),($B$4*0/10)*(MIN(C408,($B$4*0/10))^3-B408^3)-(MIN(C408,($B$4*0/10))^4-B408^4)/4,0)+IF(C408&gt;($B$4*0/10),($B$4*0/10)^2*(1.5*(C408^2-MAX(B408,($B$4*0/10))^2)-($B$4*0/10)*(C408-MAX(B408,($B$4*0/10)))),0))*1000,0)</f>
        <v>0</v>
      </c>
      <c r="AB408" s="120">
        <f>IF(AND(J408="OK",ISNUMBER($B$5),$B$5&gt;0,ISNUMBER($B$3),$B$3&gt;0),F408/(6*$B$3*1000000*$B$5)*(IF(B408&lt;($B$4*1/10),($B$4*1/10)*(MIN(C408,($B$4*1/10))^3-B408^3)-(MIN(C408,($B$4*1/10))^4-B408^4)/4,0)+IF(C408&gt;($B$4*1/10),($B$4*1/10)^2*(1.5*(C408^2-MAX(B408,($B$4*1/10))^2)-($B$4*1/10)*(C408-MAX(B408,($B$4*1/10)))),0))*1000,0)</f>
        <v>0</v>
      </c>
      <c r="AC408" s="120">
        <f>IF(AND(J408="OK",ISNUMBER($B$5),$B$5&gt;0,ISNUMBER($B$3),$B$3&gt;0),F408/(6*$B$3*1000000*$B$5)*(IF(B408&lt;($B$4*2/10),($B$4*2/10)*(MIN(C408,($B$4*2/10))^3-B408^3)-(MIN(C408,($B$4*2/10))^4-B408^4)/4,0)+IF(C408&gt;($B$4*2/10),($B$4*2/10)^2*(1.5*(C408^2-MAX(B408,($B$4*2/10))^2)-($B$4*2/10)*(C408-MAX(B408,($B$4*2/10)))),0))*1000,0)</f>
        <v>0</v>
      </c>
      <c r="AD408" s="120">
        <f>IF(AND(J408="OK",ISNUMBER($B$5),$B$5&gt;0,ISNUMBER($B$3),$B$3&gt;0),F408/(6*$B$3*1000000*$B$5)*(IF(B408&lt;($B$4*3/10),($B$4*3/10)*(MIN(C408,($B$4*3/10))^3-B408^3)-(MIN(C408,($B$4*3/10))^4-B408^4)/4,0)+IF(C408&gt;($B$4*3/10),($B$4*3/10)^2*(1.5*(C408^2-MAX(B408,($B$4*3/10))^2)-($B$4*3/10)*(C408-MAX(B408,($B$4*3/10)))),0))*1000,0)</f>
        <v>0</v>
      </c>
      <c r="AE408" s="120">
        <f>IF(AND(J408="OK",ISNUMBER($B$5),$B$5&gt;0,ISNUMBER($B$3),$B$3&gt;0),F408/(6*$B$3*1000000*$B$5)*(IF(B408&lt;($B$4*4/10),($B$4*4/10)*(MIN(C408,($B$4*4/10))^3-B408^3)-(MIN(C408,($B$4*4/10))^4-B408^4)/4,0)+IF(C408&gt;($B$4*4/10),($B$4*4/10)^2*(1.5*(C408^2-MAX(B408,($B$4*4/10))^2)-($B$4*4/10)*(C408-MAX(B408,($B$4*4/10)))),0))*1000,0)</f>
        <v>0</v>
      </c>
      <c r="AF408" s="120">
        <f>IF(AND(J408="OK",ISNUMBER($B$5),$B$5&gt;0,ISNUMBER($B$3),$B$3&gt;0),F408/(6*$B$3*1000000*$B$5)*(IF(B408&lt;($B$4*5/10),($B$4*5/10)*(MIN(C408,($B$4*5/10))^3-B408^3)-(MIN(C408,($B$4*5/10))^4-B408^4)/4,0)+IF(C408&gt;($B$4*5/10),($B$4*5/10)^2*(1.5*(C408^2-MAX(B408,($B$4*5/10))^2)-($B$4*5/10)*(C408-MAX(B408,($B$4*5/10)))),0))*1000,0)</f>
        <v>0</v>
      </c>
      <c r="AG408" s="120">
        <f>IF(AND(J408="OK",ISNUMBER($B$5),$B$5&gt;0,ISNUMBER($B$3),$B$3&gt;0),F408/(6*$B$3*1000000*$B$5)*(IF(B408&lt;($B$4*6/10),($B$4*6/10)*(MIN(C408,($B$4*6/10))^3-B408^3)-(MIN(C408,($B$4*6/10))^4-B408^4)/4,0)+IF(C408&gt;($B$4*6/10),($B$4*6/10)^2*(1.5*(C408^2-MAX(B408,($B$4*6/10))^2)-($B$4*6/10)*(C408-MAX(B408,($B$4*6/10)))),0))*1000,0)</f>
        <v>0</v>
      </c>
      <c r="AH408" s="120">
        <f>IF(AND(J408="OK",ISNUMBER($B$5),$B$5&gt;0,ISNUMBER($B$3),$B$3&gt;0),F408/(6*$B$3*1000000*$B$5)*(IF(B408&lt;($B$4*7/10),($B$4*7/10)*(MIN(C408,($B$4*7/10))^3-B408^3)-(MIN(C408,($B$4*7/10))^4-B408^4)/4,0)+IF(C408&gt;($B$4*7/10),($B$4*7/10)^2*(1.5*(C408^2-MAX(B408,($B$4*7/10))^2)-($B$4*7/10)*(C408-MAX(B408,($B$4*7/10)))),0))*1000,0)</f>
        <v>0</v>
      </c>
      <c r="AI408" s="120">
        <f>IF(AND(J408="OK",ISNUMBER($B$5),$B$5&gt;0,ISNUMBER($B$3),$B$3&gt;0),F408/(6*$B$3*1000000*$B$5)*(IF(B408&lt;($B$4*8/10),($B$4*8/10)*(MIN(C408,($B$4*8/10))^3-B408^3)-(MIN(C408,($B$4*8/10))^4-B408^4)/4,0)+IF(C408&gt;($B$4*8/10),($B$4*8/10)^2*(1.5*(C408^2-MAX(B408,($B$4*8/10))^2)-($B$4*8/10)*(C408-MAX(B408,($B$4*8/10)))),0))*1000,0)</f>
        <v>0</v>
      </c>
      <c r="AJ408" s="120">
        <f>IF(AND(J408="OK",ISNUMBER($B$5),$B$5&gt;0,ISNUMBER($B$3),$B$3&gt;0),F408/(6*$B$3*1000000*$B$5)*(IF(B408&lt;($B$4*9/10),($B$4*9/10)*(MIN(C408,($B$4*9/10))^3-B408^3)-(MIN(C408,($B$4*9/10))^4-B408^4)/4,0)+IF(C408&gt;($B$4*9/10),($B$4*9/10)^2*(1.5*(C408^2-MAX(B408,($B$4*9/10))^2)-($B$4*9/10)*(C408-MAX(B408,($B$4*9/10)))),0))*1000,0)</f>
        <v>0</v>
      </c>
      <c r="AK408" s="120">
        <f>IF(AND(J408="OK",ISNUMBER($B$5),$B$5&gt;0,ISNUMBER($B$3),$B$3&gt;0),F408/(6*$B$3*1000000*$B$5)*(IF(B408&lt;($B$4*10/10),($B$4*10/10)*(MIN(C408,($B$4*10/10))^3-B408^3)-(MIN(C408,($B$4*10/10))^4-B408^4)/4,0)+IF(C408&gt;($B$4*10/10),($B$4*10/10)^2*(1.5*(C408^2-MAX(B408,($B$4*10/10))^2)-($B$4*10/10)*(C408-MAX(B408,($B$4*10/10)))),0))*1000,0)</f>
        <v>0</v>
      </c>
      <c r="AM408" s="120">
        <f>IF(AND(V408="OK",ISNUMBER($N$5),$N$5&gt;0,ISNUMBER($N$3),$N$3&gt;0),R408/(6*$N$3*1000000*$N$5)*(IF(N408&lt;($N$4*0/10),($N$4*0/10)*(MIN(O408,($N$4*0/10))^3-N408^3)-(MIN(O408,($N$4*0/10))^4-N408^4)/4,0)+IF(O408&gt;($N$4*0/10),($N$4*0/10)^2*(1.5*(O408^2-MAX(N408,($N$4*0/10))^2)-($N$4*0/10)*(O408-MAX(N408,($N$4*0/10)))),0))*1000,0)</f>
        <v>0</v>
      </c>
      <c r="AN408" s="120">
        <f>IF(AND(V408="OK",ISNUMBER($N$5),$N$5&gt;0,ISNUMBER($N$3),$N$3&gt;0),R408/(6*$N$3*1000000*$N$5)*(IF(N408&lt;($N$4*1/10),($N$4*1/10)*(MIN(O408,($N$4*1/10))^3-N408^3)-(MIN(O408,($N$4*1/10))^4-N408^4)/4,0)+IF(O408&gt;($N$4*1/10),($N$4*1/10)^2*(1.5*(O408^2-MAX(N408,($N$4*1/10))^2)-($N$4*1/10)*(O408-MAX(N408,($N$4*1/10)))),0))*1000,0)</f>
        <v>0</v>
      </c>
      <c r="AO408" s="120">
        <f>IF(AND(V408="OK",ISNUMBER($N$5),$N$5&gt;0,ISNUMBER($N$3),$N$3&gt;0),R408/(6*$N$3*1000000*$N$5)*(IF(N408&lt;($N$4*2/10),($N$4*2/10)*(MIN(O408,($N$4*2/10))^3-N408^3)-(MIN(O408,($N$4*2/10))^4-N408^4)/4,0)+IF(O408&gt;($N$4*2/10),($N$4*2/10)^2*(1.5*(O408^2-MAX(N408,($N$4*2/10))^2)-($N$4*2/10)*(O408-MAX(N408,($N$4*2/10)))),0))*1000,0)</f>
        <v>0</v>
      </c>
      <c r="AP408" s="120">
        <f>IF(AND(V408="OK",ISNUMBER($N$5),$N$5&gt;0,ISNUMBER($N$3),$N$3&gt;0),R408/(6*$N$3*1000000*$N$5)*(IF(N408&lt;($N$4*3/10),($N$4*3/10)*(MIN(O408,($N$4*3/10))^3-N408^3)-(MIN(O408,($N$4*3/10))^4-N408^4)/4,0)+IF(O408&gt;($N$4*3/10),($N$4*3/10)^2*(1.5*(O408^2-MAX(N408,($N$4*3/10))^2)-($N$4*3/10)*(O408-MAX(N408,($N$4*3/10)))),0))*1000,0)</f>
        <v>0</v>
      </c>
      <c r="AQ408" s="120">
        <f>IF(AND(V408="OK",ISNUMBER($N$5),$N$5&gt;0,ISNUMBER($N$3),$N$3&gt;0),R408/(6*$N$3*1000000*$N$5)*(IF(N408&lt;($N$4*4/10),($N$4*4/10)*(MIN(O408,($N$4*4/10))^3-N408^3)-(MIN(O408,($N$4*4/10))^4-N408^4)/4,0)+IF(O408&gt;($N$4*4/10),($N$4*4/10)^2*(1.5*(O408^2-MAX(N408,($N$4*4/10))^2)-($N$4*4/10)*(O408-MAX(N408,($N$4*4/10)))),0))*1000,0)</f>
        <v>0</v>
      </c>
      <c r="AR408" s="120">
        <f>IF(AND(V408="OK",ISNUMBER($N$5),$N$5&gt;0,ISNUMBER($N$3),$N$3&gt;0),R408/(6*$N$3*1000000*$N$5)*(IF(N408&lt;($N$4*5/10),($N$4*5/10)*(MIN(O408,($N$4*5/10))^3-N408^3)-(MIN(O408,($N$4*5/10))^4-N408^4)/4,0)+IF(O408&gt;($N$4*5/10),($N$4*5/10)^2*(1.5*(O408^2-MAX(N408,($N$4*5/10))^2)-($N$4*5/10)*(O408-MAX(N408,($N$4*5/10)))),0))*1000,0)</f>
        <v>0</v>
      </c>
      <c r="AS408" s="120">
        <f>IF(AND(V408="OK",ISNUMBER($N$5),$N$5&gt;0,ISNUMBER($N$3),$N$3&gt;0),R408/(6*$N$3*1000000*$N$5)*(IF(N408&lt;($N$4*6/10),($N$4*6/10)*(MIN(O408,($N$4*6/10))^3-N408^3)-(MIN(O408,($N$4*6/10))^4-N408^4)/4,0)+IF(O408&gt;($N$4*6/10),($N$4*6/10)^2*(1.5*(O408^2-MAX(N408,($N$4*6/10))^2)-($N$4*6/10)*(O408-MAX(N408,($N$4*6/10)))),0))*1000,0)</f>
        <v>0</v>
      </c>
      <c r="AT408" s="120">
        <f>IF(AND(V408="OK",ISNUMBER($N$5),$N$5&gt;0,ISNUMBER($N$3),$N$3&gt;0),R408/(6*$N$3*1000000*$N$5)*(IF(N408&lt;($N$4*7/10),($N$4*7/10)*(MIN(O408,($N$4*7/10))^3-N408^3)-(MIN(O408,($N$4*7/10))^4-N408^4)/4,0)+IF(O408&gt;($N$4*7/10),($N$4*7/10)^2*(1.5*(O408^2-MAX(N408,($N$4*7/10))^2)-($N$4*7/10)*(O408-MAX(N408,($N$4*7/10)))),0))*1000,0)</f>
        <v>0</v>
      </c>
      <c r="AU408" s="120">
        <f>IF(AND(V408="OK",ISNUMBER($N$5),$N$5&gt;0,ISNUMBER($N$3),$N$3&gt;0),R408/(6*$N$3*1000000*$N$5)*(IF(N408&lt;($N$4*8/10),($N$4*8/10)*(MIN(O408,($N$4*8/10))^3-N408^3)-(MIN(O408,($N$4*8/10))^4-N408^4)/4,0)+IF(O408&gt;($N$4*8/10),($N$4*8/10)^2*(1.5*(O408^2-MAX(N408,($N$4*8/10))^2)-($N$4*8/10)*(O408-MAX(N408,($N$4*8/10)))),0))*1000,0)</f>
        <v>0</v>
      </c>
      <c r="AV408" s="120">
        <f>IF(AND(V408="OK",ISNUMBER($N$5),$N$5&gt;0,ISNUMBER($N$3),$N$3&gt;0),R408/(6*$N$3*1000000*$N$5)*(IF(N408&lt;($N$4*9/10),($N$4*9/10)*(MIN(O408,($N$4*9/10))^3-N408^3)-(MIN(O408,($N$4*9/10))^4-N408^4)/4,0)+IF(O408&gt;($N$4*9/10),($N$4*9/10)^2*(1.5*(O408^2-MAX(N408,($N$4*9/10))^2)-($N$4*9/10)*(O408-MAX(N408,($N$4*9/10)))),0))*1000,0)</f>
        <v>0</v>
      </c>
      <c r="AW408" s="120">
        <f>IF(AND(V408="OK",ISNUMBER($N$5),$N$5&gt;0,ISNUMBER($N$3),$N$3&gt;0),R408/(6*$N$3*1000000*$N$5)*(IF(N408&lt;($N$4*10/10),($N$4*10/10)*(MIN(O408,($N$4*10/10))^3-N408^3)-(MIN(O408,($N$4*10/10))^4-N408^4)/4,0)+IF(O408&gt;($N$4*10/10),($N$4*10/10)^2*(1.5*(O408^2-MAX(N408,($N$4*10/10))^2)-($N$4*10/10)*(O408-MAX(N408,($N$4*10/10)))),0))*1000,0)</f>
        <v>0</v>
      </c>
    </row>
    <row r="409" spans="1:49">
      <c r="A409" s="124"/>
      <c r="B409" s="125"/>
      <c r="C409" s="125"/>
      <c r="D409" s="125"/>
      <c r="E409" s="125"/>
      <c r="F409" s="126" t="str">
        <f>IF(J409="OK",D409*E409,"")</f>
        <v/>
      </c>
      <c r="G409" s="126" t="str">
        <f>IF(J409="OK",F409*(C409-B409),"")</f>
        <v/>
      </c>
      <c r="H409" s="126" t="str">
        <f>IF(J409="OK",G409*(C409+B409)/2,"")</f>
        <v/>
      </c>
      <c r="I409" s="126" t="str">
        <f>IF(AND(J409="OK",ISNUMBER($B$5),$B$5&gt;0,ISNUMBER($B$3),$B$3&gt;0),F409*(4*$B$4*(C409^3-B409^3)-(C409^4-B409^4))/(24*$B$3*1000000*$B$5)*1000,"")</f>
        <v/>
      </c>
      <c r="J409" s="120" t="str">
        <f>IF(COUNTA(A409:E409)=0,"",IF(AND(COUNT(B409:E409)=4,B409&gt;=0,C409&gt;B409,C409&lt;=$B$4,D409&gt;=0,E409&gt;0),IF(COUNTIFS($B$13:$B$408,"&lt;"&amp;C409,$C$13:$C$408,"&gt;"&amp;B409)&gt;0,"OVERLAP","OK"),"CHECK INPUTS"))</f>
        <v/>
      </c>
      <c r="M409" s="124"/>
      <c r="N409" s="125"/>
      <c r="O409" s="125"/>
      <c r="P409" s="125"/>
      <c r="Q409" s="125"/>
      <c r="R409" s="126" t="str">
        <f>IF(V409="OK",P409*Q409,"")</f>
        <v/>
      </c>
      <c r="S409" s="126" t="str">
        <f>IF(V409="OK",R409*(O409-N409),"")</f>
        <v/>
      </c>
      <c r="T409" s="126" t="str">
        <f>IF(V409="OK",S409*(O409+N409)/2,"")</f>
        <v/>
      </c>
      <c r="U409" s="126" t="str">
        <f>IF(AND(V409="OK",ISNUMBER($N$5),$N$5&gt;0,ISNUMBER($N$3),$N$3&gt;0),R409*(4*$N$4*(O409^3-N409^3)-(O409^4-N409^4))/(24*$N$3*1000000*$N$5)*1000,"")</f>
        <v/>
      </c>
      <c r="V409" s="120" t="str">
        <f>IF(COUNTA(M409:Q409)=0,"",IF(AND(COUNT(N409:Q409)=4,N409&gt;=0,O409&gt;N409,O409&lt;=$N$4,P409&gt;=0,Q409&gt;0),IF(COUNTIFS($N$13:$N$408,"&lt;"&amp;O409,$O$13:$O$408,"&gt;"&amp;N409)&gt;0,"OVERLAP","OK"),"CHECK INPUTS"))</f>
        <v/>
      </c>
      <c r="AA409" s="120">
        <f>IF(AND(J409="OK",ISNUMBER($B$5),$B$5&gt;0,ISNUMBER($B$3),$B$3&gt;0),F409/(6*$B$3*1000000*$B$5)*(IF(B409&lt;($B$4*0/10),($B$4*0/10)*(MIN(C409,($B$4*0/10))^3-B409^3)-(MIN(C409,($B$4*0/10))^4-B409^4)/4,0)+IF(C409&gt;($B$4*0/10),($B$4*0/10)^2*(1.5*(C409^2-MAX(B409,($B$4*0/10))^2)-($B$4*0/10)*(C409-MAX(B409,($B$4*0/10)))),0))*1000,0)</f>
        <v>0</v>
      </c>
      <c r="AB409" s="120">
        <f>IF(AND(J409="OK",ISNUMBER($B$5),$B$5&gt;0,ISNUMBER($B$3),$B$3&gt;0),F409/(6*$B$3*1000000*$B$5)*(IF(B409&lt;($B$4*1/10),($B$4*1/10)*(MIN(C409,($B$4*1/10))^3-B409^3)-(MIN(C409,($B$4*1/10))^4-B409^4)/4,0)+IF(C409&gt;($B$4*1/10),($B$4*1/10)^2*(1.5*(C409^2-MAX(B409,($B$4*1/10))^2)-($B$4*1/10)*(C409-MAX(B409,($B$4*1/10)))),0))*1000,0)</f>
        <v>0</v>
      </c>
      <c r="AC409" s="120">
        <f>IF(AND(J409="OK",ISNUMBER($B$5),$B$5&gt;0,ISNUMBER($B$3),$B$3&gt;0),F409/(6*$B$3*1000000*$B$5)*(IF(B409&lt;($B$4*2/10),($B$4*2/10)*(MIN(C409,($B$4*2/10))^3-B409^3)-(MIN(C409,($B$4*2/10))^4-B409^4)/4,0)+IF(C409&gt;($B$4*2/10),($B$4*2/10)^2*(1.5*(C409^2-MAX(B409,($B$4*2/10))^2)-($B$4*2/10)*(C409-MAX(B409,($B$4*2/10)))),0))*1000,0)</f>
        <v>0</v>
      </c>
      <c r="AD409" s="120">
        <f>IF(AND(J409="OK",ISNUMBER($B$5),$B$5&gt;0,ISNUMBER($B$3),$B$3&gt;0),F409/(6*$B$3*1000000*$B$5)*(IF(B409&lt;($B$4*3/10),($B$4*3/10)*(MIN(C409,($B$4*3/10))^3-B409^3)-(MIN(C409,($B$4*3/10))^4-B409^4)/4,0)+IF(C409&gt;($B$4*3/10),($B$4*3/10)^2*(1.5*(C409^2-MAX(B409,($B$4*3/10))^2)-($B$4*3/10)*(C409-MAX(B409,($B$4*3/10)))),0))*1000,0)</f>
        <v>0</v>
      </c>
      <c r="AE409" s="120">
        <f>IF(AND(J409="OK",ISNUMBER($B$5),$B$5&gt;0,ISNUMBER($B$3),$B$3&gt;0),F409/(6*$B$3*1000000*$B$5)*(IF(B409&lt;($B$4*4/10),($B$4*4/10)*(MIN(C409,($B$4*4/10))^3-B409^3)-(MIN(C409,($B$4*4/10))^4-B409^4)/4,0)+IF(C409&gt;($B$4*4/10),($B$4*4/10)^2*(1.5*(C409^2-MAX(B409,($B$4*4/10))^2)-($B$4*4/10)*(C409-MAX(B409,($B$4*4/10)))),0))*1000,0)</f>
        <v>0</v>
      </c>
      <c r="AF409" s="120">
        <f>IF(AND(J409="OK",ISNUMBER($B$5),$B$5&gt;0,ISNUMBER($B$3),$B$3&gt;0),F409/(6*$B$3*1000000*$B$5)*(IF(B409&lt;($B$4*5/10),($B$4*5/10)*(MIN(C409,($B$4*5/10))^3-B409^3)-(MIN(C409,($B$4*5/10))^4-B409^4)/4,0)+IF(C409&gt;($B$4*5/10),($B$4*5/10)^2*(1.5*(C409^2-MAX(B409,($B$4*5/10))^2)-($B$4*5/10)*(C409-MAX(B409,($B$4*5/10)))),0))*1000,0)</f>
        <v>0</v>
      </c>
      <c r="AG409" s="120">
        <f>IF(AND(J409="OK",ISNUMBER($B$5),$B$5&gt;0,ISNUMBER($B$3),$B$3&gt;0),F409/(6*$B$3*1000000*$B$5)*(IF(B409&lt;($B$4*6/10),($B$4*6/10)*(MIN(C409,($B$4*6/10))^3-B409^3)-(MIN(C409,($B$4*6/10))^4-B409^4)/4,0)+IF(C409&gt;($B$4*6/10),($B$4*6/10)^2*(1.5*(C409^2-MAX(B409,($B$4*6/10))^2)-($B$4*6/10)*(C409-MAX(B409,($B$4*6/10)))),0))*1000,0)</f>
        <v>0</v>
      </c>
      <c r="AH409" s="120">
        <f>IF(AND(J409="OK",ISNUMBER($B$5),$B$5&gt;0,ISNUMBER($B$3),$B$3&gt;0),F409/(6*$B$3*1000000*$B$5)*(IF(B409&lt;($B$4*7/10),($B$4*7/10)*(MIN(C409,($B$4*7/10))^3-B409^3)-(MIN(C409,($B$4*7/10))^4-B409^4)/4,0)+IF(C409&gt;($B$4*7/10),($B$4*7/10)^2*(1.5*(C409^2-MAX(B409,($B$4*7/10))^2)-($B$4*7/10)*(C409-MAX(B409,($B$4*7/10)))),0))*1000,0)</f>
        <v>0</v>
      </c>
      <c r="AI409" s="120">
        <f>IF(AND(J409="OK",ISNUMBER($B$5),$B$5&gt;0,ISNUMBER($B$3),$B$3&gt;0),F409/(6*$B$3*1000000*$B$5)*(IF(B409&lt;($B$4*8/10),($B$4*8/10)*(MIN(C409,($B$4*8/10))^3-B409^3)-(MIN(C409,($B$4*8/10))^4-B409^4)/4,0)+IF(C409&gt;($B$4*8/10),($B$4*8/10)^2*(1.5*(C409^2-MAX(B409,($B$4*8/10))^2)-($B$4*8/10)*(C409-MAX(B409,($B$4*8/10)))),0))*1000,0)</f>
        <v>0</v>
      </c>
      <c r="AJ409" s="120">
        <f>IF(AND(J409="OK",ISNUMBER($B$5),$B$5&gt;0,ISNUMBER($B$3),$B$3&gt;0),F409/(6*$B$3*1000000*$B$5)*(IF(B409&lt;($B$4*9/10),($B$4*9/10)*(MIN(C409,($B$4*9/10))^3-B409^3)-(MIN(C409,($B$4*9/10))^4-B409^4)/4,0)+IF(C409&gt;($B$4*9/10),($B$4*9/10)^2*(1.5*(C409^2-MAX(B409,($B$4*9/10))^2)-($B$4*9/10)*(C409-MAX(B409,($B$4*9/10)))),0))*1000,0)</f>
        <v>0</v>
      </c>
      <c r="AK409" s="120">
        <f>IF(AND(J409="OK",ISNUMBER($B$5),$B$5&gt;0,ISNUMBER($B$3),$B$3&gt;0),F409/(6*$B$3*1000000*$B$5)*(IF(B409&lt;($B$4*10/10),($B$4*10/10)*(MIN(C409,($B$4*10/10))^3-B409^3)-(MIN(C409,($B$4*10/10))^4-B409^4)/4,0)+IF(C409&gt;($B$4*10/10),($B$4*10/10)^2*(1.5*(C409^2-MAX(B409,($B$4*10/10))^2)-($B$4*10/10)*(C409-MAX(B409,($B$4*10/10)))),0))*1000,0)</f>
        <v>0</v>
      </c>
      <c r="AM409" s="120">
        <f>IF(AND(V409="OK",ISNUMBER($N$5),$N$5&gt;0,ISNUMBER($N$3),$N$3&gt;0),R409/(6*$N$3*1000000*$N$5)*(IF(N409&lt;($N$4*0/10),($N$4*0/10)*(MIN(O409,($N$4*0/10))^3-N409^3)-(MIN(O409,($N$4*0/10))^4-N409^4)/4,0)+IF(O409&gt;($N$4*0/10),($N$4*0/10)^2*(1.5*(O409^2-MAX(N409,($N$4*0/10))^2)-($N$4*0/10)*(O409-MAX(N409,($N$4*0/10)))),0))*1000,0)</f>
        <v>0</v>
      </c>
      <c r="AN409" s="120">
        <f>IF(AND(V409="OK",ISNUMBER($N$5),$N$5&gt;0,ISNUMBER($N$3),$N$3&gt;0),R409/(6*$N$3*1000000*$N$5)*(IF(N409&lt;($N$4*1/10),($N$4*1/10)*(MIN(O409,($N$4*1/10))^3-N409^3)-(MIN(O409,($N$4*1/10))^4-N409^4)/4,0)+IF(O409&gt;($N$4*1/10),($N$4*1/10)^2*(1.5*(O409^2-MAX(N409,($N$4*1/10))^2)-($N$4*1/10)*(O409-MAX(N409,($N$4*1/10)))),0))*1000,0)</f>
        <v>0</v>
      </c>
      <c r="AO409" s="120">
        <f>IF(AND(V409="OK",ISNUMBER($N$5),$N$5&gt;0,ISNUMBER($N$3),$N$3&gt;0),R409/(6*$N$3*1000000*$N$5)*(IF(N409&lt;($N$4*2/10),($N$4*2/10)*(MIN(O409,($N$4*2/10))^3-N409^3)-(MIN(O409,($N$4*2/10))^4-N409^4)/4,0)+IF(O409&gt;($N$4*2/10),($N$4*2/10)^2*(1.5*(O409^2-MAX(N409,($N$4*2/10))^2)-($N$4*2/10)*(O409-MAX(N409,($N$4*2/10)))),0))*1000,0)</f>
        <v>0</v>
      </c>
      <c r="AP409" s="120">
        <f>IF(AND(V409="OK",ISNUMBER($N$5),$N$5&gt;0,ISNUMBER($N$3),$N$3&gt;0),R409/(6*$N$3*1000000*$N$5)*(IF(N409&lt;($N$4*3/10),($N$4*3/10)*(MIN(O409,($N$4*3/10))^3-N409^3)-(MIN(O409,($N$4*3/10))^4-N409^4)/4,0)+IF(O409&gt;($N$4*3/10),($N$4*3/10)^2*(1.5*(O409^2-MAX(N409,($N$4*3/10))^2)-($N$4*3/10)*(O409-MAX(N409,($N$4*3/10)))),0))*1000,0)</f>
        <v>0</v>
      </c>
      <c r="AQ409" s="120">
        <f>IF(AND(V409="OK",ISNUMBER($N$5),$N$5&gt;0,ISNUMBER($N$3),$N$3&gt;0),R409/(6*$N$3*1000000*$N$5)*(IF(N409&lt;($N$4*4/10),($N$4*4/10)*(MIN(O409,($N$4*4/10))^3-N409^3)-(MIN(O409,($N$4*4/10))^4-N409^4)/4,0)+IF(O409&gt;($N$4*4/10),($N$4*4/10)^2*(1.5*(O409^2-MAX(N409,($N$4*4/10))^2)-($N$4*4/10)*(O409-MAX(N409,($N$4*4/10)))),0))*1000,0)</f>
        <v>0</v>
      </c>
      <c r="AR409" s="120">
        <f>IF(AND(V409="OK",ISNUMBER($N$5),$N$5&gt;0,ISNUMBER($N$3),$N$3&gt;0),R409/(6*$N$3*1000000*$N$5)*(IF(N409&lt;($N$4*5/10),($N$4*5/10)*(MIN(O409,($N$4*5/10))^3-N409^3)-(MIN(O409,($N$4*5/10))^4-N409^4)/4,0)+IF(O409&gt;($N$4*5/10),($N$4*5/10)^2*(1.5*(O409^2-MAX(N409,($N$4*5/10))^2)-($N$4*5/10)*(O409-MAX(N409,($N$4*5/10)))),0))*1000,0)</f>
        <v>0</v>
      </c>
      <c r="AS409" s="120">
        <f>IF(AND(V409="OK",ISNUMBER($N$5),$N$5&gt;0,ISNUMBER($N$3),$N$3&gt;0),R409/(6*$N$3*1000000*$N$5)*(IF(N409&lt;($N$4*6/10),($N$4*6/10)*(MIN(O409,($N$4*6/10))^3-N409^3)-(MIN(O409,($N$4*6/10))^4-N409^4)/4,0)+IF(O409&gt;($N$4*6/10),($N$4*6/10)^2*(1.5*(O409^2-MAX(N409,($N$4*6/10))^2)-($N$4*6/10)*(O409-MAX(N409,($N$4*6/10)))),0))*1000,0)</f>
        <v>0</v>
      </c>
      <c r="AT409" s="120">
        <f>IF(AND(V409="OK",ISNUMBER($N$5),$N$5&gt;0,ISNUMBER($N$3),$N$3&gt;0),R409/(6*$N$3*1000000*$N$5)*(IF(N409&lt;($N$4*7/10),($N$4*7/10)*(MIN(O409,($N$4*7/10))^3-N409^3)-(MIN(O409,($N$4*7/10))^4-N409^4)/4,0)+IF(O409&gt;($N$4*7/10),($N$4*7/10)^2*(1.5*(O409^2-MAX(N409,($N$4*7/10))^2)-($N$4*7/10)*(O409-MAX(N409,($N$4*7/10)))),0))*1000,0)</f>
        <v>0</v>
      </c>
      <c r="AU409" s="120">
        <f>IF(AND(V409="OK",ISNUMBER($N$5),$N$5&gt;0,ISNUMBER($N$3),$N$3&gt;0),R409/(6*$N$3*1000000*$N$5)*(IF(N409&lt;($N$4*8/10),($N$4*8/10)*(MIN(O409,($N$4*8/10))^3-N409^3)-(MIN(O409,($N$4*8/10))^4-N409^4)/4,0)+IF(O409&gt;($N$4*8/10),($N$4*8/10)^2*(1.5*(O409^2-MAX(N409,($N$4*8/10))^2)-($N$4*8/10)*(O409-MAX(N409,($N$4*8/10)))),0))*1000,0)</f>
        <v>0</v>
      </c>
      <c r="AV409" s="120">
        <f>IF(AND(V409="OK",ISNUMBER($N$5),$N$5&gt;0,ISNUMBER($N$3),$N$3&gt;0),R409/(6*$N$3*1000000*$N$5)*(IF(N409&lt;($N$4*9/10),($N$4*9/10)*(MIN(O409,($N$4*9/10))^3-N409^3)-(MIN(O409,($N$4*9/10))^4-N409^4)/4,0)+IF(O409&gt;($N$4*9/10),($N$4*9/10)^2*(1.5*(O409^2-MAX(N409,($N$4*9/10))^2)-($N$4*9/10)*(O409-MAX(N409,($N$4*9/10)))),0))*1000,0)</f>
        <v>0</v>
      </c>
      <c r="AW409" s="120">
        <f>IF(AND(V409="OK",ISNUMBER($N$5),$N$5&gt;0,ISNUMBER($N$3),$N$3&gt;0),R409/(6*$N$3*1000000*$N$5)*(IF(N409&lt;($N$4*10/10),($N$4*10/10)*(MIN(O409,($N$4*10/10))^3-N409^3)-(MIN(O409,($N$4*10/10))^4-N409^4)/4,0)+IF(O409&gt;($N$4*10/10),($N$4*10/10)^2*(1.5*(O409^2-MAX(N409,($N$4*10/10))^2)-($N$4*10/10)*(O409-MAX(N409,($N$4*10/10)))),0))*1000,0)</f>
        <v>0</v>
      </c>
    </row>
    <row r="410" spans="1:49">
      <c r="A410" s="124"/>
      <c r="B410" s="125"/>
      <c r="C410" s="125"/>
      <c r="D410" s="125"/>
      <c r="E410" s="125"/>
      <c r="F410" s="126" t="str">
        <f>IF(J410="OK",D410*E410,"")</f>
        <v/>
      </c>
      <c r="G410" s="126" t="str">
        <f>IF(J410="OK",F410*(C410-B410),"")</f>
        <v/>
      </c>
      <c r="H410" s="126" t="str">
        <f>IF(J410="OK",G410*(C410+B410)/2,"")</f>
        <v/>
      </c>
      <c r="I410" s="126" t="str">
        <f>IF(AND(J410="OK",ISNUMBER($B$5),$B$5&gt;0,ISNUMBER($B$3),$B$3&gt;0),F410*(4*$B$4*(C410^3-B410^3)-(C410^4-B410^4))/(24*$B$3*1000000*$B$5)*1000,"")</f>
        <v/>
      </c>
      <c r="J410" s="120" t="str">
        <f>IF(COUNTA(A410:E410)=0,"",IF(AND(COUNT(B410:E410)=4,B410&gt;=0,C410&gt;B410,C410&lt;=$B$4,D410&gt;=0,E410&gt;0),IF(COUNTIFS($B$13:$B$409,"&lt;"&amp;C410,$C$13:$C$409,"&gt;"&amp;B410)&gt;0,"OVERLAP","OK"),"CHECK INPUTS"))</f>
        <v/>
      </c>
      <c r="M410" s="124"/>
      <c r="N410" s="125"/>
      <c r="O410" s="125"/>
      <c r="P410" s="125"/>
      <c r="Q410" s="125"/>
      <c r="R410" s="126" t="str">
        <f>IF(V410="OK",P410*Q410,"")</f>
        <v/>
      </c>
      <c r="S410" s="126" t="str">
        <f>IF(V410="OK",R410*(O410-N410),"")</f>
        <v/>
      </c>
      <c r="T410" s="126" t="str">
        <f>IF(V410="OK",S410*(O410+N410)/2,"")</f>
        <v/>
      </c>
      <c r="U410" s="126" t="str">
        <f>IF(AND(V410="OK",ISNUMBER($N$5),$N$5&gt;0,ISNUMBER($N$3),$N$3&gt;0),R410*(4*$N$4*(O410^3-N410^3)-(O410^4-N410^4))/(24*$N$3*1000000*$N$5)*1000,"")</f>
        <v/>
      </c>
      <c r="V410" s="120" t="str">
        <f>IF(COUNTA(M410:Q410)=0,"",IF(AND(COUNT(N410:Q410)=4,N410&gt;=0,O410&gt;N410,O410&lt;=$N$4,P410&gt;=0,Q410&gt;0),IF(COUNTIFS($N$13:$N$409,"&lt;"&amp;O410,$O$13:$O$409,"&gt;"&amp;N410)&gt;0,"OVERLAP","OK"),"CHECK INPUTS"))</f>
        <v/>
      </c>
      <c r="AA410" s="120">
        <f>IF(AND(J410="OK",ISNUMBER($B$5),$B$5&gt;0,ISNUMBER($B$3),$B$3&gt;0),F410/(6*$B$3*1000000*$B$5)*(IF(B410&lt;($B$4*0/10),($B$4*0/10)*(MIN(C410,($B$4*0/10))^3-B410^3)-(MIN(C410,($B$4*0/10))^4-B410^4)/4,0)+IF(C410&gt;($B$4*0/10),($B$4*0/10)^2*(1.5*(C410^2-MAX(B410,($B$4*0/10))^2)-($B$4*0/10)*(C410-MAX(B410,($B$4*0/10)))),0))*1000,0)</f>
        <v>0</v>
      </c>
      <c r="AB410" s="120">
        <f>IF(AND(J410="OK",ISNUMBER($B$5),$B$5&gt;0,ISNUMBER($B$3),$B$3&gt;0),F410/(6*$B$3*1000000*$B$5)*(IF(B410&lt;($B$4*1/10),($B$4*1/10)*(MIN(C410,($B$4*1/10))^3-B410^3)-(MIN(C410,($B$4*1/10))^4-B410^4)/4,0)+IF(C410&gt;($B$4*1/10),($B$4*1/10)^2*(1.5*(C410^2-MAX(B410,($B$4*1/10))^2)-($B$4*1/10)*(C410-MAX(B410,($B$4*1/10)))),0))*1000,0)</f>
        <v>0</v>
      </c>
      <c r="AC410" s="120">
        <f>IF(AND(J410="OK",ISNUMBER($B$5),$B$5&gt;0,ISNUMBER($B$3),$B$3&gt;0),F410/(6*$B$3*1000000*$B$5)*(IF(B410&lt;($B$4*2/10),($B$4*2/10)*(MIN(C410,($B$4*2/10))^3-B410^3)-(MIN(C410,($B$4*2/10))^4-B410^4)/4,0)+IF(C410&gt;($B$4*2/10),($B$4*2/10)^2*(1.5*(C410^2-MAX(B410,($B$4*2/10))^2)-($B$4*2/10)*(C410-MAX(B410,($B$4*2/10)))),0))*1000,0)</f>
        <v>0</v>
      </c>
      <c r="AD410" s="120">
        <f>IF(AND(J410="OK",ISNUMBER($B$5),$B$5&gt;0,ISNUMBER($B$3),$B$3&gt;0),F410/(6*$B$3*1000000*$B$5)*(IF(B410&lt;($B$4*3/10),($B$4*3/10)*(MIN(C410,($B$4*3/10))^3-B410^3)-(MIN(C410,($B$4*3/10))^4-B410^4)/4,0)+IF(C410&gt;($B$4*3/10),($B$4*3/10)^2*(1.5*(C410^2-MAX(B410,($B$4*3/10))^2)-($B$4*3/10)*(C410-MAX(B410,($B$4*3/10)))),0))*1000,0)</f>
        <v>0</v>
      </c>
      <c r="AE410" s="120">
        <f>IF(AND(J410="OK",ISNUMBER($B$5),$B$5&gt;0,ISNUMBER($B$3),$B$3&gt;0),F410/(6*$B$3*1000000*$B$5)*(IF(B410&lt;($B$4*4/10),($B$4*4/10)*(MIN(C410,($B$4*4/10))^3-B410^3)-(MIN(C410,($B$4*4/10))^4-B410^4)/4,0)+IF(C410&gt;($B$4*4/10),($B$4*4/10)^2*(1.5*(C410^2-MAX(B410,($B$4*4/10))^2)-($B$4*4/10)*(C410-MAX(B410,($B$4*4/10)))),0))*1000,0)</f>
        <v>0</v>
      </c>
      <c r="AF410" s="120">
        <f>IF(AND(J410="OK",ISNUMBER($B$5),$B$5&gt;0,ISNUMBER($B$3),$B$3&gt;0),F410/(6*$B$3*1000000*$B$5)*(IF(B410&lt;($B$4*5/10),($B$4*5/10)*(MIN(C410,($B$4*5/10))^3-B410^3)-(MIN(C410,($B$4*5/10))^4-B410^4)/4,0)+IF(C410&gt;($B$4*5/10),($B$4*5/10)^2*(1.5*(C410^2-MAX(B410,($B$4*5/10))^2)-($B$4*5/10)*(C410-MAX(B410,($B$4*5/10)))),0))*1000,0)</f>
        <v>0</v>
      </c>
      <c r="AG410" s="120">
        <f>IF(AND(J410="OK",ISNUMBER($B$5),$B$5&gt;0,ISNUMBER($B$3),$B$3&gt;0),F410/(6*$B$3*1000000*$B$5)*(IF(B410&lt;($B$4*6/10),($B$4*6/10)*(MIN(C410,($B$4*6/10))^3-B410^3)-(MIN(C410,($B$4*6/10))^4-B410^4)/4,0)+IF(C410&gt;($B$4*6/10),($B$4*6/10)^2*(1.5*(C410^2-MAX(B410,($B$4*6/10))^2)-($B$4*6/10)*(C410-MAX(B410,($B$4*6/10)))),0))*1000,0)</f>
        <v>0</v>
      </c>
      <c r="AH410" s="120">
        <f>IF(AND(J410="OK",ISNUMBER($B$5),$B$5&gt;0,ISNUMBER($B$3),$B$3&gt;0),F410/(6*$B$3*1000000*$B$5)*(IF(B410&lt;($B$4*7/10),($B$4*7/10)*(MIN(C410,($B$4*7/10))^3-B410^3)-(MIN(C410,($B$4*7/10))^4-B410^4)/4,0)+IF(C410&gt;($B$4*7/10),($B$4*7/10)^2*(1.5*(C410^2-MAX(B410,($B$4*7/10))^2)-($B$4*7/10)*(C410-MAX(B410,($B$4*7/10)))),0))*1000,0)</f>
        <v>0</v>
      </c>
      <c r="AI410" s="120">
        <f>IF(AND(J410="OK",ISNUMBER($B$5),$B$5&gt;0,ISNUMBER($B$3),$B$3&gt;0),F410/(6*$B$3*1000000*$B$5)*(IF(B410&lt;($B$4*8/10),($B$4*8/10)*(MIN(C410,($B$4*8/10))^3-B410^3)-(MIN(C410,($B$4*8/10))^4-B410^4)/4,0)+IF(C410&gt;($B$4*8/10),($B$4*8/10)^2*(1.5*(C410^2-MAX(B410,($B$4*8/10))^2)-($B$4*8/10)*(C410-MAX(B410,($B$4*8/10)))),0))*1000,0)</f>
        <v>0</v>
      </c>
      <c r="AJ410" s="120">
        <f>IF(AND(J410="OK",ISNUMBER($B$5),$B$5&gt;0,ISNUMBER($B$3),$B$3&gt;0),F410/(6*$B$3*1000000*$B$5)*(IF(B410&lt;($B$4*9/10),($B$4*9/10)*(MIN(C410,($B$4*9/10))^3-B410^3)-(MIN(C410,($B$4*9/10))^4-B410^4)/4,0)+IF(C410&gt;($B$4*9/10),($B$4*9/10)^2*(1.5*(C410^2-MAX(B410,($B$4*9/10))^2)-($B$4*9/10)*(C410-MAX(B410,($B$4*9/10)))),0))*1000,0)</f>
        <v>0</v>
      </c>
      <c r="AK410" s="120">
        <f>IF(AND(J410="OK",ISNUMBER($B$5),$B$5&gt;0,ISNUMBER($B$3),$B$3&gt;0),F410/(6*$B$3*1000000*$B$5)*(IF(B410&lt;($B$4*10/10),($B$4*10/10)*(MIN(C410,($B$4*10/10))^3-B410^3)-(MIN(C410,($B$4*10/10))^4-B410^4)/4,0)+IF(C410&gt;($B$4*10/10),($B$4*10/10)^2*(1.5*(C410^2-MAX(B410,($B$4*10/10))^2)-($B$4*10/10)*(C410-MAX(B410,($B$4*10/10)))),0))*1000,0)</f>
        <v>0</v>
      </c>
      <c r="AM410" s="120">
        <f>IF(AND(V410="OK",ISNUMBER($N$5),$N$5&gt;0,ISNUMBER($N$3),$N$3&gt;0),R410/(6*$N$3*1000000*$N$5)*(IF(N410&lt;($N$4*0/10),($N$4*0/10)*(MIN(O410,($N$4*0/10))^3-N410^3)-(MIN(O410,($N$4*0/10))^4-N410^4)/4,0)+IF(O410&gt;($N$4*0/10),($N$4*0/10)^2*(1.5*(O410^2-MAX(N410,($N$4*0/10))^2)-($N$4*0/10)*(O410-MAX(N410,($N$4*0/10)))),0))*1000,0)</f>
        <v>0</v>
      </c>
      <c r="AN410" s="120">
        <f>IF(AND(V410="OK",ISNUMBER($N$5),$N$5&gt;0,ISNUMBER($N$3),$N$3&gt;0),R410/(6*$N$3*1000000*$N$5)*(IF(N410&lt;($N$4*1/10),($N$4*1/10)*(MIN(O410,($N$4*1/10))^3-N410^3)-(MIN(O410,($N$4*1/10))^4-N410^4)/4,0)+IF(O410&gt;($N$4*1/10),($N$4*1/10)^2*(1.5*(O410^2-MAX(N410,($N$4*1/10))^2)-($N$4*1/10)*(O410-MAX(N410,($N$4*1/10)))),0))*1000,0)</f>
        <v>0</v>
      </c>
      <c r="AO410" s="120">
        <f>IF(AND(V410="OK",ISNUMBER($N$5),$N$5&gt;0,ISNUMBER($N$3),$N$3&gt;0),R410/(6*$N$3*1000000*$N$5)*(IF(N410&lt;($N$4*2/10),($N$4*2/10)*(MIN(O410,($N$4*2/10))^3-N410^3)-(MIN(O410,($N$4*2/10))^4-N410^4)/4,0)+IF(O410&gt;($N$4*2/10),($N$4*2/10)^2*(1.5*(O410^2-MAX(N410,($N$4*2/10))^2)-($N$4*2/10)*(O410-MAX(N410,($N$4*2/10)))),0))*1000,0)</f>
        <v>0</v>
      </c>
      <c r="AP410" s="120">
        <f>IF(AND(V410="OK",ISNUMBER($N$5),$N$5&gt;0,ISNUMBER($N$3),$N$3&gt;0),R410/(6*$N$3*1000000*$N$5)*(IF(N410&lt;($N$4*3/10),($N$4*3/10)*(MIN(O410,($N$4*3/10))^3-N410^3)-(MIN(O410,($N$4*3/10))^4-N410^4)/4,0)+IF(O410&gt;($N$4*3/10),($N$4*3/10)^2*(1.5*(O410^2-MAX(N410,($N$4*3/10))^2)-($N$4*3/10)*(O410-MAX(N410,($N$4*3/10)))),0))*1000,0)</f>
        <v>0</v>
      </c>
      <c r="AQ410" s="120">
        <f>IF(AND(V410="OK",ISNUMBER($N$5),$N$5&gt;0,ISNUMBER($N$3),$N$3&gt;0),R410/(6*$N$3*1000000*$N$5)*(IF(N410&lt;($N$4*4/10),($N$4*4/10)*(MIN(O410,($N$4*4/10))^3-N410^3)-(MIN(O410,($N$4*4/10))^4-N410^4)/4,0)+IF(O410&gt;($N$4*4/10),($N$4*4/10)^2*(1.5*(O410^2-MAX(N410,($N$4*4/10))^2)-($N$4*4/10)*(O410-MAX(N410,($N$4*4/10)))),0))*1000,0)</f>
        <v>0</v>
      </c>
      <c r="AR410" s="120">
        <f>IF(AND(V410="OK",ISNUMBER($N$5),$N$5&gt;0,ISNUMBER($N$3),$N$3&gt;0),R410/(6*$N$3*1000000*$N$5)*(IF(N410&lt;($N$4*5/10),($N$4*5/10)*(MIN(O410,($N$4*5/10))^3-N410^3)-(MIN(O410,($N$4*5/10))^4-N410^4)/4,0)+IF(O410&gt;($N$4*5/10),($N$4*5/10)^2*(1.5*(O410^2-MAX(N410,($N$4*5/10))^2)-($N$4*5/10)*(O410-MAX(N410,($N$4*5/10)))),0))*1000,0)</f>
        <v>0</v>
      </c>
      <c r="AS410" s="120">
        <f>IF(AND(V410="OK",ISNUMBER($N$5),$N$5&gt;0,ISNUMBER($N$3),$N$3&gt;0),R410/(6*$N$3*1000000*$N$5)*(IF(N410&lt;($N$4*6/10),($N$4*6/10)*(MIN(O410,($N$4*6/10))^3-N410^3)-(MIN(O410,($N$4*6/10))^4-N410^4)/4,0)+IF(O410&gt;($N$4*6/10),($N$4*6/10)^2*(1.5*(O410^2-MAX(N410,($N$4*6/10))^2)-($N$4*6/10)*(O410-MAX(N410,($N$4*6/10)))),0))*1000,0)</f>
        <v>0</v>
      </c>
      <c r="AT410" s="120">
        <f>IF(AND(V410="OK",ISNUMBER($N$5),$N$5&gt;0,ISNUMBER($N$3),$N$3&gt;0),R410/(6*$N$3*1000000*$N$5)*(IF(N410&lt;($N$4*7/10),($N$4*7/10)*(MIN(O410,($N$4*7/10))^3-N410^3)-(MIN(O410,($N$4*7/10))^4-N410^4)/4,0)+IF(O410&gt;($N$4*7/10),($N$4*7/10)^2*(1.5*(O410^2-MAX(N410,($N$4*7/10))^2)-($N$4*7/10)*(O410-MAX(N410,($N$4*7/10)))),0))*1000,0)</f>
        <v>0</v>
      </c>
      <c r="AU410" s="120">
        <f>IF(AND(V410="OK",ISNUMBER($N$5),$N$5&gt;0,ISNUMBER($N$3),$N$3&gt;0),R410/(6*$N$3*1000000*$N$5)*(IF(N410&lt;($N$4*8/10),($N$4*8/10)*(MIN(O410,($N$4*8/10))^3-N410^3)-(MIN(O410,($N$4*8/10))^4-N410^4)/4,0)+IF(O410&gt;($N$4*8/10),($N$4*8/10)^2*(1.5*(O410^2-MAX(N410,($N$4*8/10))^2)-($N$4*8/10)*(O410-MAX(N410,($N$4*8/10)))),0))*1000,0)</f>
        <v>0</v>
      </c>
      <c r="AV410" s="120">
        <f>IF(AND(V410="OK",ISNUMBER($N$5),$N$5&gt;0,ISNUMBER($N$3),$N$3&gt;0),R410/(6*$N$3*1000000*$N$5)*(IF(N410&lt;($N$4*9/10),($N$4*9/10)*(MIN(O410,($N$4*9/10))^3-N410^3)-(MIN(O410,($N$4*9/10))^4-N410^4)/4,0)+IF(O410&gt;($N$4*9/10),($N$4*9/10)^2*(1.5*(O410^2-MAX(N410,($N$4*9/10))^2)-($N$4*9/10)*(O410-MAX(N410,($N$4*9/10)))),0))*1000,0)</f>
        <v>0</v>
      </c>
      <c r="AW410" s="120">
        <f>IF(AND(V410="OK",ISNUMBER($N$5),$N$5&gt;0,ISNUMBER($N$3),$N$3&gt;0),R410/(6*$N$3*1000000*$N$5)*(IF(N410&lt;($N$4*10/10),($N$4*10/10)*(MIN(O410,($N$4*10/10))^3-N410^3)-(MIN(O410,($N$4*10/10))^4-N410^4)/4,0)+IF(O410&gt;($N$4*10/10),($N$4*10/10)^2*(1.5*(O410^2-MAX(N410,($N$4*10/10))^2)-($N$4*10/10)*(O410-MAX(N410,($N$4*10/10)))),0))*1000,0)</f>
        <v>0</v>
      </c>
    </row>
    <row r="411" spans="1:49">
      <c r="A411" s="124"/>
      <c r="B411" s="125"/>
      <c r="C411" s="125"/>
      <c r="D411" s="125"/>
      <c r="E411" s="125"/>
      <c r="F411" s="126" t="str">
        <f>IF(J411="OK",D411*E411,"")</f>
        <v/>
      </c>
      <c r="G411" s="126" t="str">
        <f>IF(J411="OK",F411*(C411-B411),"")</f>
        <v/>
      </c>
      <c r="H411" s="126" t="str">
        <f>IF(J411="OK",G411*(C411+B411)/2,"")</f>
        <v/>
      </c>
      <c r="I411" s="126" t="str">
        <f>IF(AND(J411="OK",ISNUMBER($B$5),$B$5&gt;0,ISNUMBER($B$3),$B$3&gt;0),F411*(4*$B$4*(C411^3-B411^3)-(C411^4-B411^4))/(24*$B$3*1000000*$B$5)*1000,"")</f>
        <v/>
      </c>
      <c r="J411" s="120" t="str">
        <f>IF(COUNTA(A411:E411)=0,"",IF(AND(COUNT(B411:E411)=4,B411&gt;=0,C411&gt;B411,C411&lt;=$B$4,D411&gt;=0,E411&gt;0),IF(COUNTIFS($B$13:$B$410,"&lt;"&amp;C411,$C$13:$C$410,"&gt;"&amp;B411)&gt;0,"OVERLAP","OK"),"CHECK INPUTS"))</f>
        <v/>
      </c>
      <c r="M411" s="124"/>
      <c r="N411" s="125"/>
      <c r="O411" s="125"/>
      <c r="P411" s="125"/>
      <c r="Q411" s="125"/>
      <c r="R411" s="126" t="str">
        <f>IF(V411="OK",P411*Q411,"")</f>
        <v/>
      </c>
      <c r="S411" s="126" t="str">
        <f>IF(V411="OK",R411*(O411-N411),"")</f>
        <v/>
      </c>
      <c r="T411" s="126" t="str">
        <f>IF(V411="OK",S411*(O411+N411)/2,"")</f>
        <v/>
      </c>
      <c r="U411" s="126" t="str">
        <f>IF(AND(V411="OK",ISNUMBER($N$5),$N$5&gt;0,ISNUMBER($N$3),$N$3&gt;0),R411*(4*$N$4*(O411^3-N411^3)-(O411^4-N411^4))/(24*$N$3*1000000*$N$5)*1000,"")</f>
        <v/>
      </c>
      <c r="V411" s="120" t="str">
        <f>IF(COUNTA(M411:Q411)=0,"",IF(AND(COUNT(N411:Q411)=4,N411&gt;=0,O411&gt;N411,O411&lt;=$N$4,P411&gt;=0,Q411&gt;0),IF(COUNTIFS($N$13:$N$410,"&lt;"&amp;O411,$O$13:$O$410,"&gt;"&amp;N411)&gt;0,"OVERLAP","OK"),"CHECK INPUTS"))</f>
        <v/>
      </c>
      <c r="AA411" s="120">
        <f>IF(AND(J411="OK",ISNUMBER($B$5),$B$5&gt;0,ISNUMBER($B$3),$B$3&gt;0),F411/(6*$B$3*1000000*$B$5)*(IF(B411&lt;($B$4*0/10),($B$4*0/10)*(MIN(C411,($B$4*0/10))^3-B411^3)-(MIN(C411,($B$4*0/10))^4-B411^4)/4,0)+IF(C411&gt;($B$4*0/10),($B$4*0/10)^2*(1.5*(C411^2-MAX(B411,($B$4*0/10))^2)-($B$4*0/10)*(C411-MAX(B411,($B$4*0/10)))),0))*1000,0)</f>
        <v>0</v>
      </c>
      <c r="AB411" s="120">
        <f>IF(AND(J411="OK",ISNUMBER($B$5),$B$5&gt;0,ISNUMBER($B$3),$B$3&gt;0),F411/(6*$B$3*1000000*$B$5)*(IF(B411&lt;($B$4*1/10),($B$4*1/10)*(MIN(C411,($B$4*1/10))^3-B411^3)-(MIN(C411,($B$4*1/10))^4-B411^4)/4,0)+IF(C411&gt;($B$4*1/10),($B$4*1/10)^2*(1.5*(C411^2-MAX(B411,($B$4*1/10))^2)-($B$4*1/10)*(C411-MAX(B411,($B$4*1/10)))),0))*1000,0)</f>
        <v>0</v>
      </c>
      <c r="AC411" s="120">
        <f>IF(AND(J411="OK",ISNUMBER($B$5),$B$5&gt;0,ISNUMBER($B$3),$B$3&gt;0),F411/(6*$B$3*1000000*$B$5)*(IF(B411&lt;($B$4*2/10),($B$4*2/10)*(MIN(C411,($B$4*2/10))^3-B411^3)-(MIN(C411,($B$4*2/10))^4-B411^4)/4,0)+IF(C411&gt;($B$4*2/10),($B$4*2/10)^2*(1.5*(C411^2-MAX(B411,($B$4*2/10))^2)-($B$4*2/10)*(C411-MAX(B411,($B$4*2/10)))),0))*1000,0)</f>
        <v>0</v>
      </c>
      <c r="AD411" s="120">
        <f>IF(AND(J411="OK",ISNUMBER($B$5),$B$5&gt;0,ISNUMBER($B$3),$B$3&gt;0),F411/(6*$B$3*1000000*$B$5)*(IF(B411&lt;($B$4*3/10),($B$4*3/10)*(MIN(C411,($B$4*3/10))^3-B411^3)-(MIN(C411,($B$4*3/10))^4-B411^4)/4,0)+IF(C411&gt;($B$4*3/10),($B$4*3/10)^2*(1.5*(C411^2-MAX(B411,($B$4*3/10))^2)-($B$4*3/10)*(C411-MAX(B411,($B$4*3/10)))),0))*1000,0)</f>
        <v>0</v>
      </c>
      <c r="AE411" s="120">
        <f>IF(AND(J411="OK",ISNUMBER($B$5),$B$5&gt;0,ISNUMBER($B$3),$B$3&gt;0),F411/(6*$B$3*1000000*$B$5)*(IF(B411&lt;($B$4*4/10),($B$4*4/10)*(MIN(C411,($B$4*4/10))^3-B411^3)-(MIN(C411,($B$4*4/10))^4-B411^4)/4,0)+IF(C411&gt;($B$4*4/10),($B$4*4/10)^2*(1.5*(C411^2-MAX(B411,($B$4*4/10))^2)-($B$4*4/10)*(C411-MAX(B411,($B$4*4/10)))),0))*1000,0)</f>
        <v>0</v>
      </c>
      <c r="AF411" s="120">
        <f>IF(AND(J411="OK",ISNUMBER($B$5),$B$5&gt;0,ISNUMBER($B$3),$B$3&gt;0),F411/(6*$B$3*1000000*$B$5)*(IF(B411&lt;($B$4*5/10),($B$4*5/10)*(MIN(C411,($B$4*5/10))^3-B411^3)-(MIN(C411,($B$4*5/10))^4-B411^4)/4,0)+IF(C411&gt;($B$4*5/10),($B$4*5/10)^2*(1.5*(C411^2-MAX(B411,($B$4*5/10))^2)-($B$4*5/10)*(C411-MAX(B411,($B$4*5/10)))),0))*1000,0)</f>
        <v>0</v>
      </c>
      <c r="AG411" s="120">
        <f>IF(AND(J411="OK",ISNUMBER($B$5),$B$5&gt;0,ISNUMBER($B$3),$B$3&gt;0),F411/(6*$B$3*1000000*$B$5)*(IF(B411&lt;($B$4*6/10),($B$4*6/10)*(MIN(C411,($B$4*6/10))^3-B411^3)-(MIN(C411,($B$4*6/10))^4-B411^4)/4,0)+IF(C411&gt;($B$4*6/10),($B$4*6/10)^2*(1.5*(C411^2-MAX(B411,($B$4*6/10))^2)-($B$4*6/10)*(C411-MAX(B411,($B$4*6/10)))),0))*1000,0)</f>
        <v>0</v>
      </c>
      <c r="AH411" s="120">
        <f>IF(AND(J411="OK",ISNUMBER($B$5),$B$5&gt;0,ISNUMBER($B$3),$B$3&gt;0),F411/(6*$B$3*1000000*$B$5)*(IF(B411&lt;($B$4*7/10),($B$4*7/10)*(MIN(C411,($B$4*7/10))^3-B411^3)-(MIN(C411,($B$4*7/10))^4-B411^4)/4,0)+IF(C411&gt;($B$4*7/10),($B$4*7/10)^2*(1.5*(C411^2-MAX(B411,($B$4*7/10))^2)-($B$4*7/10)*(C411-MAX(B411,($B$4*7/10)))),0))*1000,0)</f>
        <v>0</v>
      </c>
      <c r="AI411" s="120">
        <f>IF(AND(J411="OK",ISNUMBER($B$5),$B$5&gt;0,ISNUMBER($B$3),$B$3&gt;0),F411/(6*$B$3*1000000*$B$5)*(IF(B411&lt;($B$4*8/10),($B$4*8/10)*(MIN(C411,($B$4*8/10))^3-B411^3)-(MIN(C411,($B$4*8/10))^4-B411^4)/4,0)+IF(C411&gt;($B$4*8/10),($B$4*8/10)^2*(1.5*(C411^2-MAX(B411,($B$4*8/10))^2)-($B$4*8/10)*(C411-MAX(B411,($B$4*8/10)))),0))*1000,0)</f>
        <v>0</v>
      </c>
      <c r="AJ411" s="120">
        <f>IF(AND(J411="OK",ISNUMBER($B$5),$B$5&gt;0,ISNUMBER($B$3),$B$3&gt;0),F411/(6*$B$3*1000000*$B$5)*(IF(B411&lt;($B$4*9/10),($B$4*9/10)*(MIN(C411,($B$4*9/10))^3-B411^3)-(MIN(C411,($B$4*9/10))^4-B411^4)/4,0)+IF(C411&gt;($B$4*9/10),($B$4*9/10)^2*(1.5*(C411^2-MAX(B411,($B$4*9/10))^2)-($B$4*9/10)*(C411-MAX(B411,($B$4*9/10)))),0))*1000,0)</f>
        <v>0</v>
      </c>
      <c r="AK411" s="120">
        <f>IF(AND(J411="OK",ISNUMBER($B$5),$B$5&gt;0,ISNUMBER($B$3),$B$3&gt;0),F411/(6*$B$3*1000000*$B$5)*(IF(B411&lt;($B$4*10/10),($B$4*10/10)*(MIN(C411,($B$4*10/10))^3-B411^3)-(MIN(C411,($B$4*10/10))^4-B411^4)/4,0)+IF(C411&gt;($B$4*10/10),($B$4*10/10)^2*(1.5*(C411^2-MAX(B411,($B$4*10/10))^2)-($B$4*10/10)*(C411-MAX(B411,($B$4*10/10)))),0))*1000,0)</f>
        <v>0</v>
      </c>
      <c r="AM411" s="120">
        <f>IF(AND(V411="OK",ISNUMBER($N$5),$N$5&gt;0,ISNUMBER($N$3),$N$3&gt;0),R411/(6*$N$3*1000000*$N$5)*(IF(N411&lt;($N$4*0/10),($N$4*0/10)*(MIN(O411,($N$4*0/10))^3-N411^3)-(MIN(O411,($N$4*0/10))^4-N411^4)/4,0)+IF(O411&gt;($N$4*0/10),($N$4*0/10)^2*(1.5*(O411^2-MAX(N411,($N$4*0/10))^2)-($N$4*0/10)*(O411-MAX(N411,($N$4*0/10)))),0))*1000,0)</f>
        <v>0</v>
      </c>
      <c r="AN411" s="120">
        <f>IF(AND(V411="OK",ISNUMBER($N$5),$N$5&gt;0,ISNUMBER($N$3),$N$3&gt;0),R411/(6*$N$3*1000000*$N$5)*(IF(N411&lt;($N$4*1/10),($N$4*1/10)*(MIN(O411,($N$4*1/10))^3-N411^3)-(MIN(O411,($N$4*1/10))^4-N411^4)/4,0)+IF(O411&gt;($N$4*1/10),($N$4*1/10)^2*(1.5*(O411^2-MAX(N411,($N$4*1/10))^2)-($N$4*1/10)*(O411-MAX(N411,($N$4*1/10)))),0))*1000,0)</f>
        <v>0</v>
      </c>
      <c r="AO411" s="120">
        <f>IF(AND(V411="OK",ISNUMBER($N$5),$N$5&gt;0,ISNUMBER($N$3),$N$3&gt;0),R411/(6*$N$3*1000000*$N$5)*(IF(N411&lt;($N$4*2/10),($N$4*2/10)*(MIN(O411,($N$4*2/10))^3-N411^3)-(MIN(O411,($N$4*2/10))^4-N411^4)/4,0)+IF(O411&gt;($N$4*2/10),($N$4*2/10)^2*(1.5*(O411^2-MAX(N411,($N$4*2/10))^2)-($N$4*2/10)*(O411-MAX(N411,($N$4*2/10)))),0))*1000,0)</f>
        <v>0</v>
      </c>
      <c r="AP411" s="120">
        <f>IF(AND(V411="OK",ISNUMBER($N$5),$N$5&gt;0,ISNUMBER($N$3),$N$3&gt;0),R411/(6*$N$3*1000000*$N$5)*(IF(N411&lt;($N$4*3/10),($N$4*3/10)*(MIN(O411,($N$4*3/10))^3-N411^3)-(MIN(O411,($N$4*3/10))^4-N411^4)/4,0)+IF(O411&gt;($N$4*3/10),($N$4*3/10)^2*(1.5*(O411^2-MAX(N411,($N$4*3/10))^2)-($N$4*3/10)*(O411-MAX(N411,($N$4*3/10)))),0))*1000,0)</f>
        <v>0</v>
      </c>
      <c r="AQ411" s="120">
        <f>IF(AND(V411="OK",ISNUMBER($N$5),$N$5&gt;0,ISNUMBER($N$3),$N$3&gt;0),R411/(6*$N$3*1000000*$N$5)*(IF(N411&lt;($N$4*4/10),($N$4*4/10)*(MIN(O411,($N$4*4/10))^3-N411^3)-(MIN(O411,($N$4*4/10))^4-N411^4)/4,0)+IF(O411&gt;($N$4*4/10),($N$4*4/10)^2*(1.5*(O411^2-MAX(N411,($N$4*4/10))^2)-($N$4*4/10)*(O411-MAX(N411,($N$4*4/10)))),0))*1000,0)</f>
        <v>0</v>
      </c>
      <c r="AR411" s="120">
        <f>IF(AND(V411="OK",ISNUMBER($N$5),$N$5&gt;0,ISNUMBER($N$3),$N$3&gt;0),R411/(6*$N$3*1000000*$N$5)*(IF(N411&lt;($N$4*5/10),($N$4*5/10)*(MIN(O411,($N$4*5/10))^3-N411^3)-(MIN(O411,($N$4*5/10))^4-N411^4)/4,0)+IF(O411&gt;($N$4*5/10),($N$4*5/10)^2*(1.5*(O411^2-MAX(N411,($N$4*5/10))^2)-($N$4*5/10)*(O411-MAX(N411,($N$4*5/10)))),0))*1000,0)</f>
        <v>0</v>
      </c>
      <c r="AS411" s="120">
        <f>IF(AND(V411="OK",ISNUMBER($N$5),$N$5&gt;0,ISNUMBER($N$3),$N$3&gt;0),R411/(6*$N$3*1000000*$N$5)*(IF(N411&lt;($N$4*6/10),($N$4*6/10)*(MIN(O411,($N$4*6/10))^3-N411^3)-(MIN(O411,($N$4*6/10))^4-N411^4)/4,0)+IF(O411&gt;($N$4*6/10),($N$4*6/10)^2*(1.5*(O411^2-MAX(N411,($N$4*6/10))^2)-($N$4*6/10)*(O411-MAX(N411,($N$4*6/10)))),0))*1000,0)</f>
        <v>0</v>
      </c>
      <c r="AT411" s="120">
        <f>IF(AND(V411="OK",ISNUMBER($N$5),$N$5&gt;0,ISNUMBER($N$3),$N$3&gt;0),R411/(6*$N$3*1000000*$N$5)*(IF(N411&lt;($N$4*7/10),($N$4*7/10)*(MIN(O411,($N$4*7/10))^3-N411^3)-(MIN(O411,($N$4*7/10))^4-N411^4)/4,0)+IF(O411&gt;($N$4*7/10),($N$4*7/10)^2*(1.5*(O411^2-MAX(N411,($N$4*7/10))^2)-($N$4*7/10)*(O411-MAX(N411,($N$4*7/10)))),0))*1000,0)</f>
        <v>0</v>
      </c>
      <c r="AU411" s="120">
        <f>IF(AND(V411="OK",ISNUMBER($N$5),$N$5&gt;0,ISNUMBER($N$3),$N$3&gt;0),R411/(6*$N$3*1000000*$N$5)*(IF(N411&lt;($N$4*8/10),($N$4*8/10)*(MIN(O411,($N$4*8/10))^3-N411^3)-(MIN(O411,($N$4*8/10))^4-N411^4)/4,0)+IF(O411&gt;($N$4*8/10),($N$4*8/10)^2*(1.5*(O411^2-MAX(N411,($N$4*8/10))^2)-($N$4*8/10)*(O411-MAX(N411,($N$4*8/10)))),0))*1000,0)</f>
        <v>0</v>
      </c>
      <c r="AV411" s="120">
        <f>IF(AND(V411="OK",ISNUMBER($N$5),$N$5&gt;0,ISNUMBER($N$3),$N$3&gt;0),R411/(6*$N$3*1000000*$N$5)*(IF(N411&lt;($N$4*9/10),($N$4*9/10)*(MIN(O411,($N$4*9/10))^3-N411^3)-(MIN(O411,($N$4*9/10))^4-N411^4)/4,0)+IF(O411&gt;($N$4*9/10),($N$4*9/10)^2*(1.5*(O411^2-MAX(N411,($N$4*9/10))^2)-($N$4*9/10)*(O411-MAX(N411,($N$4*9/10)))),0))*1000,0)</f>
        <v>0</v>
      </c>
      <c r="AW411" s="120">
        <f>IF(AND(V411="OK",ISNUMBER($N$5),$N$5&gt;0,ISNUMBER($N$3),$N$3&gt;0),R411/(6*$N$3*1000000*$N$5)*(IF(N411&lt;($N$4*10/10),($N$4*10/10)*(MIN(O411,($N$4*10/10))^3-N411^3)-(MIN(O411,($N$4*10/10))^4-N411^4)/4,0)+IF(O411&gt;($N$4*10/10),($N$4*10/10)^2*(1.5*(O411^2-MAX(N411,($N$4*10/10))^2)-($N$4*10/10)*(O411-MAX(N411,($N$4*10/10)))),0))*1000,0)</f>
        <v>0</v>
      </c>
    </row>
    <row r="412" spans="1:49">
      <c r="A412" s="124"/>
      <c r="B412" s="125"/>
      <c r="C412" s="125"/>
      <c r="D412" s="125"/>
      <c r="E412" s="125"/>
      <c r="F412" s="126" t="str">
        <f>IF(J412="OK",D412*E412,"")</f>
        <v/>
      </c>
      <c r="G412" s="126" t="str">
        <f>IF(J412="OK",F412*(C412-B412),"")</f>
        <v/>
      </c>
      <c r="H412" s="126" t="str">
        <f>IF(J412="OK",G412*(C412+B412)/2,"")</f>
        <v/>
      </c>
      <c r="I412" s="126" t="str">
        <f>IF(AND(J412="OK",ISNUMBER($B$5),$B$5&gt;0,ISNUMBER($B$3),$B$3&gt;0),F412*(4*$B$4*(C412^3-B412^3)-(C412^4-B412^4))/(24*$B$3*1000000*$B$5)*1000,"")</f>
        <v/>
      </c>
      <c r="J412" s="120" t="str">
        <f>IF(COUNTA(A412:E412)=0,"",IF(AND(COUNT(B412:E412)=4,B412&gt;=0,C412&gt;B412,C412&lt;=$B$4,D412&gt;=0,E412&gt;0),IF(COUNTIFS($B$13:$B$411,"&lt;"&amp;C412,$C$13:$C$411,"&gt;"&amp;B412)&gt;0,"OVERLAP","OK"),"CHECK INPUTS"))</f>
        <v/>
      </c>
      <c r="M412" s="124"/>
      <c r="N412" s="125"/>
      <c r="O412" s="125"/>
      <c r="P412" s="125"/>
      <c r="Q412" s="125"/>
      <c r="R412" s="126" t="str">
        <f>IF(V412="OK",P412*Q412,"")</f>
        <v/>
      </c>
      <c r="S412" s="126" t="str">
        <f>IF(V412="OK",R412*(O412-N412),"")</f>
        <v/>
      </c>
      <c r="T412" s="126" t="str">
        <f>IF(V412="OK",S412*(O412+N412)/2,"")</f>
        <v/>
      </c>
      <c r="U412" s="126" t="str">
        <f>IF(AND(V412="OK",ISNUMBER($N$5),$N$5&gt;0,ISNUMBER($N$3),$N$3&gt;0),R412*(4*$N$4*(O412^3-N412^3)-(O412^4-N412^4))/(24*$N$3*1000000*$N$5)*1000,"")</f>
        <v/>
      </c>
      <c r="V412" s="120" t="str">
        <f>IF(COUNTA(M412:Q412)=0,"",IF(AND(COUNT(N412:Q412)=4,N412&gt;=0,O412&gt;N412,O412&lt;=$N$4,P412&gt;=0,Q412&gt;0),IF(COUNTIFS($N$13:$N$411,"&lt;"&amp;O412,$O$13:$O$411,"&gt;"&amp;N412)&gt;0,"OVERLAP","OK"),"CHECK INPUTS"))</f>
        <v/>
      </c>
      <c r="AA412" s="120">
        <f>IF(AND(J412="OK",ISNUMBER($B$5),$B$5&gt;0,ISNUMBER($B$3),$B$3&gt;0),F412/(6*$B$3*1000000*$B$5)*(IF(B412&lt;($B$4*0/10),($B$4*0/10)*(MIN(C412,($B$4*0/10))^3-B412^3)-(MIN(C412,($B$4*0/10))^4-B412^4)/4,0)+IF(C412&gt;($B$4*0/10),($B$4*0/10)^2*(1.5*(C412^2-MAX(B412,($B$4*0/10))^2)-($B$4*0/10)*(C412-MAX(B412,($B$4*0/10)))),0))*1000,0)</f>
        <v>0</v>
      </c>
      <c r="AB412" s="120">
        <f>IF(AND(J412="OK",ISNUMBER($B$5),$B$5&gt;0,ISNUMBER($B$3),$B$3&gt;0),F412/(6*$B$3*1000000*$B$5)*(IF(B412&lt;($B$4*1/10),($B$4*1/10)*(MIN(C412,($B$4*1/10))^3-B412^3)-(MIN(C412,($B$4*1/10))^4-B412^4)/4,0)+IF(C412&gt;($B$4*1/10),($B$4*1/10)^2*(1.5*(C412^2-MAX(B412,($B$4*1/10))^2)-($B$4*1/10)*(C412-MAX(B412,($B$4*1/10)))),0))*1000,0)</f>
        <v>0</v>
      </c>
      <c r="AC412" s="120">
        <f>IF(AND(J412="OK",ISNUMBER($B$5),$B$5&gt;0,ISNUMBER($B$3),$B$3&gt;0),F412/(6*$B$3*1000000*$B$5)*(IF(B412&lt;($B$4*2/10),($B$4*2/10)*(MIN(C412,($B$4*2/10))^3-B412^3)-(MIN(C412,($B$4*2/10))^4-B412^4)/4,0)+IF(C412&gt;($B$4*2/10),($B$4*2/10)^2*(1.5*(C412^2-MAX(B412,($B$4*2/10))^2)-($B$4*2/10)*(C412-MAX(B412,($B$4*2/10)))),0))*1000,0)</f>
        <v>0</v>
      </c>
      <c r="AD412" s="120">
        <f>IF(AND(J412="OK",ISNUMBER($B$5),$B$5&gt;0,ISNUMBER($B$3),$B$3&gt;0),F412/(6*$B$3*1000000*$B$5)*(IF(B412&lt;($B$4*3/10),($B$4*3/10)*(MIN(C412,($B$4*3/10))^3-B412^3)-(MIN(C412,($B$4*3/10))^4-B412^4)/4,0)+IF(C412&gt;($B$4*3/10),($B$4*3/10)^2*(1.5*(C412^2-MAX(B412,($B$4*3/10))^2)-($B$4*3/10)*(C412-MAX(B412,($B$4*3/10)))),0))*1000,0)</f>
        <v>0</v>
      </c>
      <c r="AE412" s="120">
        <f>IF(AND(J412="OK",ISNUMBER($B$5),$B$5&gt;0,ISNUMBER($B$3),$B$3&gt;0),F412/(6*$B$3*1000000*$B$5)*(IF(B412&lt;($B$4*4/10),($B$4*4/10)*(MIN(C412,($B$4*4/10))^3-B412^3)-(MIN(C412,($B$4*4/10))^4-B412^4)/4,0)+IF(C412&gt;($B$4*4/10),($B$4*4/10)^2*(1.5*(C412^2-MAX(B412,($B$4*4/10))^2)-($B$4*4/10)*(C412-MAX(B412,($B$4*4/10)))),0))*1000,0)</f>
        <v>0</v>
      </c>
      <c r="AF412" s="120">
        <f>IF(AND(J412="OK",ISNUMBER($B$5),$B$5&gt;0,ISNUMBER($B$3),$B$3&gt;0),F412/(6*$B$3*1000000*$B$5)*(IF(B412&lt;($B$4*5/10),($B$4*5/10)*(MIN(C412,($B$4*5/10))^3-B412^3)-(MIN(C412,($B$4*5/10))^4-B412^4)/4,0)+IF(C412&gt;($B$4*5/10),($B$4*5/10)^2*(1.5*(C412^2-MAX(B412,($B$4*5/10))^2)-($B$4*5/10)*(C412-MAX(B412,($B$4*5/10)))),0))*1000,0)</f>
        <v>0</v>
      </c>
      <c r="AG412" s="120">
        <f>IF(AND(J412="OK",ISNUMBER($B$5),$B$5&gt;0,ISNUMBER($B$3),$B$3&gt;0),F412/(6*$B$3*1000000*$B$5)*(IF(B412&lt;($B$4*6/10),($B$4*6/10)*(MIN(C412,($B$4*6/10))^3-B412^3)-(MIN(C412,($B$4*6/10))^4-B412^4)/4,0)+IF(C412&gt;($B$4*6/10),($B$4*6/10)^2*(1.5*(C412^2-MAX(B412,($B$4*6/10))^2)-($B$4*6/10)*(C412-MAX(B412,($B$4*6/10)))),0))*1000,0)</f>
        <v>0</v>
      </c>
      <c r="AH412" s="120">
        <f>IF(AND(J412="OK",ISNUMBER($B$5),$B$5&gt;0,ISNUMBER($B$3),$B$3&gt;0),F412/(6*$B$3*1000000*$B$5)*(IF(B412&lt;($B$4*7/10),($B$4*7/10)*(MIN(C412,($B$4*7/10))^3-B412^3)-(MIN(C412,($B$4*7/10))^4-B412^4)/4,0)+IF(C412&gt;($B$4*7/10),($B$4*7/10)^2*(1.5*(C412^2-MAX(B412,($B$4*7/10))^2)-($B$4*7/10)*(C412-MAX(B412,($B$4*7/10)))),0))*1000,0)</f>
        <v>0</v>
      </c>
      <c r="AI412" s="120">
        <f>IF(AND(J412="OK",ISNUMBER($B$5),$B$5&gt;0,ISNUMBER($B$3),$B$3&gt;0),F412/(6*$B$3*1000000*$B$5)*(IF(B412&lt;($B$4*8/10),($B$4*8/10)*(MIN(C412,($B$4*8/10))^3-B412^3)-(MIN(C412,($B$4*8/10))^4-B412^4)/4,0)+IF(C412&gt;($B$4*8/10),($B$4*8/10)^2*(1.5*(C412^2-MAX(B412,($B$4*8/10))^2)-($B$4*8/10)*(C412-MAX(B412,($B$4*8/10)))),0))*1000,0)</f>
        <v>0</v>
      </c>
      <c r="AJ412" s="120">
        <f>IF(AND(J412="OK",ISNUMBER($B$5),$B$5&gt;0,ISNUMBER($B$3),$B$3&gt;0),F412/(6*$B$3*1000000*$B$5)*(IF(B412&lt;($B$4*9/10),($B$4*9/10)*(MIN(C412,($B$4*9/10))^3-B412^3)-(MIN(C412,($B$4*9/10))^4-B412^4)/4,0)+IF(C412&gt;($B$4*9/10),($B$4*9/10)^2*(1.5*(C412^2-MAX(B412,($B$4*9/10))^2)-($B$4*9/10)*(C412-MAX(B412,($B$4*9/10)))),0))*1000,0)</f>
        <v>0</v>
      </c>
      <c r="AK412" s="120">
        <f>IF(AND(J412="OK",ISNUMBER($B$5),$B$5&gt;0,ISNUMBER($B$3),$B$3&gt;0),F412/(6*$B$3*1000000*$B$5)*(IF(B412&lt;($B$4*10/10),($B$4*10/10)*(MIN(C412,($B$4*10/10))^3-B412^3)-(MIN(C412,($B$4*10/10))^4-B412^4)/4,0)+IF(C412&gt;($B$4*10/10),($B$4*10/10)^2*(1.5*(C412^2-MAX(B412,($B$4*10/10))^2)-($B$4*10/10)*(C412-MAX(B412,($B$4*10/10)))),0))*1000,0)</f>
        <v>0</v>
      </c>
      <c r="AM412" s="120">
        <f>IF(AND(V412="OK",ISNUMBER($N$5),$N$5&gt;0,ISNUMBER($N$3),$N$3&gt;0),R412/(6*$N$3*1000000*$N$5)*(IF(N412&lt;($N$4*0/10),($N$4*0/10)*(MIN(O412,($N$4*0/10))^3-N412^3)-(MIN(O412,($N$4*0/10))^4-N412^4)/4,0)+IF(O412&gt;($N$4*0/10),($N$4*0/10)^2*(1.5*(O412^2-MAX(N412,($N$4*0/10))^2)-($N$4*0/10)*(O412-MAX(N412,($N$4*0/10)))),0))*1000,0)</f>
        <v>0</v>
      </c>
      <c r="AN412" s="120">
        <f>IF(AND(V412="OK",ISNUMBER($N$5),$N$5&gt;0,ISNUMBER($N$3),$N$3&gt;0),R412/(6*$N$3*1000000*$N$5)*(IF(N412&lt;($N$4*1/10),($N$4*1/10)*(MIN(O412,($N$4*1/10))^3-N412^3)-(MIN(O412,($N$4*1/10))^4-N412^4)/4,0)+IF(O412&gt;($N$4*1/10),($N$4*1/10)^2*(1.5*(O412^2-MAX(N412,($N$4*1/10))^2)-($N$4*1/10)*(O412-MAX(N412,($N$4*1/10)))),0))*1000,0)</f>
        <v>0</v>
      </c>
      <c r="AO412" s="120">
        <f>IF(AND(V412="OK",ISNUMBER($N$5),$N$5&gt;0,ISNUMBER($N$3),$N$3&gt;0),R412/(6*$N$3*1000000*$N$5)*(IF(N412&lt;($N$4*2/10),($N$4*2/10)*(MIN(O412,($N$4*2/10))^3-N412^3)-(MIN(O412,($N$4*2/10))^4-N412^4)/4,0)+IF(O412&gt;($N$4*2/10),($N$4*2/10)^2*(1.5*(O412^2-MAX(N412,($N$4*2/10))^2)-($N$4*2/10)*(O412-MAX(N412,($N$4*2/10)))),0))*1000,0)</f>
        <v>0</v>
      </c>
      <c r="AP412" s="120">
        <f>IF(AND(V412="OK",ISNUMBER($N$5),$N$5&gt;0,ISNUMBER($N$3),$N$3&gt;0),R412/(6*$N$3*1000000*$N$5)*(IF(N412&lt;($N$4*3/10),($N$4*3/10)*(MIN(O412,($N$4*3/10))^3-N412^3)-(MIN(O412,($N$4*3/10))^4-N412^4)/4,0)+IF(O412&gt;($N$4*3/10),($N$4*3/10)^2*(1.5*(O412^2-MAX(N412,($N$4*3/10))^2)-($N$4*3/10)*(O412-MAX(N412,($N$4*3/10)))),0))*1000,0)</f>
        <v>0</v>
      </c>
      <c r="AQ412" s="120">
        <f>IF(AND(V412="OK",ISNUMBER($N$5),$N$5&gt;0,ISNUMBER($N$3),$N$3&gt;0),R412/(6*$N$3*1000000*$N$5)*(IF(N412&lt;($N$4*4/10),($N$4*4/10)*(MIN(O412,($N$4*4/10))^3-N412^3)-(MIN(O412,($N$4*4/10))^4-N412^4)/4,0)+IF(O412&gt;($N$4*4/10),($N$4*4/10)^2*(1.5*(O412^2-MAX(N412,($N$4*4/10))^2)-($N$4*4/10)*(O412-MAX(N412,($N$4*4/10)))),0))*1000,0)</f>
        <v>0</v>
      </c>
      <c r="AR412" s="120">
        <f>IF(AND(V412="OK",ISNUMBER($N$5),$N$5&gt;0,ISNUMBER($N$3),$N$3&gt;0),R412/(6*$N$3*1000000*$N$5)*(IF(N412&lt;($N$4*5/10),($N$4*5/10)*(MIN(O412,($N$4*5/10))^3-N412^3)-(MIN(O412,($N$4*5/10))^4-N412^4)/4,0)+IF(O412&gt;($N$4*5/10),($N$4*5/10)^2*(1.5*(O412^2-MAX(N412,($N$4*5/10))^2)-($N$4*5/10)*(O412-MAX(N412,($N$4*5/10)))),0))*1000,0)</f>
        <v>0</v>
      </c>
      <c r="AS412" s="120">
        <f>IF(AND(V412="OK",ISNUMBER($N$5),$N$5&gt;0,ISNUMBER($N$3),$N$3&gt;0),R412/(6*$N$3*1000000*$N$5)*(IF(N412&lt;($N$4*6/10),($N$4*6/10)*(MIN(O412,($N$4*6/10))^3-N412^3)-(MIN(O412,($N$4*6/10))^4-N412^4)/4,0)+IF(O412&gt;($N$4*6/10),($N$4*6/10)^2*(1.5*(O412^2-MAX(N412,($N$4*6/10))^2)-($N$4*6/10)*(O412-MAX(N412,($N$4*6/10)))),0))*1000,0)</f>
        <v>0</v>
      </c>
      <c r="AT412" s="120">
        <f>IF(AND(V412="OK",ISNUMBER($N$5),$N$5&gt;0,ISNUMBER($N$3),$N$3&gt;0),R412/(6*$N$3*1000000*$N$5)*(IF(N412&lt;($N$4*7/10),($N$4*7/10)*(MIN(O412,($N$4*7/10))^3-N412^3)-(MIN(O412,($N$4*7/10))^4-N412^4)/4,0)+IF(O412&gt;($N$4*7/10),($N$4*7/10)^2*(1.5*(O412^2-MAX(N412,($N$4*7/10))^2)-($N$4*7/10)*(O412-MAX(N412,($N$4*7/10)))),0))*1000,0)</f>
        <v>0</v>
      </c>
      <c r="AU412" s="120">
        <f>IF(AND(V412="OK",ISNUMBER($N$5),$N$5&gt;0,ISNUMBER($N$3),$N$3&gt;0),R412/(6*$N$3*1000000*$N$5)*(IF(N412&lt;($N$4*8/10),($N$4*8/10)*(MIN(O412,($N$4*8/10))^3-N412^3)-(MIN(O412,($N$4*8/10))^4-N412^4)/4,0)+IF(O412&gt;($N$4*8/10),($N$4*8/10)^2*(1.5*(O412^2-MAX(N412,($N$4*8/10))^2)-($N$4*8/10)*(O412-MAX(N412,($N$4*8/10)))),0))*1000,0)</f>
        <v>0</v>
      </c>
      <c r="AV412" s="120">
        <f>IF(AND(V412="OK",ISNUMBER($N$5),$N$5&gt;0,ISNUMBER($N$3),$N$3&gt;0),R412/(6*$N$3*1000000*$N$5)*(IF(N412&lt;($N$4*9/10),($N$4*9/10)*(MIN(O412,($N$4*9/10))^3-N412^3)-(MIN(O412,($N$4*9/10))^4-N412^4)/4,0)+IF(O412&gt;($N$4*9/10),($N$4*9/10)^2*(1.5*(O412^2-MAX(N412,($N$4*9/10))^2)-($N$4*9/10)*(O412-MAX(N412,($N$4*9/10)))),0))*1000,0)</f>
        <v>0</v>
      </c>
      <c r="AW412" s="120">
        <f>IF(AND(V412="OK",ISNUMBER($N$5),$N$5&gt;0,ISNUMBER($N$3),$N$3&gt;0),R412/(6*$N$3*1000000*$N$5)*(IF(N412&lt;($N$4*10/10),($N$4*10/10)*(MIN(O412,($N$4*10/10))^3-N412^3)-(MIN(O412,($N$4*10/10))^4-N412^4)/4,0)+IF(O412&gt;($N$4*10/10),($N$4*10/10)^2*(1.5*(O412^2-MAX(N412,($N$4*10/10))^2)-($N$4*10/10)*(O412-MAX(N412,($N$4*10/10)))),0))*1000,0)</f>
        <v>0</v>
      </c>
    </row>
    <row r="413" spans="1:49">
      <c r="A413" s="124"/>
      <c r="B413" s="125"/>
      <c r="C413" s="125"/>
      <c r="D413" s="125"/>
      <c r="E413" s="125"/>
      <c r="F413" s="126" t="str">
        <f>IF(J413="OK",D413*E413,"")</f>
        <v/>
      </c>
      <c r="G413" s="126" t="str">
        <f>IF(J413="OK",F413*(C413-B413),"")</f>
        <v/>
      </c>
      <c r="H413" s="126" t="str">
        <f>IF(J413="OK",G413*(C413+B413)/2,"")</f>
        <v/>
      </c>
      <c r="I413" s="126" t="str">
        <f>IF(AND(J413="OK",ISNUMBER($B$5),$B$5&gt;0,ISNUMBER($B$3),$B$3&gt;0),F413*(4*$B$4*(C413^3-B413^3)-(C413^4-B413^4))/(24*$B$3*1000000*$B$5)*1000,"")</f>
        <v/>
      </c>
      <c r="J413" s="120" t="str">
        <f>IF(COUNTA(A413:E413)=0,"",IF(AND(COUNT(B413:E413)=4,B413&gt;=0,C413&gt;B413,C413&lt;=$B$4,D413&gt;=0,E413&gt;0),IF(COUNTIFS($B$13:$B$412,"&lt;"&amp;C413,$C$13:$C$412,"&gt;"&amp;B413)&gt;0,"OVERLAP","OK"),"CHECK INPUTS"))</f>
        <v/>
      </c>
      <c r="M413" s="124"/>
      <c r="N413" s="125"/>
      <c r="O413" s="125"/>
      <c r="P413" s="125"/>
      <c r="Q413" s="125"/>
      <c r="R413" s="126" t="str">
        <f>IF(V413="OK",P413*Q413,"")</f>
        <v/>
      </c>
      <c r="S413" s="126" t="str">
        <f>IF(V413="OK",R413*(O413-N413),"")</f>
        <v/>
      </c>
      <c r="T413" s="126" t="str">
        <f>IF(V413="OK",S413*(O413+N413)/2,"")</f>
        <v/>
      </c>
      <c r="U413" s="126" t="str">
        <f>IF(AND(V413="OK",ISNUMBER($N$5),$N$5&gt;0,ISNUMBER($N$3),$N$3&gt;0),R413*(4*$N$4*(O413^3-N413^3)-(O413^4-N413^4))/(24*$N$3*1000000*$N$5)*1000,"")</f>
        <v/>
      </c>
      <c r="V413" s="120" t="str">
        <f>IF(COUNTA(M413:Q413)=0,"",IF(AND(COUNT(N413:Q413)=4,N413&gt;=0,O413&gt;N413,O413&lt;=$N$4,P413&gt;=0,Q413&gt;0),IF(COUNTIFS($N$13:$N$412,"&lt;"&amp;O413,$O$13:$O$412,"&gt;"&amp;N413)&gt;0,"OVERLAP","OK"),"CHECK INPUTS"))</f>
        <v/>
      </c>
      <c r="AA413" s="120">
        <f>IF(AND(J413="OK",ISNUMBER($B$5),$B$5&gt;0,ISNUMBER($B$3),$B$3&gt;0),F413/(6*$B$3*1000000*$B$5)*(IF(B413&lt;($B$4*0/10),($B$4*0/10)*(MIN(C413,($B$4*0/10))^3-B413^3)-(MIN(C413,($B$4*0/10))^4-B413^4)/4,0)+IF(C413&gt;($B$4*0/10),($B$4*0/10)^2*(1.5*(C413^2-MAX(B413,($B$4*0/10))^2)-($B$4*0/10)*(C413-MAX(B413,($B$4*0/10)))),0))*1000,0)</f>
        <v>0</v>
      </c>
      <c r="AB413" s="120">
        <f>IF(AND(J413="OK",ISNUMBER($B$5),$B$5&gt;0,ISNUMBER($B$3),$B$3&gt;0),F413/(6*$B$3*1000000*$B$5)*(IF(B413&lt;($B$4*1/10),($B$4*1/10)*(MIN(C413,($B$4*1/10))^3-B413^3)-(MIN(C413,($B$4*1/10))^4-B413^4)/4,0)+IF(C413&gt;($B$4*1/10),($B$4*1/10)^2*(1.5*(C413^2-MAX(B413,($B$4*1/10))^2)-($B$4*1/10)*(C413-MAX(B413,($B$4*1/10)))),0))*1000,0)</f>
        <v>0</v>
      </c>
      <c r="AC413" s="120">
        <f>IF(AND(J413="OK",ISNUMBER($B$5),$B$5&gt;0,ISNUMBER($B$3),$B$3&gt;0),F413/(6*$B$3*1000000*$B$5)*(IF(B413&lt;($B$4*2/10),($B$4*2/10)*(MIN(C413,($B$4*2/10))^3-B413^3)-(MIN(C413,($B$4*2/10))^4-B413^4)/4,0)+IF(C413&gt;($B$4*2/10),($B$4*2/10)^2*(1.5*(C413^2-MAX(B413,($B$4*2/10))^2)-($B$4*2/10)*(C413-MAX(B413,($B$4*2/10)))),0))*1000,0)</f>
        <v>0</v>
      </c>
      <c r="AD413" s="120">
        <f>IF(AND(J413="OK",ISNUMBER($B$5),$B$5&gt;0,ISNUMBER($B$3),$B$3&gt;0),F413/(6*$B$3*1000000*$B$5)*(IF(B413&lt;($B$4*3/10),($B$4*3/10)*(MIN(C413,($B$4*3/10))^3-B413^3)-(MIN(C413,($B$4*3/10))^4-B413^4)/4,0)+IF(C413&gt;($B$4*3/10),($B$4*3/10)^2*(1.5*(C413^2-MAX(B413,($B$4*3/10))^2)-($B$4*3/10)*(C413-MAX(B413,($B$4*3/10)))),0))*1000,0)</f>
        <v>0</v>
      </c>
      <c r="AE413" s="120">
        <f>IF(AND(J413="OK",ISNUMBER($B$5),$B$5&gt;0,ISNUMBER($B$3),$B$3&gt;0),F413/(6*$B$3*1000000*$B$5)*(IF(B413&lt;($B$4*4/10),($B$4*4/10)*(MIN(C413,($B$4*4/10))^3-B413^3)-(MIN(C413,($B$4*4/10))^4-B413^4)/4,0)+IF(C413&gt;($B$4*4/10),($B$4*4/10)^2*(1.5*(C413^2-MAX(B413,($B$4*4/10))^2)-($B$4*4/10)*(C413-MAX(B413,($B$4*4/10)))),0))*1000,0)</f>
        <v>0</v>
      </c>
      <c r="AF413" s="120">
        <f>IF(AND(J413="OK",ISNUMBER($B$5),$B$5&gt;0,ISNUMBER($B$3),$B$3&gt;0),F413/(6*$B$3*1000000*$B$5)*(IF(B413&lt;($B$4*5/10),($B$4*5/10)*(MIN(C413,($B$4*5/10))^3-B413^3)-(MIN(C413,($B$4*5/10))^4-B413^4)/4,0)+IF(C413&gt;($B$4*5/10),($B$4*5/10)^2*(1.5*(C413^2-MAX(B413,($B$4*5/10))^2)-($B$4*5/10)*(C413-MAX(B413,($B$4*5/10)))),0))*1000,0)</f>
        <v>0</v>
      </c>
      <c r="AG413" s="120">
        <f>IF(AND(J413="OK",ISNUMBER($B$5),$B$5&gt;0,ISNUMBER($B$3),$B$3&gt;0),F413/(6*$B$3*1000000*$B$5)*(IF(B413&lt;($B$4*6/10),($B$4*6/10)*(MIN(C413,($B$4*6/10))^3-B413^3)-(MIN(C413,($B$4*6/10))^4-B413^4)/4,0)+IF(C413&gt;($B$4*6/10),($B$4*6/10)^2*(1.5*(C413^2-MAX(B413,($B$4*6/10))^2)-($B$4*6/10)*(C413-MAX(B413,($B$4*6/10)))),0))*1000,0)</f>
        <v>0</v>
      </c>
      <c r="AH413" s="120">
        <f>IF(AND(J413="OK",ISNUMBER($B$5),$B$5&gt;0,ISNUMBER($B$3),$B$3&gt;0),F413/(6*$B$3*1000000*$B$5)*(IF(B413&lt;($B$4*7/10),($B$4*7/10)*(MIN(C413,($B$4*7/10))^3-B413^3)-(MIN(C413,($B$4*7/10))^4-B413^4)/4,0)+IF(C413&gt;($B$4*7/10),($B$4*7/10)^2*(1.5*(C413^2-MAX(B413,($B$4*7/10))^2)-($B$4*7/10)*(C413-MAX(B413,($B$4*7/10)))),0))*1000,0)</f>
        <v>0</v>
      </c>
      <c r="AI413" s="120">
        <f>IF(AND(J413="OK",ISNUMBER($B$5),$B$5&gt;0,ISNUMBER($B$3),$B$3&gt;0),F413/(6*$B$3*1000000*$B$5)*(IF(B413&lt;($B$4*8/10),($B$4*8/10)*(MIN(C413,($B$4*8/10))^3-B413^3)-(MIN(C413,($B$4*8/10))^4-B413^4)/4,0)+IF(C413&gt;($B$4*8/10),($B$4*8/10)^2*(1.5*(C413^2-MAX(B413,($B$4*8/10))^2)-($B$4*8/10)*(C413-MAX(B413,($B$4*8/10)))),0))*1000,0)</f>
        <v>0</v>
      </c>
      <c r="AJ413" s="120">
        <f>IF(AND(J413="OK",ISNUMBER($B$5),$B$5&gt;0,ISNUMBER($B$3),$B$3&gt;0),F413/(6*$B$3*1000000*$B$5)*(IF(B413&lt;($B$4*9/10),($B$4*9/10)*(MIN(C413,($B$4*9/10))^3-B413^3)-(MIN(C413,($B$4*9/10))^4-B413^4)/4,0)+IF(C413&gt;($B$4*9/10),($B$4*9/10)^2*(1.5*(C413^2-MAX(B413,($B$4*9/10))^2)-($B$4*9/10)*(C413-MAX(B413,($B$4*9/10)))),0))*1000,0)</f>
        <v>0</v>
      </c>
      <c r="AK413" s="120">
        <f>IF(AND(J413="OK",ISNUMBER($B$5),$B$5&gt;0,ISNUMBER($B$3),$B$3&gt;0),F413/(6*$B$3*1000000*$B$5)*(IF(B413&lt;($B$4*10/10),($B$4*10/10)*(MIN(C413,($B$4*10/10))^3-B413^3)-(MIN(C413,($B$4*10/10))^4-B413^4)/4,0)+IF(C413&gt;($B$4*10/10),($B$4*10/10)^2*(1.5*(C413^2-MAX(B413,($B$4*10/10))^2)-($B$4*10/10)*(C413-MAX(B413,($B$4*10/10)))),0))*1000,0)</f>
        <v>0</v>
      </c>
      <c r="AM413" s="120">
        <f>IF(AND(V413="OK",ISNUMBER($N$5),$N$5&gt;0,ISNUMBER($N$3),$N$3&gt;0),R413/(6*$N$3*1000000*$N$5)*(IF(N413&lt;($N$4*0/10),($N$4*0/10)*(MIN(O413,($N$4*0/10))^3-N413^3)-(MIN(O413,($N$4*0/10))^4-N413^4)/4,0)+IF(O413&gt;($N$4*0/10),($N$4*0/10)^2*(1.5*(O413^2-MAX(N413,($N$4*0/10))^2)-($N$4*0/10)*(O413-MAX(N413,($N$4*0/10)))),0))*1000,0)</f>
        <v>0</v>
      </c>
      <c r="AN413" s="120">
        <f>IF(AND(V413="OK",ISNUMBER($N$5),$N$5&gt;0,ISNUMBER($N$3),$N$3&gt;0),R413/(6*$N$3*1000000*$N$5)*(IF(N413&lt;($N$4*1/10),($N$4*1/10)*(MIN(O413,($N$4*1/10))^3-N413^3)-(MIN(O413,($N$4*1/10))^4-N413^4)/4,0)+IF(O413&gt;($N$4*1/10),($N$4*1/10)^2*(1.5*(O413^2-MAX(N413,($N$4*1/10))^2)-($N$4*1/10)*(O413-MAX(N413,($N$4*1/10)))),0))*1000,0)</f>
        <v>0</v>
      </c>
      <c r="AO413" s="120">
        <f>IF(AND(V413="OK",ISNUMBER($N$5),$N$5&gt;0,ISNUMBER($N$3),$N$3&gt;0),R413/(6*$N$3*1000000*$N$5)*(IF(N413&lt;($N$4*2/10),($N$4*2/10)*(MIN(O413,($N$4*2/10))^3-N413^3)-(MIN(O413,($N$4*2/10))^4-N413^4)/4,0)+IF(O413&gt;($N$4*2/10),($N$4*2/10)^2*(1.5*(O413^2-MAX(N413,($N$4*2/10))^2)-($N$4*2/10)*(O413-MAX(N413,($N$4*2/10)))),0))*1000,0)</f>
        <v>0</v>
      </c>
      <c r="AP413" s="120">
        <f>IF(AND(V413="OK",ISNUMBER($N$5),$N$5&gt;0,ISNUMBER($N$3),$N$3&gt;0),R413/(6*$N$3*1000000*$N$5)*(IF(N413&lt;($N$4*3/10),($N$4*3/10)*(MIN(O413,($N$4*3/10))^3-N413^3)-(MIN(O413,($N$4*3/10))^4-N413^4)/4,0)+IF(O413&gt;($N$4*3/10),($N$4*3/10)^2*(1.5*(O413^2-MAX(N413,($N$4*3/10))^2)-($N$4*3/10)*(O413-MAX(N413,($N$4*3/10)))),0))*1000,0)</f>
        <v>0</v>
      </c>
      <c r="AQ413" s="120">
        <f>IF(AND(V413="OK",ISNUMBER($N$5),$N$5&gt;0,ISNUMBER($N$3),$N$3&gt;0),R413/(6*$N$3*1000000*$N$5)*(IF(N413&lt;($N$4*4/10),($N$4*4/10)*(MIN(O413,($N$4*4/10))^3-N413^3)-(MIN(O413,($N$4*4/10))^4-N413^4)/4,0)+IF(O413&gt;($N$4*4/10),($N$4*4/10)^2*(1.5*(O413^2-MAX(N413,($N$4*4/10))^2)-($N$4*4/10)*(O413-MAX(N413,($N$4*4/10)))),0))*1000,0)</f>
        <v>0</v>
      </c>
      <c r="AR413" s="120">
        <f>IF(AND(V413="OK",ISNUMBER($N$5),$N$5&gt;0,ISNUMBER($N$3),$N$3&gt;0),R413/(6*$N$3*1000000*$N$5)*(IF(N413&lt;($N$4*5/10),($N$4*5/10)*(MIN(O413,($N$4*5/10))^3-N413^3)-(MIN(O413,($N$4*5/10))^4-N413^4)/4,0)+IF(O413&gt;($N$4*5/10),($N$4*5/10)^2*(1.5*(O413^2-MAX(N413,($N$4*5/10))^2)-($N$4*5/10)*(O413-MAX(N413,($N$4*5/10)))),0))*1000,0)</f>
        <v>0</v>
      </c>
      <c r="AS413" s="120">
        <f>IF(AND(V413="OK",ISNUMBER($N$5),$N$5&gt;0,ISNUMBER($N$3),$N$3&gt;0),R413/(6*$N$3*1000000*$N$5)*(IF(N413&lt;($N$4*6/10),($N$4*6/10)*(MIN(O413,($N$4*6/10))^3-N413^3)-(MIN(O413,($N$4*6/10))^4-N413^4)/4,0)+IF(O413&gt;($N$4*6/10),($N$4*6/10)^2*(1.5*(O413^2-MAX(N413,($N$4*6/10))^2)-($N$4*6/10)*(O413-MAX(N413,($N$4*6/10)))),0))*1000,0)</f>
        <v>0</v>
      </c>
      <c r="AT413" s="120">
        <f>IF(AND(V413="OK",ISNUMBER($N$5),$N$5&gt;0,ISNUMBER($N$3),$N$3&gt;0),R413/(6*$N$3*1000000*$N$5)*(IF(N413&lt;($N$4*7/10),($N$4*7/10)*(MIN(O413,($N$4*7/10))^3-N413^3)-(MIN(O413,($N$4*7/10))^4-N413^4)/4,0)+IF(O413&gt;($N$4*7/10),($N$4*7/10)^2*(1.5*(O413^2-MAX(N413,($N$4*7/10))^2)-($N$4*7/10)*(O413-MAX(N413,($N$4*7/10)))),0))*1000,0)</f>
        <v>0</v>
      </c>
      <c r="AU413" s="120">
        <f>IF(AND(V413="OK",ISNUMBER($N$5),$N$5&gt;0,ISNUMBER($N$3),$N$3&gt;0),R413/(6*$N$3*1000000*$N$5)*(IF(N413&lt;($N$4*8/10),($N$4*8/10)*(MIN(O413,($N$4*8/10))^3-N413^3)-(MIN(O413,($N$4*8/10))^4-N413^4)/4,0)+IF(O413&gt;($N$4*8/10),($N$4*8/10)^2*(1.5*(O413^2-MAX(N413,($N$4*8/10))^2)-($N$4*8/10)*(O413-MAX(N413,($N$4*8/10)))),0))*1000,0)</f>
        <v>0</v>
      </c>
      <c r="AV413" s="120">
        <f>IF(AND(V413="OK",ISNUMBER($N$5),$N$5&gt;0,ISNUMBER($N$3),$N$3&gt;0),R413/(6*$N$3*1000000*$N$5)*(IF(N413&lt;($N$4*9/10),($N$4*9/10)*(MIN(O413,($N$4*9/10))^3-N413^3)-(MIN(O413,($N$4*9/10))^4-N413^4)/4,0)+IF(O413&gt;($N$4*9/10),($N$4*9/10)^2*(1.5*(O413^2-MAX(N413,($N$4*9/10))^2)-($N$4*9/10)*(O413-MAX(N413,($N$4*9/10)))),0))*1000,0)</f>
        <v>0</v>
      </c>
      <c r="AW413" s="120">
        <f>IF(AND(V413="OK",ISNUMBER($N$5),$N$5&gt;0,ISNUMBER($N$3),$N$3&gt;0),R413/(6*$N$3*1000000*$N$5)*(IF(N413&lt;($N$4*10/10),($N$4*10/10)*(MIN(O413,($N$4*10/10))^3-N413^3)-(MIN(O413,($N$4*10/10))^4-N413^4)/4,0)+IF(O413&gt;($N$4*10/10),($N$4*10/10)^2*(1.5*(O413^2-MAX(N413,($N$4*10/10))^2)-($N$4*10/10)*(O413-MAX(N413,($N$4*10/10)))),0))*1000,0)</f>
        <v>0</v>
      </c>
    </row>
    <row r="414" spans="1:49">
      <c r="A414" s="124"/>
      <c r="B414" s="125"/>
      <c r="C414" s="125"/>
      <c r="D414" s="125"/>
      <c r="E414" s="125"/>
      <c r="F414" s="126" t="str">
        <f>IF(J414="OK",D414*E414,"")</f>
        <v/>
      </c>
      <c r="G414" s="126" t="str">
        <f>IF(J414="OK",F414*(C414-B414),"")</f>
        <v/>
      </c>
      <c r="H414" s="126" t="str">
        <f>IF(J414="OK",G414*(C414+B414)/2,"")</f>
        <v/>
      </c>
      <c r="I414" s="126" t="str">
        <f>IF(AND(J414="OK",ISNUMBER($B$5),$B$5&gt;0,ISNUMBER($B$3),$B$3&gt;0),F414*(4*$B$4*(C414^3-B414^3)-(C414^4-B414^4))/(24*$B$3*1000000*$B$5)*1000,"")</f>
        <v/>
      </c>
      <c r="J414" s="120" t="str">
        <f>IF(COUNTA(A414:E414)=0,"",IF(AND(COUNT(B414:E414)=4,B414&gt;=0,C414&gt;B414,C414&lt;=$B$4,D414&gt;=0,E414&gt;0),IF(COUNTIFS($B$13:$B$413,"&lt;"&amp;C414,$C$13:$C$413,"&gt;"&amp;B414)&gt;0,"OVERLAP","OK"),"CHECK INPUTS"))</f>
        <v/>
      </c>
      <c r="M414" s="124"/>
      <c r="N414" s="125"/>
      <c r="O414" s="125"/>
      <c r="P414" s="125"/>
      <c r="Q414" s="125"/>
      <c r="R414" s="126" t="str">
        <f>IF(V414="OK",P414*Q414,"")</f>
        <v/>
      </c>
      <c r="S414" s="126" t="str">
        <f>IF(V414="OK",R414*(O414-N414),"")</f>
        <v/>
      </c>
      <c r="T414" s="126" t="str">
        <f>IF(V414="OK",S414*(O414+N414)/2,"")</f>
        <v/>
      </c>
      <c r="U414" s="126" t="str">
        <f>IF(AND(V414="OK",ISNUMBER($N$5),$N$5&gt;0,ISNUMBER($N$3),$N$3&gt;0),R414*(4*$N$4*(O414^3-N414^3)-(O414^4-N414^4))/(24*$N$3*1000000*$N$5)*1000,"")</f>
        <v/>
      </c>
      <c r="V414" s="120" t="str">
        <f>IF(COUNTA(M414:Q414)=0,"",IF(AND(COUNT(N414:Q414)=4,N414&gt;=0,O414&gt;N414,O414&lt;=$N$4,P414&gt;=0,Q414&gt;0),IF(COUNTIFS($N$13:$N$413,"&lt;"&amp;O414,$O$13:$O$413,"&gt;"&amp;N414)&gt;0,"OVERLAP","OK"),"CHECK INPUTS"))</f>
        <v/>
      </c>
      <c r="AA414" s="120">
        <f>IF(AND(J414="OK",ISNUMBER($B$5),$B$5&gt;0,ISNUMBER($B$3),$B$3&gt;0),F414/(6*$B$3*1000000*$B$5)*(IF(B414&lt;($B$4*0/10),($B$4*0/10)*(MIN(C414,($B$4*0/10))^3-B414^3)-(MIN(C414,($B$4*0/10))^4-B414^4)/4,0)+IF(C414&gt;($B$4*0/10),($B$4*0/10)^2*(1.5*(C414^2-MAX(B414,($B$4*0/10))^2)-($B$4*0/10)*(C414-MAX(B414,($B$4*0/10)))),0))*1000,0)</f>
        <v>0</v>
      </c>
      <c r="AB414" s="120">
        <f>IF(AND(J414="OK",ISNUMBER($B$5),$B$5&gt;0,ISNUMBER($B$3),$B$3&gt;0),F414/(6*$B$3*1000000*$B$5)*(IF(B414&lt;($B$4*1/10),($B$4*1/10)*(MIN(C414,($B$4*1/10))^3-B414^3)-(MIN(C414,($B$4*1/10))^4-B414^4)/4,0)+IF(C414&gt;($B$4*1/10),($B$4*1/10)^2*(1.5*(C414^2-MAX(B414,($B$4*1/10))^2)-($B$4*1/10)*(C414-MAX(B414,($B$4*1/10)))),0))*1000,0)</f>
        <v>0</v>
      </c>
      <c r="AC414" s="120">
        <f>IF(AND(J414="OK",ISNUMBER($B$5),$B$5&gt;0,ISNUMBER($B$3),$B$3&gt;0),F414/(6*$B$3*1000000*$B$5)*(IF(B414&lt;($B$4*2/10),($B$4*2/10)*(MIN(C414,($B$4*2/10))^3-B414^3)-(MIN(C414,($B$4*2/10))^4-B414^4)/4,0)+IF(C414&gt;($B$4*2/10),($B$4*2/10)^2*(1.5*(C414^2-MAX(B414,($B$4*2/10))^2)-($B$4*2/10)*(C414-MAX(B414,($B$4*2/10)))),0))*1000,0)</f>
        <v>0</v>
      </c>
      <c r="AD414" s="120">
        <f>IF(AND(J414="OK",ISNUMBER($B$5),$B$5&gt;0,ISNUMBER($B$3),$B$3&gt;0),F414/(6*$B$3*1000000*$B$5)*(IF(B414&lt;($B$4*3/10),($B$4*3/10)*(MIN(C414,($B$4*3/10))^3-B414^3)-(MIN(C414,($B$4*3/10))^4-B414^4)/4,0)+IF(C414&gt;($B$4*3/10),($B$4*3/10)^2*(1.5*(C414^2-MAX(B414,($B$4*3/10))^2)-($B$4*3/10)*(C414-MAX(B414,($B$4*3/10)))),0))*1000,0)</f>
        <v>0</v>
      </c>
      <c r="AE414" s="120">
        <f>IF(AND(J414="OK",ISNUMBER($B$5),$B$5&gt;0,ISNUMBER($B$3),$B$3&gt;0),F414/(6*$B$3*1000000*$B$5)*(IF(B414&lt;($B$4*4/10),($B$4*4/10)*(MIN(C414,($B$4*4/10))^3-B414^3)-(MIN(C414,($B$4*4/10))^4-B414^4)/4,0)+IF(C414&gt;($B$4*4/10),($B$4*4/10)^2*(1.5*(C414^2-MAX(B414,($B$4*4/10))^2)-($B$4*4/10)*(C414-MAX(B414,($B$4*4/10)))),0))*1000,0)</f>
        <v>0</v>
      </c>
      <c r="AF414" s="120">
        <f>IF(AND(J414="OK",ISNUMBER($B$5),$B$5&gt;0,ISNUMBER($B$3),$B$3&gt;0),F414/(6*$B$3*1000000*$B$5)*(IF(B414&lt;($B$4*5/10),($B$4*5/10)*(MIN(C414,($B$4*5/10))^3-B414^3)-(MIN(C414,($B$4*5/10))^4-B414^4)/4,0)+IF(C414&gt;($B$4*5/10),($B$4*5/10)^2*(1.5*(C414^2-MAX(B414,($B$4*5/10))^2)-($B$4*5/10)*(C414-MAX(B414,($B$4*5/10)))),0))*1000,0)</f>
        <v>0</v>
      </c>
      <c r="AG414" s="120">
        <f>IF(AND(J414="OK",ISNUMBER($B$5),$B$5&gt;0,ISNUMBER($B$3),$B$3&gt;0),F414/(6*$B$3*1000000*$B$5)*(IF(B414&lt;($B$4*6/10),($B$4*6/10)*(MIN(C414,($B$4*6/10))^3-B414^3)-(MIN(C414,($B$4*6/10))^4-B414^4)/4,0)+IF(C414&gt;($B$4*6/10),($B$4*6/10)^2*(1.5*(C414^2-MAX(B414,($B$4*6/10))^2)-($B$4*6/10)*(C414-MAX(B414,($B$4*6/10)))),0))*1000,0)</f>
        <v>0</v>
      </c>
      <c r="AH414" s="120">
        <f>IF(AND(J414="OK",ISNUMBER($B$5),$B$5&gt;0,ISNUMBER($B$3),$B$3&gt;0),F414/(6*$B$3*1000000*$B$5)*(IF(B414&lt;($B$4*7/10),($B$4*7/10)*(MIN(C414,($B$4*7/10))^3-B414^3)-(MIN(C414,($B$4*7/10))^4-B414^4)/4,0)+IF(C414&gt;($B$4*7/10),($B$4*7/10)^2*(1.5*(C414^2-MAX(B414,($B$4*7/10))^2)-($B$4*7/10)*(C414-MAX(B414,($B$4*7/10)))),0))*1000,0)</f>
        <v>0</v>
      </c>
      <c r="AI414" s="120">
        <f>IF(AND(J414="OK",ISNUMBER($B$5),$B$5&gt;0,ISNUMBER($B$3),$B$3&gt;0),F414/(6*$B$3*1000000*$B$5)*(IF(B414&lt;($B$4*8/10),($B$4*8/10)*(MIN(C414,($B$4*8/10))^3-B414^3)-(MIN(C414,($B$4*8/10))^4-B414^4)/4,0)+IF(C414&gt;($B$4*8/10),($B$4*8/10)^2*(1.5*(C414^2-MAX(B414,($B$4*8/10))^2)-($B$4*8/10)*(C414-MAX(B414,($B$4*8/10)))),0))*1000,0)</f>
        <v>0</v>
      </c>
      <c r="AJ414" s="120">
        <f>IF(AND(J414="OK",ISNUMBER($B$5),$B$5&gt;0,ISNUMBER($B$3),$B$3&gt;0),F414/(6*$B$3*1000000*$B$5)*(IF(B414&lt;($B$4*9/10),($B$4*9/10)*(MIN(C414,($B$4*9/10))^3-B414^3)-(MIN(C414,($B$4*9/10))^4-B414^4)/4,0)+IF(C414&gt;($B$4*9/10),($B$4*9/10)^2*(1.5*(C414^2-MAX(B414,($B$4*9/10))^2)-($B$4*9/10)*(C414-MAX(B414,($B$4*9/10)))),0))*1000,0)</f>
        <v>0</v>
      </c>
      <c r="AK414" s="120">
        <f>IF(AND(J414="OK",ISNUMBER($B$5),$B$5&gt;0,ISNUMBER($B$3),$B$3&gt;0),F414/(6*$B$3*1000000*$B$5)*(IF(B414&lt;($B$4*10/10),($B$4*10/10)*(MIN(C414,($B$4*10/10))^3-B414^3)-(MIN(C414,($B$4*10/10))^4-B414^4)/4,0)+IF(C414&gt;($B$4*10/10),($B$4*10/10)^2*(1.5*(C414^2-MAX(B414,($B$4*10/10))^2)-($B$4*10/10)*(C414-MAX(B414,($B$4*10/10)))),0))*1000,0)</f>
        <v>0</v>
      </c>
      <c r="AM414" s="120">
        <f>IF(AND(V414="OK",ISNUMBER($N$5),$N$5&gt;0,ISNUMBER($N$3),$N$3&gt;0),R414/(6*$N$3*1000000*$N$5)*(IF(N414&lt;($N$4*0/10),($N$4*0/10)*(MIN(O414,($N$4*0/10))^3-N414^3)-(MIN(O414,($N$4*0/10))^4-N414^4)/4,0)+IF(O414&gt;($N$4*0/10),($N$4*0/10)^2*(1.5*(O414^2-MAX(N414,($N$4*0/10))^2)-($N$4*0/10)*(O414-MAX(N414,($N$4*0/10)))),0))*1000,0)</f>
        <v>0</v>
      </c>
      <c r="AN414" s="120">
        <f>IF(AND(V414="OK",ISNUMBER($N$5),$N$5&gt;0,ISNUMBER($N$3),$N$3&gt;0),R414/(6*$N$3*1000000*$N$5)*(IF(N414&lt;($N$4*1/10),($N$4*1/10)*(MIN(O414,($N$4*1/10))^3-N414^3)-(MIN(O414,($N$4*1/10))^4-N414^4)/4,0)+IF(O414&gt;($N$4*1/10),($N$4*1/10)^2*(1.5*(O414^2-MAX(N414,($N$4*1/10))^2)-($N$4*1/10)*(O414-MAX(N414,($N$4*1/10)))),0))*1000,0)</f>
        <v>0</v>
      </c>
      <c r="AO414" s="120">
        <f>IF(AND(V414="OK",ISNUMBER($N$5),$N$5&gt;0,ISNUMBER($N$3),$N$3&gt;0),R414/(6*$N$3*1000000*$N$5)*(IF(N414&lt;($N$4*2/10),($N$4*2/10)*(MIN(O414,($N$4*2/10))^3-N414^3)-(MIN(O414,($N$4*2/10))^4-N414^4)/4,0)+IF(O414&gt;($N$4*2/10),($N$4*2/10)^2*(1.5*(O414^2-MAX(N414,($N$4*2/10))^2)-($N$4*2/10)*(O414-MAX(N414,($N$4*2/10)))),0))*1000,0)</f>
        <v>0</v>
      </c>
      <c r="AP414" s="120">
        <f>IF(AND(V414="OK",ISNUMBER($N$5),$N$5&gt;0,ISNUMBER($N$3),$N$3&gt;0),R414/(6*$N$3*1000000*$N$5)*(IF(N414&lt;($N$4*3/10),($N$4*3/10)*(MIN(O414,($N$4*3/10))^3-N414^3)-(MIN(O414,($N$4*3/10))^4-N414^4)/4,0)+IF(O414&gt;($N$4*3/10),($N$4*3/10)^2*(1.5*(O414^2-MAX(N414,($N$4*3/10))^2)-($N$4*3/10)*(O414-MAX(N414,($N$4*3/10)))),0))*1000,0)</f>
        <v>0</v>
      </c>
      <c r="AQ414" s="120">
        <f>IF(AND(V414="OK",ISNUMBER($N$5),$N$5&gt;0,ISNUMBER($N$3),$N$3&gt;0),R414/(6*$N$3*1000000*$N$5)*(IF(N414&lt;($N$4*4/10),($N$4*4/10)*(MIN(O414,($N$4*4/10))^3-N414^3)-(MIN(O414,($N$4*4/10))^4-N414^4)/4,0)+IF(O414&gt;($N$4*4/10),($N$4*4/10)^2*(1.5*(O414^2-MAX(N414,($N$4*4/10))^2)-($N$4*4/10)*(O414-MAX(N414,($N$4*4/10)))),0))*1000,0)</f>
        <v>0</v>
      </c>
      <c r="AR414" s="120">
        <f>IF(AND(V414="OK",ISNUMBER($N$5),$N$5&gt;0,ISNUMBER($N$3),$N$3&gt;0),R414/(6*$N$3*1000000*$N$5)*(IF(N414&lt;($N$4*5/10),($N$4*5/10)*(MIN(O414,($N$4*5/10))^3-N414^3)-(MIN(O414,($N$4*5/10))^4-N414^4)/4,0)+IF(O414&gt;($N$4*5/10),($N$4*5/10)^2*(1.5*(O414^2-MAX(N414,($N$4*5/10))^2)-($N$4*5/10)*(O414-MAX(N414,($N$4*5/10)))),0))*1000,0)</f>
        <v>0</v>
      </c>
      <c r="AS414" s="120">
        <f>IF(AND(V414="OK",ISNUMBER($N$5),$N$5&gt;0,ISNUMBER($N$3),$N$3&gt;0),R414/(6*$N$3*1000000*$N$5)*(IF(N414&lt;($N$4*6/10),($N$4*6/10)*(MIN(O414,($N$4*6/10))^3-N414^3)-(MIN(O414,($N$4*6/10))^4-N414^4)/4,0)+IF(O414&gt;($N$4*6/10),($N$4*6/10)^2*(1.5*(O414^2-MAX(N414,($N$4*6/10))^2)-($N$4*6/10)*(O414-MAX(N414,($N$4*6/10)))),0))*1000,0)</f>
        <v>0</v>
      </c>
      <c r="AT414" s="120">
        <f>IF(AND(V414="OK",ISNUMBER($N$5),$N$5&gt;0,ISNUMBER($N$3),$N$3&gt;0),R414/(6*$N$3*1000000*$N$5)*(IF(N414&lt;($N$4*7/10),($N$4*7/10)*(MIN(O414,($N$4*7/10))^3-N414^3)-(MIN(O414,($N$4*7/10))^4-N414^4)/4,0)+IF(O414&gt;($N$4*7/10),($N$4*7/10)^2*(1.5*(O414^2-MAX(N414,($N$4*7/10))^2)-($N$4*7/10)*(O414-MAX(N414,($N$4*7/10)))),0))*1000,0)</f>
        <v>0</v>
      </c>
      <c r="AU414" s="120">
        <f>IF(AND(V414="OK",ISNUMBER($N$5),$N$5&gt;0,ISNUMBER($N$3),$N$3&gt;0),R414/(6*$N$3*1000000*$N$5)*(IF(N414&lt;($N$4*8/10),($N$4*8/10)*(MIN(O414,($N$4*8/10))^3-N414^3)-(MIN(O414,($N$4*8/10))^4-N414^4)/4,0)+IF(O414&gt;($N$4*8/10),($N$4*8/10)^2*(1.5*(O414^2-MAX(N414,($N$4*8/10))^2)-($N$4*8/10)*(O414-MAX(N414,($N$4*8/10)))),0))*1000,0)</f>
        <v>0</v>
      </c>
      <c r="AV414" s="120">
        <f>IF(AND(V414="OK",ISNUMBER($N$5),$N$5&gt;0,ISNUMBER($N$3),$N$3&gt;0),R414/(6*$N$3*1000000*$N$5)*(IF(N414&lt;($N$4*9/10),($N$4*9/10)*(MIN(O414,($N$4*9/10))^3-N414^3)-(MIN(O414,($N$4*9/10))^4-N414^4)/4,0)+IF(O414&gt;($N$4*9/10),($N$4*9/10)^2*(1.5*(O414^2-MAX(N414,($N$4*9/10))^2)-($N$4*9/10)*(O414-MAX(N414,($N$4*9/10)))),0))*1000,0)</f>
        <v>0</v>
      </c>
      <c r="AW414" s="120">
        <f>IF(AND(V414="OK",ISNUMBER($N$5),$N$5&gt;0,ISNUMBER($N$3),$N$3&gt;0),R414/(6*$N$3*1000000*$N$5)*(IF(N414&lt;($N$4*10/10),($N$4*10/10)*(MIN(O414,($N$4*10/10))^3-N414^3)-(MIN(O414,($N$4*10/10))^4-N414^4)/4,0)+IF(O414&gt;($N$4*10/10),($N$4*10/10)^2*(1.5*(O414^2-MAX(N414,($N$4*10/10))^2)-($N$4*10/10)*(O414-MAX(N414,($N$4*10/10)))),0))*1000,0)</f>
        <v>0</v>
      </c>
    </row>
    <row r="415" spans="1:49">
      <c r="A415" s="124"/>
      <c r="B415" s="125"/>
      <c r="C415" s="125"/>
      <c r="D415" s="125"/>
      <c r="E415" s="125"/>
      <c r="F415" s="126" t="str">
        <f>IF(J415="OK",D415*E415,"")</f>
        <v/>
      </c>
      <c r="G415" s="126" t="str">
        <f>IF(J415="OK",F415*(C415-B415),"")</f>
        <v/>
      </c>
      <c r="H415" s="126" t="str">
        <f>IF(J415="OK",G415*(C415+B415)/2,"")</f>
        <v/>
      </c>
      <c r="I415" s="126" t="str">
        <f>IF(AND(J415="OK",ISNUMBER($B$5),$B$5&gt;0,ISNUMBER($B$3),$B$3&gt;0),F415*(4*$B$4*(C415^3-B415^3)-(C415^4-B415^4))/(24*$B$3*1000000*$B$5)*1000,"")</f>
        <v/>
      </c>
      <c r="J415" s="120" t="str">
        <f>IF(COUNTA(A415:E415)=0,"",IF(AND(COUNT(B415:E415)=4,B415&gt;=0,C415&gt;B415,C415&lt;=$B$4,D415&gt;=0,E415&gt;0),IF(COUNTIFS($B$13:$B$414,"&lt;"&amp;C415,$C$13:$C$414,"&gt;"&amp;B415)&gt;0,"OVERLAP","OK"),"CHECK INPUTS"))</f>
        <v/>
      </c>
      <c r="M415" s="124"/>
      <c r="N415" s="125"/>
      <c r="O415" s="125"/>
      <c r="P415" s="125"/>
      <c r="Q415" s="125"/>
      <c r="R415" s="126" t="str">
        <f>IF(V415="OK",P415*Q415,"")</f>
        <v/>
      </c>
      <c r="S415" s="126" t="str">
        <f>IF(V415="OK",R415*(O415-N415),"")</f>
        <v/>
      </c>
      <c r="T415" s="126" t="str">
        <f>IF(V415="OK",S415*(O415+N415)/2,"")</f>
        <v/>
      </c>
      <c r="U415" s="126" t="str">
        <f>IF(AND(V415="OK",ISNUMBER($N$5),$N$5&gt;0,ISNUMBER($N$3),$N$3&gt;0),R415*(4*$N$4*(O415^3-N415^3)-(O415^4-N415^4))/(24*$N$3*1000000*$N$5)*1000,"")</f>
        <v/>
      </c>
      <c r="V415" s="120" t="str">
        <f>IF(COUNTA(M415:Q415)=0,"",IF(AND(COUNT(N415:Q415)=4,N415&gt;=0,O415&gt;N415,O415&lt;=$N$4,P415&gt;=0,Q415&gt;0),IF(COUNTIFS($N$13:$N$414,"&lt;"&amp;O415,$O$13:$O$414,"&gt;"&amp;N415)&gt;0,"OVERLAP","OK"),"CHECK INPUTS"))</f>
        <v/>
      </c>
      <c r="AA415" s="120">
        <f>IF(AND(J415="OK",ISNUMBER($B$5),$B$5&gt;0,ISNUMBER($B$3),$B$3&gt;0),F415/(6*$B$3*1000000*$B$5)*(IF(B415&lt;($B$4*0/10),($B$4*0/10)*(MIN(C415,($B$4*0/10))^3-B415^3)-(MIN(C415,($B$4*0/10))^4-B415^4)/4,0)+IF(C415&gt;($B$4*0/10),($B$4*0/10)^2*(1.5*(C415^2-MAX(B415,($B$4*0/10))^2)-($B$4*0/10)*(C415-MAX(B415,($B$4*0/10)))),0))*1000,0)</f>
        <v>0</v>
      </c>
      <c r="AB415" s="120">
        <f>IF(AND(J415="OK",ISNUMBER($B$5),$B$5&gt;0,ISNUMBER($B$3),$B$3&gt;0),F415/(6*$B$3*1000000*$B$5)*(IF(B415&lt;($B$4*1/10),($B$4*1/10)*(MIN(C415,($B$4*1/10))^3-B415^3)-(MIN(C415,($B$4*1/10))^4-B415^4)/4,0)+IF(C415&gt;($B$4*1/10),($B$4*1/10)^2*(1.5*(C415^2-MAX(B415,($B$4*1/10))^2)-($B$4*1/10)*(C415-MAX(B415,($B$4*1/10)))),0))*1000,0)</f>
        <v>0</v>
      </c>
      <c r="AC415" s="120">
        <f>IF(AND(J415="OK",ISNUMBER($B$5),$B$5&gt;0,ISNUMBER($B$3),$B$3&gt;0),F415/(6*$B$3*1000000*$B$5)*(IF(B415&lt;($B$4*2/10),($B$4*2/10)*(MIN(C415,($B$4*2/10))^3-B415^3)-(MIN(C415,($B$4*2/10))^4-B415^4)/4,0)+IF(C415&gt;($B$4*2/10),($B$4*2/10)^2*(1.5*(C415^2-MAX(B415,($B$4*2/10))^2)-($B$4*2/10)*(C415-MAX(B415,($B$4*2/10)))),0))*1000,0)</f>
        <v>0</v>
      </c>
      <c r="AD415" s="120">
        <f>IF(AND(J415="OK",ISNUMBER($B$5),$B$5&gt;0,ISNUMBER($B$3),$B$3&gt;0),F415/(6*$B$3*1000000*$B$5)*(IF(B415&lt;($B$4*3/10),($B$4*3/10)*(MIN(C415,($B$4*3/10))^3-B415^3)-(MIN(C415,($B$4*3/10))^4-B415^4)/4,0)+IF(C415&gt;($B$4*3/10),($B$4*3/10)^2*(1.5*(C415^2-MAX(B415,($B$4*3/10))^2)-($B$4*3/10)*(C415-MAX(B415,($B$4*3/10)))),0))*1000,0)</f>
        <v>0</v>
      </c>
      <c r="AE415" s="120">
        <f>IF(AND(J415="OK",ISNUMBER($B$5),$B$5&gt;0,ISNUMBER($B$3),$B$3&gt;0),F415/(6*$B$3*1000000*$B$5)*(IF(B415&lt;($B$4*4/10),($B$4*4/10)*(MIN(C415,($B$4*4/10))^3-B415^3)-(MIN(C415,($B$4*4/10))^4-B415^4)/4,0)+IF(C415&gt;($B$4*4/10),($B$4*4/10)^2*(1.5*(C415^2-MAX(B415,($B$4*4/10))^2)-($B$4*4/10)*(C415-MAX(B415,($B$4*4/10)))),0))*1000,0)</f>
        <v>0</v>
      </c>
      <c r="AF415" s="120">
        <f>IF(AND(J415="OK",ISNUMBER($B$5),$B$5&gt;0,ISNUMBER($B$3),$B$3&gt;0),F415/(6*$B$3*1000000*$B$5)*(IF(B415&lt;($B$4*5/10),($B$4*5/10)*(MIN(C415,($B$4*5/10))^3-B415^3)-(MIN(C415,($B$4*5/10))^4-B415^4)/4,0)+IF(C415&gt;($B$4*5/10),($B$4*5/10)^2*(1.5*(C415^2-MAX(B415,($B$4*5/10))^2)-($B$4*5/10)*(C415-MAX(B415,($B$4*5/10)))),0))*1000,0)</f>
        <v>0</v>
      </c>
      <c r="AG415" s="120">
        <f>IF(AND(J415="OK",ISNUMBER($B$5),$B$5&gt;0,ISNUMBER($B$3),$B$3&gt;0),F415/(6*$B$3*1000000*$B$5)*(IF(B415&lt;($B$4*6/10),($B$4*6/10)*(MIN(C415,($B$4*6/10))^3-B415^3)-(MIN(C415,($B$4*6/10))^4-B415^4)/4,0)+IF(C415&gt;($B$4*6/10),($B$4*6/10)^2*(1.5*(C415^2-MAX(B415,($B$4*6/10))^2)-($B$4*6/10)*(C415-MAX(B415,($B$4*6/10)))),0))*1000,0)</f>
        <v>0</v>
      </c>
      <c r="AH415" s="120">
        <f>IF(AND(J415="OK",ISNUMBER($B$5),$B$5&gt;0,ISNUMBER($B$3),$B$3&gt;0),F415/(6*$B$3*1000000*$B$5)*(IF(B415&lt;($B$4*7/10),($B$4*7/10)*(MIN(C415,($B$4*7/10))^3-B415^3)-(MIN(C415,($B$4*7/10))^4-B415^4)/4,0)+IF(C415&gt;($B$4*7/10),($B$4*7/10)^2*(1.5*(C415^2-MAX(B415,($B$4*7/10))^2)-($B$4*7/10)*(C415-MAX(B415,($B$4*7/10)))),0))*1000,0)</f>
        <v>0</v>
      </c>
      <c r="AI415" s="120">
        <f>IF(AND(J415="OK",ISNUMBER($B$5),$B$5&gt;0,ISNUMBER($B$3),$B$3&gt;0),F415/(6*$B$3*1000000*$B$5)*(IF(B415&lt;($B$4*8/10),($B$4*8/10)*(MIN(C415,($B$4*8/10))^3-B415^3)-(MIN(C415,($B$4*8/10))^4-B415^4)/4,0)+IF(C415&gt;($B$4*8/10),($B$4*8/10)^2*(1.5*(C415^2-MAX(B415,($B$4*8/10))^2)-($B$4*8/10)*(C415-MAX(B415,($B$4*8/10)))),0))*1000,0)</f>
        <v>0</v>
      </c>
      <c r="AJ415" s="120">
        <f>IF(AND(J415="OK",ISNUMBER($B$5),$B$5&gt;0,ISNUMBER($B$3),$B$3&gt;0),F415/(6*$B$3*1000000*$B$5)*(IF(B415&lt;($B$4*9/10),($B$4*9/10)*(MIN(C415,($B$4*9/10))^3-B415^3)-(MIN(C415,($B$4*9/10))^4-B415^4)/4,0)+IF(C415&gt;($B$4*9/10),($B$4*9/10)^2*(1.5*(C415^2-MAX(B415,($B$4*9/10))^2)-($B$4*9/10)*(C415-MAX(B415,($B$4*9/10)))),0))*1000,0)</f>
        <v>0</v>
      </c>
      <c r="AK415" s="120">
        <f>IF(AND(J415="OK",ISNUMBER($B$5),$B$5&gt;0,ISNUMBER($B$3),$B$3&gt;0),F415/(6*$B$3*1000000*$B$5)*(IF(B415&lt;($B$4*10/10),($B$4*10/10)*(MIN(C415,($B$4*10/10))^3-B415^3)-(MIN(C415,($B$4*10/10))^4-B415^4)/4,0)+IF(C415&gt;($B$4*10/10),($B$4*10/10)^2*(1.5*(C415^2-MAX(B415,($B$4*10/10))^2)-($B$4*10/10)*(C415-MAX(B415,($B$4*10/10)))),0))*1000,0)</f>
        <v>0</v>
      </c>
      <c r="AM415" s="120">
        <f>IF(AND(V415="OK",ISNUMBER($N$5),$N$5&gt;0,ISNUMBER($N$3),$N$3&gt;0),R415/(6*$N$3*1000000*$N$5)*(IF(N415&lt;($N$4*0/10),($N$4*0/10)*(MIN(O415,($N$4*0/10))^3-N415^3)-(MIN(O415,($N$4*0/10))^4-N415^4)/4,0)+IF(O415&gt;($N$4*0/10),($N$4*0/10)^2*(1.5*(O415^2-MAX(N415,($N$4*0/10))^2)-($N$4*0/10)*(O415-MAX(N415,($N$4*0/10)))),0))*1000,0)</f>
        <v>0</v>
      </c>
      <c r="AN415" s="120">
        <f>IF(AND(V415="OK",ISNUMBER($N$5),$N$5&gt;0,ISNUMBER($N$3),$N$3&gt;0),R415/(6*$N$3*1000000*$N$5)*(IF(N415&lt;($N$4*1/10),($N$4*1/10)*(MIN(O415,($N$4*1/10))^3-N415^3)-(MIN(O415,($N$4*1/10))^4-N415^4)/4,0)+IF(O415&gt;($N$4*1/10),($N$4*1/10)^2*(1.5*(O415^2-MAX(N415,($N$4*1/10))^2)-($N$4*1/10)*(O415-MAX(N415,($N$4*1/10)))),0))*1000,0)</f>
        <v>0</v>
      </c>
      <c r="AO415" s="120">
        <f>IF(AND(V415="OK",ISNUMBER($N$5),$N$5&gt;0,ISNUMBER($N$3),$N$3&gt;0),R415/(6*$N$3*1000000*$N$5)*(IF(N415&lt;($N$4*2/10),($N$4*2/10)*(MIN(O415,($N$4*2/10))^3-N415^3)-(MIN(O415,($N$4*2/10))^4-N415^4)/4,0)+IF(O415&gt;($N$4*2/10),($N$4*2/10)^2*(1.5*(O415^2-MAX(N415,($N$4*2/10))^2)-($N$4*2/10)*(O415-MAX(N415,($N$4*2/10)))),0))*1000,0)</f>
        <v>0</v>
      </c>
      <c r="AP415" s="120">
        <f>IF(AND(V415="OK",ISNUMBER($N$5),$N$5&gt;0,ISNUMBER($N$3),$N$3&gt;0),R415/(6*$N$3*1000000*$N$5)*(IF(N415&lt;($N$4*3/10),($N$4*3/10)*(MIN(O415,($N$4*3/10))^3-N415^3)-(MIN(O415,($N$4*3/10))^4-N415^4)/4,0)+IF(O415&gt;($N$4*3/10),($N$4*3/10)^2*(1.5*(O415^2-MAX(N415,($N$4*3/10))^2)-($N$4*3/10)*(O415-MAX(N415,($N$4*3/10)))),0))*1000,0)</f>
        <v>0</v>
      </c>
      <c r="AQ415" s="120">
        <f>IF(AND(V415="OK",ISNUMBER($N$5),$N$5&gt;0,ISNUMBER($N$3),$N$3&gt;0),R415/(6*$N$3*1000000*$N$5)*(IF(N415&lt;($N$4*4/10),($N$4*4/10)*(MIN(O415,($N$4*4/10))^3-N415^3)-(MIN(O415,($N$4*4/10))^4-N415^4)/4,0)+IF(O415&gt;($N$4*4/10),($N$4*4/10)^2*(1.5*(O415^2-MAX(N415,($N$4*4/10))^2)-($N$4*4/10)*(O415-MAX(N415,($N$4*4/10)))),0))*1000,0)</f>
        <v>0</v>
      </c>
      <c r="AR415" s="120">
        <f>IF(AND(V415="OK",ISNUMBER($N$5),$N$5&gt;0,ISNUMBER($N$3),$N$3&gt;0),R415/(6*$N$3*1000000*$N$5)*(IF(N415&lt;($N$4*5/10),($N$4*5/10)*(MIN(O415,($N$4*5/10))^3-N415^3)-(MIN(O415,($N$4*5/10))^4-N415^4)/4,0)+IF(O415&gt;($N$4*5/10),($N$4*5/10)^2*(1.5*(O415^2-MAX(N415,($N$4*5/10))^2)-($N$4*5/10)*(O415-MAX(N415,($N$4*5/10)))),0))*1000,0)</f>
        <v>0</v>
      </c>
      <c r="AS415" s="120">
        <f>IF(AND(V415="OK",ISNUMBER($N$5),$N$5&gt;0,ISNUMBER($N$3),$N$3&gt;0),R415/(6*$N$3*1000000*$N$5)*(IF(N415&lt;($N$4*6/10),($N$4*6/10)*(MIN(O415,($N$4*6/10))^3-N415^3)-(MIN(O415,($N$4*6/10))^4-N415^4)/4,0)+IF(O415&gt;($N$4*6/10),($N$4*6/10)^2*(1.5*(O415^2-MAX(N415,($N$4*6/10))^2)-($N$4*6/10)*(O415-MAX(N415,($N$4*6/10)))),0))*1000,0)</f>
        <v>0</v>
      </c>
      <c r="AT415" s="120">
        <f>IF(AND(V415="OK",ISNUMBER($N$5),$N$5&gt;0,ISNUMBER($N$3),$N$3&gt;0),R415/(6*$N$3*1000000*$N$5)*(IF(N415&lt;($N$4*7/10),($N$4*7/10)*(MIN(O415,($N$4*7/10))^3-N415^3)-(MIN(O415,($N$4*7/10))^4-N415^4)/4,0)+IF(O415&gt;($N$4*7/10),($N$4*7/10)^2*(1.5*(O415^2-MAX(N415,($N$4*7/10))^2)-($N$4*7/10)*(O415-MAX(N415,($N$4*7/10)))),0))*1000,0)</f>
        <v>0</v>
      </c>
      <c r="AU415" s="120">
        <f>IF(AND(V415="OK",ISNUMBER($N$5),$N$5&gt;0,ISNUMBER($N$3),$N$3&gt;0),R415/(6*$N$3*1000000*$N$5)*(IF(N415&lt;($N$4*8/10),($N$4*8/10)*(MIN(O415,($N$4*8/10))^3-N415^3)-(MIN(O415,($N$4*8/10))^4-N415^4)/4,0)+IF(O415&gt;($N$4*8/10),($N$4*8/10)^2*(1.5*(O415^2-MAX(N415,($N$4*8/10))^2)-($N$4*8/10)*(O415-MAX(N415,($N$4*8/10)))),0))*1000,0)</f>
        <v>0</v>
      </c>
      <c r="AV415" s="120">
        <f>IF(AND(V415="OK",ISNUMBER($N$5),$N$5&gt;0,ISNUMBER($N$3),$N$3&gt;0),R415/(6*$N$3*1000000*$N$5)*(IF(N415&lt;($N$4*9/10),($N$4*9/10)*(MIN(O415,($N$4*9/10))^3-N415^3)-(MIN(O415,($N$4*9/10))^4-N415^4)/4,0)+IF(O415&gt;($N$4*9/10),($N$4*9/10)^2*(1.5*(O415^2-MAX(N415,($N$4*9/10))^2)-($N$4*9/10)*(O415-MAX(N415,($N$4*9/10)))),0))*1000,0)</f>
        <v>0</v>
      </c>
      <c r="AW415" s="120">
        <f>IF(AND(V415="OK",ISNUMBER($N$5),$N$5&gt;0,ISNUMBER($N$3),$N$3&gt;0),R415/(6*$N$3*1000000*$N$5)*(IF(N415&lt;($N$4*10/10),($N$4*10/10)*(MIN(O415,($N$4*10/10))^3-N415^3)-(MIN(O415,($N$4*10/10))^4-N415^4)/4,0)+IF(O415&gt;($N$4*10/10),($N$4*10/10)^2*(1.5*(O415^2-MAX(N415,($N$4*10/10))^2)-($N$4*10/10)*(O415-MAX(N415,($N$4*10/10)))),0))*1000,0)</f>
        <v>0</v>
      </c>
    </row>
    <row r="416" spans="1:49">
      <c r="A416" s="124"/>
      <c r="B416" s="125"/>
      <c r="C416" s="125"/>
      <c r="D416" s="125"/>
      <c r="E416" s="125"/>
      <c r="F416" s="126" t="str">
        <f>IF(J416="OK",D416*E416,"")</f>
        <v/>
      </c>
      <c r="G416" s="126" t="str">
        <f>IF(J416="OK",F416*(C416-B416),"")</f>
        <v/>
      </c>
      <c r="H416" s="126" t="str">
        <f>IF(J416="OK",G416*(C416+B416)/2,"")</f>
        <v/>
      </c>
      <c r="I416" s="126" t="str">
        <f>IF(AND(J416="OK",ISNUMBER($B$5),$B$5&gt;0,ISNUMBER($B$3),$B$3&gt;0),F416*(4*$B$4*(C416^3-B416^3)-(C416^4-B416^4))/(24*$B$3*1000000*$B$5)*1000,"")</f>
        <v/>
      </c>
      <c r="J416" s="120" t="str">
        <f>IF(COUNTA(A416:E416)=0,"",IF(AND(COUNT(B416:E416)=4,B416&gt;=0,C416&gt;B416,C416&lt;=$B$4,D416&gt;=0,E416&gt;0),IF(COUNTIFS($B$13:$B$415,"&lt;"&amp;C416,$C$13:$C$415,"&gt;"&amp;B416)&gt;0,"OVERLAP","OK"),"CHECK INPUTS"))</f>
        <v/>
      </c>
      <c r="M416" s="124"/>
      <c r="N416" s="125"/>
      <c r="O416" s="125"/>
      <c r="P416" s="125"/>
      <c r="Q416" s="125"/>
      <c r="R416" s="126" t="str">
        <f>IF(V416="OK",P416*Q416,"")</f>
        <v/>
      </c>
      <c r="S416" s="126" t="str">
        <f>IF(V416="OK",R416*(O416-N416),"")</f>
        <v/>
      </c>
      <c r="T416" s="126" t="str">
        <f>IF(V416="OK",S416*(O416+N416)/2,"")</f>
        <v/>
      </c>
      <c r="U416" s="126" t="str">
        <f>IF(AND(V416="OK",ISNUMBER($N$5),$N$5&gt;0,ISNUMBER($N$3),$N$3&gt;0),R416*(4*$N$4*(O416^3-N416^3)-(O416^4-N416^4))/(24*$N$3*1000000*$N$5)*1000,"")</f>
        <v/>
      </c>
      <c r="V416" s="120" t="str">
        <f>IF(COUNTA(M416:Q416)=0,"",IF(AND(COUNT(N416:Q416)=4,N416&gt;=0,O416&gt;N416,O416&lt;=$N$4,P416&gt;=0,Q416&gt;0),IF(COUNTIFS($N$13:$N$415,"&lt;"&amp;O416,$O$13:$O$415,"&gt;"&amp;N416)&gt;0,"OVERLAP","OK"),"CHECK INPUTS"))</f>
        <v/>
      </c>
      <c r="AA416" s="120">
        <f>IF(AND(J416="OK",ISNUMBER($B$5),$B$5&gt;0,ISNUMBER($B$3),$B$3&gt;0),F416/(6*$B$3*1000000*$B$5)*(IF(B416&lt;($B$4*0/10),($B$4*0/10)*(MIN(C416,($B$4*0/10))^3-B416^3)-(MIN(C416,($B$4*0/10))^4-B416^4)/4,0)+IF(C416&gt;($B$4*0/10),($B$4*0/10)^2*(1.5*(C416^2-MAX(B416,($B$4*0/10))^2)-($B$4*0/10)*(C416-MAX(B416,($B$4*0/10)))),0))*1000,0)</f>
        <v>0</v>
      </c>
      <c r="AB416" s="120">
        <f>IF(AND(J416="OK",ISNUMBER($B$5),$B$5&gt;0,ISNUMBER($B$3),$B$3&gt;0),F416/(6*$B$3*1000000*$B$5)*(IF(B416&lt;($B$4*1/10),($B$4*1/10)*(MIN(C416,($B$4*1/10))^3-B416^3)-(MIN(C416,($B$4*1/10))^4-B416^4)/4,0)+IF(C416&gt;($B$4*1/10),($B$4*1/10)^2*(1.5*(C416^2-MAX(B416,($B$4*1/10))^2)-($B$4*1/10)*(C416-MAX(B416,($B$4*1/10)))),0))*1000,0)</f>
        <v>0</v>
      </c>
      <c r="AC416" s="120">
        <f>IF(AND(J416="OK",ISNUMBER($B$5),$B$5&gt;0,ISNUMBER($B$3),$B$3&gt;0),F416/(6*$B$3*1000000*$B$5)*(IF(B416&lt;($B$4*2/10),($B$4*2/10)*(MIN(C416,($B$4*2/10))^3-B416^3)-(MIN(C416,($B$4*2/10))^4-B416^4)/4,0)+IF(C416&gt;($B$4*2/10),($B$4*2/10)^2*(1.5*(C416^2-MAX(B416,($B$4*2/10))^2)-($B$4*2/10)*(C416-MAX(B416,($B$4*2/10)))),0))*1000,0)</f>
        <v>0</v>
      </c>
      <c r="AD416" s="120">
        <f>IF(AND(J416="OK",ISNUMBER($B$5),$B$5&gt;0,ISNUMBER($B$3),$B$3&gt;0),F416/(6*$B$3*1000000*$B$5)*(IF(B416&lt;($B$4*3/10),($B$4*3/10)*(MIN(C416,($B$4*3/10))^3-B416^3)-(MIN(C416,($B$4*3/10))^4-B416^4)/4,0)+IF(C416&gt;($B$4*3/10),($B$4*3/10)^2*(1.5*(C416^2-MAX(B416,($B$4*3/10))^2)-($B$4*3/10)*(C416-MAX(B416,($B$4*3/10)))),0))*1000,0)</f>
        <v>0</v>
      </c>
      <c r="AE416" s="120">
        <f>IF(AND(J416="OK",ISNUMBER($B$5),$B$5&gt;0,ISNUMBER($B$3),$B$3&gt;0),F416/(6*$B$3*1000000*$B$5)*(IF(B416&lt;($B$4*4/10),($B$4*4/10)*(MIN(C416,($B$4*4/10))^3-B416^3)-(MIN(C416,($B$4*4/10))^4-B416^4)/4,0)+IF(C416&gt;($B$4*4/10),($B$4*4/10)^2*(1.5*(C416^2-MAX(B416,($B$4*4/10))^2)-($B$4*4/10)*(C416-MAX(B416,($B$4*4/10)))),0))*1000,0)</f>
        <v>0</v>
      </c>
      <c r="AF416" s="120">
        <f>IF(AND(J416="OK",ISNUMBER($B$5),$B$5&gt;0,ISNUMBER($B$3),$B$3&gt;0),F416/(6*$B$3*1000000*$B$5)*(IF(B416&lt;($B$4*5/10),($B$4*5/10)*(MIN(C416,($B$4*5/10))^3-B416^3)-(MIN(C416,($B$4*5/10))^4-B416^4)/4,0)+IF(C416&gt;($B$4*5/10),($B$4*5/10)^2*(1.5*(C416^2-MAX(B416,($B$4*5/10))^2)-($B$4*5/10)*(C416-MAX(B416,($B$4*5/10)))),0))*1000,0)</f>
        <v>0</v>
      </c>
      <c r="AG416" s="120">
        <f>IF(AND(J416="OK",ISNUMBER($B$5),$B$5&gt;0,ISNUMBER($B$3),$B$3&gt;0),F416/(6*$B$3*1000000*$B$5)*(IF(B416&lt;($B$4*6/10),($B$4*6/10)*(MIN(C416,($B$4*6/10))^3-B416^3)-(MIN(C416,($B$4*6/10))^4-B416^4)/4,0)+IF(C416&gt;($B$4*6/10),($B$4*6/10)^2*(1.5*(C416^2-MAX(B416,($B$4*6/10))^2)-($B$4*6/10)*(C416-MAX(B416,($B$4*6/10)))),0))*1000,0)</f>
        <v>0</v>
      </c>
      <c r="AH416" s="120">
        <f>IF(AND(J416="OK",ISNUMBER($B$5),$B$5&gt;0,ISNUMBER($B$3),$B$3&gt;0),F416/(6*$B$3*1000000*$B$5)*(IF(B416&lt;($B$4*7/10),($B$4*7/10)*(MIN(C416,($B$4*7/10))^3-B416^3)-(MIN(C416,($B$4*7/10))^4-B416^4)/4,0)+IF(C416&gt;($B$4*7/10),($B$4*7/10)^2*(1.5*(C416^2-MAX(B416,($B$4*7/10))^2)-($B$4*7/10)*(C416-MAX(B416,($B$4*7/10)))),0))*1000,0)</f>
        <v>0</v>
      </c>
      <c r="AI416" s="120">
        <f>IF(AND(J416="OK",ISNUMBER($B$5),$B$5&gt;0,ISNUMBER($B$3),$B$3&gt;0),F416/(6*$B$3*1000000*$B$5)*(IF(B416&lt;($B$4*8/10),($B$4*8/10)*(MIN(C416,($B$4*8/10))^3-B416^3)-(MIN(C416,($B$4*8/10))^4-B416^4)/4,0)+IF(C416&gt;($B$4*8/10),($B$4*8/10)^2*(1.5*(C416^2-MAX(B416,($B$4*8/10))^2)-($B$4*8/10)*(C416-MAX(B416,($B$4*8/10)))),0))*1000,0)</f>
        <v>0</v>
      </c>
      <c r="AJ416" s="120">
        <f>IF(AND(J416="OK",ISNUMBER($B$5),$B$5&gt;0,ISNUMBER($B$3),$B$3&gt;0),F416/(6*$B$3*1000000*$B$5)*(IF(B416&lt;($B$4*9/10),($B$4*9/10)*(MIN(C416,($B$4*9/10))^3-B416^3)-(MIN(C416,($B$4*9/10))^4-B416^4)/4,0)+IF(C416&gt;($B$4*9/10),($B$4*9/10)^2*(1.5*(C416^2-MAX(B416,($B$4*9/10))^2)-($B$4*9/10)*(C416-MAX(B416,($B$4*9/10)))),0))*1000,0)</f>
        <v>0</v>
      </c>
      <c r="AK416" s="120">
        <f>IF(AND(J416="OK",ISNUMBER($B$5),$B$5&gt;0,ISNUMBER($B$3),$B$3&gt;0),F416/(6*$B$3*1000000*$B$5)*(IF(B416&lt;($B$4*10/10),($B$4*10/10)*(MIN(C416,($B$4*10/10))^3-B416^3)-(MIN(C416,($B$4*10/10))^4-B416^4)/4,0)+IF(C416&gt;($B$4*10/10),($B$4*10/10)^2*(1.5*(C416^2-MAX(B416,($B$4*10/10))^2)-($B$4*10/10)*(C416-MAX(B416,($B$4*10/10)))),0))*1000,0)</f>
        <v>0</v>
      </c>
      <c r="AM416" s="120">
        <f>IF(AND(V416="OK",ISNUMBER($N$5),$N$5&gt;0,ISNUMBER($N$3),$N$3&gt;0),R416/(6*$N$3*1000000*$N$5)*(IF(N416&lt;($N$4*0/10),($N$4*0/10)*(MIN(O416,($N$4*0/10))^3-N416^3)-(MIN(O416,($N$4*0/10))^4-N416^4)/4,0)+IF(O416&gt;($N$4*0/10),($N$4*0/10)^2*(1.5*(O416^2-MAX(N416,($N$4*0/10))^2)-($N$4*0/10)*(O416-MAX(N416,($N$4*0/10)))),0))*1000,0)</f>
        <v>0</v>
      </c>
      <c r="AN416" s="120">
        <f>IF(AND(V416="OK",ISNUMBER($N$5),$N$5&gt;0,ISNUMBER($N$3),$N$3&gt;0),R416/(6*$N$3*1000000*$N$5)*(IF(N416&lt;($N$4*1/10),($N$4*1/10)*(MIN(O416,($N$4*1/10))^3-N416^3)-(MIN(O416,($N$4*1/10))^4-N416^4)/4,0)+IF(O416&gt;($N$4*1/10),($N$4*1/10)^2*(1.5*(O416^2-MAX(N416,($N$4*1/10))^2)-($N$4*1/10)*(O416-MAX(N416,($N$4*1/10)))),0))*1000,0)</f>
        <v>0</v>
      </c>
      <c r="AO416" s="120">
        <f>IF(AND(V416="OK",ISNUMBER($N$5),$N$5&gt;0,ISNUMBER($N$3),$N$3&gt;0),R416/(6*$N$3*1000000*$N$5)*(IF(N416&lt;($N$4*2/10),($N$4*2/10)*(MIN(O416,($N$4*2/10))^3-N416^3)-(MIN(O416,($N$4*2/10))^4-N416^4)/4,0)+IF(O416&gt;($N$4*2/10),($N$4*2/10)^2*(1.5*(O416^2-MAX(N416,($N$4*2/10))^2)-($N$4*2/10)*(O416-MAX(N416,($N$4*2/10)))),0))*1000,0)</f>
        <v>0</v>
      </c>
      <c r="AP416" s="120">
        <f>IF(AND(V416="OK",ISNUMBER($N$5),$N$5&gt;0,ISNUMBER($N$3),$N$3&gt;0),R416/(6*$N$3*1000000*$N$5)*(IF(N416&lt;($N$4*3/10),($N$4*3/10)*(MIN(O416,($N$4*3/10))^3-N416^3)-(MIN(O416,($N$4*3/10))^4-N416^4)/4,0)+IF(O416&gt;($N$4*3/10),($N$4*3/10)^2*(1.5*(O416^2-MAX(N416,($N$4*3/10))^2)-($N$4*3/10)*(O416-MAX(N416,($N$4*3/10)))),0))*1000,0)</f>
        <v>0</v>
      </c>
      <c r="AQ416" s="120">
        <f>IF(AND(V416="OK",ISNUMBER($N$5),$N$5&gt;0,ISNUMBER($N$3),$N$3&gt;0),R416/(6*$N$3*1000000*$N$5)*(IF(N416&lt;($N$4*4/10),($N$4*4/10)*(MIN(O416,($N$4*4/10))^3-N416^3)-(MIN(O416,($N$4*4/10))^4-N416^4)/4,0)+IF(O416&gt;($N$4*4/10),($N$4*4/10)^2*(1.5*(O416^2-MAX(N416,($N$4*4/10))^2)-($N$4*4/10)*(O416-MAX(N416,($N$4*4/10)))),0))*1000,0)</f>
        <v>0</v>
      </c>
      <c r="AR416" s="120">
        <f>IF(AND(V416="OK",ISNUMBER($N$5),$N$5&gt;0,ISNUMBER($N$3),$N$3&gt;0),R416/(6*$N$3*1000000*$N$5)*(IF(N416&lt;($N$4*5/10),($N$4*5/10)*(MIN(O416,($N$4*5/10))^3-N416^3)-(MIN(O416,($N$4*5/10))^4-N416^4)/4,0)+IF(O416&gt;($N$4*5/10),($N$4*5/10)^2*(1.5*(O416^2-MAX(N416,($N$4*5/10))^2)-($N$4*5/10)*(O416-MAX(N416,($N$4*5/10)))),0))*1000,0)</f>
        <v>0</v>
      </c>
      <c r="AS416" s="120">
        <f>IF(AND(V416="OK",ISNUMBER($N$5),$N$5&gt;0,ISNUMBER($N$3),$N$3&gt;0),R416/(6*$N$3*1000000*$N$5)*(IF(N416&lt;($N$4*6/10),($N$4*6/10)*(MIN(O416,($N$4*6/10))^3-N416^3)-(MIN(O416,($N$4*6/10))^4-N416^4)/4,0)+IF(O416&gt;($N$4*6/10),($N$4*6/10)^2*(1.5*(O416^2-MAX(N416,($N$4*6/10))^2)-($N$4*6/10)*(O416-MAX(N416,($N$4*6/10)))),0))*1000,0)</f>
        <v>0</v>
      </c>
      <c r="AT416" s="120">
        <f>IF(AND(V416="OK",ISNUMBER($N$5),$N$5&gt;0,ISNUMBER($N$3),$N$3&gt;0),R416/(6*$N$3*1000000*$N$5)*(IF(N416&lt;($N$4*7/10),($N$4*7/10)*(MIN(O416,($N$4*7/10))^3-N416^3)-(MIN(O416,($N$4*7/10))^4-N416^4)/4,0)+IF(O416&gt;($N$4*7/10),($N$4*7/10)^2*(1.5*(O416^2-MAX(N416,($N$4*7/10))^2)-($N$4*7/10)*(O416-MAX(N416,($N$4*7/10)))),0))*1000,0)</f>
        <v>0</v>
      </c>
      <c r="AU416" s="120">
        <f>IF(AND(V416="OK",ISNUMBER($N$5),$N$5&gt;0,ISNUMBER($N$3),$N$3&gt;0),R416/(6*$N$3*1000000*$N$5)*(IF(N416&lt;($N$4*8/10),($N$4*8/10)*(MIN(O416,($N$4*8/10))^3-N416^3)-(MIN(O416,($N$4*8/10))^4-N416^4)/4,0)+IF(O416&gt;($N$4*8/10),($N$4*8/10)^2*(1.5*(O416^2-MAX(N416,($N$4*8/10))^2)-($N$4*8/10)*(O416-MAX(N416,($N$4*8/10)))),0))*1000,0)</f>
        <v>0</v>
      </c>
      <c r="AV416" s="120">
        <f>IF(AND(V416="OK",ISNUMBER($N$5),$N$5&gt;0,ISNUMBER($N$3),$N$3&gt;0),R416/(6*$N$3*1000000*$N$5)*(IF(N416&lt;($N$4*9/10),($N$4*9/10)*(MIN(O416,($N$4*9/10))^3-N416^3)-(MIN(O416,($N$4*9/10))^4-N416^4)/4,0)+IF(O416&gt;($N$4*9/10),($N$4*9/10)^2*(1.5*(O416^2-MAX(N416,($N$4*9/10))^2)-($N$4*9/10)*(O416-MAX(N416,($N$4*9/10)))),0))*1000,0)</f>
        <v>0</v>
      </c>
      <c r="AW416" s="120">
        <f>IF(AND(V416="OK",ISNUMBER($N$5),$N$5&gt;0,ISNUMBER($N$3),$N$3&gt;0),R416/(6*$N$3*1000000*$N$5)*(IF(N416&lt;($N$4*10/10),($N$4*10/10)*(MIN(O416,($N$4*10/10))^3-N416^3)-(MIN(O416,($N$4*10/10))^4-N416^4)/4,0)+IF(O416&gt;($N$4*10/10),($N$4*10/10)^2*(1.5*(O416^2-MAX(N416,($N$4*10/10))^2)-($N$4*10/10)*(O416-MAX(N416,($N$4*10/10)))),0))*1000,0)</f>
        <v>0</v>
      </c>
    </row>
    <row r="417" spans="1:49">
      <c r="A417" s="124"/>
      <c r="B417" s="125"/>
      <c r="C417" s="125"/>
      <c r="D417" s="125"/>
      <c r="E417" s="125"/>
      <c r="F417" s="126" t="str">
        <f>IF(J417="OK",D417*E417,"")</f>
        <v/>
      </c>
      <c r="G417" s="126" t="str">
        <f>IF(J417="OK",F417*(C417-B417),"")</f>
        <v/>
      </c>
      <c r="H417" s="126" t="str">
        <f>IF(J417="OK",G417*(C417+B417)/2,"")</f>
        <v/>
      </c>
      <c r="I417" s="126" t="str">
        <f>IF(AND(J417="OK",ISNUMBER($B$5),$B$5&gt;0,ISNUMBER($B$3),$B$3&gt;0),F417*(4*$B$4*(C417^3-B417^3)-(C417^4-B417^4))/(24*$B$3*1000000*$B$5)*1000,"")</f>
        <v/>
      </c>
      <c r="J417" s="120" t="str">
        <f>IF(COUNTA(A417:E417)=0,"",IF(AND(COUNT(B417:E417)=4,B417&gt;=0,C417&gt;B417,C417&lt;=$B$4,D417&gt;=0,E417&gt;0),IF(COUNTIFS($B$13:$B$416,"&lt;"&amp;C417,$C$13:$C$416,"&gt;"&amp;B417)&gt;0,"OVERLAP","OK"),"CHECK INPUTS"))</f>
        <v/>
      </c>
      <c r="M417" s="124"/>
      <c r="N417" s="125"/>
      <c r="O417" s="125"/>
      <c r="P417" s="125"/>
      <c r="Q417" s="125"/>
      <c r="R417" s="126" t="str">
        <f>IF(V417="OK",P417*Q417,"")</f>
        <v/>
      </c>
      <c r="S417" s="126" t="str">
        <f>IF(V417="OK",R417*(O417-N417),"")</f>
        <v/>
      </c>
      <c r="T417" s="126" t="str">
        <f>IF(V417="OK",S417*(O417+N417)/2,"")</f>
        <v/>
      </c>
      <c r="U417" s="126" t="str">
        <f>IF(AND(V417="OK",ISNUMBER($N$5),$N$5&gt;0,ISNUMBER($N$3),$N$3&gt;0),R417*(4*$N$4*(O417^3-N417^3)-(O417^4-N417^4))/(24*$N$3*1000000*$N$5)*1000,"")</f>
        <v/>
      </c>
      <c r="V417" s="120" t="str">
        <f>IF(COUNTA(M417:Q417)=0,"",IF(AND(COUNT(N417:Q417)=4,N417&gt;=0,O417&gt;N417,O417&lt;=$N$4,P417&gt;=0,Q417&gt;0),IF(COUNTIFS($N$13:$N$416,"&lt;"&amp;O417,$O$13:$O$416,"&gt;"&amp;N417)&gt;0,"OVERLAP","OK"),"CHECK INPUTS"))</f>
        <v/>
      </c>
      <c r="AA417" s="120">
        <f>IF(AND(J417="OK",ISNUMBER($B$5),$B$5&gt;0,ISNUMBER($B$3),$B$3&gt;0),F417/(6*$B$3*1000000*$B$5)*(IF(B417&lt;($B$4*0/10),($B$4*0/10)*(MIN(C417,($B$4*0/10))^3-B417^3)-(MIN(C417,($B$4*0/10))^4-B417^4)/4,0)+IF(C417&gt;($B$4*0/10),($B$4*0/10)^2*(1.5*(C417^2-MAX(B417,($B$4*0/10))^2)-($B$4*0/10)*(C417-MAX(B417,($B$4*0/10)))),0))*1000,0)</f>
        <v>0</v>
      </c>
      <c r="AB417" s="120">
        <f>IF(AND(J417="OK",ISNUMBER($B$5),$B$5&gt;0,ISNUMBER($B$3),$B$3&gt;0),F417/(6*$B$3*1000000*$B$5)*(IF(B417&lt;($B$4*1/10),($B$4*1/10)*(MIN(C417,($B$4*1/10))^3-B417^3)-(MIN(C417,($B$4*1/10))^4-B417^4)/4,0)+IF(C417&gt;($B$4*1/10),($B$4*1/10)^2*(1.5*(C417^2-MAX(B417,($B$4*1/10))^2)-($B$4*1/10)*(C417-MAX(B417,($B$4*1/10)))),0))*1000,0)</f>
        <v>0</v>
      </c>
      <c r="AC417" s="120">
        <f>IF(AND(J417="OK",ISNUMBER($B$5),$B$5&gt;0,ISNUMBER($B$3),$B$3&gt;0),F417/(6*$B$3*1000000*$B$5)*(IF(B417&lt;($B$4*2/10),($B$4*2/10)*(MIN(C417,($B$4*2/10))^3-B417^3)-(MIN(C417,($B$4*2/10))^4-B417^4)/4,0)+IF(C417&gt;($B$4*2/10),($B$4*2/10)^2*(1.5*(C417^2-MAX(B417,($B$4*2/10))^2)-($B$4*2/10)*(C417-MAX(B417,($B$4*2/10)))),0))*1000,0)</f>
        <v>0</v>
      </c>
      <c r="AD417" s="120">
        <f>IF(AND(J417="OK",ISNUMBER($B$5),$B$5&gt;0,ISNUMBER($B$3),$B$3&gt;0),F417/(6*$B$3*1000000*$B$5)*(IF(B417&lt;($B$4*3/10),($B$4*3/10)*(MIN(C417,($B$4*3/10))^3-B417^3)-(MIN(C417,($B$4*3/10))^4-B417^4)/4,0)+IF(C417&gt;($B$4*3/10),($B$4*3/10)^2*(1.5*(C417^2-MAX(B417,($B$4*3/10))^2)-($B$4*3/10)*(C417-MAX(B417,($B$4*3/10)))),0))*1000,0)</f>
        <v>0</v>
      </c>
      <c r="AE417" s="120">
        <f>IF(AND(J417="OK",ISNUMBER($B$5),$B$5&gt;0,ISNUMBER($B$3),$B$3&gt;0),F417/(6*$B$3*1000000*$B$5)*(IF(B417&lt;($B$4*4/10),($B$4*4/10)*(MIN(C417,($B$4*4/10))^3-B417^3)-(MIN(C417,($B$4*4/10))^4-B417^4)/4,0)+IF(C417&gt;($B$4*4/10),($B$4*4/10)^2*(1.5*(C417^2-MAX(B417,($B$4*4/10))^2)-($B$4*4/10)*(C417-MAX(B417,($B$4*4/10)))),0))*1000,0)</f>
        <v>0</v>
      </c>
      <c r="AF417" s="120">
        <f>IF(AND(J417="OK",ISNUMBER($B$5),$B$5&gt;0,ISNUMBER($B$3),$B$3&gt;0),F417/(6*$B$3*1000000*$B$5)*(IF(B417&lt;($B$4*5/10),($B$4*5/10)*(MIN(C417,($B$4*5/10))^3-B417^3)-(MIN(C417,($B$4*5/10))^4-B417^4)/4,0)+IF(C417&gt;($B$4*5/10),($B$4*5/10)^2*(1.5*(C417^2-MAX(B417,($B$4*5/10))^2)-($B$4*5/10)*(C417-MAX(B417,($B$4*5/10)))),0))*1000,0)</f>
        <v>0</v>
      </c>
      <c r="AG417" s="120">
        <f>IF(AND(J417="OK",ISNUMBER($B$5),$B$5&gt;0,ISNUMBER($B$3),$B$3&gt;0),F417/(6*$B$3*1000000*$B$5)*(IF(B417&lt;($B$4*6/10),($B$4*6/10)*(MIN(C417,($B$4*6/10))^3-B417^3)-(MIN(C417,($B$4*6/10))^4-B417^4)/4,0)+IF(C417&gt;($B$4*6/10),($B$4*6/10)^2*(1.5*(C417^2-MAX(B417,($B$4*6/10))^2)-($B$4*6/10)*(C417-MAX(B417,($B$4*6/10)))),0))*1000,0)</f>
        <v>0</v>
      </c>
      <c r="AH417" s="120">
        <f>IF(AND(J417="OK",ISNUMBER($B$5),$B$5&gt;0,ISNUMBER($B$3),$B$3&gt;0),F417/(6*$B$3*1000000*$B$5)*(IF(B417&lt;($B$4*7/10),($B$4*7/10)*(MIN(C417,($B$4*7/10))^3-B417^3)-(MIN(C417,($B$4*7/10))^4-B417^4)/4,0)+IF(C417&gt;($B$4*7/10),($B$4*7/10)^2*(1.5*(C417^2-MAX(B417,($B$4*7/10))^2)-($B$4*7/10)*(C417-MAX(B417,($B$4*7/10)))),0))*1000,0)</f>
        <v>0</v>
      </c>
      <c r="AI417" s="120">
        <f>IF(AND(J417="OK",ISNUMBER($B$5),$B$5&gt;0,ISNUMBER($B$3),$B$3&gt;0),F417/(6*$B$3*1000000*$B$5)*(IF(B417&lt;($B$4*8/10),($B$4*8/10)*(MIN(C417,($B$4*8/10))^3-B417^3)-(MIN(C417,($B$4*8/10))^4-B417^4)/4,0)+IF(C417&gt;($B$4*8/10),($B$4*8/10)^2*(1.5*(C417^2-MAX(B417,($B$4*8/10))^2)-($B$4*8/10)*(C417-MAX(B417,($B$4*8/10)))),0))*1000,0)</f>
        <v>0</v>
      </c>
      <c r="AJ417" s="120">
        <f>IF(AND(J417="OK",ISNUMBER($B$5),$B$5&gt;0,ISNUMBER($B$3),$B$3&gt;0),F417/(6*$B$3*1000000*$B$5)*(IF(B417&lt;($B$4*9/10),($B$4*9/10)*(MIN(C417,($B$4*9/10))^3-B417^3)-(MIN(C417,($B$4*9/10))^4-B417^4)/4,0)+IF(C417&gt;($B$4*9/10),($B$4*9/10)^2*(1.5*(C417^2-MAX(B417,($B$4*9/10))^2)-($B$4*9/10)*(C417-MAX(B417,($B$4*9/10)))),0))*1000,0)</f>
        <v>0</v>
      </c>
      <c r="AK417" s="120">
        <f>IF(AND(J417="OK",ISNUMBER($B$5),$B$5&gt;0,ISNUMBER($B$3),$B$3&gt;0),F417/(6*$B$3*1000000*$B$5)*(IF(B417&lt;($B$4*10/10),($B$4*10/10)*(MIN(C417,($B$4*10/10))^3-B417^3)-(MIN(C417,($B$4*10/10))^4-B417^4)/4,0)+IF(C417&gt;($B$4*10/10),($B$4*10/10)^2*(1.5*(C417^2-MAX(B417,($B$4*10/10))^2)-($B$4*10/10)*(C417-MAX(B417,($B$4*10/10)))),0))*1000,0)</f>
        <v>0</v>
      </c>
      <c r="AM417" s="120">
        <f>IF(AND(V417="OK",ISNUMBER($N$5),$N$5&gt;0,ISNUMBER($N$3),$N$3&gt;0),R417/(6*$N$3*1000000*$N$5)*(IF(N417&lt;($N$4*0/10),($N$4*0/10)*(MIN(O417,($N$4*0/10))^3-N417^3)-(MIN(O417,($N$4*0/10))^4-N417^4)/4,0)+IF(O417&gt;($N$4*0/10),($N$4*0/10)^2*(1.5*(O417^2-MAX(N417,($N$4*0/10))^2)-($N$4*0/10)*(O417-MAX(N417,($N$4*0/10)))),0))*1000,0)</f>
        <v>0</v>
      </c>
      <c r="AN417" s="120">
        <f>IF(AND(V417="OK",ISNUMBER($N$5),$N$5&gt;0,ISNUMBER($N$3),$N$3&gt;0),R417/(6*$N$3*1000000*$N$5)*(IF(N417&lt;($N$4*1/10),($N$4*1/10)*(MIN(O417,($N$4*1/10))^3-N417^3)-(MIN(O417,($N$4*1/10))^4-N417^4)/4,0)+IF(O417&gt;($N$4*1/10),($N$4*1/10)^2*(1.5*(O417^2-MAX(N417,($N$4*1/10))^2)-($N$4*1/10)*(O417-MAX(N417,($N$4*1/10)))),0))*1000,0)</f>
        <v>0</v>
      </c>
      <c r="AO417" s="120">
        <f>IF(AND(V417="OK",ISNUMBER($N$5),$N$5&gt;0,ISNUMBER($N$3),$N$3&gt;0),R417/(6*$N$3*1000000*$N$5)*(IF(N417&lt;($N$4*2/10),($N$4*2/10)*(MIN(O417,($N$4*2/10))^3-N417^3)-(MIN(O417,($N$4*2/10))^4-N417^4)/4,0)+IF(O417&gt;($N$4*2/10),($N$4*2/10)^2*(1.5*(O417^2-MAX(N417,($N$4*2/10))^2)-($N$4*2/10)*(O417-MAX(N417,($N$4*2/10)))),0))*1000,0)</f>
        <v>0</v>
      </c>
      <c r="AP417" s="120">
        <f>IF(AND(V417="OK",ISNUMBER($N$5),$N$5&gt;0,ISNUMBER($N$3),$N$3&gt;0),R417/(6*$N$3*1000000*$N$5)*(IF(N417&lt;($N$4*3/10),($N$4*3/10)*(MIN(O417,($N$4*3/10))^3-N417^3)-(MIN(O417,($N$4*3/10))^4-N417^4)/4,0)+IF(O417&gt;($N$4*3/10),($N$4*3/10)^2*(1.5*(O417^2-MAX(N417,($N$4*3/10))^2)-($N$4*3/10)*(O417-MAX(N417,($N$4*3/10)))),0))*1000,0)</f>
        <v>0</v>
      </c>
      <c r="AQ417" s="120">
        <f>IF(AND(V417="OK",ISNUMBER($N$5),$N$5&gt;0,ISNUMBER($N$3),$N$3&gt;0),R417/(6*$N$3*1000000*$N$5)*(IF(N417&lt;($N$4*4/10),($N$4*4/10)*(MIN(O417,($N$4*4/10))^3-N417^3)-(MIN(O417,($N$4*4/10))^4-N417^4)/4,0)+IF(O417&gt;($N$4*4/10),($N$4*4/10)^2*(1.5*(O417^2-MAX(N417,($N$4*4/10))^2)-($N$4*4/10)*(O417-MAX(N417,($N$4*4/10)))),0))*1000,0)</f>
        <v>0</v>
      </c>
      <c r="AR417" s="120">
        <f>IF(AND(V417="OK",ISNUMBER($N$5),$N$5&gt;0,ISNUMBER($N$3),$N$3&gt;0),R417/(6*$N$3*1000000*$N$5)*(IF(N417&lt;($N$4*5/10),($N$4*5/10)*(MIN(O417,($N$4*5/10))^3-N417^3)-(MIN(O417,($N$4*5/10))^4-N417^4)/4,0)+IF(O417&gt;($N$4*5/10),($N$4*5/10)^2*(1.5*(O417^2-MAX(N417,($N$4*5/10))^2)-($N$4*5/10)*(O417-MAX(N417,($N$4*5/10)))),0))*1000,0)</f>
        <v>0</v>
      </c>
      <c r="AS417" s="120">
        <f>IF(AND(V417="OK",ISNUMBER($N$5),$N$5&gt;0,ISNUMBER($N$3),$N$3&gt;0),R417/(6*$N$3*1000000*$N$5)*(IF(N417&lt;($N$4*6/10),($N$4*6/10)*(MIN(O417,($N$4*6/10))^3-N417^3)-(MIN(O417,($N$4*6/10))^4-N417^4)/4,0)+IF(O417&gt;($N$4*6/10),($N$4*6/10)^2*(1.5*(O417^2-MAX(N417,($N$4*6/10))^2)-($N$4*6/10)*(O417-MAX(N417,($N$4*6/10)))),0))*1000,0)</f>
        <v>0</v>
      </c>
      <c r="AT417" s="120">
        <f>IF(AND(V417="OK",ISNUMBER($N$5),$N$5&gt;0,ISNUMBER($N$3),$N$3&gt;0),R417/(6*$N$3*1000000*$N$5)*(IF(N417&lt;($N$4*7/10),($N$4*7/10)*(MIN(O417,($N$4*7/10))^3-N417^3)-(MIN(O417,($N$4*7/10))^4-N417^4)/4,0)+IF(O417&gt;($N$4*7/10),($N$4*7/10)^2*(1.5*(O417^2-MAX(N417,($N$4*7/10))^2)-($N$4*7/10)*(O417-MAX(N417,($N$4*7/10)))),0))*1000,0)</f>
        <v>0</v>
      </c>
      <c r="AU417" s="120">
        <f>IF(AND(V417="OK",ISNUMBER($N$5),$N$5&gt;0,ISNUMBER($N$3),$N$3&gt;0),R417/(6*$N$3*1000000*$N$5)*(IF(N417&lt;($N$4*8/10),($N$4*8/10)*(MIN(O417,($N$4*8/10))^3-N417^3)-(MIN(O417,($N$4*8/10))^4-N417^4)/4,0)+IF(O417&gt;($N$4*8/10),($N$4*8/10)^2*(1.5*(O417^2-MAX(N417,($N$4*8/10))^2)-($N$4*8/10)*(O417-MAX(N417,($N$4*8/10)))),0))*1000,0)</f>
        <v>0</v>
      </c>
      <c r="AV417" s="120">
        <f>IF(AND(V417="OK",ISNUMBER($N$5),$N$5&gt;0,ISNUMBER($N$3),$N$3&gt;0),R417/(6*$N$3*1000000*$N$5)*(IF(N417&lt;($N$4*9/10),($N$4*9/10)*(MIN(O417,($N$4*9/10))^3-N417^3)-(MIN(O417,($N$4*9/10))^4-N417^4)/4,0)+IF(O417&gt;($N$4*9/10),($N$4*9/10)^2*(1.5*(O417^2-MAX(N417,($N$4*9/10))^2)-($N$4*9/10)*(O417-MAX(N417,($N$4*9/10)))),0))*1000,0)</f>
        <v>0</v>
      </c>
      <c r="AW417" s="120">
        <f>IF(AND(V417="OK",ISNUMBER($N$5),$N$5&gt;0,ISNUMBER($N$3),$N$3&gt;0),R417/(6*$N$3*1000000*$N$5)*(IF(N417&lt;($N$4*10/10),($N$4*10/10)*(MIN(O417,($N$4*10/10))^3-N417^3)-(MIN(O417,($N$4*10/10))^4-N417^4)/4,0)+IF(O417&gt;($N$4*10/10),($N$4*10/10)^2*(1.5*(O417^2-MAX(N417,($N$4*10/10))^2)-($N$4*10/10)*(O417-MAX(N417,($N$4*10/10)))),0))*1000,0)</f>
        <v>0</v>
      </c>
    </row>
    <row r="418" spans="1:49">
      <c r="A418" s="124"/>
      <c r="B418" s="125"/>
      <c r="C418" s="125"/>
      <c r="D418" s="125"/>
      <c r="E418" s="125"/>
      <c r="F418" s="126" t="str">
        <f>IF(J418="OK",D418*E418,"")</f>
        <v/>
      </c>
      <c r="G418" s="126" t="str">
        <f>IF(J418="OK",F418*(C418-B418),"")</f>
        <v/>
      </c>
      <c r="H418" s="126" t="str">
        <f>IF(J418="OK",G418*(C418+B418)/2,"")</f>
        <v/>
      </c>
      <c r="I418" s="126" t="str">
        <f>IF(AND(J418="OK",ISNUMBER($B$5),$B$5&gt;0,ISNUMBER($B$3),$B$3&gt;0),F418*(4*$B$4*(C418^3-B418^3)-(C418^4-B418^4))/(24*$B$3*1000000*$B$5)*1000,"")</f>
        <v/>
      </c>
      <c r="J418" s="120" t="str">
        <f>IF(COUNTA(A418:E418)=0,"",IF(AND(COUNT(B418:E418)=4,B418&gt;=0,C418&gt;B418,C418&lt;=$B$4,D418&gt;=0,E418&gt;0),IF(COUNTIFS($B$13:$B$417,"&lt;"&amp;C418,$C$13:$C$417,"&gt;"&amp;B418)&gt;0,"OVERLAP","OK"),"CHECK INPUTS"))</f>
        <v/>
      </c>
      <c r="M418" s="124"/>
      <c r="N418" s="125"/>
      <c r="O418" s="125"/>
      <c r="P418" s="125"/>
      <c r="Q418" s="125"/>
      <c r="R418" s="126" t="str">
        <f>IF(V418="OK",P418*Q418,"")</f>
        <v/>
      </c>
      <c r="S418" s="126" t="str">
        <f>IF(V418="OK",R418*(O418-N418),"")</f>
        <v/>
      </c>
      <c r="T418" s="126" t="str">
        <f>IF(V418="OK",S418*(O418+N418)/2,"")</f>
        <v/>
      </c>
      <c r="U418" s="126" t="str">
        <f>IF(AND(V418="OK",ISNUMBER($N$5),$N$5&gt;0,ISNUMBER($N$3),$N$3&gt;0),R418*(4*$N$4*(O418^3-N418^3)-(O418^4-N418^4))/(24*$N$3*1000000*$N$5)*1000,"")</f>
        <v/>
      </c>
      <c r="V418" s="120" t="str">
        <f>IF(COUNTA(M418:Q418)=0,"",IF(AND(COUNT(N418:Q418)=4,N418&gt;=0,O418&gt;N418,O418&lt;=$N$4,P418&gt;=0,Q418&gt;0),IF(COUNTIFS($N$13:$N$417,"&lt;"&amp;O418,$O$13:$O$417,"&gt;"&amp;N418)&gt;0,"OVERLAP","OK"),"CHECK INPUTS"))</f>
        <v/>
      </c>
      <c r="AA418" s="120">
        <f>IF(AND(J418="OK",ISNUMBER($B$5),$B$5&gt;0,ISNUMBER($B$3),$B$3&gt;0),F418/(6*$B$3*1000000*$B$5)*(IF(B418&lt;($B$4*0/10),($B$4*0/10)*(MIN(C418,($B$4*0/10))^3-B418^3)-(MIN(C418,($B$4*0/10))^4-B418^4)/4,0)+IF(C418&gt;($B$4*0/10),($B$4*0/10)^2*(1.5*(C418^2-MAX(B418,($B$4*0/10))^2)-($B$4*0/10)*(C418-MAX(B418,($B$4*0/10)))),0))*1000,0)</f>
        <v>0</v>
      </c>
      <c r="AB418" s="120">
        <f>IF(AND(J418="OK",ISNUMBER($B$5),$B$5&gt;0,ISNUMBER($B$3),$B$3&gt;0),F418/(6*$B$3*1000000*$B$5)*(IF(B418&lt;($B$4*1/10),($B$4*1/10)*(MIN(C418,($B$4*1/10))^3-B418^3)-(MIN(C418,($B$4*1/10))^4-B418^4)/4,0)+IF(C418&gt;($B$4*1/10),($B$4*1/10)^2*(1.5*(C418^2-MAX(B418,($B$4*1/10))^2)-($B$4*1/10)*(C418-MAX(B418,($B$4*1/10)))),0))*1000,0)</f>
        <v>0</v>
      </c>
      <c r="AC418" s="120">
        <f>IF(AND(J418="OK",ISNUMBER($B$5),$B$5&gt;0,ISNUMBER($B$3),$B$3&gt;0),F418/(6*$B$3*1000000*$B$5)*(IF(B418&lt;($B$4*2/10),($B$4*2/10)*(MIN(C418,($B$4*2/10))^3-B418^3)-(MIN(C418,($B$4*2/10))^4-B418^4)/4,0)+IF(C418&gt;($B$4*2/10),($B$4*2/10)^2*(1.5*(C418^2-MAX(B418,($B$4*2/10))^2)-($B$4*2/10)*(C418-MAX(B418,($B$4*2/10)))),0))*1000,0)</f>
        <v>0</v>
      </c>
      <c r="AD418" s="120">
        <f>IF(AND(J418="OK",ISNUMBER($B$5),$B$5&gt;0,ISNUMBER($B$3),$B$3&gt;0),F418/(6*$B$3*1000000*$B$5)*(IF(B418&lt;($B$4*3/10),($B$4*3/10)*(MIN(C418,($B$4*3/10))^3-B418^3)-(MIN(C418,($B$4*3/10))^4-B418^4)/4,0)+IF(C418&gt;($B$4*3/10),($B$4*3/10)^2*(1.5*(C418^2-MAX(B418,($B$4*3/10))^2)-($B$4*3/10)*(C418-MAX(B418,($B$4*3/10)))),0))*1000,0)</f>
        <v>0</v>
      </c>
      <c r="AE418" s="120">
        <f>IF(AND(J418="OK",ISNUMBER($B$5),$B$5&gt;0,ISNUMBER($B$3),$B$3&gt;0),F418/(6*$B$3*1000000*$B$5)*(IF(B418&lt;($B$4*4/10),($B$4*4/10)*(MIN(C418,($B$4*4/10))^3-B418^3)-(MIN(C418,($B$4*4/10))^4-B418^4)/4,0)+IF(C418&gt;($B$4*4/10),($B$4*4/10)^2*(1.5*(C418^2-MAX(B418,($B$4*4/10))^2)-($B$4*4/10)*(C418-MAX(B418,($B$4*4/10)))),0))*1000,0)</f>
        <v>0</v>
      </c>
      <c r="AF418" s="120">
        <f>IF(AND(J418="OK",ISNUMBER($B$5),$B$5&gt;0,ISNUMBER($B$3),$B$3&gt;0),F418/(6*$B$3*1000000*$B$5)*(IF(B418&lt;($B$4*5/10),($B$4*5/10)*(MIN(C418,($B$4*5/10))^3-B418^3)-(MIN(C418,($B$4*5/10))^4-B418^4)/4,0)+IF(C418&gt;($B$4*5/10),($B$4*5/10)^2*(1.5*(C418^2-MAX(B418,($B$4*5/10))^2)-($B$4*5/10)*(C418-MAX(B418,($B$4*5/10)))),0))*1000,0)</f>
        <v>0</v>
      </c>
      <c r="AG418" s="120">
        <f>IF(AND(J418="OK",ISNUMBER($B$5),$B$5&gt;0,ISNUMBER($B$3),$B$3&gt;0),F418/(6*$B$3*1000000*$B$5)*(IF(B418&lt;($B$4*6/10),($B$4*6/10)*(MIN(C418,($B$4*6/10))^3-B418^3)-(MIN(C418,($B$4*6/10))^4-B418^4)/4,0)+IF(C418&gt;($B$4*6/10),($B$4*6/10)^2*(1.5*(C418^2-MAX(B418,($B$4*6/10))^2)-($B$4*6/10)*(C418-MAX(B418,($B$4*6/10)))),0))*1000,0)</f>
        <v>0</v>
      </c>
      <c r="AH418" s="120">
        <f>IF(AND(J418="OK",ISNUMBER($B$5),$B$5&gt;0,ISNUMBER($B$3),$B$3&gt;0),F418/(6*$B$3*1000000*$B$5)*(IF(B418&lt;($B$4*7/10),($B$4*7/10)*(MIN(C418,($B$4*7/10))^3-B418^3)-(MIN(C418,($B$4*7/10))^4-B418^4)/4,0)+IF(C418&gt;($B$4*7/10),($B$4*7/10)^2*(1.5*(C418^2-MAX(B418,($B$4*7/10))^2)-($B$4*7/10)*(C418-MAX(B418,($B$4*7/10)))),0))*1000,0)</f>
        <v>0</v>
      </c>
      <c r="AI418" s="120">
        <f>IF(AND(J418="OK",ISNUMBER($B$5),$B$5&gt;0,ISNUMBER($B$3),$B$3&gt;0),F418/(6*$B$3*1000000*$B$5)*(IF(B418&lt;($B$4*8/10),($B$4*8/10)*(MIN(C418,($B$4*8/10))^3-B418^3)-(MIN(C418,($B$4*8/10))^4-B418^4)/4,0)+IF(C418&gt;($B$4*8/10),($B$4*8/10)^2*(1.5*(C418^2-MAX(B418,($B$4*8/10))^2)-($B$4*8/10)*(C418-MAX(B418,($B$4*8/10)))),0))*1000,0)</f>
        <v>0</v>
      </c>
      <c r="AJ418" s="120">
        <f>IF(AND(J418="OK",ISNUMBER($B$5),$B$5&gt;0,ISNUMBER($B$3),$B$3&gt;0),F418/(6*$B$3*1000000*$B$5)*(IF(B418&lt;($B$4*9/10),($B$4*9/10)*(MIN(C418,($B$4*9/10))^3-B418^3)-(MIN(C418,($B$4*9/10))^4-B418^4)/4,0)+IF(C418&gt;($B$4*9/10),($B$4*9/10)^2*(1.5*(C418^2-MAX(B418,($B$4*9/10))^2)-($B$4*9/10)*(C418-MAX(B418,($B$4*9/10)))),0))*1000,0)</f>
        <v>0</v>
      </c>
      <c r="AK418" s="120">
        <f>IF(AND(J418="OK",ISNUMBER($B$5),$B$5&gt;0,ISNUMBER($B$3),$B$3&gt;0),F418/(6*$B$3*1000000*$B$5)*(IF(B418&lt;($B$4*10/10),($B$4*10/10)*(MIN(C418,($B$4*10/10))^3-B418^3)-(MIN(C418,($B$4*10/10))^4-B418^4)/4,0)+IF(C418&gt;($B$4*10/10),($B$4*10/10)^2*(1.5*(C418^2-MAX(B418,($B$4*10/10))^2)-($B$4*10/10)*(C418-MAX(B418,($B$4*10/10)))),0))*1000,0)</f>
        <v>0</v>
      </c>
      <c r="AM418" s="120">
        <f>IF(AND(V418="OK",ISNUMBER($N$5),$N$5&gt;0,ISNUMBER($N$3),$N$3&gt;0),R418/(6*$N$3*1000000*$N$5)*(IF(N418&lt;($N$4*0/10),($N$4*0/10)*(MIN(O418,($N$4*0/10))^3-N418^3)-(MIN(O418,($N$4*0/10))^4-N418^4)/4,0)+IF(O418&gt;($N$4*0/10),($N$4*0/10)^2*(1.5*(O418^2-MAX(N418,($N$4*0/10))^2)-($N$4*0/10)*(O418-MAX(N418,($N$4*0/10)))),0))*1000,0)</f>
        <v>0</v>
      </c>
      <c r="AN418" s="120">
        <f>IF(AND(V418="OK",ISNUMBER($N$5),$N$5&gt;0,ISNUMBER($N$3),$N$3&gt;0),R418/(6*$N$3*1000000*$N$5)*(IF(N418&lt;($N$4*1/10),($N$4*1/10)*(MIN(O418,($N$4*1/10))^3-N418^3)-(MIN(O418,($N$4*1/10))^4-N418^4)/4,0)+IF(O418&gt;($N$4*1/10),($N$4*1/10)^2*(1.5*(O418^2-MAX(N418,($N$4*1/10))^2)-($N$4*1/10)*(O418-MAX(N418,($N$4*1/10)))),0))*1000,0)</f>
        <v>0</v>
      </c>
      <c r="AO418" s="120">
        <f>IF(AND(V418="OK",ISNUMBER($N$5),$N$5&gt;0,ISNUMBER($N$3),$N$3&gt;0),R418/(6*$N$3*1000000*$N$5)*(IF(N418&lt;($N$4*2/10),($N$4*2/10)*(MIN(O418,($N$4*2/10))^3-N418^3)-(MIN(O418,($N$4*2/10))^4-N418^4)/4,0)+IF(O418&gt;($N$4*2/10),($N$4*2/10)^2*(1.5*(O418^2-MAX(N418,($N$4*2/10))^2)-($N$4*2/10)*(O418-MAX(N418,($N$4*2/10)))),0))*1000,0)</f>
        <v>0</v>
      </c>
      <c r="AP418" s="120">
        <f>IF(AND(V418="OK",ISNUMBER($N$5),$N$5&gt;0,ISNUMBER($N$3),$N$3&gt;0),R418/(6*$N$3*1000000*$N$5)*(IF(N418&lt;($N$4*3/10),($N$4*3/10)*(MIN(O418,($N$4*3/10))^3-N418^3)-(MIN(O418,($N$4*3/10))^4-N418^4)/4,0)+IF(O418&gt;($N$4*3/10),($N$4*3/10)^2*(1.5*(O418^2-MAX(N418,($N$4*3/10))^2)-($N$4*3/10)*(O418-MAX(N418,($N$4*3/10)))),0))*1000,0)</f>
        <v>0</v>
      </c>
      <c r="AQ418" s="120">
        <f>IF(AND(V418="OK",ISNUMBER($N$5),$N$5&gt;0,ISNUMBER($N$3),$N$3&gt;0),R418/(6*$N$3*1000000*$N$5)*(IF(N418&lt;($N$4*4/10),($N$4*4/10)*(MIN(O418,($N$4*4/10))^3-N418^3)-(MIN(O418,($N$4*4/10))^4-N418^4)/4,0)+IF(O418&gt;($N$4*4/10),($N$4*4/10)^2*(1.5*(O418^2-MAX(N418,($N$4*4/10))^2)-($N$4*4/10)*(O418-MAX(N418,($N$4*4/10)))),0))*1000,0)</f>
        <v>0</v>
      </c>
      <c r="AR418" s="120">
        <f>IF(AND(V418="OK",ISNUMBER($N$5),$N$5&gt;0,ISNUMBER($N$3),$N$3&gt;0),R418/(6*$N$3*1000000*$N$5)*(IF(N418&lt;($N$4*5/10),($N$4*5/10)*(MIN(O418,($N$4*5/10))^3-N418^3)-(MIN(O418,($N$4*5/10))^4-N418^4)/4,0)+IF(O418&gt;($N$4*5/10),($N$4*5/10)^2*(1.5*(O418^2-MAX(N418,($N$4*5/10))^2)-($N$4*5/10)*(O418-MAX(N418,($N$4*5/10)))),0))*1000,0)</f>
        <v>0</v>
      </c>
      <c r="AS418" s="120">
        <f>IF(AND(V418="OK",ISNUMBER($N$5),$N$5&gt;0,ISNUMBER($N$3),$N$3&gt;0),R418/(6*$N$3*1000000*$N$5)*(IF(N418&lt;($N$4*6/10),($N$4*6/10)*(MIN(O418,($N$4*6/10))^3-N418^3)-(MIN(O418,($N$4*6/10))^4-N418^4)/4,0)+IF(O418&gt;($N$4*6/10),($N$4*6/10)^2*(1.5*(O418^2-MAX(N418,($N$4*6/10))^2)-($N$4*6/10)*(O418-MAX(N418,($N$4*6/10)))),0))*1000,0)</f>
        <v>0</v>
      </c>
      <c r="AT418" s="120">
        <f>IF(AND(V418="OK",ISNUMBER($N$5),$N$5&gt;0,ISNUMBER($N$3),$N$3&gt;0),R418/(6*$N$3*1000000*$N$5)*(IF(N418&lt;($N$4*7/10),($N$4*7/10)*(MIN(O418,($N$4*7/10))^3-N418^3)-(MIN(O418,($N$4*7/10))^4-N418^4)/4,0)+IF(O418&gt;($N$4*7/10),($N$4*7/10)^2*(1.5*(O418^2-MAX(N418,($N$4*7/10))^2)-($N$4*7/10)*(O418-MAX(N418,($N$4*7/10)))),0))*1000,0)</f>
        <v>0</v>
      </c>
      <c r="AU418" s="120">
        <f>IF(AND(V418="OK",ISNUMBER($N$5),$N$5&gt;0,ISNUMBER($N$3),$N$3&gt;0),R418/(6*$N$3*1000000*$N$5)*(IF(N418&lt;($N$4*8/10),($N$4*8/10)*(MIN(O418,($N$4*8/10))^3-N418^3)-(MIN(O418,($N$4*8/10))^4-N418^4)/4,0)+IF(O418&gt;($N$4*8/10),($N$4*8/10)^2*(1.5*(O418^2-MAX(N418,($N$4*8/10))^2)-($N$4*8/10)*(O418-MAX(N418,($N$4*8/10)))),0))*1000,0)</f>
        <v>0</v>
      </c>
      <c r="AV418" s="120">
        <f>IF(AND(V418="OK",ISNUMBER($N$5),$N$5&gt;0,ISNUMBER($N$3),$N$3&gt;0),R418/(6*$N$3*1000000*$N$5)*(IF(N418&lt;($N$4*9/10),($N$4*9/10)*(MIN(O418,($N$4*9/10))^3-N418^3)-(MIN(O418,($N$4*9/10))^4-N418^4)/4,0)+IF(O418&gt;($N$4*9/10),($N$4*9/10)^2*(1.5*(O418^2-MAX(N418,($N$4*9/10))^2)-($N$4*9/10)*(O418-MAX(N418,($N$4*9/10)))),0))*1000,0)</f>
        <v>0</v>
      </c>
      <c r="AW418" s="120">
        <f>IF(AND(V418="OK",ISNUMBER($N$5),$N$5&gt;0,ISNUMBER($N$3),$N$3&gt;0),R418/(6*$N$3*1000000*$N$5)*(IF(N418&lt;($N$4*10/10),($N$4*10/10)*(MIN(O418,($N$4*10/10))^3-N418^3)-(MIN(O418,($N$4*10/10))^4-N418^4)/4,0)+IF(O418&gt;($N$4*10/10),($N$4*10/10)^2*(1.5*(O418^2-MAX(N418,($N$4*10/10))^2)-($N$4*10/10)*(O418-MAX(N418,($N$4*10/10)))),0))*1000,0)</f>
        <v>0</v>
      </c>
    </row>
    <row r="419" spans="1:49">
      <c r="A419" s="124"/>
      <c r="B419" s="125"/>
      <c r="C419" s="125"/>
      <c r="D419" s="125"/>
      <c r="E419" s="125"/>
      <c r="F419" s="126" t="str">
        <f>IF(J419="OK",D419*E419,"")</f>
        <v/>
      </c>
      <c r="G419" s="126" t="str">
        <f>IF(J419="OK",F419*(C419-B419),"")</f>
        <v/>
      </c>
      <c r="H419" s="126" t="str">
        <f>IF(J419="OK",G419*(C419+B419)/2,"")</f>
        <v/>
      </c>
      <c r="I419" s="126" t="str">
        <f>IF(AND(J419="OK",ISNUMBER($B$5),$B$5&gt;0,ISNUMBER($B$3),$B$3&gt;0),F419*(4*$B$4*(C419^3-B419^3)-(C419^4-B419^4))/(24*$B$3*1000000*$B$5)*1000,"")</f>
        <v/>
      </c>
      <c r="J419" s="120" t="str">
        <f>IF(COUNTA(A419:E419)=0,"",IF(AND(COUNT(B419:E419)=4,B419&gt;=0,C419&gt;B419,C419&lt;=$B$4,D419&gt;=0,E419&gt;0),IF(COUNTIFS($B$13:$B$418,"&lt;"&amp;C419,$C$13:$C$418,"&gt;"&amp;B419)&gt;0,"OVERLAP","OK"),"CHECK INPUTS"))</f>
        <v/>
      </c>
      <c r="M419" s="124"/>
      <c r="N419" s="125"/>
      <c r="O419" s="125"/>
      <c r="P419" s="125"/>
      <c r="Q419" s="125"/>
      <c r="R419" s="126" t="str">
        <f>IF(V419="OK",P419*Q419,"")</f>
        <v/>
      </c>
      <c r="S419" s="126" t="str">
        <f>IF(V419="OK",R419*(O419-N419),"")</f>
        <v/>
      </c>
      <c r="T419" s="126" t="str">
        <f>IF(V419="OK",S419*(O419+N419)/2,"")</f>
        <v/>
      </c>
      <c r="U419" s="126" t="str">
        <f>IF(AND(V419="OK",ISNUMBER($N$5),$N$5&gt;0,ISNUMBER($N$3),$N$3&gt;0),R419*(4*$N$4*(O419^3-N419^3)-(O419^4-N419^4))/(24*$N$3*1000000*$N$5)*1000,"")</f>
        <v/>
      </c>
      <c r="V419" s="120" t="str">
        <f>IF(COUNTA(M419:Q419)=0,"",IF(AND(COUNT(N419:Q419)=4,N419&gt;=0,O419&gt;N419,O419&lt;=$N$4,P419&gt;=0,Q419&gt;0),IF(COUNTIFS($N$13:$N$418,"&lt;"&amp;O419,$O$13:$O$418,"&gt;"&amp;N419)&gt;0,"OVERLAP","OK"),"CHECK INPUTS"))</f>
        <v/>
      </c>
      <c r="AA419" s="120">
        <f>IF(AND(J419="OK",ISNUMBER($B$5),$B$5&gt;0,ISNUMBER($B$3),$B$3&gt;0),F419/(6*$B$3*1000000*$B$5)*(IF(B419&lt;($B$4*0/10),($B$4*0/10)*(MIN(C419,($B$4*0/10))^3-B419^3)-(MIN(C419,($B$4*0/10))^4-B419^4)/4,0)+IF(C419&gt;($B$4*0/10),($B$4*0/10)^2*(1.5*(C419^2-MAX(B419,($B$4*0/10))^2)-($B$4*0/10)*(C419-MAX(B419,($B$4*0/10)))),0))*1000,0)</f>
        <v>0</v>
      </c>
      <c r="AB419" s="120">
        <f>IF(AND(J419="OK",ISNUMBER($B$5),$B$5&gt;0,ISNUMBER($B$3),$B$3&gt;0),F419/(6*$B$3*1000000*$B$5)*(IF(B419&lt;($B$4*1/10),($B$4*1/10)*(MIN(C419,($B$4*1/10))^3-B419^3)-(MIN(C419,($B$4*1/10))^4-B419^4)/4,0)+IF(C419&gt;($B$4*1/10),($B$4*1/10)^2*(1.5*(C419^2-MAX(B419,($B$4*1/10))^2)-($B$4*1/10)*(C419-MAX(B419,($B$4*1/10)))),0))*1000,0)</f>
        <v>0</v>
      </c>
      <c r="AC419" s="120">
        <f>IF(AND(J419="OK",ISNUMBER($B$5),$B$5&gt;0,ISNUMBER($B$3),$B$3&gt;0),F419/(6*$B$3*1000000*$B$5)*(IF(B419&lt;($B$4*2/10),($B$4*2/10)*(MIN(C419,($B$4*2/10))^3-B419^3)-(MIN(C419,($B$4*2/10))^4-B419^4)/4,0)+IF(C419&gt;($B$4*2/10),($B$4*2/10)^2*(1.5*(C419^2-MAX(B419,($B$4*2/10))^2)-($B$4*2/10)*(C419-MAX(B419,($B$4*2/10)))),0))*1000,0)</f>
        <v>0</v>
      </c>
      <c r="AD419" s="120">
        <f>IF(AND(J419="OK",ISNUMBER($B$5),$B$5&gt;0,ISNUMBER($B$3),$B$3&gt;0),F419/(6*$B$3*1000000*$B$5)*(IF(B419&lt;($B$4*3/10),($B$4*3/10)*(MIN(C419,($B$4*3/10))^3-B419^3)-(MIN(C419,($B$4*3/10))^4-B419^4)/4,0)+IF(C419&gt;($B$4*3/10),($B$4*3/10)^2*(1.5*(C419^2-MAX(B419,($B$4*3/10))^2)-($B$4*3/10)*(C419-MAX(B419,($B$4*3/10)))),0))*1000,0)</f>
        <v>0</v>
      </c>
      <c r="AE419" s="120">
        <f>IF(AND(J419="OK",ISNUMBER($B$5),$B$5&gt;0,ISNUMBER($B$3),$B$3&gt;0),F419/(6*$B$3*1000000*$B$5)*(IF(B419&lt;($B$4*4/10),($B$4*4/10)*(MIN(C419,($B$4*4/10))^3-B419^3)-(MIN(C419,($B$4*4/10))^4-B419^4)/4,0)+IF(C419&gt;($B$4*4/10),($B$4*4/10)^2*(1.5*(C419^2-MAX(B419,($B$4*4/10))^2)-($B$4*4/10)*(C419-MAX(B419,($B$4*4/10)))),0))*1000,0)</f>
        <v>0</v>
      </c>
      <c r="AF419" s="120">
        <f>IF(AND(J419="OK",ISNUMBER($B$5),$B$5&gt;0,ISNUMBER($B$3),$B$3&gt;0),F419/(6*$B$3*1000000*$B$5)*(IF(B419&lt;($B$4*5/10),($B$4*5/10)*(MIN(C419,($B$4*5/10))^3-B419^3)-(MIN(C419,($B$4*5/10))^4-B419^4)/4,0)+IF(C419&gt;($B$4*5/10),($B$4*5/10)^2*(1.5*(C419^2-MAX(B419,($B$4*5/10))^2)-($B$4*5/10)*(C419-MAX(B419,($B$4*5/10)))),0))*1000,0)</f>
        <v>0</v>
      </c>
      <c r="AG419" s="120">
        <f>IF(AND(J419="OK",ISNUMBER($B$5),$B$5&gt;0,ISNUMBER($B$3),$B$3&gt;0),F419/(6*$B$3*1000000*$B$5)*(IF(B419&lt;($B$4*6/10),($B$4*6/10)*(MIN(C419,($B$4*6/10))^3-B419^3)-(MIN(C419,($B$4*6/10))^4-B419^4)/4,0)+IF(C419&gt;($B$4*6/10),($B$4*6/10)^2*(1.5*(C419^2-MAX(B419,($B$4*6/10))^2)-($B$4*6/10)*(C419-MAX(B419,($B$4*6/10)))),0))*1000,0)</f>
        <v>0</v>
      </c>
      <c r="AH419" s="120">
        <f>IF(AND(J419="OK",ISNUMBER($B$5),$B$5&gt;0,ISNUMBER($B$3),$B$3&gt;0),F419/(6*$B$3*1000000*$B$5)*(IF(B419&lt;($B$4*7/10),($B$4*7/10)*(MIN(C419,($B$4*7/10))^3-B419^3)-(MIN(C419,($B$4*7/10))^4-B419^4)/4,0)+IF(C419&gt;($B$4*7/10),($B$4*7/10)^2*(1.5*(C419^2-MAX(B419,($B$4*7/10))^2)-($B$4*7/10)*(C419-MAX(B419,($B$4*7/10)))),0))*1000,0)</f>
        <v>0</v>
      </c>
      <c r="AI419" s="120">
        <f>IF(AND(J419="OK",ISNUMBER($B$5),$B$5&gt;0,ISNUMBER($B$3),$B$3&gt;0),F419/(6*$B$3*1000000*$B$5)*(IF(B419&lt;($B$4*8/10),($B$4*8/10)*(MIN(C419,($B$4*8/10))^3-B419^3)-(MIN(C419,($B$4*8/10))^4-B419^4)/4,0)+IF(C419&gt;($B$4*8/10),($B$4*8/10)^2*(1.5*(C419^2-MAX(B419,($B$4*8/10))^2)-($B$4*8/10)*(C419-MAX(B419,($B$4*8/10)))),0))*1000,0)</f>
        <v>0</v>
      </c>
      <c r="AJ419" s="120">
        <f>IF(AND(J419="OK",ISNUMBER($B$5),$B$5&gt;0,ISNUMBER($B$3),$B$3&gt;0),F419/(6*$B$3*1000000*$B$5)*(IF(B419&lt;($B$4*9/10),($B$4*9/10)*(MIN(C419,($B$4*9/10))^3-B419^3)-(MIN(C419,($B$4*9/10))^4-B419^4)/4,0)+IF(C419&gt;($B$4*9/10),($B$4*9/10)^2*(1.5*(C419^2-MAX(B419,($B$4*9/10))^2)-($B$4*9/10)*(C419-MAX(B419,($B$4*9/10)))),0))*1000,0)</f>
        <v>0</v>
      </c>
      <c r="AK419" s="120">
        <f>IF(AND(J419="OK",ISNUMBER($B$5),$B$5&gt;0,ISNUMBER($B$3),$B$3&gt;0),F419/(6*$B$3*1000000*$B$5)*(IF(B419&lt;($B$4*10/10),($B$4*10/10)*(MIN(C419,($B$4*10/10))^3-B419^3)-(MIN(C419,($B$4*10/10))^4-B419^4)/4,0)+IF(C419&gt;($B$4*10/10),($B$4*10/10)^2*(1.5*(C419^2-MAX(B419,($B$4*10/10))^2)-($B$4*10/10)*(C419-MAX(B419,($B$4*10/10)))),0))*1000,0)</f>
        <v>0</v>
      </c>
      <c r="AM419" s="120">
        <f>IF(AND(V419="OK",ISNUMBER($N$5),$N$5&gt;0,ISNUMBER($N$3),$N$3&gt;0),R419/(6*$N$3*1000000*$N$5)*(IF(N419&lt;($N$4*0/10),($N$4*0/10)*(MIN(O419,($N$4*0/10))^3-N419^3)-(MIN(O419,($N$4*0/10))^4-N419^4)/4,0)+IF(O419&gt;($N$4*0/10),($N$4*0/10)^2*(1.5*(O419^2-MAX(N419,($N$4*0/10))^2)-($N$4*0/10)*(O419-MAX(N419,($N$4*0/10)))),0))*1000,0)</f>
        <v>0</v>
      </c>
      <c r="AN419" s="120">
        <f>IF(AND(V419="OK",ISNUMBER($N$5),$N$5&gt;0,ISNUMBER($N$3),$N$3&gt;0),R419/(6*$N$3*1000000*$N$5)*(IF(N419&lt;($N$4*1/10),($N$4*1/10)*(MIN(O419,($N$4*1/10))^3-N419^3)-(MIN(O419,($N$4*1/10))^4-N419^4)/4,0)+IF(O419&gt;($N$4*1/10),($N$4*1/10)^2*(1.5*(O419^2-MAX(N419,($N$4*1/10))^2)-($N$4*1/10)*(O419-MAX(N419,($N$4*1/10)))),0))*1000,0)</f>
        <v>0</v>
      </c>
      <c r="AO419" s="120">
        <f>IF(AND(V419="OK",ISNUMBER($N$5),$N$5&gt;0,ISNUMBER($N$3),$N$3&gt;0),R419/(6*$N$3*1000000*$N$5)*(IF(N419&lt;($N$4*2/10),($N$4*2/10)*(MIN(O419,($N$4*2/10))^3-N419^3)-(MIN(O419,($N$4*2/10))^4-N419^4)/4,0)+IF(O419&gt;($N$4*2/10),($N$4*2/10)^2*(1.5*(O419^2-MAX(N419,($N$4*2/10))^2)-($N$4*2/10)*(O419-MAX(N419,($N$4*2/10)))),0))*1000,0)</f>
        <v>0</v>
      </c>
      <c r="AP419" s="120">
        <f>IF(AND(V419="OK",ISNUMBER($N$5),$N$5&gt;0,ISNUMBER($N$3),$N$3&gt;0),R419/(6*$N$3*1000000*$N$5)*(IF(N419&lt;($N$4*3/10),($N$4*3/10)*(MIN(O419,($N$4*3/10))^3-N419^3)-(MIN(O419,($N$4*3/10))^4-N419^4)/4,0)+IF(O419&gt;($N$4*3/10),($N$4*3/10)^2*(1.5*(O419^2-MAX(N419,($N$4*3/10))^2)-($N$4*3/10)*(O419-MAX(N419,($N$4*3/10)))),0))*1000,0)</f>
        <v>0</v>
      </c>
      <c r="AQ419" s="120">
        <f>IF(AND(V419="OK",ISNUMBER($N$5),$N$5&gt;0,ISNUMBER($N$3),$N$3&gt;0),R419/(6*$N$3*1000000*$N$5)*(IF(N419&lt;($N$4*4/10),($N$4*4/10)*(MIN(O419,($N$4*4/10))^3-N419^3)-(MIN(O419,($N$4*4/10))^4-N419^4)/4,0)+IF(O419&gt;($N$4*4/10),($N$4*4/10)^2*(1.5*(O419^2-MAX(N419,($N$4*4/10))^2)-($N$4*4/10)*(O419-MAX(N419,($N$4*4/10)))),0))*1000,0)</f>
        <v>0</v>
      </c>
      <c r="AR419" s="120">
        <f>IF(AND(V419="OK",ISNUMBER($N$5),$N$5&gt;0,ISNUMBER($N$3),$N$3&gt;0),R419/(6*$N$3*1000000*$N$5)*(IF(N419&lt;($N$4*5/10),($N$4*5/10)*(MIN(O419,($N$4*5/10))^3-N419^3)-(MIN(O419,($N$4*5/10))^4-N419^4)/4,0)+IF(O419&gt;($N$4*5/10),($N$4*5/10)^2*(1.5*(O419^2-MAX(N419,($N$4*5/10))^2)-($N$4*5/10)*(O419-MAX(N419,($N$4*5/10)))),0))*1000,0)</f>
        <v>0</v>
      </c>
      <c r="AS419" s="120">
        <f>IF(AND(V419="OK",ISNUMBER($N$5),$N$5&gt;0,ISNUMBER($N$3),$N$3&gt;0),R419/(6*$N$3*1000000*$N$5)*(IF(N419&lt;($N$4*6/10),($N$4*6/10)*(MIN(O419,($N$4*6/10))^3-N419^3)-(MIN(O419,($N$4*6/10))^4-N419^4)/4,0)+IF(O419&gt;($N$4*6/10),($N$4*6/10)^2*(1.5*(O419^2-MAX(N419,($N$4*6/10))^2)-($N$4*6/10)*(O419-MAX(N419,($N$4*6/10)))),0))*1000,0)</f>
        <v>0</v>
      </c>
      <c r="AT419" s="120">
        <f>IF(AND(V419="OK",ISNUMBER($N$5),$N$5&gt;0,ISNUMBER($N$3),$N$3&gt;0),R419/(6*$N$3*1000000*$N$5)*(IF(N419&lt;($N$4*7/10),($N$4*7/10)*(MIN(O419,($N$4*7/10))^3-N419^3)-(MIN(O419,($N$4*7/10))^4-N419^4)/4,0)+IF(O419&gt;($N$4*7/10),($N$4*7/10)^2*(1.5*(O419^2-MAX(N419,($N$4*7/10))^2)-($N$4*7/10)*(O419-MAX(N419,($N$4*7/10)))),0))*1000,0)</f>
        <v>0</v>
      </c>
      <c r="AU419" s="120">
        <f>IF(AND(V419="OK",ISNUMBER($N$5),$N$5&gt;0,ISNUMBER($N$3),$N$3&gt;0),R419/(6*$N$3*1000000*$N$5)*(IF(N419&lt;($N$4*8/10),($N$4*8/10)*(MIN(O419,($N$4*8/10))^3-N419^3)-(MIN(O419,($N$4*8/10))^4-N419^4)/4,0)+IF(O419&gt;($N$4*8/10),($N$4*8/10)^2*(1.5*(O419^2-MAX(N419,($N$4*8/10))^2)-($N$4*8/10)*(O419-MAX(N419,($N$4*8/10)))),0))*1000,0)</f>
        <v>0</v>
      </c>
      <c r="AV419" s="120">
        <f>IF(AND(V419="OK",ISNUMBER($N$5),$N$5&gt;0,ISNUMBER($N$3),$N$3&gt;0),R419/(6*$N$3*1000000*$N$5)*(IF(N419&lt;($N$4*9/10),($N$4*9/10)*(MIN(O419,($N$4*9/10))^3-N419^3)-(MIN(O419,($N$4*9/10))^4-N419^4)/4,0)+IF(O419&gt;($N$4*9/10),($N$4*9/10)^2*(1.5*(O419^2-MAX(N419,($N$4*9/10))^2)-($N$4*9/10)*(O419-MAX(N419,($N$4*9/10)))),0))*1000,0)</f>
        <v>0</v>
      </c>
      <c r="AW419" s="120">
        <f>IF(AND(V419="OK",ISNUMBER($N$5),$N$5&gt;0,ISNUMBER($N$3),$N$3&gt;0),R419/(6*$N$3*1000000*$N$5)*(IF(N419&lt;($N$4*10/10),($N$4*10/10)*(MIN(O419,($N$4*10/10))^3-N419^3)-(MIN(O419,($N$4*10/10))^4-N419^4)/4,0)+IF(O419&gt;($N$4*10/10),($N$4*10/10)^2*(1.5*(O419^2-MAX(N419,($N$4*10/10))^2)-($N$4*10/10)*(O419-MAX(N419,($N$4*10/10)))),0))*1000,0)</f>
        <v>0</v>
      </c>
    </row>
    <row r="420" spans="1:49">
      <c r="A420" s="124"/>
      <c r="B420" s="125"/>
      <c r="C420" s="125"/>
      <c r="D420" s="125"/>
      <c r="E420" s="125"/>
      <c r="F420" s="126" t="str">
        <f>IF(J420="OK",D420*E420,"")</f>
        <v/>
      </c>
      <c r="G420" s="126" t="str">
        <f>IF(J420="OK",F420*(C420-B420),"")</f>
        <v/>
      </c>
      <c r="H420" s="126" t="str">
        <f>IF(J420="OK",G420*(C420+B420)/2,"")</f>
        <v/>
      </c>
      <c r="I420" s="126" t="str">
        <f>IF(AND(J420="OK",ISNUMBER($B$5),$B$5&gt;0,ISNUMBER($B$3),$B$3&gt;0),F420*(4*$B$4*(C420^3-B420^3)-(C420^4-B420^4))/(24*$B$3*1000000*$B$5)*1000,"")</f>
        <v/>
      </c>
      <c r="J420" s="120" t="str">
        <f>IF(COUNTA(A420:E420)=0,"",IF(AND(COUNT(B420:E420)=4,B420&gt;=0,C420&gt;B420,C420&lt;=$B$4,D420&gt;=0,E420&gt;0),IF(COUNTIFS($B$13:$B$419,"&lt;"&amp;C420,$C$13:$C$419,"&gt;"&amp;B420)&gt;0,"OVERLAP","OK"),"CHECK INPUTS"))</f>
        <v/>
      </c>
      <c r="M420" s="124"/>
      <c r="N420" s="125"/>
      <c r="O420" s="125"/>
      <c r="P420" s="125"/>
      <c r="Q420" s="125"/>
      <c r="R420" s="126" t="str">
        <f>IF(V420="OK",P420*Q420,"")</f>
        <v/>
      </c>
      <c r="S420" s="126" t="str">
        <f>IF(V420="OK",R420*(O420-N420),"")</f>
        <v/>
      </c>
      <c r="T420" s="126" t="str">
        <f>IF(V420="OK",S420*(O420+N420)/2,"")</f>
        <v/>
      </c>
      <c r="U420" s="126" t="str">
        <f>IF(AND(V420="OK",ISNUMBER($N$5),$N$5&gt;0,ISNUMBER($N$3),$N$3&gt;0),R420*(4*$N$4*(O420^3-N420^3)-(O420^4-N420^4))/(24*$N$3*1000000*$N$5)*1000,"")</f>
        <v/>
      </c>
      <c r="V420" s="120" t="str">
        <f>IF(COUNTA(M420:Q420)=0,"",IF(AND(COUNT(N420:Q420)=4,N420&gt;=0,O420&gt;N420,O420&lt;=$N$4,P420&gt;=0,Q420&gt;0),IF(COUNTIFS($N$13:$N$419,"&lt;"&amp;O420,$O$13:$O$419,"&gt;"&amp;N420)&gt;0,"OVERLAP","OK"),"CHECK INPUTS"))</f>
        <v/>
      </c>
      <c r="AA420" s="120">
        <f>IF(AND(J420="OK",ISNUMBER($B$5),$B$5&gt;0,ISNUMBER($B$3),$B$3&gt;0),F420/(6*$B$3*1000000*$B$5)*(IF(B420&lt;($B$4*0/10),($B$4*0/10)*(MIN(C420,($B$4*0/10))^3-B420^3)-(MIN(C420,($B$4*0/10))^4-B420^4)/4,0)+IF(C420&gt;($B$4*0/10),($B$4*0/10)^2*(1.5*(C420^2-MAX(B420,($B$4*0/10))^2)-($B$4*0/10)*(C420-MAX(B420,($B$4*0/10)))),0))*1000,0)</f>
        <v>0</v>
      </c>
      <c r="AB420" s="120">
        <f>IF(AND(J420="OK",ISNUMBER($B$5),$B$5&gt;0,ISNUMBER($B$3),$B$3&gt;0),F420/(6*$B$3*1000000*$B$5)*(IF(B420&lt;($B$4*1/10),($B$4*1/10)*(MIN(C420,($B$4*1/10))^3-B420^3)-(MIN(C420,($B$4*1/10))^4-B420^4)/4,0)+IF(C420&gt;($B$4*1/10),($B$4*1/10)^2*(1.5*(C420^2-MAX(B420,($B$4*1/10))^2)-($B$4*1/10)*(C420-MAX(B420,($B$4*1/10)))),0))*1000,0)</f>
        <v>0</v>
      </c>
      <c r="AC420" s="120">
        <f>IF(AND(J420="OK",ISNUMBER($B$5),$B$5&gt;0,ISNUMBER($B$3),$B$3&gt;0),F420/(6*$B$3*1000000*$B$5)*(IF(B420&lt;($B$4*2/10),($B$4*2/10)*(MIN(C420,($B$4*2/10))^3-B420^3)-(MIN(C420,($B$4*2/10))^4-B420^4)/4,0)+IF(C420&gt;($B$4*2/10),($B$4*2/10)^2*(1.5*(C420^2-MAX(B420,($B$4*2/10))^2)-($B$4*2/10)*(C420-MAX(B420,($B$4*2/10)))),0))*1000,0)</f>
        <v>0</v>
      </c>
      <c r="AD420" s="120">
        <f>IF(AND(J420="OK",ISNUMBER($B$5),$B$5&gt;0,ISNUMBER($B$3),$B$3&gt;0),F420/(6*$B$3*1000000*$B$5)*(IF(B420&lt;($B$4*3/10),($B$4*3/10)*(MIN(C420,($B$4*3/10))^3-B420^3)-(MIN(C420,($B$4*3/10))^4-B420^4)/4,0)+IF(C420&gt;($B$4*3/10),($B$4*3/10)^2*(1.5*(C420^2-MAX(B420,($B$4*3/10))^2)-($B$4*3/10)*(C420-MAX(B420,($B$4*3/10)))),0))*1000,0)</f>
        <v>0</v>
      </c>
      <c r="AE420" s="120">
        <f>IF(AND(J420="OK",ISNUMBER($B$5),$B$5&gt;0,ISNUMBER($B$3),$B$3&gt;0),F420/(6*$B$3*1000000*$B$5)*(IF(B420&lt;($B$4*4/10),($B$4*4/10)*(MIN(C420,($B$4*4/10))^3-B420^3)-(MIN(C420,($B$4*4/10))^4-B420^4)/4,0)+IF(C420&gt;($B$4*4/10),($B$4*4/10)^2*(1.5*(C420^2-MAX(B420,($B$4*4/10))^2)-($B$4*4/10)*(C420-MAX(B420,($B$4*4/10)))),0))*1000,0)</f>
        <v>0</v>
      </c>
      <c r="AF420" s="120">
        <f>IF(AND(J420="OK",ISNUMBER($B$5),$B$5&gt;0,ISNUMBER($B$3),$B$3&gt;0),F420/(6*$B$3*1000000*$B$5)*(IF(B420&lt;($B$4*5/10),($B$4*5/10)*(MIN(C420,($B$4*5/10))^3-B420^3)-(MIN(C420,($B$4*5/10))^4-B420^4)/4,0)+IF(C420&gt;($B$4*5/10),($B$4*5/10)^2*(1.5*(C420^2-MAX(B420,($B$4*5/10))^2)-($B$4*5/10)*(C420-MAX(B420,($B$4*5/10)))),0))*1000,0)</f>
        <v>0</v>
      </c>
      <c r="AG420" s="120">
        <f>IF(AND(J420="OK",ISNUMBER($B$5),$B$5&gt;0,ISNUMBER($B$3),$B$3&gt;0),F420/(6*$B$3*1000000*$B$5)*(IF(B420&lt;($B$4*6/10),($B$4*6/10)*(MIN(C420,($B$4*6/10))^3-B420^3)-(MIN(C420,($B$4*6/10))^4-B420^4)/4,0)+IF(C420&gt;($B$4*6/10),($B$4*6/10)^2*(1.5*(C420^2-MAX(B420,($B$4*6/10))^2)-($B$4*6/10)*(C420-MAX(B420,($B$4*6/10)))),0))*1000,0)</f>
        <v>0</v>
      </c>
      <c r="AH420" s="120">
        <f>IF(AND(J420="OK",ISNUMBER($B$5),$B$5&gt;0,ISNUMBER($B$3),$B$3&gt;0),F420/(6*$B$3*1000000*$B$5)*(IF(B420&lt;($B$4*7/10),($B$4*7/10)*(MIN(C420,($B$4*7/10))^3-B420^3)-(MIN(C420,($B$4*7/10))^4-B420^4)/4,0)+IF(C420&gt;($B$4*7/10),($B$4*7/10)^2*(1.5*(C420^2-MAX(B420,($B$4*7/10))^2)-($B$4*7/10)*(C420-MAX(B420,($B$4*7/10)))),0))*1000,0)</f>
        <v>0</v>
      </c>
      <c r="AI420" s="120">
        <f>IF(AND(J420="OK",ISNUMBER($B$5),$B$5&gt;0,ISNUMBER($B$3),$B$3&gt;0),F420/(6*$B$3*1000000*$B$5)*(IF(B420&lt;($B$4*8/10),($B$4*8/10)*(MIN(C420,($B$4*8/10))^3-B420^3)-(MIN(C420,($B$4*8/10))^4-B420^4)/4,0)+IF(C420&gt;($B$4*8/10),($B$4*8/10)^2*(1.5*(C420^2-MAX(B420,($B$4*8/10))^2)-($B$4*8/10)*(C420-MAX(B420,($B$4*8/10)))),0))*1000,0)</f>
        <v>0</v>
      </c>
      <c r="AJ420" s="120">
        <f>IF(AND(J420="OK",ISNUMBER($B$5),$B$5&gt;0,ISNUMBER($B$3),$B$3&gt;0),F420/(6*$B$3*1000000*$B$5)*(IF(B420&lt;($B$4*9/10),($B$4*9/10)*(MIN(C420,($B$4*9/10))^3-B420^3)-(MIN(C420,($B$4*9/10))^4-B420^4)/4,0)+IF(C420&gt;($B$4*9/10),($B$4*9/10)^2*(1.5*(C420^2-MAX(B420,($B$4*9/10))^2)-($B$4*9/10)*(C420-MAX(B420,($B$4*9/10)))),0))*1000,0)</f>
        <v>0</v>
      </c>
      <c r="AK420" s="120">
        <f>IF(AND(J420="OK",ISNUMBER($B$5),$B$5&gt;0,ISNUMBER($B$3),$B$3&gt;0),F420/(6*$B$3*1000000*$B$5)*(IF(B420&lt;($B$4*10/10),($B$4*10/10)*(MIN(C420,($B$4*10/10))^3-B420^3)-(MIN(C420,($B$4*10/10))^4-B420^4)/4,0)+IF(C420&gt;($B$4*10/10),($B$4*10/10)^2*(1.5*(C420^2-MAX(B420,($B$4*10/10))^2)-($B$4*10/10)*(C420-MAX(B420,($B$4*10/10)))),0))*1000,0)</f>
        <v>0</v>
      </c>
      <c r="AM420" s="120">
        <f>IF(AND(V420="OK",ISNUMBER($N$5),$N$5&gt;0,ISNUMBER($N$3),$N$3&gt;0),R420/(6*$N$3*1000000*$N$5)*(IF(N420&lt;($N$4*0/10),($N$4*0/10)*(MIN(O420,($N$4*0/10))^3-N420^3)-(MIN(O420,($N$4*0/10))^4-N420^4)/4,0)+IF(O420&gt;($N$4*0/10),($N$4*0/10)^2*(1.5*(O420^2-MAX(N420,($N$4*0/10))^2)-($N$4*0/10)*(O420-MAX(N420,($N$4*0/10)))),0))*1000,0)</f>
        <v>0</v>
      </c>
      <c r="AN420" s="120">
        <f>IF(AND(V420="OK",ISNUMBER($N$5),$N$5&gt;0,ISNUMBER($N$3),$N$3&gt;0),R420/(6*$N$3*1000000*$N$5)*(IF(N420&lt;($N$4*1/10),($N$4*1/10)*(MIN(O420,($N$4*1/10))^3-N420^3)-(MIN(O420,($N$4*1/10))^4-N420^4)/4,0)+IF(O420&gt;($N$4*1/10),($N$4*1/10)^2*(1.5*(O420^2-MAX(N420,($N$4*1/10))^2)-($N$4*1/10)*(O420-MAX(N420,($N$4*1/10)))),0))*1000,0)</f>
        <v>0</v>
      </c>
      <c r="AO420" s="120">
        <f>IF(AND(V420="OK",ISNUMBER($N$5),$N$5&gt;0,ISNUMBER($N$3),$N$3&gt;0),R420/(6*$N$3*1000000*$N$5)*(IF(N420&lt;($N$4*2/10),($N$4*2/10)*(MIN(O420,($N$4*2/10))^3-N420^3)-(MIN(O420,($N$4*2/10))^4-N420^4)/4,0)+IF(O420&gt;($N$4*2/10),($N$4*2/10)^2*(1.5*(O420^2-MAX(N420,($N$4*2/10))^2)-($N$4*2/10)*(O420-MAX(N420,($N$4*2/10)))),0))*1000,0)</f>
        <v>0</v>
      </c>
      <c r="AP420" s="120">
        <f>IF(AND(V420="OK",ISNUMBER($N$5),$N$5&gt;0,ISNUMBER($N$3),$N$3&gt;0),R420/(6*$N$3*1000000*$N$5)*(IF(N420&lt;($N$4*3/10),($N$4*3/10)*(MIN(O420,($N$4*3/10))^3-N420^3)-(MIN(O420,($N$4*3/10))^4-N420^4)/4,0)+IF(O420&gt;($N$4*3/10),($N$4*3/10)^2*(1.5*(O420^2-MAX(N420,($N$4*3/10))^2)-($N$4*3/10)*(O420-MAX(N420,($N$4*3/10)))),0))*1000,0)</f>
        <v>0</v>
      </c>
      <c r="AQ420" s="120">
        <f>IF(AND(V420="OK",ISNUMBER($N$5),$N$5&gt;0,ISNUMBER($N$3),$N$3&gt;0),R420/(6*$N$3*1000000*$N$5)*(IF(N420&lt;($N$4*4/10),($N$4*4/10)*(MIN(O420,($N$4*4/10))^3-N420^3)-(MIN(O420,($N$4*4/10))^4-N420^4)/4,0)+IF(O420&gt;($N$4*4/10),($N$4*4/10)^2*(1.5*(O420^2-MAX(N420,($N$4*4/10))^2)-($N$4*4/10)*(O420-MAX(N420,($N$4*4/10)))),0))*1000,0)</f>
        <v>0</v>
      </c>
      <c r="AR420" s="120">
        <f>IF(AND(V420="OK",ISNUMBER($N$5),$N$5&gt;0,ISNUMBER($N$3),$N$3&gt;0),R420/(6*$N$3*1000000*$N$5)*(IF(N420&lt;($N$4*5/10),($N$4*5/10)*(MIN(O420,($N$4*5/10))^3-N420^3)-(MIN(O420,($N$4*5/10))^4-N420^4)/4,0)+IF(O420&gt;($N$4*5/10),($N$4*5/10)^2*(1.5*(O420^2-MAX(N420,($N$4*5/10))^2)-($N$4*5/10)*(O420-MAX(N420,($N$4*5/10)))),0))*1000,0)</f>
        <v>0</v>
      </c>
      <c r="AS420" s="120">
        <f>IF(AND(V420="OK",ISNUMBER($N$5),$N$5&gt;0,ISNUMBER($N$3),$N$3&gt;0),R420/(6*$N$3*1000000*$N$5)*(IF(N420&lt;($N$4*6/10),($N$4*6/10)*(MIN(O420,($N$4*6/10))^3-N420^3)-(MIN(O420,($N$4*6/10))^4-N420^4)/4,0)+IF(O420&gt;($N$4*6/10),($N$4*6/10)^2*(1.5*(O420^2-MAX(N420,($N$4*6/10))^2)-($N$4*6/10)*(O420-MAX(N420,($N$4*6/10)))),0))*1000,0)</f>
        <v>0</v>
      </c>
      <c r="AT420" s="120">
        <f>IF(AND(V420="OK",ISNUMBER($N$5),$N$5&gt;0,ISNUMBER($N$3),$N$3&gt;0),R420/(6*$N$3*1000000*$N$5)*(IF(N420&lt;($N$4*7/10),($N$4*7/10)*(MIN(O420,($N$4*7/10))^3-N420^3)-(MIN(O420,($N$4*7/10))^4-N420^4)/4,0)+IF(O420&gt;($N$4*7/10),($N$4*7/10)^2*(1.5*(O420^2-MAX(N420,($N$4*7/10))^2)-($N$4*7/10)*(O420-MAX(N420,($N$4*7/10)))),0))*1000,0)</f>
        <v>0</v>
      </c>
      <c r="AU420" s="120">
        <f>IF(AND(V420="OK",ISNUMBER($N$5),$N$5&gt;0,ISNUMBER($N$3),$N$3&gt;0),R420/(6*$N$3*1000000*$N$5)*(IF(N420&lt;($N$4*8/10),($N$4*8/10)*(MIN(O420,($N$4*8/10))^3-N420^3)-(MIN(O420,($N$4*8/10))^4-N420^4)/4,0)+IF(O420&gt;($N$4*8/10),($N$4*8/10)^2*(1.5*(O420^2-MAX(N420,($N$4*8/10))^2)-($N$4*8/10)*(O420-MAX(N420,($N$4*8/10)))),0))*1000,0)</f>
        <v>0</v>
      </c>
      <c r="AV420" s="120">
        <f>IF(AND(V420="OK",ISNUMBER($N$5),$N$5&gt;0,ISNUMBER($N$3),$N$3&gt;0),R420/(6*$N$3*1000000*$N$5)*(IF(N420&lt;($N$4*9/10),($N$4*9/10)*(MIN(O420,($N$4*9/10))^3-N420^3)-(MIN(O420,($N$4*9/10))^4-N420^4)/4,0)+IF(O420&gt;($N$4*9/10),($N$4*9/10)^2*(1.5*(O420^2-MAX(N420,($N$4*9/10))^2)-($N$4*9/10)*(O420-MAX(N420,($N$4*9/10)))),0))*1000,0)</f>
        <v>0</v>
      </c>
      <c r="AW420" s="120">
        <f>IF(AND(V420="OK",ISNUMBER($N$5),$N$5&gt;0,ISNUMBER($N$3),$N$3&gt;0),R420/(6*$N$3*1000000*$N$5)*(IF(N420&lt;($N$4*10/10),($N$4*10/10)*(MIN(O420,($N$4*10/10))^3-N420^3)-(MIN(O420,($N$4*10/10))^4-N420^4)/4,0)+IF(O420&gt;($N$4*10/10),($N$4*10/10)^2*(1.5*(O420^2-MAX(N420,($N$4*10/10))^2)-($N$4*10/10)*(O420-MAX(N420,($N$4*10/10)))),0))*1000,0)</f>
        <v>0</v>
      </c>
    </row>
    <row r="421" spans="1:49">
      <c r="A421" s="124"/>
      <c r="B421" s="125"/>
      <c r="C421" s="125"/>
      <c r="D421" s="125"/>
      <c r="E421" s="125"/>
      <c r="F421" s="126" t="str">
        <f>IF(J421="OK",D421*E421,"")</f>
        <v/>
      </c>
      <c r="G421" s="126" t="str">
        <f>IF(J421="OK",F421*(C421-B421),"")</f>
        <v/>
      </c>
      <c r="H421" s="126" t="str">
        <f>IF(J421="OK",G421*(C421+B421)/2,"")</f>
        <v/>
      </c>
      <c r="I421" s="126" t="str">
        <f>IF(AND(J421="OK",ISNUMBER($B$5),$B$5&gt;0,ISNUMBER($B$3),$B$3&gt;0),F421*(4*$B$4*(C421^3-B421^3)-(C421^4-B421^4))/(24*$B$3*1000000*$B$5)*1000,"")</f>
        <v/>
      </c>
      <c r="J421" s="120" t="str">
        <f>IF(COUNTA(A421:E421)=0,"",IF(AND(COUNT(B421:E421)=4,B421&gt;=0,C421&gt;B421,C421&lt;=$B$4,D421&gt;=0,E421&gt;0),IF(COUNTIFS($B$13:$B$420,"&lt;"&amp;C421,$C$13:$C$420,"&gt;"&amp;B421)&gt;0,"OVERLAP","OK"),"CHECK INPUTS"))</f>
        <v/>
      </c>
      <c r="M421" s="124"/>
      <c r="N421" s="125"/>
      <c r="O421" s="125"/>
      <c r="P421" s="125"/>
      <c r="Q421" s="125"/>
      <c r="R421" s="126" t="str">
        <f>IF(V421="OK",P421*Q421,"")</f>
        <v/>
      </c>
      <c r="S421" s="126" t="str">
        <f>IF(V421="OK",R421*(O421-N421),"")</f>
        <v/>
      </c>
      <c r="T421" s="126" t="str">
        <f>IF(V421="OK",S421*(O421+N421)/2,"")</f>
        <v/>
      </c>
      <c r="U421" s="126" t="str">
        <f>IF(AND(V421="OK",ISNUMBER($N$5),$N$5&gt;0,ISNUMBER($N$3),$N$3&gt;0),R421*(4*$N$4*(O421^3-N421^3)-(O421^4-N421^4))/(24*$N$3*1000000*$N$5)*1000,"")</f>
        <v/>
      </c>
      <c r="V421" s="120" t="str">
        <f>IF(COUNTA(M421:Q421)=0,"",IF(AND(COUNT(N421:Q421)=4,N421&gt;=0,O421&gt;N421,O421&lt;=$N$4,P421&gt;=0,Q421&gt;0),IF(COUNTIFS($N$13:$N$420,"&lt;"&amp;O421,$O$13:$O$420,"&gt;"&amp;N421)&gt;0,"OVERLAP","OK"),"CHECK INPUTS"))</f>
        <v/>
      </c>
      <c r="AA421" s="120">
        <f>IF(AND(J421="OK",ISNUMBER($B$5),$B$5&gt;0,ISNUMBER($B$3),$B$3&gt;0),F421/(6*$B$3*1000000*$B$5)*(IF(B421&lt;($B$4*0/10),($B$4*0/10)*(MIN(C421,($B$4*0/10))^3-B421^3)-(MIN(C421,($B$4*0/10))^4-B421^4)/4,0)+IF(C421&gt;($B$4*0/10),($B$4*0/10)^2*(1.5*(C421^2-MAX(B421,($B$4*0/10))^2)-($B$4*0/10)*(C421-MAX(B421,($B$4*0/10)))),0))*1000,0)</f>
        <v>0</v>
      </c>
      <c r="AB421" s="120">
        <f>IF(AND(J421="OK",ISNUMBER($B$5),$B$5&gt;0,ISNUMBER($B$3),$B$3&gt;0),F421/(6*$B$3*1000000*$B$5)*(IF(B421&lt;($B$4*1/10),($B$4*1/10)*(MIN(C421,($B$4*1/10))^3-B421^3)-(MIN(C421,($B$4*1/10))^4-B421^4)/4,0)+IF(C421&gt;($B$4*1/10),($B$4*1/10)^2*(1.5*(C421^2-MAX(B421,($B$4*1/10))^2)-($B$4*1/10)*(C421-MAX(B421,($B$4*1/10)))),0))*1000,0)</f>
        <v>0</v>
      </c>
      <c r="AC421" s="120">
        <f>IF(AND(J421="OK",ISNUMBER($B$5),$B$5&gt;0,ISNUMBER($B$3),$B$3&gt;0),F421/(6*$B$3*1000000*$B$5)*(IF(B421&lt;($B$4*2/10),($B$4*2/10)*(MIN(C421,($B$4*2/10))^3-B421^3)-(MIN(C421,($B$4*2/10))^4-B421^4)/4,0)+IF(C421&gt;($B$4*2/10),($B$4*2/10)^2*(1.5*(C421^2-MAX(B421,($B$4*2/10))^2)-($B$4*2/10)*(C421-MAX(B421,($B$4*2/10)))),0))*1000,0)</f>
        <v>0</v>
      </c>
      <c r="AD421" s="120">
        <f>IF(AND(J421="OK",ISNUMBER($B$5),$B$5&gt;0,ISNUMBER($B$3),$B$3&gt;0),F421/(6*$B$3*1000000*$B$5)*(IF(B421&lt;($B$4*3/10),($B$4*3/10)*(MIN(C421,($B$4*3/10))^3-B421^3)-(MIN(C421,($B$4*3/10))^4-B421^4)/4,0)+IF(C421&gt;($B$4*3/10),($B$4*3/10)^2*(1.5*(C421^2-MAX(B421,($B$4*3/10))^2)-($B$4*3/10)*(C421-MAX(B421,($B$4*3/10)))),0))*1000,0)</f>
        <v>0</v>
      </c>
      <c r="AE421" s="120">
        <f>IF(AND(J421="OK",ISNUMBER($B$5),$B$5&gt;0,ISNUMBER($B$3),$B$3&gt;0),F421/(6*$B$3*1000000*$B$5)*(IF(B421&lt;($B$4*4/10),($B$4*4/10)*(MIN(C421,($B$4*4/10))^3-B421^3)-(MIN(C421,($B$4*4/10))^4-B421^4)/4,0)+IF(C421&gt;($B$4*4/10),($B$4*4/10)^2*(1.5*(C421^2-MAX(B421,($B$4*4/10))^2)-($B$4*4/10)*(C421-MAX(B421,($B$4*4/10)))),0))*1000,0)</f>
        <v>0</v>
      </c>
      <c r="AF421" s="120">
        <f>IF(AND(J421="OK",ISNUMBER($B$5),$B$5&gt;0,ISNUMBER($B$3),$B$3&gt;0),F421/(6*$B$3*1000000*$B$5)*(IF(B421&lt;($B$4*5/10),($B$4*5/10)*(MIN(C421,($B$4*5/10))^3-B421^3)-(MIN(C421,($B$4*5/10))^4-B421^4)/4,0)+IF(C421&gt;($B$4*5/10),($B$4*5/10)^2*(1.5*(C421^2-MAX(B421,($B$4*5/10))^2)-($B$4*5/10)*(C421-MAX(B421,($B$4*5/10)))),0))*1000,0)</f>
        <v>0</v>
      </c>
      <c r="AG421" s="120">
        <f>IF(AND(J421="OK",ISNUMBER($B$5),$B$5&gt;0,ISNUMBER($B$3),$B$3&gt;0),F421/(6*$B$3*1000000*$B$5)*(IF(B421&lt;($B$4*6/10),($B$4*6/10)*(MIN(C421,($B$4*6/10))^3-B421^3)-(MIN(C421,($B$4*6/10))^4-B421^4)/4,0)+IF(C421&gt;($B$4*6/10),($B$4*6/10)^2*(1.5*(C421^2-MAX(B421,($B$4*6/10))^2)-($B$4*6/10)*(C421-MAX(B421,($B$4*6/10)))),0))*1000,0)</f>
        <v>0</v>
      </c>
      <c r="AH421" s="120">
        <f>IF(AND(J421="OK",ISNUMBER($B$5),$B$5&gt;0,ISNUMBER($B$3),$B$3&gt;0),F421/(6*$B$3*1000000*$B$5)*(IF(B421&lt;($B$4*7/10),($B$4*7/10)*(MIN(C421,($B$4*7/10))^3-B421^3)-(MIN(C421,($B$4*7/10))^4-B421^4)/4,0)+IF(C421&gt;($B$4*7/10),($B$4*7/10)^2*(1.5*(C421^2-MAX(B421,($B$4*7/10))^2)-($B$4*7/10)*(C421-MAX(B421,($B$4*7/10)))),0))*1000,0)</f>
        <v>0</v>
      </c>
      <c r="AI421" s="120">
        <f>IF(AND(J421="OK",ISNUMBER($B$5),$B$5&gt;0,ISNUMBER($B$3),$B$3&gt;0),F421/(6*$B$3*1000000*$B$5)*(IF(B421&lt;($B$4*8/10),($B$4*8/10)*(MIN(C421,($B$4*8/10))^3-B421^3)-(MIN(C421,($B$4*8/10))^4-B421^4)/4,0)+IF(C421&gt;($B$4*8/10),($B$4*8/10)^2*(1.5*(C421^2-MAX(B421,($B$4*8/10))^2)-($B$4*8/10)*(C421-MAX(B421,($B$4*8/10)))),0))*1000,0)</f>
        <v>0</v>
      </c>
      <c r="AJ421" s="120">
        <f>IF(AND(J421="OK",ISNUMBER($B$5),$B$5&gt;0,ISNUMBER($B$3),$B$3&gt;0),F421/(6*$B$3*1000000*$B$5)*(IF(B421&lt;($B$4*9/10),($B$4*9/10)*(MIN(C421,($B$4*9/10))^3-B421^3)-(MIN(C421,($B$4*9/10))^4-B421^4)/4,0)+IF(C421&gt;($B$4*9/10),($B$4*9/10)^2*(1.5*(C421^2-MAX(B421,($B$4*9/10))^2)-($B$4*9/10)*(C421-MAX(B421,($B$4*9/10)))),0))*1000,0)</f>
        <v>0</v>
      </c>
      <c r="AK421" s="120">
        <f>IF(AND(J421="OK",ISNUMBER($B$5),$B$5&gt;0,ISNUMBER($B$3),$B$3&gt;0),F421/(6*$B$3*1000000*$B$5)*(IF(B421&lt;($B$4*10/10),($B$4*10/10)*(MIN(C421,($B$4*10/10))^3-B421^3)-(MIN(C421,($B$4*10/10))^4-B421^4)/4,0)+IF(C421&gt;($B$4*10/10),($B$4*10/10)^2*(1.5*(C421^2-MAX(B421,($B$4*10/10))^2)-($B$4*10/10)*(C421-MAX(B421,($B$4*10/10)))),0))*1000,0)</f>
        <v>0</v>
      </c>
      <c r="AM421" s="120">
        <f>IF(AND(V421="OK",ISNUMBER($N$5),$N$5&gt;0,ISNUMBER($N$3),$N$3&gt;0),R421/(6*$N$3*1000000*$N$5)*(IF(N421&lt;($N$4*0/10),($N$4*0/10)*(MIN(O421,($N$4*0/10))^3-N421^3)-(MIN(O421,($N$4*0/10))^4-N421^4)/4,0)+IF(O421&gt;($N$4*0/10),($N$4*0/10)^2*(1.5*(O421^2-MAX(N421,($N$4*0/10))^2)-($N$4*0/10)*(O421-MAX(N421,($N$4*0/10)))),0))*1000,0)</f>
        <v>0</v>
      </c>
      <c r="AN421" s="120">
        <f>IF(AND(V421="OK",ISNUMBER($N$5),$N$5&gt;0,ISNUMBER($N$3),$N$3&gt;0),R421/(6*$N$3*1000000*$N$5)*(IF(N421&lt;($N$4*1/10),($N$4*1/10)*(MIN(O421,($N$4*1/10))^3-N421^3)-(MIN(O421,($N$4*1/10))^4-N421^4)/4,0)+IF(O421&gt;($N$4*1/10),($N$4*1/10)^2*(1.5*(O421^2-MAX(N421,($N$4*1/10))^2)-($N$4*1/10)*(O421-MAX(N421,($N$4*1/10)))),0))*1000,0)</f>
        <v>0</v>
      </c>
      <c r="AO421" s="120">
        <f>IF(AND(V421="OK",ISNUMBER($N$5),$N$5&gt;0,ISNUMBER($N$3),$N$3&gt;0),R421/(6*$N$3*1000000*$N$5)*(IF(N421&lt;($N$4*2/10),($N$4*2/10)*(MIN(O421,($N$4*2/10))^3-N421^3)-(MIN(O421,($N$4*2/10))^4-N421^4)/4,0)+IF(O421&gt;($N$4*2/10),($N$4*2/10)^2*(1.5*(O421^2-MAX(N421,($N$4*2/10))^2)-($N$4*2/10)*(O421-MAX(N421,($N$4*2/10)))),0))*1000,0)</f>
        <v>0</v>
      </c>
      <c r="AP421" s="120">
        <f>IF(AND(V421="OK",ISNUMBER($N$5),$N$5&gt;0,ISNUMBER($N$3),$N$3&gt;0),R421/(6*$N$3*1000000*$N$5)*(IF(N421&lt;($N$4*3/10),($N$4*3/10)*(MIN(O421,($N$4*3/10))^3-N421^3)-(MIN(O421,($N$4*3/10))^4-N421^4)/4,0)+IF(O421&gt;($N$4*3/10),($N$4*3/10)^2*(1.5*(O421^2-MAX(N421,($N$4*3/10))^2)-($N$4*3/10)*(O421-MAX(N421,($N$4*3/10)))),0))*1000,0)</f>
        <v>0</v>
      </c>
      <c r="AQ421" s="120">
        <f>IF(AND(V421="OK",ISNUMBER($N$5),$N$5&gt;0,ISNUMBER($N$3),$N$3&gt;0),R421/(6*$N$3*1000000*$N$5)*(IF(N421&lt;($N$4*4/10),($N$4*4/10)*(MIN(O421,($N$4*4/10))^3-N421^3)-(MIN(O421,($N$4*4/10))^4-N421^4)/4,0)+IF(O421&gt;($N$4*4/10),($N$4*4/10)^2*(1.5*(O421^2-MAX(N421,($N$4*4/10))^2)-($N$4*4/10)*(O421-MAX(N421,($N$4*4/10)))),0))*1000,0)</f>
        <v>0</v>
      </c>
      <c r="AR421" s="120">
        <f>IF(AND(V421="OK",ISNUMBER($N$5),$N$5&gt;0,ISNUMBER($N$3),$N$3&gt;0),R421/(6*$N$3*1000000*$N$5)*(IF(N421&lt;($N$4*5/10),($N$4*5/10)*(MIN(O421,($N$4*5/10))^3-N421^3)-(MIN(O421,($N$4*5/10))^4-N421^4)/4,0)+IF(O421&gt;($N$4*5/10),($N$4*5/10)^2*(1.5*(O421^2-MAX(N421,($N$4*5/10))^2)-($N$4*5/10)*(O421-MAX(N421,($N$4*5/10)))),0))*1000,0)</f>
        <v>0</v>
      </c>
      <c r="AS421" s="120">
        <f>IF(AND(V421="OK",ISNUMBER($N$5),$N$5&gt;0,ISNUMBER($N$3),$N$3&gt;0),R421/(6*$N$3*1000000*$N$5)*(IF(N421&lt;($N$4*6/10),($N$4*6/10)*(MIN(O421,($N$4*6/10))^3-N421^3)-(MIN(O421,($N$4*6/10))^4-N421^4)/4,0)+IF(O421&gt;($N$4*6/10),($N$4*6/10)^2*(1.5*(O421^2-MAX(N421,($N$4*6/10))^2)-($N$4*6/10)*(O421-MAX(N421,($N$4*6/10)))),0))*1000,0)</f>
        <v>0</v>
      </c>
      <c r="AT421" s="120">
        <f>IF(AND(V421="OK",ISNUMBER($N$5),$N$5&gt;0,ISNUMBER($N$3),$N$3&gt;0),R421/(6*$N$3*1000000*$N$5)*(IF(N421&lt;($N$4*7/10),($N$4*7/10)*(MIN(O421,($N$4*7/10))^3-N421^3)-(MIN(O421,($N$4*7/10))^4-N421^4)/4,0)+IF(O421&gt;($N$4*7/10),($N$4*7/10)^2*(1.5*(O421^2-MAX(N421,($N$4*7/10))^2)-($N$4*7/10)*(O421-MAX(N421,($N$4*7/10)))),0))*1000,0)</f>
        <v>0</v>
      </c>
      <c r="AU421" s="120">
        <f>IF(AND(V421="OK",ISNUMBER($N$5),$N$5&gt;0,ISNUMBER($N$3),$N$3&gt;0),R421/(6*$N$3*1000000*$N$5)*(IF(N421&lt;($N$4*8/10),($N$4*8/10)*(MIN(O421,($N$4*8/10))^3-N421^3)-(MIN(O421,($N$4*8/10))^4-N421^4)/4,0)+IF(O421&gt;($N$4*8/10),($N$4*8/10)^2*(1.5*(O421^2-MAX(N421,($N$4*8/10))^2)-($N$4*8/10)*(O421-MAX(N421,($N$4*8/10)))),0))*1000,0)</f>
        <v>0</v>
      </c>
      <c r="AV421" s="120">
        <f>IF(AND(V421="OK",ISNUMBER($N$5),$N$5&gt;0,ISNUMBER($N$3),$N$3&gt;0),R421/(6*$N$3*1000000*$N$5)*(IF(N421&lt;($N$4*9/10),($N$4*9/10)*(MIN(O421,($N$4*9/10))^3-N421^3)-(MIN(O421,($N$4*9/10))^4-N421^4)/4,0)+IF(O421&gt;($N$4*9/10),($N$4*9/10)^2*(1.5*(O421^2-MAX(N421,($N$4*9/10))^2)-($N$4*9/10)*(O421-MAX(N421,($N$4*9/10)))),0))*1000,0)</f>
        <v>0</v>
      </c>
      <c r="AW421" s="120">
        <f>IF(AND(V421="OK",ISNUMBER($N$5),$N$5&gt;0,ISNUMBER($N$3),$N$3&gt;0),R421/(6*$N$3*1000000*$N$5)*(IF(N421&lt;($N$4*10/10),($N$4*10/10)*(MIN(O421,($N$4*10/10))^3-N421^3)-(MIN(O421,($N$4*10/10))^4-N421^4)/4,0)+IF(O421&gt;($N$4*10/10),($N$4*10/10)^2*(1.5*(O421^2-MAX(N421,($N$4*10/10))^2)-($N$4*10/10)*(O421-MAX(N421,($N$4*10/10)))),0))*1000,0)</f>
        <v>0</v>
      </c>
    </row>
    <row r="422" spans="1:49">
      <c r="A422" s="124"/>
      <c r="B422" s="125"/>
      <c r="C422" s="125"/>
      <c r="D422" s="125"/>
      <c r="E422" s="125"/>
      <c r="F422" s="126" t="str">
        <f>IF(J422="OK",D422*E422,"")</f>
        <v/>
      </c>
      <c r="G422" s="126" t="str">
        <f>IF(J422="OK",F422*(C422-B422),"")</f>
        <v/>
      </c>
      <c r="H422" s="126" t="str">
        <f>IF(J422="OK",G422*(C422+B422)/2,"")</f>
        <v/>
      </c>
      <c r="I422" s="126" t="str">
        <f>IF(AND(J422="OK",ISNUMBER($B$5),$B$5&gt;0,ISNUMBER($B$3),$B$3&gt;0),F422*(4*$B$4*(C422^3-B422^3)-(C422^4-B422^4))/(24*$B$3*1000000*$B$5)*1000,"")</f>
        <v/>
      </c>
      <c r="J422" s="120" t="str">
        <f>IF(COUNTA(A422:E422)=0,"",IF(AND(COUNT(B422:E422)=4,B422&gt;=0,C422&gt;B422,C422&lt;=$B$4,D422&gt;=0,E422&gt;0),IF(COUNTIFS($B$13:$B$421,"&lt;"&amp;C422,$C$13:$C$421,"&gt;"&amp;B422)&gt;0,"OVERLAP","OK"),"CHECK INPUTS"))</f>
        <v/>
      </c>
      <c r="M422" s="124"/>
      <c r="N422" s="125"/>
      <c r="O422" s="125"/>
      <c r="P422" s="125"/>
      <c r="Q422" s="125"/>
      <c r="R422" s="126" t="str">
        <f>IF(V422="OK",P422*Q422,"")</f>
        <v/>
      </c>
      <c r="S422" s="126" t="str">
        <f>IF(V422="OK",R422*(O422-N422),"")</f>
        <v/>
      </c>
      <c r="T422" s="126" t="str">
        <f>IF(V422="OK",S422*(O422+N422)/2,"")</f>
        <v/>
      </c>
      <c r="U422" s="126" t="str">
        <f>IF(AND(V422="OK",ISNUMBER($N$5),$N$5&gt;0,ISNUMBER($N$3),$N$3&gt;0),R422*(4*$N$4*(O422^3-N422^3)-(O422^4-N422^4))/(24*$N$3*1000000*$N$5)*1000,"")</f>
        <v/>
      </c>
      <c r="V422" s="120" t="str">
        <f>IF(COUNTA(M422:Q422)=0,"",IF(AND(COUNT(N422:Q422)=4,N422&gt;=0,O422&gt;N422,O422&lt;=$N$4,P422&gt;=0,Q422&gt;0),IF(COUNTIFS($N$13:$N$421,"&lt;"&amp;O422,$O$13:$O$421,"&gt;"&amp;N422)&gt;0,"OVERLAP","OK"),"CHECK INPUTS"))</f>
        <v/>
      </c>
      <c r="AA422" s="120">
        <f>IF(AND(J422="OK",ISNUMBER($B$5),$B$5&gt;0,ISNUMBER($B$3),$B$3&gt;0),F422/(6*$B$3*1000000*$B$5)*(IF(B422&lt;($B$4*0/10),($B$4*0/10)*(MIN(C422,($B$4*0/10))^3-B422^3)-(MIN(C422,($B$4*0/10))^4-B422^4)/4,0)+IF(C422&gt;($B$4*0/10),($B$4*0/10)^2*(1.5*(C422^2-MAX(B422,($B$4*0/10))^2)-($B$4*0/10)*(C422-MAX(B422,($B$4*0/10)))),0))*1000,0)</f>
        <v>0</v>
      </c>
      <c r="AB422" s="120">
        <f>IF(AND(J422="OK",ISNUMBER($B$5),$B$5&gt;0,ISNUMBER($B$3),$B$3&gt;0),F422/(6*$B$3*1000000*$B$5)*(IF(B422&lt;($B$4*1/10),($B$4*1/10)*(MIN(C422,($B$4*1/10))^3-B422^3)-(MIN(C422,($B$4*1/10))^4-B422^4)/4,0)+IF(C422&gt;($B$4*1/10),($B$4*1/10)^2*(1.5*(C422^2-MAX(B422,($B$4*1/10))^2)-($B$4*1/10)*(C422-MAX(B422,($B$4*1/10)))),0))*1000,0)</f>
        <v>0</v>
      </c>
      <c r="AC422" s="120">
        <f>IF(AND(J422="OK",ISNUMBER($B$5),$B$5&gt;0,ISNUMBER($B$3),$B$3&gt;0),F422/(6*$B$3*1000000*$B$5)*(IF(B422&lt;($B$4*2/10),($B$4*2/10)*(MIN(C422,($B$4*2/10))^3-B422^3)-(MIN(C422,($B$4*2/10))^4-B422^4)/4,0)+IF(C422&gt;($B$4*2/10),($B$4*2/10)^2*(1.5*(C422^2-MAX(B422,($B$4*2/10))^2)-($B$4*2/10)*(C422-MAX(B422,($B$4*2/10)))),0))*1000,0)</f>
        <v>0</v>
      </c>
      <c r="AD422" s="120">
        <f>IF(AND(J422="OK",ISNUMBER($B$5),$B$5&gt;0,ISNUMBER($B$3),$B$3&gt;0),F422/(6*$B$3*1000000*$B$5)*(IF(B422&lt;($B$4*3/10),($B$4*3/10)*(MIN(C422,($B$4*3/10))^3-B422^3)-(MIN(C422,($B$4*3/10))^4-B422^4)/4,0)+IF(C422&gt;($B$4*3/10),($B$4*3/10)^2*(1.5*(C422^2-MAX(B422,($B$4*3/10))^2)-($B$4*3/10)*(C422-MAX(B422,($B$4*3/10)))),0))*1000,0)</f>
        <v>0</v>
      </c>
      <c r="AE422" s="120">
        <f>IF(AND(J422="OK",ISNUMBER($B$5),$B$5&gt;0,ISNUMBER($B$3),$B$3&gt;0),F422/(6*$B$3*1000000*$B$5)*(IF(B422&lt;($B$4*4/10),($B$4*4/10)*(MIN(C422,($B$4*4/10))^3-B422^3)-(MIN(C422,($B$4*4/10))^4-B422^4)/4,0)+IF(C422&gt;($B$4*4/10),($B$4*4/10)^2*(1.5*(C422^2-MAX(B422,($B$4*4/10))^2)-($B$4*4/10)*(C422-MAX(B422,($B$4*4/10)))),0))*1000,0)</f>
        <v>0</v>
      </c>
      <c r="AF422" s="120">
        <f>IF(AND(J422="OK",ISNUMBER($B$5),$B$5&gt;0,ISNUMBER($B$3),$B$3&gt;0),F422/(6*$B$3*1000000*$B$5)*(IF(B422&lt;($B$4*5/10),($B$4*5/10)*(MIN(C422,($B$4*5/10))^3-B422^3)-(MIN(C422,($B$4*5/10))^4-B422^4)/4,0)+IF(C422&gt;($B$4*5/10),($B$4*5/10)^2*(1.5*(C422^2-MAX(B422,($B$4*5/10))^2)-($B$4*5/10)*(C422-MAX(B422,($B$4*5/10)))),0))*1000,0)</f>
        <v>0</v>
      </c>
      <c r="AG422" s="120">
        <f>IF(AND(J422="OK",ISNUMBER($B$5),$B$5&gt;0,ISNUMBER($B$3),$B$3&gt;0),F422/(6*$B$3*1000000*$B$5)*(IF(B422&lt;($B$4*6/10),($B$4*6/10)*(MIN(C422,($B$4*6/10))^3-B422^3)-(MIN(C422,($B$4*6/10))^4-B422^4)/4,0)+IF(C422&gt;($B$4*6/10),($B$4*6/10)^2*(1.5*(C422^2-MAX(B422,($B$4*6/10))^2)-($B$4*6/10)*(C422-MAX(B422,($B$4*6/10)))),0))*1000,0)</f>
        <v>0</v>
      </c>
      <c r="AH422" s="120">
        <f>IF(AND(J422="OK",ISNUMBER($B$5),$B$5&gt;0,ISNUMBER($B$3),$B$3&gt;0),F422/(6*$B$3*1000000*$B$5)*(IF(B422&lt;($B$4*7/10),($B$4*7/10)*(MIN(C422,($B$4*7/10))^3-B422^3)-(MIN(C422,($B$4*7/10))^4-B422^4)/4,0)+IF(C422&gt;($B$4*7/10),($B$4*7/10)^2*(1.5*(C422^2-MAX(B422,($B$4*7/10))^2)-($B$4*7/10)*(C422-MAX(B422,($B$4*7/10)))),0))*1000,0)</f>
        <v>0</v>
      </c>
      <c r="AI422" s="120">
        <f>IF(AND(J422="OK",ISNUMBER($B$5),$B$5&gt;0,ISNUMBER($B$3),$B$3&gt;0),F422/(6*$B$3*1000000*$B$5)*(IF(B422&lt;($B$4*8/10),($B$4*8/10)*(MIN(C422,($B$4*8/10))^3-B422^3)-(MIN(C422,($B$4*8/10))^4-B422^4)/4,0)+IF(C422&gt;($B$4*8/10),($B$4*8/10)^2*(1.5*(C422^2-MAX(B422,($B$4*8/10))^2)-($B$4*8/10)*(C422-MAX(B422,($B$4*8/10)))),0))*1000,0)</f>
        <v>0</v>
      </c>
      <c r="AJ422" s="120">
        <f>IF(AND(J422="OK",ISNUMBER($B$5),$B$5&gt;0,ISNUMBER($B$3),$B$3&gt;0),F422/(6*$B$3*1000000*$B$5)*(IF(B422&lt;($B$4*9/10),($B$4*9/10)*(MIN(C422,($B$4*9/10))^3-B422^3)-(MIN(C422,($B$4*9/10))^4-B422^4)/4,0)+IF(C422&gt;($B$4*9/10),($B$4*9/10)^2*(1.5*(C422^2-MAX(B422,($B$4*9/10))^2)-($B$4*9/10)*(C422-MAX(B422,($B$4*9/10)))),0))*1000,0)</f>
        <v>0</v>
      </c>
      <c r="AK422" s="120">
        <f>IF(AND(J422="OK",ISNUMBER($B$5),$B$5&gt;0,ISNUMBER($B$3),$B$3&gt;0),F422/(6*$B$3*1000000*$B$5)*(IF(B422&lt;($B$4*10/10),($B$4*10/10)*(MIN(C422,($B$4*10/10))^3-B422^3)-(MIN(C422,($B$4*10/10))^4-B422^4)/4,0)+IF(C422&gt;($B$4*10/10),($B$4*10/10)^2*(1.5*(C422^2-MAX(B422,($B$4*10/10))^2)-($B$4*10/10)*(C422-MAX(B422,($B$4*10/10)))),0))*1000,0)</f>
        <v>0</v>
      </c>
      <c r="AM422" s="120">
        <f>IF(AND(V422="OK",ISNUMBER($N$5),$N$5&gt;0,ISNUMBER($N$3),$N$3&gt;0),R422/(6*$N$3*1000000*$N$5)*(IF(N422&lt;($N$4*0/10),($N$4*0/10)*(MIN(O422,($N$4*0/10))^3-N422^3)-(MIN(O422,($N$4*0/10))^4-N422^4)/4,0)+IF(O422&gt;($N$4*0/10),($N$4*0/10)^2*(1.5*(O422^2-MAX(N422,($N$4*0/10))^2)-($N$4*0/10)*(O422-MAX(N422,($N$4*0/10)))),0))*1000,0)</f>
        <v>0</v>
      </c>
      <c r="AN422" s="120">
        <f>IF(AND(V422="OK",ISNUMBER($N$5),$N$5&gt;0,ISNUMBER($N$3),$N$3&gt;0),R422/(6*$N$3*1000000*$N$5)*(IF(N422&lt;($N$4*1/10),($N$4*1/10)*(MIN(O422,($N$4*1/10))^3-N422^3)-(MIN(O422,($N$4*1/10))^4-N422^4)/4,0)+IF(O422&gt;($N$4*1/10),($N$4*1/10)^2*(1.5*(O422^2-MAX(N422,($N$4*1/10))^2)-($N$4*1/10)*(O422-MAX(N422,($N$4*1/10)))),0))*1000,0)</f>
        <v>0</v>
      </c>
      <c r="AO422" s="120">
        <f>IF(AND(V422="OK",ISNUMBER($N$5),$N$5&gt;0,ISNUMBER($N$3),$N$3&gt;0),R422/(6*$N$3*1000000*$N$5)*(IF(N422&lt;($N$4*2/10),($N$4*2/10)*(MIN(O422,($N$4*2/10))^3-N422^3)-(MIN(O422,($N$4*2/10))^4-N422^4)/4,0)+IF(O422&gt;($N$4*2/10),($N$4*2/10)^2*(1.5*(O422^2-MAX(N422,($N$4*2/10))^2)-($N$4*2/10)*(O422-MAX(N422,($N$4*2/10)))),0))*1000,0)</f>
        <v>0</v>
      </c>
      <c r="AP422" s="120">
        <f>IF(AND(V422="OK",ISNUMBER($N$5),$N$5&gt;0,ISNUMBER($N$3),$N$3&gt;0),R422/(6*$N$3*1000000*$N$5)*(IF(N422&lt;($N$4*3/10),($N$4*3/10)*(MIN(O422,($N$4*3/10))^3-N422^3)-(MIN(O422,($N$4*3/10))^4-N422^4)/4,0)+IF(O422&gt;($N$4*3/10),($N$4*3/10)^2*(1.5*(O422^2-MAX(N422,($N$4*3/10))^2)-($N$4*3/10)*(O422-MAX(N422,($N$4*3/10)))),0))*1000,0)</f>
        <v>0</v>
      </c>
      <c r="AQ422" s="120">
        <f>IF(AND(V422="OK",ISNUMBER($N$5),$N$5&gt;0,ISNUMBER($N$3),$N$3&gt;0),R422/(6*$N$3*1000000*$N$5)*(IF(N422&lt;($N$4*4/10),($N$4*4/10)*(MIN(O422,($N$4*4/10))^3-N422^3)-(MIN(O422,($N$4*4/10))^4-N422^4)/4,0)+IF(O422&gt;($N$4*4/10),($N$4*4/10)^2*(1.5*(O422^2-MAX(N422,($N$4*4/10))^2)-($N$4*4/10)*(O422-MAX(N422,($N$4*4/10)))),0))*1000,0)</f>
        <v>0</v>
      </c>
      <c r="AR422" s="120">
        <f>IF(AND(V422="OK",ISNUMBER($N$5),$N$5&gt;0,ISNUMBER($N$3),$N$3&gt;0),R422/(6*$N$3*1000000*$N$5)*(IF(N422&lt;($N$4*5/10),($N$4*5/10)*(MIN(O422,($N$4*5/10))^3-N422^3)-(MIN(O422,($N$4*5/10))^4-N422^4)/4,0)+IF(O422&gt;($N$4*5/10),($N$4*5/10)^2*(1.5*(O422^2-MAX(N422,($N$4*5/10))^2)-($N$4*5/10)*(O422-MAX(N422,($N$4*5/10)))),0))*1000,0)</f>
        <v>0</v>
      </c>
      <c r="AS422" s="120">
        <f>IF(AND(V422="OK",ISNUMBER($N$5),$N$5&gt;0,ISNUMBER($N$3),$N$3&gt;0),R422/(6*$N$3*1000000*$N$5)*(IF(N422&lt;($N$4*6/10),($N$4*6/10)*(MIN(O422,($N$4*6/10))^3-N422^3)-(MIN(O422,($N$4*6/10))^4-N422^4)/4,0)+IF(O422&gt;($N$4*6/10),($N$4*6/10)^2*(1.5*(O422^2-MAX(N422,($N$4*6/10))^2)-($N$4*6/10)*(O422-MAX(N422,($N$4*6/10)))),0))*1000,0)</f>
        <v>0</v>
      </c>
      <c r="AT422" s="120">
        <f>IF(AND(V422="OK",ISNUMBER($N$5),$N$5&gt;0,ISNUMBER($N$3),$N$3&gt;0),R422/(6*$N$3*1000000*$N$5)*(IF(N422&lt;($N$4*7/10),($N$4*7/10)*(MIN(O422,($N$4*7/10))^3-N422^3)-(MIN(O422,($N$4*7/10))^4-N422^4)/4,0)+IF(O422&gt;($N$4*7/10),($N$4*7/10)^2*(1.5*(O422^2-MAX(N422,($N$4*7/10))^2)-($N$4*7/10)*(O422-MAX(N422,($N$4*7/10)))),0))*1000,0)</f>
        <v>0</v>
      </c>
      <c r="AU422" s="120">
        <f>IF(AND(V422="OK",ISNUMBER($N$5),$N$5&gt;0,ISNUMBER($N$3),$N$3&gt;0),R422/(6*$N$3*1000000*$N$5)*(IF(N422&lt;($N$4*8/10),($N$4*8/10)*(MIN(O422,($N$4*8/10))^3-N422^3)-(MIN(O422,($N$4*8/10))^4-N422^4)/4,0)+IF(O422&gt;($N$4*8/10),($N$4*8/10)^2*(1.5*(O422^2-MAX(N422,($N$4*8/10))^2)-($N$4*8/10)*(O422-MAX(N422,($N$4*8/10)))),0))*1000,0)</f>
        <v>0</v>
      </c>
      <c r="AV422" s="120">
        <f>IF(AND(V422="OK",ISNUMBER($N$5),$N$5&gt;0,ISNUMBER($N$3),$N$3&gt;0),R422/(6*$N$3*1000000*$N$5)*(IF(N422&lt;($N$4*9/10),($N$4*9/10)*(MIN(O422,($N$4*9/10))^3-N422^3)-(MIN(O422,($N$4*9/10))^4-N422^4)/4,0)+IF(O422&gt;($N$4*9/10),($N$4*9/10)^2*(1.5*(O422^2-MAX(N422,($N$4*9/10))^2)-($N$4*9/10)*(O422-MAX(N422,($N$4*9/10)))),0))*1000,0)</f>
        <v>0</v>
      </c>
      <c r="AW422" s="120">
        <f>IF(AND(V422="OK",ISNUMBER($N$5),$N$5&gt;0,ISNUMBER($N$3),$N$3&gt;0),R422/(6*$N$3*1000000*$N$5)*(IF(N422&lt;($N$4*10/10),($N$4*10/10)*(MIN(O422,($N$4*10/10))^3-N422^3)-(MIN(O422,($N$4*10/10))^4-N422^4)/4,0)+IF(O422&gt;($N$4*10/10),($N$4*10/10)^2*(1.5*(O422^2-MAX(N422,($N$4*10/10))^2)-($N$4*10/10)*(O422-MAX(N422,($N$4*10/10)))),0))*1000,0)</f>
        <v>0</v>
      </c>
    </row>
    <row r="423" spans="1:49">
      <c r="A423" s="124"/>
      <c r="B423" s="125"/>
      <c r="C423" s="125"/>
      <c r="D423" s="125"/>
      <c r="E423" s="125"/>
      <c r="F423" s="126" t="str">
        <f>IF(J423="OK",D423*E423,"")</f>
        <v/>
      </c>
      <c r="G423" s="126" t="str">
        <f>IF(J423="OK",F423*(C423-B423),"")</f>
        <v/>
      </c>
      <c r="H423" s="126" t="str">
        <f>IF(J423="OK",G423*(C423+B423)/2,"")</f>
        <v/>
      </c>
      <c r="I423" s="126" t="str">
        <f>IF(AND(J423="OK",ISNUMBER($B$5),$B$5&gt;0,ISNUMBER($B$3),$B$3&gt;0),F423*(4*$B$4*(C423^3-B423^3)-(C423^4-B423^4))/(24*$B$3*1000000*$B$5)*1000,"")</f>
        <v/>
      </c>
      <c r="J423" s="120" t="str">
        <f>IF(COUNTA(A423:E423)=0,"",IF(AND(COUNT(B423:E423)=4,B423&gt;=0,C423&gt;B423,C423&lt;=$B$4,D423&gt;=0,E423&gt;0),IF(COUNTIFS($B$13:$B$422,"&lt;"&amp;C423,$C$13:$C$422,"&gt;"&amp;B423)&gt;0,"OVERLAP","OK"),"CHECK INPUTS"))</f>
        <v/>
      </c>
      <c r="M423" s="124"/>
      <c r="N423" s="125"/>
      <c r="O423" s="125"/>
      <c r="P423" s="125"/>
      <c r="Q423" s="125"/>
      <c r="R423" s="126" t="str">
        <f>IF(V423="OK",P423*Q423,"")</f>
        <v/>
      </c>
      <c r="S423" s="126" t="str">
        <f>IF(V423="OK",R423*(O423-N423),"")</f>
        <v/>
      </c>
      <c r="T423" s="126" t="str">
        <f>IF(V423="OK",S423*(O423+N423)/2,"")</f>
        <v/>
      </c>
      <c r="U423" s="126" t="str">
        <f>IF(AND(V423="OK",ISNUMBER($N$5),$N$5&gt;0,ISNUMBER($N$3),$N$3&gt;0),R423*(4*$N$4*(O423^3-N423^3)-(O423^4-N423^4))/(24*$N$3*1000000*$N$5)*1000,"")</f>
        <v/>
      </c>
      <c r="V423" s="120" t="str">
        <f>IF(COUNTA(M423:Q423)=0,"",IF(AND(COUNT(N423:Q423)=4,N423&gt;=0,O423&gt;N423,O423&lt;=$N$4,P423&gt;=0,Q423&gt;0),IF(COUNTIFS($N$13:$N$422,"&lt;"&amp;O423,$O$13:$O$422,"&gt;"&amp;N423)&gt;0,"OVERLAP","OK"),"CHECK INPUTS"))</f>
        <v/>
      </c>
      <c r="AA423" s="120">
        <f>IF(AND(J423="OK",ISNUMBER($B$5),$B$5&gt;0,ISNUMBER($B$3),$B$3&gt;0),F423/(6*$B$3*1000000*$B$5)*(IF(B423&lt;($B$4*0/10),($B$4*0/10)*(MIN(C423,($B$4*0/10))^3-B423^3)-(MIN(C423,($B$4*0/10))^4-B423^4)/4,0)+IF(C423&gt;($B$4*0/10),($B$4*0/10)^2*(1.5*(C423^2-MAX(B423,($B$4*0/10))^2)-($B$4*0/10)*(C423-MAX(B423,($B$4*0/10)))),0))*1000,0)</f>
        <v>0</v>
      </c>
      <c r="AB423" s="120">
        <f>IF(AND(J423="OK",ISNUMBER($B$5),$B$5&gt;0,ISNUMBER($B$3),$B$3&gt;0),F423/(6*$B$3*1000000*$B$5)*(IF(B423&lt;($B$4*1/10),($B$4*1/10)*(MIN(C423,($B$4*1/10))^3-B423^3)-(MIN(C423,($B$4*1/10))^4-B423^4)/4,0)+IF(C423&gt;($B$4*1/10),($B$4*1/10)^2*(1.5*(C423^2-MAX(B423,($B$4*1/10))^2)-($B$4*1/10)*(C423-MAX(B423,($B$4*1/10)))),0))*1000,0)</f>
        <v>0</v>
      </c>
      <c r="AC423" s="120">
        <f>IF(AND(J423="OK",ISNUMBER($B$5),$B$5&gt;0,ISNUMBER($B$3),$B$3&gt;0),F423/(6*$B$3*1000000*$B$5)*(IF(B423&lt;($B$4*2/10),($B$4*2/10)*(MIN(C423,($B$4*2/10))^3-B423^3)-(MIN(C423,($B$4*2/10))^4-B423^4)/4,0)+IF(C423&gt;($B$4*2/10),($B$4*2/10)^2*(1.5*(C423^2-MAX(B423,($B$4*2/10))^2)-($B$4*2/10)*(C423-MAX(B423,($B$4*2/10)))),0))*1000,0)</f>
        <v>0</v>
      </c>
      <c r="AD423" s="120">
        <f>IF(AND(J423="OK",ISNUMBER($B$5),$B$5&gt;0,ISNUMBER($B$3),$B$3&gt;0),F423/(6*$B$3*1000000*$B$5)*(IF(B423&lt;($B$4*3/10),($B$4*3/10)*(MIN(C423,($B$4*3/10))^3-B423^3)-(MIN(C423,($B$4*3/10))^4-B423^4)/4,0)+IF(C423&gt;($B$4*3/10),($B$4*3/10)^2*(1.5*(C423^2-MAX(B423,($B$4*3/10))^2)-($B$4*3/10)*(C423-MAX(B423,($B$4*3/10)))),0))*1000,0)</f>
        <v>0</v>
      </c>
      <c r="AE423" s="120">
        <f>IF(AND(J423="OK",ISNUMBER($B$5),$B$5&gt;0,ISNUMBER($B$3),$B$3&gt;0),F423/(6*$B$3*1000000*$B$5)*(IF(B423&lt;($B$4*4/10),($B$4*4/10)*(MIN(C423,($B$4*4/10))^3-B423^3)-(MIN(C423,($B$4*4/10))^4-B423^4)/4,0)+IF(C423&gt;($B$4*4/10),($B$4*4/10)^2*(1.5*(C423^2-MAX(B423,($B$4*4/10))^2)-($B$4*4/10)*(C423-MAX(B423,($B$4*4/10)))),0))*1000,0)</f>
        <v>0</v>
      </c>
      <c r="AF423" s="120">
        <f>IF(AND(J423="OK",ISNUMBER($B$5),$B$5&gt;0,ISNUMBER($B$3),$B$3&gt;0),F423/(6*$B$3*1000000*$B$5)*(IF(B423&lt;($B$4*5/10),($B$4*5/10)*(MIN(C423,($B$4*5/10))^3-B423^3)-(MIN(C423,($B$4*5/10))^4-B423^4)/4,0)+IF(C423&gt;($B$4*5/10),($B$4*5/10)^2*(1.5*(C423^2-MAX(B423,($B$4*5/10))^2)-($B$4*5/10)*(C423-MAX(B423,($B$4*5/10)))),0))*1000,0)</f>
        <v>0</v>
      </c>
      <c r="AG423" s="120">
        <f>IF(AND(J423="OK",ISNUMBER($B$5),$B$5&gt;0,ISNUMBER($B$3),$B$3&gt;0),F423/(6*$B$3*1000000*$B$5)*(IF(B423&lt;($B$4*6/10),($B$4*6/10)*(MIN(C423,($B$4*6/10))^3-B423^3)-(MIN(C423,($B$4*6/10))^4-B423^4)/4,0)+IF(C423&gt;($B$4*6/10),($B$4*6/10)^2*(1.5*(C423^2-MAX(B423,($B$4*6/10))^2)-($B$4*6/10)*(C423-MAX(B423,($B$4*6/10)))),0))*1000,0)</f>
        <v>0</v>
      </c>
      <c r="AH423" s="120">
        <f>IF(AND(J423="OK",ISNUMBER($B$5),$B$5&gt;0,ISNUMBER($B$3),$B$3&gt;0),F423/(6*$B$3*1000000*$B$5)*(IF(B423&lt;($B$4*7/10),($B$4*7/10)*(MIN(C423,($B$4*7/10))^3-B423^3)-(MIN(C423,($B$4*7/10))^4-B423^4)/4,0)+IF(C423&gt;($B$4*7/10),($B$4*7/10)^2*(1.5*(C423^2-MAX(B423,($B$4*7/10))^2)-($B$4*7/10)*(C423-MAX(B423,($B$4*7/10)))),0))*1000,0)</f>
        <v>0</v>
      </c>
      <c r="AI423" s="120">
        <f>IF(AND(J423="OK",ISNUMBER($B$5),$B$5&gt;0,ISNUMBER($B$3),$B$3&gt;0),F423/(6*$B$3*1000000*$B$5)*(IF(B423&lt;($B$4*8/10),($B$4*8/10)*(MIN(C423,($B$4*8/10))^3-B423^3)-(MIN(C423,($B$4*8/10))^4-B423^4)/4,0)+IF(C423&gt;($B$4*8/10),($B$4*8/10)^2*(1.5*(C423^2-MAX(B423,($B$4*8/10))^2)-($B$4*8/10)*(C423-MAX(B423,($B$4*8/10)))),0))*1000,0)</f>
        <v>0</v>
      </c>
      <c r="AJ423" s="120">
        <f>IF(AND(J423="OK",ISNUMBER($B$5),$B$5&gt;0,ISNUMBER($B$3),$B$3&gt;0),F423/(6*$B$3*1000000*$B$5)*(IF(B423&lt;($B$4*9/10),($B$4*9/10)*(MIN(C423,($B$4*9/10))^3-B423^3)-(MIN(C423,($B$4*9/10))^4-B423^4)/4,0)+IF(C423&gt;($B$4*9/10),($B$4*9/10)^2*(1.5*(C423^2-MAX(B423,($B$4*9/10))^2)-($B$4*9/10)*(C423-MAX(B423,($B$4*9/10)))),0))*1000,0)</f>
        <v>0</v>
      </c>
      <c r="AK423" s="120">
        <f>IF(AND(J423="OK",ISNUMBER($B$5),$B$5&gt;0,ISNUMBER($B$3),$B$3&gt;0),F423/(6*$B$3*1000000*$B$5)*(IF(B423&lt;($B$4*10/10),($B$4*10/10)*(MIN(C423,($B$4*10/10))^3-B423^3)-(MIN(C423,($B$4*10/10))^4-B423^4)/4,0)+IF(C423&gt;($B$4*10/10),($B$4*10/10)^2*(1.5*(C423^2-MAX(B423,($B$4*10/10))^2)-($B$4*10/10)*(C423-MAX(B423,($B$4*10/10)))),0))*1000,0)</f>
        <v>0</v>
      </c>
      <c r="AM423" s="120">
        <f>IF(AND(V423="OK",ISNUMBER($N$5),$N$5&gt;0,ISNUMBER($N$3),$N$3&gt;0),R423/(6*$N$3*1000000*$N$5)*(IF(N423&lt;($N$4*0/10),($N$4*0/10)*(MIN(O423,($N$4*0/10))^3-N423^3)-(MIN(O423,($N$4*0/10))^4-N423^4)/4,0)+IF(O423&gt;($N$4*0/10),($N$4*0/10)^2*(1.5*(O423^2-MAX(N423,($N$4*0/10))^2)-($N$4*0/10)*(O423-MAX(N423,($N$4*0/10)))),0))*1000,0)</f>
        <v>0</v>
      </c>
      <c r="AN423" s="120">
        <f>IF(AND(V423="OK",ISNUMBER($N$5),$N$5&gt;0,ISNUMBER($N$3),$N$3&gt;0),R423/(6*$N$3*1000000*$N$5)*(IF(N423&lt;($N$4*1/10),($N$4*1/10)*(MIN(O423,($N$4*1/10))^3-N423^3)-(MIN(O423,($N$4*1/10))^4-N423^4)/4,0)+IF(O423&gt;($N$4*1/10),($N$4*1/10)^2*(1.5*(O423^2-MAX(N423,($N$4*1/10))^2)-($N$4*1/10)*(O423-MAX(N423,($N$4*1/10)))),0))*1000,0)</f>
        <v>0</v>
      </c>
      <c r="AO423" s="120">
        <f>IF(AND(V423="OK",ISNUMBER($N$5),$N$5&gt;0,ISNUMBER($N$3),$N$3&gt;0),R423/(6*$N$3*1000000*$N$5)*(IF(N423&lt;($N$4*2/10),($N$4*2/10)*(MIN(O423,($N$4*2/10))^3-N423^3)-(MIN(O423,($N$4*2/10))^4-N423^4)/4,0)+IF(O423&gt;($N$4*2/10),($N$4*2/10)^2*(1.5*(O423^2-MAX(N423,($N$4*2/10))^2)-($N$4*2/10)*(O423-MAX(N423,($N$4*2/10)))),0))*1000,0)</f>
        <v>0</v>
      </c>
      <c r="AP423" s="120">
        <f>IF(AND(V423="OK",ISNUMBER($N$5),$N$5&gt;0,ISNUMBER($N$3),$N$3&gt;0),R423/(6*$N$3*1000000*$N$5)*(IF(N423&lt;($N$4*3/10),($N$4*3/10)*(MIN(O423,($N$4*3/10))^3-N423^3)-(MIN(O423,($N$4*3/10))^4-N423^4)/4,0)+IF(O423&gt;($N$4*3/10),($N$4*3/10)^2*(1.5*(O423^2-MAX(N423,($N$4*3/10))^2)-($N$4*3/10)*(O423-MAX(N423,($N$4*3/10)))),0))*1000,0)</f>
        <v>0</v>
      </c>
      <c r="AQ423" s="120">
        <f>IF(AND(V423="OK",ISNUMBER($N$5),$N$5&gt;0,ISNUMBER($N$3),$N$3&gt;0),R423/(6*$N$3*1000000*$N$5)*(IF(N423&lt;($N$4*4/10),($N$4*4/10)*(MIN(O423,($N$4*4/10))^3-N423^3)-(MIN(O423,($N$4*4/10))^4-N423^4)/4,0)+IF(O423&gt;($N$4*4/10),($N$4*4/10)^2*(1.5*(O423^2-MAX(N423,($N$4*4/10))^2)-($N$4*4/10)*(O423-MAX(N423,($N$4*4/10)))),0))*1000,0)</f>
        <v>0</v>
      </c>
      <c r="AR423" s="120">
        <f>IF(AND(V423="OK",ISNUMBER($N$5),$N$5&gt;0,ISNUMBER($N$3),$N$3&gt;0),R423/(6*$N$3*1000000*$N$5)*(IF(N423&lt;($N$4*5/10),($N$4*5/10)*(MIN(O423,($N$4*5/10))^3-N423^3)-(MIN(O423,($N$4*5/10))^4-N423^4)/4,0)+IF(O423&gt;($N$4*5/10),($N$4*5/10)^2*(1.5*(O423^2-MAX(N423,($N$4*5/10))^2)-($N$4*5/10)*(O423-MAX(N423,($N$4*5/10)))),0))*1000,0)</f>
        <v>0</v>
      </c>
      <c r="AS423" s="120">
        <f>IF(AND(V423="OK",ISNUMBER($N$5),$N$5&gt;0,ISNUMBER($N$3),$N$3&gt;0),R423/(6*$N$3*1000000*$N$5)*(IF(N423&lt;($N$4*6/10),($N$4*6/10)*(MIN(O423,($N$4*6/10))^3-N423^3)-(MIN(O423,($N$4*6/10))^4-N423^4)/4,0)+IF(O423&gt;($N$4*6/10),($N$4*6/10)^2*(1.5*(O423^2-MAX(N423,($N$4*6/10))^2)-($N$4*6/10)*(O423-MAX(N423,($N$4*6/10)))),0))*1000,0)</f>
        <v>0</v>
      </c>
      <c r="AT423" s="120">
        <f>IF(AND(V423="OK",ISNUMBER($N$5),$N$5&gt;0,ISNUMBER($N$3),$N$3&gt;0),R423/(6*$N$3*1000000*$N$5)*(IF(N423&lt;($N$4*7/10),($N$4*7/10)*(MIN(O423,($N$4*7/10))^3-N423^3)-(MIN(O423,($N$4*7/10))^4-N423^4)/4,0)+IF(O423&gt;($N$4*7/10),($N$4*7/10)^2*(1.5*(O423^2-MAX(N423,($N$4*7/10))^2)-($N$4*7/10)*(O423-MAX(N423,($N$4*7/10)))),0))*1000,0)</f>
        <v>0</v>
      </c>
      <c r="AU423" s="120">
        <f>IF(AND(V423="OK",ISNUMBER($N$5),$N$5&gt;0,ISNUMBER($N$3),$N$3&gt;0),R423/(6*$N$3*1000000*$N$5)*(IF(N423&lt;($N$4*8/10),($N$4*8/10)*(MIN(O423,($N$4*8/10))^3-N423^3)-(MIN(O423,($N$4*8/10))^4-N423^4)/4,0)+IF(O423&gt;($N$4*8/10),($N$4*8/10)^2*(1.5*(O423^2-MAX(N423,($N$4*8/10))^2)-($N$4*8/10)*(O423-MAX(N423,($N$4*8/10)))),0))*1000,0)</f>
        <v>0</v>
      </c>
      <c r="AV423" s="120">
        <f>IF(AND(V423="OK",ISNUMBER($N$5),$N$5&gt;0,ISNUMBER($N$3),$N$3&gt;0),R423/(6*$N$3*1000000*$N$5)*(IF(N423&lt;($N$4*9/10),($N$4*9/10)*(MIN(O423,($N$4*9/10))^3-N423^3)-(MIN(O423,($N$4*9/10))^4-N423^4)/4,0)+IF(O423&gt;($N$4*9/10),($N$4*9/10)^2*(1.5*(O423^2-MAX(N423,($N$4*9/10))^2)-($N$4*9/10)*(O423-MAX(N423,($N$4*9/10)))),0))*1000,0)</f>
        <v>0</v>
      </c>
      <c r="AW423" s="120">
        <f>IF(AND(V423="OK",ISNUMBER($N$5),$N$5&gt;0,ISNUMBER($N$3),$N$3&gt;0),R423/(6*$N$3*1000000*$N$5)*(IF(N423&lt;($N$4*10/10),($N$4*10/10)*(MIN(O423,($N$4*10/10))^3-N423^3)-(MIN(O423,($N$4*10/10))^4-N423^4)/4,0)+IF(O423&gt;($N$4*10/10),($N$4*10/10)^2*(1.5*(O423^2-MAX(N423,($N$4*10/10))^2)-($N$4*10/10)*(O423-MAX(N423,($N$4*10/10)))),0))*1000,0)</f>
        <v>0</v>
      </c>
    </row>
    <row r="424" spans="1:49">
      <c r="A424" s="124"/>
      <c r="B424" s="125"/>
      <c r="C424" s="125"/>
      <c r="D424" s="125"/>
      <c r="E424" s="125"/>
      <c r="F424" s="126" t="str">
        <f>IF(J424="OK",D424*E424,"")</f>
        <v/>
      </c>
      <c r="G424" s="126" t="str">
        <f>IF(J424="OK",F424*(C424-B424),"")</f>
        <v/>
      </c>
      <c r="H424" s="126" t="str">
        <f>IF(J424="OK",G424*(C424+B424)/2,"")</f>
        <v/>
      </c>
      <c r="I424" s="126" t="str">
        <f>IF(AND(J424="OK",ISNUMBER($B$5),$B$5&gt;0,ISNUMBER($B$3),$B$3&gt;0),F424*(4*$B$4*(C424^3-B424^3)-(C424^4-B424^4))/(24*$B$3*1000000*$B$5)*1000,"")</f>
        <v/>
      </c>
      <c r="J424" s="120" t="str">
        <f>IF(COUNTA(A424:E424)=0,"",IF(AND(COUNT(B424:E424)=4,B424&gt;=0,C424&gt;B424,C424&lt;=$B$4,D424&gt;=0,E424&gt;0),IF(COUNTIFS($B$13:$B$423,"&lt;"&amp;C424,$C$13:$C$423,"&gt;"&amp;B424)&gt;0,"OVERLAP","OK"),"CHECK INPUTS"))</f>
        <v/>
      </c>
      <c r="M424" s="124"/>
      <c r="N424" s="125"/>
      <c r="O424" s="125"/>
      <c r="P424" s="125"/>
      <c r="Q424" s="125"/>
      <c r="R424" s="126" t="str">
        <f>IF(V424="OK",P424*Q424,"")</f>
        <v/>
      </c>
      <c r="S424" s="126" t="str">
        <f>IF(V424="OK",R424*(O424-N424),"")</f>
        <v/>
      </c>
      <c r="T424" s="126" t="str">
        <f>IF(V424="OK",S424*(O424+N424)/2,"")</f>
        <v/>
      </c>
      <c r="U424" s="126" t="str">
        <f>IF(AND(V424="OK",ISNUMBER($N$5),$N$5&gt;0,ISNUMBER($N$3),$N$3&gt;0),R424*(4*$N$4*(O424^3-N424^3)-(O424^4-N424^4))/(24*$N$3*1000000*$N$5)*1000,"")</f>
        <v/>
      </c>
      <c r="V424" s="120" t="str">
        <f>IF(COUNTA(M424:Q424)=0,"",IF(AND(COUNT(N424:Q424)=4,N424&gt;=0,O424&gt;N424,O424&lt;=$N$4,P424&gt;=0,Q424&gt;0),IF(COUNTIFS($N$13:$N$423,"&lt;"&amp;O424,$O$13:$O$423,"&gt;"&amp;N424)&gt;0,"OVERLAP","OK"),"CHECK INPUTS"))</f>
        <v/>
      </c>
      <c r="AA424" s="120">
        <f>IF(AND(J424="OK",ISNUMBER($B$5),$B$5&gt;0,ISNUMBER($B$3),$B$3&gt;0),F424/(6*$B$3*1000000*$B$5)*(IF(B424&lt;($B$4*0/10),($B$4*0/10)*(MIN(C424,($B$4*0/10))^3-B424^3)-(MIN(C424,($B$4*0/10))^4-B424^4)/4,0)+IF(C424&gt;($B$4*0/10),($B$4*0/10)^2*(1.5*(C424^2-MAX(B424,($B$4*0/10))^2)-($B$4*0/10)*(C424-MAX(B424,($B$4*0/10)))),0))*1000,0)</f>
        <v>0</v>
      </c>
      <c r="AB424" s="120">
        <f>IF(AND(J424="OK",ISNUMBER($B$5),$B$5&gt;0,ISNUMBER($B$3),$B$3&gt;0),F424/(6*$B$3*1000000*$B$5)*(IF(B424&lt;($B$4*1/10),($B$4*1/10)*(MIN(C424,($B$4*1/10))^3-B424^3)-(MIN(C424,($B$4*1/10))^4-B424^4)/4,0)+IF(C424&gt;($B$4*1/10),($B$4*1/10)^2*(1.5*(C424^2-MAX(B424,($B$4*1/10))^2)-($B$4*1/10)*(C424-MAX(B424,($B$4*1/10)))),0))*1000,0)</f>
        <v>0</v>
      </c>
      <c r="AC424" s="120">
        <f>IF(AND(J424="OK",ISNUMBER($B$5),$B$5&gt;0,ISNUMBER($B$3),$B$3&gt;0),F424/(6*$B$3*1000000*$B$5)*(IF(B424&lt;($B$4*2/10),($B$4*2/10)*(MIN(C424,($B$4*2/10))^3-B424^3)-(MIN(C424,($B$4*2/10))^4-B424^4)/4,0)+IF(C424&gt;($B$4*2/10),($B$4*2/10)^2*(1.5*(C424^2-MAX(B424,($B$4*2/10))^2)-($B$4*2/10)*(C424-MAX(B424,($B$4*2/10)))),0))*1000,0)</f>
        <v>0</v>
      </c>
      <c r="AD424" s="120">
        <f>IF(AND(J424="OK",ISNUMBER($B$5),$B$5&gt;0,ISNUMBER($B$3),$B$3&gt;0),F424/(6*$B$3*1000000*$B$5)*(IF(B424&lt;($B$4*3/10),($B$4*3/10)*(MIN(C424,($B$4*3/10))^3-B424^3)-(MIN(C424,($B$4*3/10))^4-B424^4)/4,0)+IF(C424&gt;($B$4*3/10),($B$4*3/10)^2*(1.5*(C424^2-MAX(B424,($B$4*3/10))^2)-($B$4*3/10)*(C424-MAX(B424,($B$4*3/10)))),0))*1000,0)</f>
        <v>0</v>
      </c>
      <c r="AE424" s="120">
        <f>IF(AND(J424="OK",ISNUMBER($B$5),$B$5&gt;0,ISNUMBER($B$3),$B$3&gt;0),F424/(6*$B$3*1000000*$B$5)*(IF(B424&lt;($B$4*4/10),($B$4*4/10)*(MIN(C424,($B$4*4/10))^3-B424^3)-(MIN(C424,($B$4*4/10))^4-B424^4)/4,0)+IF(C424&gt;($B$4*4/10),($B$4*4/10)^2*(1.5*(C424^2-MAX(B424,($B$4*4/10))^2)-($B$4*4/10)*(C424-MAX(B424,($B$4*4/10)))),0))*1000,0)</f>
        <v>0</v>
      </c>
      <c r="AF424" s="120">
        <f>IF(AND(J424="OK",ISNUMBER($B$5),$B$5&gt;0,ISNUMBER($B$3),$B$3&gt;0),F424/(6*$B$3*1000000*$B$5)*(IF(B424&lt;($B$4*5/10),($B$4*5/10)*(MIN(C424,($B$4*5/10))^3-B424^3)-(MIN(C424,($B$4*5/10))^4-B424^4)/4,0)+IF(C424&gt;($B$4*5/10),($B$4*5/10)^2*(1.5*(C424^2-MAX(B424,($B$4*5/10))^2)-($B$4*5/10)*(C424-MAX(B424,($B$4*5/10)))),0))*1000,0)</f>
        <v>0</v>
      </c>
      <c r="AG424" s="120">
        <f>IF(AND(J424="OK",ISNUMBER($B$5),$B$5&gt;0,ISNUMBER($B$3),$B$3&gt;0),F424/(6*$B$3*1000000*$B$5)*(IF(B424&lt;($B$4*6/10),($B$4*6/10)*(MIN(C424,($B$4*6/10))^3-B424^3)-(MIN(C424,($B$4*6/10))^4-B424^4)/4,0)+IF(C424&gt;($B$4*6/10),($B$4*6/10)^2*(1.5*(C424^2-MAX(B424,($B$4*6/10))^2)-($B$4*6/10)*(C424-MAX(B424,($B$4*6/10)))),0))*1000,0)</f>
        <v>0</v>
      </c>
      <c r="AH424" s="120">
        <f>IF(AND(J424="OK",ISNUMBER($B$5),$B$5&gt;0,ISNUMBER($B$3),$B$3&gt;0),F424/(6*$B$3*1000000*$B$5)*(IF(B424&lt;($B$4*7/10),($B$4*7/10)*(MIN(C424,($B$4*7/10))^3-B424^3)-(MIN(C424,($B$4*7/10))^4-B424^4)/4,0)+IF(C424&gt;($B$4*7/10),($B$4*7/10)^2*(1.5*(C424^2-MAX(B424,($B$4*7/10))^2)-($B$4*7/10)*(C424-MAX(B424,($B$4*7/10)))),0))*1000,0)</f>
        <v>0</v>
      </c>
      <c r="AI424" s="120">
        <f>IF(AND(J424="OK",ISNUMBER($B$5),$B$5&gt;0,ISNUMBER($B$3),$B$3&gt;0),F424/(6*$B$3*1000000*$B$5)*(IF(B424&lt;($B$4*8/10),($B$4*8/10)*(MIN(C424,($B$4*8/10))^3-B424^3)-(MIN(C424,($B$4*8/10))^4-B424^4)/4,0)+IF(C424&gt;($B$4*8/10),($B$4*8/10)^2*(1.5*(C424^2-MAX(B424,($B$4*8/10))^2)-($B$4*8/10)*(C424-MAX(B424,($B$4*8/10)))),0))*1000,0)</f>
        <v>0</v>
      </c>
      <c r="AJ424" s="120">
        <f>IF(AND(J424="OK",ISNUMBER($B$5),$B$5&gt;0,ISNUMBER($B$3),$B$3&gt;0),F424/(6*$B$3*1000000*$B$5)*(IF(B424&lt;($B$4*9/10),($B$4*9/10)*(MIN(C424,($B$4*9/10))^3-B424^3)-(MIN(C424,($B$4*9/10))^4-B424^4)/4,0)+IF(C424&gt;($B$4*9/10),($B$4*9/10)^2*(1.5*(C424^2-MAX(B424,($B$4*9/10))^2)-($B$4*9/10)*(C424-MAX(B424,($B$4*9/10)))),0))*1000,0)</f>
        <v>0</v>
      </c>
      <c r="AK424" s="120">
        <f>IF(AND(J424="OK",ISNUMBER($B$5),$B$5&gt;0,ISNUMBER($B$3),$B$3&gt;0),F424/(6*$B$3*1000000*$B$5)*(IF(B424&lt;($B$4*10/10),($B$4*10/10)*(MIN(C424,($B$4*10/10))^3-B424^3)-(MIN(C424,($B$4*10/10))^4-B424^4)/4,0)+IF(C424&gt;($B$4*10/10),($B$4*10/10)^2*(1.5*(C424^2-MAX(B424,($B$4*10/10))^2)-($B$4*10/10)*(C424-MAX(B424,($B$4*10/10)))),0))*1000,0)</f>
        <v>0</v>
      </c>
      <c r="AM424" s="120">
        <f>IF(AND(V424="OK",ISNUMBER($N$5),$N$5&gt;0,ISNUMBER($N$3),$N$3&gt;0),R424/(6*$N$3*1000000*$N$5)*(IF(N424&lt;($N$4*0/10),($N$4*0/10)*(MIN(O424,($N$4*0/10))^3-N424^3)-(MIN(O424,($N$4*0/10))^4-N424^4)/4,0)+IF(O424&gt;($N$4*0/10),($N$4*0/10)^2*(1.5*(O424^2-MAX(N424,($N$4*0/10))^2)-($N$4*0/10)*(O424-MAX(N424,($N$4*0/10)))),0))*1000,0)</f>
        <v>0</v>
      </c>
      <c r="AN424" s="120">
        <f>IF(AND(V424="OK",ISNUMBER($N$5),$N$5&gt;0,ISNUMBER($N$3),$N$3&gt;0),R424/(6*$N$3*1000000*$N$5)*(IF(N424&lt;($N$4*1/10),($N$4*1/10)*(MIN(O424,($N$4*1/10))^3-N424^3)-(MIN(O424,($N$4*1/10))^4-N424^4)/4,0)+IF(O424&gt;($N$4*1/10),($N$4*1/10)^2*(1.5*(O424^2-MAX(N424,($N$4*1/10))^2)-($N$4*1/10)*(O424-MAX(N424,($N$4*1/10)))),0))*1000,0)</f>
        <v>0</v>
      </c>
      <c r="AO424" s="120">
        <f>IF(AND(V424="OK",ISNUMBER($N$5),$N$5&gt;0,ISNUMBER($N$3),$N$3&gt;0),R424/(6*$N$3*1000000*$N$5)*(IF(N424&lt;($N$4*2/10),($N$4*2/10)*(MIN(O424,($N$4*2/10))^3-N424^3)-(MIN(O424,($N$4*2/10))^4-N424^4)/4,0)+IF(O424&gt;($N$4*2/10),($N$4*2/10)^2*(1.5*(O424^2-MAX(N424,($N$4*2/10))^2)-($N$4*2/10)*(O424-MAX(N424,($N$4*2/10)))),0))*1000,0)</f>
        <v>0</v>
      </c>
      <c r="AP424" s="120">
        <f>IF(AND(V424="OK",ISNUMBER($N$5),$N$5&gt;0,ISNUMBER($N$3),$N$3&gt;0),R424/(6*$N$3*1000000*$N$5)*(IF(N424&lt;($N$4*3/10),($N$4*3/10)*(MIN(O424,($N$4*3/10))^3-N424^3)-(MIN(O424,($N$4*3/10))^4-N424^4)/4,0)+IF(O424&gt;($N$4*3/10),($N$4*3/10)^2*(1.5*(O424^2-MAX(N424,($N$4*3/10))^2)-($N$4*3/10)*(O424-MAX(N424,($N$4*3/10)))),0))*1000,0)</f>
        <v>0</v>
      </c>
      <c r="AQ424" s="120">
        <f>IF(AND(V424="OK",ISNUMBER($N$5),$N$5&gt;0,ISNUMBER($N$3),$N$3&gt;0),R424/(6*$N$3*1000000*$N$5)*(IF(N424&lt;($N$4*4/10),($N$4*4/10)*(MIN(O424,($N$4*4/10))^3-N424^3)-(MIN(O424,($N$4*4/10))^4-N424^4)/4,0)+IF(O424&gt;($N$4*4/10),($N$4*4/10)^2*(1.5*(O424^2-MAX(N424,($N$4*4/10))^2)-($N$4*4/10)*(O424-MAX(N424,($N$4*4/10)))),0))*1000,0)</f>
        <v>0</v>
      </c>
      <c r="AR424" s="120">
        <f>IF(AND(V424="OK",ISNUMBER($N$5),$N$5&gt;0,ISNUMBER($N$3),$N$3&gt;0),R424/(6*$N$3*1000000*$N$5)*(IF(N424&lt;($N$4*5/10),($N$4*5/10)*(MIN(O424,($N$4*5/10))^3-N424^3)-(MIN(O424,($N$4*5/10))^4-N424^4)/4,0)+IF(O424&gt;($N$4*5/10),($N$4*5/10)^2*(1.5*(O424^2-MAX(N424,($N$4*5/10))^2)-($N$4*5/10)*(O424-MAX(N424,($N$4*5/10)))),0))*1000,0)</f>
        <v>0</v>
      </c>
      <c r="AS424" s="120">
        <f>IF(AND(V424="OK",ISNUMBER($N$5),$N$5&gt;0,ISNUMBER($N$3),$N$3&gt;0),R424/(6*$N$3*1000000*$N$5)*(IF(N424&lt;($N$4*6/10),($N$4*6/10)*(MIN(O424,($N$4*6/10))^3-N424^3)-(MIN(O424,($N$4*6/10))^4-N424^4)/4,0)+IF(O424&gt;($N$4*6/10),($N$4*6/10)^2*(1.5*(O424^2-MAX(N424,($N$4*6/10))^2)-($N$4*6/10)*(O424-MAX(N424,($N$4*6/10)))),0))*1000,0)</f>
        <v>0</v>
      </c>
      <c r="AT424" s="120">
        <f>IF(AND(V424="OK",ISNUMBER($N$5),$N$5&gt;0,ISNUMBER($N$3),$N$3&gt;0),R424/(6*$N$3*1000000*$N$5)*(IF(N424&lt;($N$4*7/10),($N$4*7/10)*(MIN(O424,($N$4*7/10))^3-N424^3)-(MIN(O424,($N$4*7/10))^4-N424^4)/4,0)+IF(O424&gt;($N$4*7/10),($N$4*7/10)^2*(1.5*(O424^2-MAX(N424,($N$4*7/10))^2)-($N$4*7/10)*(O424-MAX(N424,($N$4*7/10)))),0))*1000,0)</f>
        <v>0</v>
      </c>
      <c r="AU424" s="120">
        <f>IF(AND(V424="OK",ISNUMBER($N$5),$N$5&gt;0,ISNUMBER($N$3),$N$3&gt;0),R424/(6*$N$3*1000000*$N$5)*(IF(N424&lt;($N$4*8/10),($N$4*8/10)*(MIN(O424,($N$4*8/10))^3-N424^3)-(MIN(O424,($N$4*8/10))^4-N424^4)/4,0)+IF(O424&gt;($N$4*8/10),($N$4*8/10)^2*(1.5*(O424^2-MAX(N424,($N$4*8/10))^2)-($N$4*8/10)*(O424-MAX(N424,($N$4*8/10)))),0))*1000,0)</f>
        <v>0</v>
      </c>
      <c r="AV424" s="120">
        <f>IF(AND(V424="OK",ISNUMBER($N$5),$N$5&gt;0,ISNUMBER($N$3),$N$3&gt;0),R424/(6*$N$3*1000000*$N$5)*(IF(N424&lt;($N$4*9/10),($N$4*9/10)*(MIN(O424,($N$4*9/10))^3-N424^3)-(MIN(O424,($N$4*9/10))^4-N424^4)/4,0)+IF(O424&gt;($N$4*9/10),($N$4*9/10)^2*(1.5*(O424^2-MAX(N424,($N$4*9/10))^2)-($N$4*9/10)*(O424-MAX(N424,($N$4*9/10)))),0))*1000,0)</f>
        <v>0</v>
      </c>
      <c r="AW424" s="120">
        <f>IF(AND(V424="OK",ISNUMBER($N$5),$N$5&gt;0,ISNUMBER($N$3),$N$3&gt;0),R424/(6*$N$3*1000000*$N$5)*(IF(N424&lt;($N$4*10/10),($N$4*10/10)*(MIN(O424,($N$4*10/10))^3-N424^3)-(MIN(O424,($N$4*10/10))^4-N424^4)/4,0)+IF(O424&gt;($N$4*10/10),($N$4*10/10)^2*(1.5*(O424^2-MAX(N424,($N$4*10/10))^2)-($N$4*10/10)*(O424-MAX(N424,($N$4*10/10)))),0))*1000,0)</f>
        <v>0</v>
      </c>
    </row>
    <row r="425" spans="1:49">
      <c r="A425" s="124"/>
      <c r="B425" s="125"/>
      <c r="C425" s="125"/>
      <c r="D425" s="125"/>
      <c r="E425" s="125"/>
      <c r="F425" s="126" t="str">
        <f>IF(J425="OK",D425*E425,"")</f>
        <v/>
      </c>
      <c r="G425" s="126" t="str">
        <f>IF(J425="OK",F425*(C425-B425),"")</f>
        <v/>
      </c>
      <c r="H425" s="126" t="str">
        <f>IF(J425="OK",G425*(C425+B425)/2,"")</f>
        <v/>
      </c>
      <c r="I425" s="126" t="str">
        <f>IF(AND(J425="OK",ISNUMBER($B$5),$B$5&gt;0,ISNUMBER($B$3),$B$3&gt;0),F425*(4*$B$4*(C425^3-B425^3)-(C425^4-B425^4))/(24*$B$3*1000000*$B$5)*1000,"")</f>
        <v/>
      </c>
      <c r="J425" s="120" t="str">
        <f>IF(COUNTA(A425:E425)=0,"",IF(AND(COUNT(B425:E425)=4,B425&gt;=0,C425&gt;B425,C425&lt;=$B$4,D425&gt;=0,E425&gt;0),IF(COUNTIFS($B$13:$B$424,"&lt;"&amp;C425,$C$13:$C$424,"&gt;"&amp;B425)&gt;0,"OVERLAP","OK"),"CHECK INPUTS"))</f>
        <v/>
      </c>
      <c r="M425" s="124"/>
      <c r="N425" s="125"/>
      <c r="O425" s="125"/>
      <c r="P425" s="125"/>
      <c r="Q425" s="125"/>
      <c r="R425" s="126" t="str">
        <f>IF(V425="OK",P425*Q425,"")</f>
        <v/>
      </c>
      <c r="S425" s="126" t="str">
        <f>IF(V425="OK",R425*(O425-N425),"")</f>
        <v/>
      </c>
      <c r="T425" s="126" t="str">
        <f>IF(V425="OK",S425*(O425+N425)/2,"")</f>
        <v/>
      </c>
      <c r="U425" s="126" t="str">
        <f>IF(AND(V425="OK",ISNUMBER($N$5),$N$5&gt;0,ISNUMBER($N$3),$N$3&gt;0),R425*(4*$N$4*(O425^3-N425^3)-(O425^4-N425^4))/(24*$N$3*1000000*$N$5)*1000,"")</f>
        <v/>
      </c>
      <c r="V425" s="120" t="str">
        <f>IF(COUNTA(M425:Q425)=0,"",IF(AND(COUNT(N425:Q425)=4,N425&gt;=0,O425&gt;N425,O425&lt;=$N$4,P425&gt;=0,Q425&gt;0),IF(COUNTIFS($N$13:$N$424,"&lt;"&amp;O425,$O$13:$O$424,"&gt;"&amp;N425)&gt;0,"OVERLAP","OK"),"CHECK INPUTS"))</f>
        <v/>
      </c>
      <c r="AA425" s="120">
        <f>IF(AND(J425="OK",ISNUMBER($B$5),$B$5&gt;0,ISNUMBER($B$3),$B$3&gt;0),F425/(6*$B$3*1000000*$B$5)*(IF(B425&lt;($B$4*0/10),($B$4*0/10)*(MIN(C425,($B$4*0/10))^3-B425^3)-(MIN(C425,($B$4*0/10))^4-B425^4)/4,0)+IF(C425&gt;($B$4*0/10),($B$4*0/10)^2*(1.5*(C425^2-MAX(B425,($B$4*0/10))^2)-($B$4*0/10)*(C425-MAX(B425,($B$4*0/10)))),0))*1000,0)</f>
        <v>0</v>
      </c>
      <c r="AB425" s="120">
        <f>IF(AND(J425="OK",ISNUMBER($B$5),$B$5&gt;0,ISNUMBER($B$3),$B$3&gt;0),F425/(6*$B$3*1000000*$B$5)*(IF(B425&lt;($B$4*1/10),($B$4*1/10)*(MIN(C425,($B$4*1/10))^3-B425^3)-(MIN(C425,($B$4*1/10))^4-B425^4)/4,0)+IF(C425&gt;($B$4*1/10),($B$4*1/10)^2*(1.5*(C425^2-MAX(B425,($B$4*1/10))^2)-($B$4*1/10)*(C425-MAX(B425,($B$4*1/10)))),0))*1000,0)</f>
        <v>0</v>
      </c>
      <c r="AC425" s="120">
        <f>IF(AND(J425="OK",ISNUMBER($B$5),$B$5&gt;0,ISNUMBER($B$3),$B$3&gt;0),F425/(6*$B$3*1000000*$B$5)*(IF(B425&lt;($B$4*2/10),($B$4*2/10)*(MIN(C425,($B$4*2/10))^3-B425^3)-(MIN(C425,($B$4*2/10))^4-B425^4)/4,0)+IF(C425&gt;($B$4*2/10),($B$4*2/10)^2*(1.5*(C425^2-MAX(B425,($B$4*2/10))^2)-($B$4*2/10)*(C425-MAX(B425,($B$4*2/10)))),0))*1000,0)</f>
        <v>0</v>
      </c>
      <c r="AD425" s="120">
        <f>IF(AND(J425="OK",ISNUMBER($B$5),$B$5&gt;0,ISNUMBER($B$3),$B$3&gt;0),F425/(6*$B$3*1000000*$B$5)*(IF(B425&lt;($B$4*3/10),($B$4*3/10)*(MIN(C425,($B$4*3/10))^3-B425^3)-(MIN(C425,($B$4*3/10))^4-B425^4)/4,0)+IF(C425&gt;($B$4*3/10),($B$4*3/10)^2*(1.5*(C425^2-MAX(B425,($B$4*3/10))^2)-($B$4*3/10)*(C425-MAX(B425,($B$4*3/10)))),0))*1000,0)</f>
        <v>0</v>
      </c>
      <c r="AE425" s="120">
        <f>IF(AND(J425="OK",ISNUMBER($B$5),$B$5&gt;0,ISNUMBER($B$3),$B$3&gt;0),F425/(6*$B$3*1000000*$B$5)*(IF(B425&lt;($B$4*4/10),($B$4*4/10)*(MIN(C425,($B$4*4/10))^3-B425^3)-(MIN(C425,($B$4*4/10))^4-B425^4)/4,0)+IF(C425&gt;($B$4*4/10),($B$4*4/10)^2*(1.5*(C425^2-MAX(B425,($B$4*4/10))^2)-($B$4*4/10)*(C425-MAX(B425,($B$4*4/10)))),0))*1000,0)</f>
        <v>0</v>
      </c>
      <c r="AF425" s="120">
        <f>IF(AND(J425="OK",ISNUMBER($B$5),$B$5&gt;0,ISNUMBER($B$3),$B$3&gt;0),F425/(6*$B$3*1000000*$B$5)*(IF(B425&lt;($B$4*5/10),($B$4*5/10)*(MIN(C425,($B$4*5/10))^3-B425^3)-(MIN(C425,($B$4*5/10))^4-B425^4)/4,0)+IF(C425&gt;($B$4*5/10),($B$4*5/10)^2*(1.5*(C425^2-MAX(B425,($B$4*5/10))^2)-($B$4*5/10)*(C425-MAX(B425,($B$4*5/10)))),0))*1000,0)</f>
        <v>0</v>
      </c>
      <c r="AG425" s="120">
        <f>IF(AND(J425="OK",ISNUMBER($B$5),$B$5&gt;0,ISNUMBER($B$3),$B$3&gt;0),F425/(6*$B$3*1000000*$B$5)*(IF(B425&lt;($B$4*6/10),($B$4*6/10)*(MIN(C425,($B$4*6/10))^3-B425^3)-(MIN(C425,($B$4*6/10))^4-B425^4)/4,0)+IF(C425&gt;($B$4*6/10),($B$4*6/10)^2*(1.5*(C425^2-MAX(B425,($B$4*6/10))^2)-($B$4*6/10)*(C425-MAX(B425,($B$4*6/10)))),0))*1000,0)</f>
        <v>0</v>
      </c>
      <c r="AH425" s="120">
        <f>IF(AND(J425="OK",ISNUMBER($B$5),$B$5&gt;0,ISNUMBER($B$3),$B$3&gt;0),F425/(6*$B$3*1000000*$B$5)*(IF(B425&lt;($B$4*7/10),($B$4*7/10)*(MIN(C425,($B$4*7/10))^3-B425^3)-(MIN(C425,($B$4*7/10))^4-B425^4)/4,0)+IF(C425&gt;($B$4*7/10),($B$4*7/10)^2*(1.5*(C425^2-MAX(B425,($B$4*7/10))^2)-($B$4*7/10)*(C425-MAX(B425,($B$4*7/10)))),0))*1000,0)</f>
        <v>0</v>
      </c>
      <c r="AI425" s="120">
        <f>IF(AND(J425="OK",ISNUMBER($B$5),$B$5&gt;0,ISNUMBER($B$3),$B$3&gt;0),F425/(6*$B$3*1000000*$B$5)*(IF(B425&lt;($B$4*8/10),($B$4*8/10)*(MIN(C425,($B$4*8/10))^3-B425^3)-(MIN(C425,($B$4*8/10))^4-B425^4)/4,0)+IF(C425&gt;($B$4*8/10),($B$4*8/10)^2*(1.5*(C425^2-MAX(B425,($B$4*8/10))^2)-($B$4*8/10)*(C425-MAX(B425,($B$4*8/10)))),0))*1000,0)</f>
        <v>0</v>
      </c>
      <c r="AJ425" s="120">
        <f>IF(AND(J425="OK",ISNUMBER($B$5),$B$5&gt;0,ISNUMBER($B$3),$B$3&gt;0),F425/(6*$B$3*1000000*$B$5)*(IF(B425&lt;($B$4*9/10),($B$4*9/10)*(MIN(C425,($B$4*9/10))^3-B425^3)-(MIN(C425,($B$4*9/10))^4-B425^4)/4,0)+IF(C425&gt;($B$4*9/10),($B$4*9/10)^2*(1.5*(C425^2-MAX(B425,($B$4*9/10))^2)-($B$4*9/10)*(C425-MAX(B425,($B$4*9/10)))),0))*1000,0)</f>
        <v>0</v>
      </c>
      <c r="AK425" s="120">
        <f>IF(AND(J425="OK",ISNUMBER($B$5),$B$5&gt;0,ISNUMBER($B$3),$B$3&gt;0),F425/(6*$B$3*1000000*$B$5)*(IF(B425&lt;($B$4*10/10),($B$4*10/10)*(MIN(C425,($B$4*10/10))^3-B425^3)-(MIN(C425,($B$4*10/10))^4-B425^4)/4,0)+IF(C425&gt;($B$4*10/10),($B$4*10/10)^2*(1.5*(C425^2-MAX(B425,($B$4*10/10))^2)-($B$4*10/10)*(C425-MAX(B425,($B$4*10/10)))),0))*1000,0)</f>
        <v>0</v>
      </c>
      <c r="AM425" s="120">
        <f>IF(AND(V425="OK",ISNUMBER($N$5),$N$5&gt;0,ISNUMBER($N$3),$N$3&gt;0),R425/(6*$N$3*1000000*$N$5)*(IF(N425&lt;($N$4*0/10),($N$4*0/10)*(MIN(O425,($N$4*0/10))^3-N425^3)-(MIN(O425,($N$4*0/10))^4-N425^4)/4,0)+IF(O425&gt;($N$4*0/10),($N$4*0/10)^2*(1.5*(O425^2-MAX(N425,($N$4*0/10))^2)-($N$4*0/10)*(O425-MAX(N425,($N$4*0/10)))),0))*1000,0)</f>
        <v>0</v>
      </c>
      <c r="AN425" s="120">
        <f>IF(AND(V425="OK",ISNUMBER($N$5),$N$5&gt;0,ISNUMBER($N$3),$N$3&gt;0),R425/(6*$N$3*1000000*$N$5)*(IF(N425&lt;($N$4*1/10),($N$4*1/10)*(MIN(O425,($N$4*1/10))^3-N425^3)-(MIN(O425,($N$4*1/10))^4-N425^4)/4,0)+IF(O425&gt;($N$4*1/10),($N$4*1/10)^2*(1.5*(O425^2-MAX(N425,($N$4*1/10))^2)-($N$4*1/10)*(O425-MAX(N425,($N$4*1/10)))),0))*1000,0)</f>
        <v>0</v>
      </c>
      <c r="AO425" s="120">
        <f>IF(AND(V425="OK",ISNUMBER($N$5),$N$5&gt;0,ISNUMBER($N$3),$N$3&gt;0),R425/(6*$N$3*1000000*$N$5)*(IF(N425&lt;($N$4*2/10),($N$4*2/10)*(MIN(O425,($N$4*2/10))^3-N425^3)-(MIN(O425,($N$4*2/10))^4-N425^4)/4,0)+IF(O425&gt;($N$4*2/10),($N$4*2/10)^2*(1.5*(O425^2-MAX(N425,($N$4*2/10))^2)-($N$4*2/10)*(O425-MAX(N425,($N$4*2/10)))),0))*1000,0)</f>
        <v>0</v>
      </c>
      <c r="AP425" s="120">
        <f>IF(AND(V425="OK",ISNUMBER($N$5),$N$5&gt;0,ISNUMBER($N$3),$N$3&gt;0),R425/(6*$N$3*1000000*$N$5)*(IF(N425&lt;($N$4*3/10),($N$4*3/10)*(MIN(O425,($N$4*3/10))^3-N425^3)-(MIN(O425,($N$4*3/10))^4-N425^4)/4,0)+IF(O425&gt;($N$4*3/10),($N$4*3/10)^2*(1.5*(O425^2-MAX(N425,($N$4*3/10))^2)-($N$4*3/10)*(O425-MAX(N425,($N$4*3/10)))),0))*1000,0)</f>
        <v>0</v>
      </c>
      <c r="AQ425" s="120">
        <f>IF(AND(V425="OK",ISNUMBER($N$5),$N$5&gt;0,ISNUMBER($N$3),$N$3&gt;0),R425/(6*$N$3*1000000*$N$5)*(IF(N425&lt;($N$4*4/10),($N$4*4/10)*(MIN(O425,($N$4*4/10))^3-N425^3)-(MIN(O425,($N$4*4/10))^4-N425^4)/4,0)+IF(O425&gt;($N$4*4/10),($N$4*4/10)^2*(1.5*(O425^2-MAX(N425,($N$4*4/10))^2)-($N$4*4/10)*(O425-MAX(N425,($N$4*4/10)))),0))*1000,0)</f>
        <v>0</v>
      </c>
      <c r="AR425" s="120">
        <f>IF(AND(V425="OK",ISNUMBER($N$5),$N$5&gt;0,ISNUMBER($N$3),$N$3&gt;0),R425/(6*$N$3*1000000*$N$5)*(IF(N425&lt;($N$4*5/10),($N$4*5/10)*(MIN(O425,($N$4*5/10))^3-N425^3)-(MIN(O425,($N$4*5/10))^4-N425^4)/4,0)+IF(O425&gt;($N$4*5/10),($N$4*5/10)^2*(1.5*(O425^2-MAX(N425,($N$4*5/10))^2)-($N$4*5/10)*(O425-MAX(N425,($N$4*5/10)))),0))*1000,0)</f>
        <v>0</v>
      </c>
      <c r="AS425" s="120">
        <f>IF(AND(V425="OK",ISNUMBER($N$5),$N$5&gt;0,ISNUMBER($N$3),$N$3&gt;0),R425/(6*$N$3*1000000*$N$5)*(IF(N425&lt;($N$4*6/10),($N$4*6/10)*(MIN(O425,($N$4*6/10))^3-N425^3)-(MIN(O425,($N$4*6/10))^4-N425^4)/4,0)+IF(O425&gt;($N$4*6/10),($N$4*6/10)^2*(1.5*(O425^2-MAX(N425,($N$4*6/10))^2)-($N$4*6/10)*(O425-MAX(N425,($N$4*6/10)))),0))*1000,0)</f>
        <v>0</v>
      </c>
      <c r="AT425" s="120">
        <f>IF(AND(V425="OK",ISNUMBER($N$5),$N$5&gt;0,ISNUMBER($N$3),$N$3&gt;0),R425/(6*$N$3*1000000*$N$5)*(IF(N425&lt;($N$4*7/10),($N$4*7/10)*(MIN(O425,($N$4*7/10))^3-N425^3)-(MIN(O425,($N$4*7/10))^4-N425^4)/4,0)+IF(O425&gt;($N$4*7/10),($N$4*7/10)^2*(1.5*(O425^2-MAX(N425,($N$4*7/10))^2)-($N$4*7/10)*(O425-MAX(N425,($N$4*7/10)))),0))*1000,0)</f>
        <v>0</v>
      </c>
      <c r="AU425" s="120">
        <f>IF(AND(V425="OK",ISNUMBER($N$5),$N$5&gt;0,ISNUMBER($N$3),$N$3&gt;0),R425/(6*$N$3*1000000*$N$5)*(IF(N425&lt;($N$4*8/10),($N$4*8/10)*(MIN(O425,($N$4*8/10))^3-N425^3)-(MIN(O425,($N$4*8/10))^4-N425^4)/4,0)+IF(O425&gt;($N$4*8/10),($N$4*8/10)^2*(1.5*(O425^2-MAX(N425,($N$4*8/10))^2)-($N$4*8/10)*(O425-MAX(N425,($N$4*8/10)))),0))*1000,0)</f>
        <v>0</v>
      </c>
      <c r="AV425" s="120">
        <f>IF(AND(V425="OK",ISNUMBER($N$5),$N$5&gt;0,ISNUMBER($N$3),$N$3&gt;0),R425/(6*$N$3*1000000*$N$5)*(IF(N425&lt;($N$4*9/10),($N$4*9/10)*(MIN(O425,($N$4*9/10))^3-N425^3)-(MIN(O425,($N$4*9/10))^4-N425^4)/4,0)+IF(O425&gt;($N$4*9/10),($N$4*9/10)^2*(1.5*(O425^2-MAX(N425,($N$4*9/10))^2)-($N$4*9/10)*(O425-MAX(N425,($N$4*9/10)))),0))*1000,0)</f>
        <v>0</v>
      </c>
      <c r="AW425" s="120">
        <f>IF(AND(V425="OK",ISNUMBER($N$5),$N$5&gt;0,ISNUMBER($N$3),$N$3&gt;0),R425/(6*$N$3*1000000*$N$5)*(IF(N425&lt;($N$4*10/10),($N$4*10/10)*(MIN(O425,($N$4*10/10))^3-N425^3)-(MIN(O425,($N$4*10/10))^4-N425^4)/4,0)+IF(O425&gt;($N$4*10/10),($N$4*10/10)^2*(1.5*(O425^2-MAX(N425,($N$4*10/10))^2)-($N$4*10/10)*(O425-MAX(N425,($N$4*10/10)))),0))*1000,0)</f>
        <v>0</v>
      </c>
    </row>
    <row r="426" spans="1:49">
      <c r="A426" s="124"/>
      <c r="B426" s="125"/>
      <c r="C426" s="125"/>
      <c r="D426" s="125"/>
      <c r="E426" s="125"/>
      <c r="F426" s="126" t="str">
        <f>IF(J426="OK",D426*E426,"")</f>
        <v/>
      </c>
      <c r="G426" s="126" t="str">
        <f>IF(J426="OK",F426*(C426-B426),"")</f>
        <v/>
      </c>
      <c r="H426" s="126" t="str">
        <f>IF(J426="OK",G426*(C426+B426)/2,"")</f>
        <v/>
      </c>
      <c r="I426" s="126" t="str">
        <f>IF(AND(J426="OK",ISNUMBER($B$5),$B$5&gt;0,ISNUMBER($B$3),$B$3&gt;0),F426*(4*$B$4*(C426^3-B426^3)-(C426^4-B426^4))/(24*$B$3*1000000*$B$5)*1000,"")</f>
        <v/>
      </c>
      <c r="J426" s="120" t="str">
        <f>IF(COUNTA(A426:E426)=0,"",IF(AND(COUNT(B426:E426)=4,B426&gt;=0,C426&gt;B426,C426&lt;=$B$4,D426&gt;=0,E426&gt;0),IF(COUNTIFS($B$13:$B$425,"&lt;"&amp;C426,$C$13:$C$425,"&gt;"&amp;B426)&gt;0,"OVERLAP","OK"),"CHECK INPUTS"))</f>
        <v/>
      </c>
      <c r="M426" s="124"/>
      <c r="N426" s="125"/>
      <c r="O426" s="125"/>
      <c r="P426" s="125"/>
      <c r="Q426" s="125"/>
      <c r="R426" s="126" t="str">
        <f>IF(V426="OK",P426*Q426,"")</f>
        <v/>
      </c>
      <c r="S426" s="126" t="str">
        <f>IF(V426="OK",R426*(O426-N426),"")</f>
        <v/>
      </c>
      <c r="T426" s="126" t="str">
        <f>IF(V426="OK",S426*(O426+N426)/2,"")</f>
        <v/>
      </c>
      <c r="U426" s="126" t="str">
        <f>IF(AND(V426="OK",ISNUMBER($N$5),$N$5&gt;0,ISNUMBER($N$3),$N$3&gt;0),R426*(4*$N$4*(O426^3-N426^3)-(O426^4-N426^4))/(24*$N$3*1000000*$N$5)*1000,"")</f>
        <v/>
      </c>
      <c r="V426" s="120" t="str">
        <f>IF(COUNTA(M426:Q426)=0,"",IF(AND(COUNT(N426:Q426)=4,N426&gt;=0,O426&gt;N426,O426&lt;=$N$4,P426&gt;=0,Q426&gt;0),IF(COUNTIFS($N$13:$N$425,"&lt;"&amp;O426,$O$13:$O$425,"&gt;"&amp;N426)&gt;0,"OVERLAP","OK"),"CHECK INPUTS"))</f>
        <v/>
      </c>
      <c r="AA426" s="120">
        <f>IF(AND(J426="OK",ISNUMBER($B$5),$B$5&gt;0,ISNUMBER($B$3),$B$3&gt;0),F426/(6*$B$3*1000000*$B$5)*(IF(B426&lt;($B$4*0/10),($B$4*0/10)*(MIN(C426,($B$4*0/10))^3-B426^3)-(MIN(C426,($B$4*0/10))^4-B426^4)/4,0)+IF(C426&gt;($B$4*0/10),($B$4*0/10)^2*(1.5*(C426^2-MAX(B426,($B$4*0/10))^2)-($B$4*0/10)*(C426-MAX(B426,($B$4*0/10)))),0))*1000,0)</f>
        <v>0</v>
      </c>
      <c r="AB426" s="120">
        <f>IF(AND(J426="OK",ISNUMBER($B$5),$B$5&gt;0,ISNUMBER($B$3),$B$3&gt;0),F426/(6*$B$3*1000000*$B$5)*(IF(B426&lt;($B$4*1/10),($B$4*1/10)*(MIN(C426,($B$4*1/10))^3-B426^3)-(MIN(C426,($B$4*1/10))^4-B426^4)/4,0)+IF(C426&gt;($B$4*1/10),($B$4*1/10)^2*(1.5*(C426^2-MAX(B426,($B$4*1/10))^2)-($B$4*1/10)*(C426-MAX(B426,($B$4*1/10)))),0))*1000,0)</f>
        <v>0</v>
      </c>
      <c r="AC426" s="120">
        <f>IF(AND(J426="OK",ISNUMBER($B$5),$B$5&gt;0,ISNUMBER($B$3),$B$3&gt;0),F426/(6*$B$3*1000000*$B$5)*(IF(B426&lt;($B$4*2/10),($B$4*2/10)*(MIN(C426,($B$4*2/10))^3-B426^3)-(MIN(C426,($B$4*2/10))^4-B426^4)/4,0)+IF(C426&gt;($B$4*2/10),($B$4*2/10)^2*(1.5*(C426^2-MAX(B426,($B$4*2/10))^2)-($B$4*2/10)*(C426-MAX(B426,($B$4*2/10)))),0))*1000,0)</f>
        <v>0</v>
      </c>
      <c r="AD426" s="120">
        <f>IF(AND(J426="OK",ISNUMBER($B$5),$B$5&gt;0,ISNUMBER($B$3),$B$3&gt;0),F426/(6*$B$3*1000000*$B$5)*(IF(B426&lt;($B$4*3/10),($B$4*3/10)*(MIN(C426,($B$4*3/10))^3-B426^3)-(MIN(C426,($B$4*3/10))^4-B426^4)/4,0)+IF(C426&gt;($B$4*3/10),($B$4*3/10)^2*(1.5*(C426^2-MAX(B426,($B$4*3/10))^2)-($B$4*3/10)*(C426-MAX(B426,($B$4*3/10)))),0))*1000,0)</f>
        <v>0</v>
      </c>
      <c r="AE426" s="120">
        <f>IF(AND(J426="OK",ISNUMBER($B$5),$B$5&gt;0,ISNUMBER($B$3),$B$3&gt;0),F426/(6*$B$3*1000000*$B$5)*(IF(B426&lt;($B$4*4/10),($B$4*4/10)*(MIN(C426,($B$4*4/10))^3-B426^3)-(MIN(C426,($B$4*4/10))^4-B426^4)/4,0)+IF(C426&gt;($B$4*4/10),($B$4*4/10)^2*(1.5*(C426^2-MAX(B426,($B$4*4/10))^2)-($B$4*4/10)*(C426-MAX(B426,($B$4*4/10)))),0))*1000,0)</f>
        <v>0</v>
      </c>
      <c r="AF426" s="120">
        <f>IF(AND(J426="OK",ISNUMBER($B$5),$B$5&gt;0,ISNUMBER($B$3),$B$3&gt;0),F426/(6*$B$3*1000000*$B$5)*(IF(B426&lt;($B$4*5/10),($B$4*5/10)*(MIN(C426,($B$4*5/10))^3-B426^3)-(MIN(C426,($B$4*5/10))^4-B426^4)/4,0)+IF(C426&gt;($B$4*5/10),($B$4*5/10)^2*(1.5*(C426^2-MAX(B426,($B$4*5/10))^2)-($B$4*5/10)*(C426-MAX(B426,($B$4*5/10)))),0))*1000,0)</f>
        <v>0</v>
      </c>
      <c r="AG426" s="120">
        <f>IF(AND(J426="OK",ISNUMBER($B$5),$B$5&gt;0,ISNUMBER($B$3),$B$3&gt;0),F426/(6*$B$3*1000000*$B$5)*(IF(B426&lt;($B$4*6/10),($B$4*6/10)*(MIN(C426,($B$4*6/10))^3-B426^3)-(MIN(C426,($B$4*6/10))^4-B426^4)/4,0)+IF(C426&gt;($B$4*6/10),($B$4*6/10)^2*(1.5*(C426^2-MAX(B426,($B$4*6/10))^2)-($B$4*6/10)*(C426-MAX(B426,($B$4*6/10)))),0))*1000,0)</f>
        <v>0</v>
      </c>
      <c r="AH426" s="120">
        <f>IF(AND(J426="OK",ISNUMBER($B$5),$B$5&gt;0,ISNUMBER($B$3),$B$3&gt;0),F426/(6*$B$3*1000000*$B$5)*(IF(B426&lt;($B$4*7/10),($B$4*7/10)*(MIN(C426,($B$4*7/10))^3-B426^3)-(MIN(C426,($B$4*7/10))^4-B426^4)/4,0)+IF(C426&gt;($B$4*7/10),($B$4*7/10)^2*(1.5*(C426^2-MAX(B426,($B$4*7/10))^2)-($B$4*7/10)*(C426-MAX(B426,($B$4*7/10)))),0))*1000,0)</f>
        <v>0</v>
      </c>
      <c r="AI426" s="120">
        <f>IF(AND(J426="OK",ISNUMBER($B$5),$B$5&gt;0,ISNUMBER($B$3),$B$3&gt;0),F426/(6*$B$3*1000000*$B$5)*(IF(B426&lt;($B$4*8/10),($B$4*8/10)*(MIN(C426,($B$4*8/10))^3-B426^3)-(MIN(C426,($B$4*8/10))^4-B426^4)/4,0)+IF(C426&gt;($B$4*8/10),($B$4*8/10)^2*(1.5*(C426^2-MAX(B426,($B$4*8/10))^2)-($B$4*8/10)*(C426-MAX(B426,($B$4*8/10)))),0))*1000,0)</f>
        <v>0</v>
      </c>
      <c r="AJ426" s="120">
        <f>IF(AND(J426="OK",ISNUMBER($B$5),$B$5&gt;0,ISNUMBER($B$3),$B$3&gt;0),F426/(6*$B$3*1000000*$B$5)*(IF(B426&lt;($B$4*9/10),($B$4*9/10)*(MIN(C426,($B$4*9/10))^3-B426^3)-(MIN(C426,($B$4*9/10))^4-B426^4)/4,0)+IF(C426&gt;($B$4*9/10),($B$4*9/10)^2*(1.5*(C426^2-MAX(B426,($B$4*9/10))^2)-($B$4*9/10)*(C426-MAX(B426,($B$4*9/10)))),0))*1000,0)</f>
        <v>0</v>
      </c>
      <c r="AK426" s="120">
        <f>IF(AND(J426="OK",ISNUMBER($B$5),$B$5&gt;0,ISNUMBER($B$3),$B$3&gt;0),F426/(6*$B$3*1000000*$B$5)*(IF(B426&lt;($B$4*10/10),($B$4*10/10)*(MIN(C426,($B$4*10/10))^3-B426^3)-(MIN(C426,($B$4*10/10))^4-B426^4)/4,0)+IF(C426&gt;($B$4*10/10),($B$4*10/10)^2*(1.5*(C426^2-MAX(B426,($B$4*10/10))^2)-($B$4*10/10)*(C426-MAX(B426,($B$4*10/10)))),0))*1000,0)</f>
        <v>0</v>
      </c>
      <c r="AM426" s="120">
        <f>IF(AND(V426="OK",ISNUMBER($N$5),$N$5&gt;0,ISNUMBER($N$3),$N$3&gt;0),R426/(6*$N$3*1000000*$N$5)*(IF(N426&lt;($N$4*0/10),($N$4*0/10)*(MIN(O426,($N$4*0/10))^3-N426^3)-(MIN(O426,($N$4*0/10))^4-N426^4)/4,0)+IF(O426&gt;($N$4*0/10),($N$4*0/10)^2*(1.5*(O426^2-MAX(N426,($N$4*0/10))^2)-($N$4*0/10)*(O426-MAX(N426,($N$4*0/10)))),0))*1000,0)</f>
        <v>0</v>
      </c>
      <c r="AN426" s="120">
        <f>IF(AND(V426="OK",ISNUMBER($N$5),$N$5&gt;0,ISNUMBER($N$3),$N$3&gt;0),R426/(6*$N$3*1000000*$N$5)*(IF(N426&lt;($N$4*1/10),($N$4*1/10)*(MIN(O426,($N$4*1/10))^3-N426^3)-(MIN(O426,($N$4*1/10))^4-N426^4)/4,0)+IF(O426&gt;($N$4*1/10),($N$4*1/10)^2*(1.5*(O426^2-MAX(N426,($N$4*1/10))^2)-($N$4*1/10)*(O426-MAX(N426,($N$4*1/10)))),0))*1000,0)</f>
        <v>0</v>
      </c>
      <c r="AO426" s="120">
        <f>IF(AND(V426="OK",ISNUMBER($N$5),$N$5&gt;0,ISNUMBER($N$3),$N$3&gt;0),R426/(6*$N$3*1000000*$N$5)*(IF(N426&lt;($N$4*2/10),($N$4*2/10)*(MIN(O426,($N$4*2/10))^3-N426^3)-(MIN(O426,($N$4*2/10))^4-N426^4)/4,0)+IF(O426&gt;($N$4*2/10),($N$4*2/10)^2*(1.5*(O426^2-MAX(N426,($N$4*2/10))^2)-($N$4*2/10)*(O426-MAX(N426,($N$4*2/10)))),0))*1000,0)</f>
        <v>0</v>
      </c>
      <c r="AP426" s="120">
        <f>IF(AND(V426="OK",ISNUMBER($N$5),$N$5&gt;0,ISNUMBER($N$3),$N$3&gt;0),R426/(6*$N$3*1000000*$N$5)*(IF(N426&lt;($N$4*3/10),($N$4*3/10)*(MIN(O426,($N$4*3/10))^3-N426^3)-(MIN(O426,($N$4*3/10))^4-N426^4)/4,0)+IF(O426&gt;($N$4*3/10),($N$4*3/10)^2*(1.5*(O426^2-MAX(N426,($N$4*3/10))^2)-($N$4*3/10)*(O426-MAX(N426,($N$4*3/10)))),0))*1000,0)</f>
        <v>0</v>
      </c>
      <c r="AQ426" s="120">
        <f>IF(AND(V426="OK",ISNUMBER($N$5),$N$5&gt;0,ISNUMBER($N$3),$N$3&gt;0),R426/(6*$N$3*1000000*$N$5)*(IF(N426&lt;($N$4*4/10),($N$4*4/10)*(MIN(O426,($N$4*4/10))^3-N426^3)-(MIN(O426,($N$4*4/10))^4-N426^4)/4,0)+IF(O426&gt;($N$4*4/10),($N$4*4/10)^2*(1.5*(O426^2-MAX(N426,($N$4*4/10))^2)-($N$4*4/10)*(O426-MAX(N426,($N$4*4/10)))),0))*1000,0)</f>
        <v>0</v>
      </c>
      <c r="AR426" s="120">
        <f>IF(AND(V426="OK",ISNUMBER($N$5),$N$5&gt;0,ISNUMBER($N$3),$N$3&gt;0),R426/(6*$N$3*1000000*$N$5)*(IF(N426&lt;($N$4*5/10),($N$4*5/10)*(MIN(O426,($N$4*5/10))^3-N426^3)-(MIN(O426,($N$4*5/10))^4-N426^4)/4,0)+IF(O426&gt;($N$4*5/10),($N$4*5/10)^2*(1.5*(O426^2-MAX(N426,($N$4*5/10))^2)-($N$4*5/10)*(O426-MAX(N426,($N$4*5/10)))),0))*1000,0)</f>
        <v>0</v>
      </c>
      <c r="AS426" s="120">
        <f>IF(AND(V426="OK",ISNUMBER($N$5),$N$5&gt;0,ISNUMBER($N$3),$N$3&gt;0),R426/(6*$N$3*1000000*$N$5)*(IF(N426&lt;($N$4*6/10),($N$4*6/10)*(MIN(O426,($N$4*6/10))^3-N426^3)-(MIN(O426,($N$4*6/10))^4-N426^4)/4,0)+IF(O426&gt;($N$4*6/10),($N$4*6/10)^2*(1.5*(O426^2-MAX(N426,($N$4*6/10))^2)-($N$4*6/10)*(O426-MAX(N426,($N$4*6/10)))),0))*1000,0)</f>
        <v>0</v>
      </c>
      <c r="AT426" s="120">
        <f>IF(AND(V426="OK",ISNUMBER($N$5),$N$5&gt;0,ISNUMBER($N$3),$N$3&gt;0),R426/(6*$N$3*1000000*$N$5)*(IF(N426&lt;($N$4*7/10),($N$4*7/10)*(MIN(O426,($N$4*7/10))^3-N426^3)-(MIN(O426,($N$4*7/10))^4-N426^4)/4,0)+IF(O426&gt;($N$4*7/10),($N$4*7/10)^2*(1.5*(O426^2-MAX(N426,($N$4*7/10))^2)-($N$4*7/10)*(O426-MAX(N426,($N$4*7/10)))),0))*1000,0)</f>
        <v>0</v>
      </c>
      <c r="AU426" s="120">
        <f>IF(AND(V426="OK",ISNUMBER($N$5),$N$5&gt;0,ISNUMBER($N$3),$N$3&gt;0),R426/(6*$N$3*1000000*$N$5)*(IF(N426&lt;($N$4*8/10),($N$4*8/10)*(MIN(O426,($N$4*8/10))^3-N426^3)-(MIN(O426,($N$4*8/10))^4-N426^4)/4,0)+IF(O426&gt;($N$4*8/10),($N$4*8/10)^2*(1.5*(O426^2-MAX(N426,($N$4*8/10))^2)-($N$4*8/10)*(O426-MAX(N426,($N$4*8/10)))),0))*1000,0)</f>
        <v>0</v>
      </c>
      <c r="AV426" s="120">
        <f>IF(AND(V426="OK",ISNUMBER($N$5),$N$5&gt;0,ISNUMBER($N$3),$N$3&gt;0),R426/(6*$N$3*1000000*$N$5)*(IF(N426&lt;($N$4*9/10),($N$4*9/10)*(MIN(O426,($N$4*9/10))^3-N426^3)-(MIN(O426,($N$4*9/10))^4-N426^4)/4,0)+IF(O426&gt;($N$4*9/10),($N$4*9/10)^2*(1.5*(O426^2-MAX(N426,($N$4*9/10))^2)-($N$4*9/10)*(O426-MAX(N426,($N$4*9/10)))),0))*1000,0)</f>
        <v>0</v>
      </c>
      <c r="AW426" s="120">
        <f>IF(AND(V426="OK",ISNUMBER($N$5),$N$5&gt;0,ISNUMBER($N$3),$N$3&gt;0),R426/(6*$N$3*1000000*$N$5)*(IF(N426&lt;($N$4*10/10),($N$4*10/10)*(MIN(O426,($N$4*10/10))^3-N426^3)-(MIN(O426,($N$4*10/10))^4-N426^4)/4,0)+IF(O426&gt;($N$4*10/10),($N$4*10/10)^2*(1.5*(O426^2-MAX(N426,($N$4*10/10))^2)-($N$4*10/10)*(O426-MAX(N426,($N$4*10/10)))),0))*1000,0)</f>
        <v>0</v>
      </c>
    </row>
    <row r="427" spans="1:49">
      <c r="A427" s="124"/>
      <c r="B427" s="125"/>
      <c r="C427" s="125"/>
      <c r="D427" s="125"/>
      <c r="E427" s="125"/>
      <c r="F427" s="126" t="str">
        <f>IF(J427="OK",D427*E427,"")</f>
        <v/>
      </c>
      <c r="G427" s="126" t="str">
        <f>IF(J427="OK",F427*(C427-B427),"")</f>
        <v/>
      </c>
      <c r="H427" s="126" t="str">
        <f>IF(J427="OK",G427*(C427+B427)/2,"")</f>
        <v/>
      </c>
      <c r="I427" s="126" t="str">
        <f>IF(AND(J427="OK",ISNUMBER($B$5),$B$5&gt;0,ISNUMBER($B$3),$B$3&gt;0),F427*(4*$B$4*(C427^3-B427^3)-(C427^4-B427^4))/(24*$B$3*1000000*$B$5)*1000,"")</f>
        <v/>
      </c>
      <c r="J427" s="120" t="str">
        <f>IF(COUNTA(A427:E427)=0,"",IF(AND(COUNT(B427:E427)=4,B427&gt;=0,C427&gt;B427,C427&lt;=$B$4,D427&gt;=0,E427&gt;0),IF(COUNTIFS($B$13:$B$426,"&lt;"&amp;C427,$C$13:$C$426,"&gt;"&amp;B427)&gt;0,"OVERLAP","OK"),"CHECK INPUTS"))</f>
        <v/>
      </c>
      <c r="M427" s="124"/>
      <c r="N427" s="125"/>
      <c r="O427" s="125"/>
      <c r="P427" s="125"/>
      <c r="Q427" s="125"/>
      <c r="R427" s="126" t="str">
        <f>IF(V427="OK",P427*Q427,"")</f>
        <v/>
      </c>
      <c r="S427" s="126" t="str">
        <f>IF(V427="OK",R427*(O427-N427),"")</f>
        <v/>
      </c>
      <c r="T427" s="126" t="str">
        <f>IF(V427="OK",S427*(O427+N427)/2,"")</f>
        <v/>
      </c>
      <c r="U427" s="126" t="str">
        <f>IF(AND(V427="OK",ISNUMBER($N$5),$N$5&gt;0,ISNUMBER($N$3),$N$3&gt;0),R427*(4*$N$4*(O427^3-N427^3)-(O427^4-N427^4))/(24*$N$3*1000000*$N$5)*1000,"")</f>
        <v/>
      </c>
      <c r="V427" s="120" t="str">
        <f>IF(COUNTA(M427:Q427)=0,"",IF(AND(COUNT(N427:Q427)=4,N427&gt;=0,O427&gt;N427,O427&lt;=$N$4,P427&gt;=0,Q427&gt;0),IF(COUNTIFS($N$13:$N$426,"&lt;"&amp;O427,$O$13:$O$426,"&gt;"&amp;N427)&gt;0,"OVERLAP","OK"),"CHECK INPUTS"))</f>
        <v/>
      </c>
      <c r="AA427" s="120">
        <f>IF(AND(J427="OK",ISNUMBER($B$5),$B$5&gt;0,ISNUMBER($B$3),$B$3&gt;0),F427/(6*$B$3*1000000*$B$5)*(IF(B427&lt;($B$4*0/10),($B$4*0/10)*(MIN(C427,($B$4*0/10))^3-B427^3)-(MIN(C427,($B$4*0/10))^4-B427^4)/4,0)+IF(C427&gt;($B$4*0/10),($B$4*0/10)^2*(1.5*(C427^2-MAX(B427,($B$4*0/10))^2)-($B$4*0/10)*(C427-MAX(B427,($B$4*0/10)))),0))*1000,0)</f>
        <v>0</v>
      </c>
      <c r="AB427" s="120">
        <f>IF(AND(J427="OK",ISNUMBER($B$5),$B$5&gt;0,ISNUMBER($B$3),$B$3&gt;0),F427/(6*$B$3*1000000*$B$5)*(IF(B427&lt;($B$4*1/10),($B$4*1/10)*(MIN(C427,($B$4*1/10))^3-B427^3)-(MIN(C427,($B$4*1/10))^4-B427^4)/4,0)+IF(C427&gt;($B$4*1/10),($B$4*1/10)^2*(1.5*(C427^2-MAX(B427,($B$4*1/10))^2)-($B$4*1/10)*(C427-MAX(B427,($B$4*1/10)))),0))*1000,0)</f>
        <v>0</v>
      </c>
      <c r="AC427" s="120">
        <f>IF(AND(J427="OK",ISNUMBER($B$5),$B$5&gt;0,ISNUMBER($B$3),$B$3&gt;0),F427/(6*$B$3*1000000*$B$5)*(IF(B427&lt;($B$4*2/10),($B$4*2/10)*(MIN(C427,($B$4*2/10))^3-B427^3)-(MIN(C427,($B$4*2/10))^4-B427^4)/4,0)+IF(C427&gt;($B$4*2/10),($B$4*2/10)^2*(1.5*(C427^2-MAX(B427,($B$4*2/10))^2)-($B$4*2/10)*(C427-MAX(B427,($B$4*2/10)))),0))*1000,0)</f>
        <v>0</v>
      </c>
      <c r="AD427" s="120">
        <f>IF(AND(J427="OK",ISNUMBER($B$5),$B$5&gt;0,ISNUMBER($B$3),$B$3&gt;0),F427/(6*$B$3*1000000*$B$5)*(IF(B427&lt;($B$4*3/10),($B$4*3/10)*(MIN(C427,($B$4*3/10))^3-B427^3)-(MIN(C427,($B$4*3/10))^4-B427^4)/4,0)+IF(C427&gt;($B$4*3/10),($B$4*3/10)^2*(1.5*(C427^2-MAX(B427,($B$4*3/10))^2)-($B$4*3/10)*(C427-MAX(B427,($B$4*3/10)))),0))*1000,0)</f>
        <v>0</v>
      </c>
      <c r="AE427" s="120">
        <f>IF(AND(J427="OK",ISNUMBER($B$5),$B$5&gt;0,ISNUMBER($B$3),$B$3&gt;0),F427/(6*$B$3*1000000*$B$5)*(IF(B427&lt;($B$4*4/10),($B$4*4/10)*(MIN(C427,($B$4*4/10))^3-B427^3)-(MIN(C427,($B$4*4/10))^4-B427^4)/4,0)+IF(C427&gt;($B$4*4/10),($B$4*4/10)^2*(1.5*(C427^2-MAX(B427,($B$4*4/10))^2)-($B$4*4/10)*(C427-MAX(B427,($B$4*4/10)))),0))*1000,0)</f>
        <v>0</v>
      </c>
      <c r="AF427" s="120">
        <f>IF(AND(J427="OK",ISNUMBER($B$5),$B$5&gt;0,ISNUMBER($B$3),$B$3&gt;0),F427/(6*$B$3*1000000*$B$5)*(IF(B427&lt;($B$4*5/10),($B$4*5/10)*(MIN(C427,($B$4*5/10))^3-B427^3)-(MIN(C427,($B$4*5/10))^4-B427^4)/4,0)+IF(C427&gt;($B$4*5/10),($B$4*5/10)^2*(1.5*(C427^2-MAX(B427,($B$4*5/10))^2)-($B$4*5/10)*(C427-MAX(B427,($B$4*5/10)))),0))*1000,0)</f>
        <v>0</v>
      </c>
      <c r="AG427" s="120">
        <f>IF(AND(J427="OK",ISNUMBER($B$5),$B$5&gt;0,ISNUMBER($B$3),$B$3&gt;0),F427/(6*$B$3*1000000*$B$5)*(IF(B427&lt;($B$4*6/10),($B$4*6/10)*(MIN(C427,($B$4*6/10))^3-B427^3)-(MIN(C427,($B$4*6/10))^4-B427^4)/4,0)+IF(C427&gt;($B$4*6/10),($B$4*6/10)^2*(1.5*(C427^2-MAX(B427,($B$4*6/10))^2)-($B$4*6/10)*(C427-MAX(B427,($B$4*6/10)))),0))*1000,0)</f>
        <v>0</v>
      </c>
      <c r="AH427" s="120">
        <f>IF(AND(J427="OK",ISNUMBER($B$5),$B$5&gt;0,ISNUMBER($B$3),$B$3&gt;0),F427/(6*$B$3*1000000*$B$5)*(IF(B427&lt;($B$4*7/10),($B$4*7/10)*(MIN(C427,($B$4*7/10))^3-B427^3)-(MIN(C427,($B$4*7/10))^4-B427^4)/4,0)+IF(C427&gt;($B$4*7/10),($B$4*7/10)^2*(1.5*(C427^2-MAX(B427,($B$4*7/10))^2)-($B$4*7/10)*(C427-MAX(B427,($B$4*7/10)))),0))*1000,0)</f>
        <v>0</v>
      </c>
      <c r="AI427" s="120">
        <f>IF(AND(J427="OK",ISNUMBER($B$5),$B$5&gt;0,ISNUMBER($B$3),$B$3&gt;0),F427/(6*$B$3*1000000*$B$5)*(IF(B427&lt;($B$4*8/10),($B$4*8/10)*(MIN(C427,($B$4*8/10))^3-B427^3)-(MIN(C427,($B$4*8/10))^4-B427^4)/4,0)+IF(C427&gt;($B$4*8/10),($B$4*8/10)^2*(1.5*(C427^2-MAX(B427,($B$4*8/10))^2)-($B$4*8/10)*(C427-MAX(B427,($B$4*8/10)))),0))*1000,0)</f>
        <v>0</v>
      </c>
      <c r="AJ427" s="120">
        <f>IF(AND(J427="OK",ISNUMBER($B$5),$B$5&gt;0,ISNUMBER($B$3),$B$3&gt;0),F427/(6*$B$3*1000000*$B$5)*(IF(B427&lt;($B$4*9/10),($B$4*9/10)*(MIN(C427,($B$4*9/10))^3-B427^3)-(MIN(C427,($B$4*9/10))^4-B427^4)/4,0)+IF(C427&gt;($B$4*9/10),($B$4*9/10)^2*(1.5*(C427^2-MAX(B427,($B$4*9/10))^2)-($B$4*9/10)*(C427-MAX(B427,($B$4*9/10)))),0))*1000,0)</f>
        <v>0</v>
      </c>
      <c r="AK427" s="120">
        <f>IF(AND(J427="OK",ISNUMBER($B$5),$B$5&gt;0,ISNUMBER($B$3),$B$3&gt;0),F427/(6*$B$3*1000000*$B$5)*(IF(B427&lt;($B$4*10/10),($B$4*10/10)*(MIN(C427,($B$4*10/10))^3-B427^3)-(MIN(C427,($B$4*10/10))^4-B427^4)/4,0)+IF(C427&gt;($B$4*10/10),($B$4*10/10)^2*(1.5*(C427^2-MAX(B427,($B$4*10/10))^2)-($B$4*10/10)*(C427-MAX(B427,($B$4*10/10)))),0))*1000,0)</f>
        <v>0</v>
      </c>
      <c r="AM427" s="120">
        <f>IF(AND(V427="OK",ISNUMBER($N$5),$N$5&gt;0,ISNUMBER($N$3),$N$3&gt;0),R427/(6*$N$3*1000000*$N$5)*(IF(N427&lt;($N$4*0/10),($N$4*0/10)*(MIN(O427,($N$4*0/10))^3-N427^3)-(MIN(O427,($N$4*0/10))^4-N427^4)/4,0)+IF(O427&gt;($N$4*0/10),($N$4*0/10)^2*(1.5*(O427^2-MAX(N427,($N$4*0/10))^2)-($N$4*0/10)*(O427-MAX(N427,($N$4*0/10)))),0))*1000,0)</f>
        <v>0</v>
      </c>
      <c r="AN427" s="120">
        <f>IF(AND(V427="OK",ISNUMBER($N$5),$N$5&gt;0,ISNUMBER($N$3),$N$3&gt;0),R427/(6*$N$3*1000000*$N$5)*(IF(N427&lt;($N$4*1/10),($N$4*1/10)*(MIN(O427,($N$4*1/10))^3-N427^3)-(MIN(O427,($N$4*1/10))^4-N427^4)/4,0)+IF(O427&gt;($N$4*1/10),($N$4*1/10)^2*(1.5*(O427^2-MAX(N427,($N$4*1/10))^2)-($N$4*1/10)*(O427-MAX(N427,($N$4*1/10)))),0))*1000,0)</f>
        <v>0</v>
      </c>
      <c r="AO427" s="120">
        <f>IF(AND(V427="OK",ISNUMBER($N$5),$N$5&gt;0,ISNUMBER($N$3),$N$3&gt;0),R427/(6*$N$3*1000000*$N$5)*(IF(N427&lt;($N$4*2/10),($N$4*2/10)*(MIN(O427,($N$4*2/10))^3-N427^3)-(MIN(O427,($N$4*2/10))^4-N427^4)/4,0)+IF(O427&gt;($N$4*2/10),($N$4*2/10)^2*(1.5*(O427^2-MAX(N427,($N$4*2/10))^2)-($N$4*2/10)*(O427-MAX(N427,($N$4*2/10)))),0))*1000,0)</f>
        <v>0</v>
      </c>
      <c r="AP427" s="120">
        <f>IF(AND(V427="OK",ISNUMBER($N$5),$N$5&gt;0,ISNUMBER($N$3),$N$3&gt;0),R427/(6*$N$3*1000000*$N$5)*(IF(N427&lt;($N$4*3/10),($N$4*3/10)*(MIN(O427,($N$4*3/10))^3-N427^3)-(MIN(O427,($N$4*3/10))^4-N427^4)/4,0)+IF(O427&gt;($N$4*3/10),($N$4*3/10)^2*(1.5*(O427^2-MAX(N427,($N$4*3/10))^2)-($N$4*3/10)*(O427-MAX(N427,($N$4*3/10)))),0))*1000,0)</f>
        <v>0</v>
      </c>
      <c r="AQ427" s="120">
        <f>IF(AND(V427="OK",ISNUMBER($N$5),$N$5&gt;0,ISNUMBER($N$3),$N$3&gt;0),R427/(6*$N$3*1000000*$N$5)*(IF(N427&lt;($N$4*4/10),($N$4*4/10)*(MIN(O427,($N$4*4/10))^3-N427^3)-(MIN(O427,($N$4*4/10))^4-N427^4)/4,0)+IF(O427&gt;($N$4*4/10),($N$4*4/10)^2*(1.5*(O427^2-MAX(N427,($N$4*4/10))^2)-($N$4*4/10)*(O427-MAX(N427,($N$4*4/10)))),0))*1000,0)</f>
        <v>0</v>
      </c>
      <c r="AR427" s="120">
        <f>IF(AND(V427="OK",ISNUMBER($N$5),$N$5&gt;0,ISNUMBER($N$3),$N$3&gt;0),R427/(6*$N$3*1000000*$N$5)*(IF(N427&lt;($N$4*5/10),($N$4*5/10)*(MIN(O427,($N$4*5/10))^3-N427^3)-(MIN(O427,($N$4*5/10))^4-N427^4)/4,0)+IF(O427&gt;($N$4*5/10),($N$4*5/10)^2*(1.5*(O427^2-MAX(N427,($N$4*5/10))^2)-($N$4*5/10)*(O427-MAX(N427,($N$4*5/10)))),0))*1000,0)</f>
        <v>0</v>
      </c>
      <c r="AS427" s="120">
        <f>IF(AND(V427="OK",ISNUMBER($N$5),$N$5&gt;0,ISNUMBER($N$3),$N$3&gt;0),R427/(6*$N$3*1000000*$N$5)*(IF(N427&lt;($N$4*6/10),($N$4*6/10)*(MIN(O427,($N$4*6/10))^3-N427^3)-(MIN(O427,($N$4*6/10))^4-N427^4)/4,0)+IF(O427&gt;($N$4*6/10),($N$4*6/10)^2*(1.5*(O427^2-MAX(N427,($N$4*6/10))^2)-($N$4*6/10)*(O427-MAX(N427,($N$4*6/10)))),0))*1000,0)</f>
        <v>0</v>
      </c>
      <c r="AT427" s="120">
        <f>IF(AND(V427="OK",ISNUMBER($N$5),$N$5&gt;0,ISNUMBER($N$3),$N$3&gt;0),R427/(6*$N$3*1000000*$N$5)*(IF(N427&lt;($N$4*7/10),($N$4*7/10)*(MIN(O427,($N$4*7/10))^3-N427^3)-(MIN(O427,($N$4*7/10))^4-N427^4)/4,0)+IF(O427&gt;($N$4*7/10),($N$4*7/10)^2*(1.5*(O427^2-MAX(N427,($N$4*7/10))^2)-($N$4*7/10)*(O427-MAX(N427,($N$4*7/10)))),0))*1000,0)</f>
        <v>0</v>
      </c>
      <c r="AU427" s="120">
        <f>IF(AND(V427="OK",ISNUMBER($N$5),$N$5&gt;0,ISNUMBER($N$3),$N$3&gt;0),R427/(6*$N$3*1000000*$N$5)*(IF(N427&lt;($N$4*8/10),($N$4*8/10)*(MIN(O427,($N$4*8/10))^3-N427^3)-(MIN(O427,($N$4*8/10))^4-N427^4)/4,0)+IF(O427&gt;($N$4*8/10),($N$4*8/10)^2*(1.5*(O427^2-MAX(N427,($N$4*8/10))^2)-($N$4*8/10)*(O427-MAX(N427,($N$4*8/10)))),0))*1000,0)</f>
        <v>0</v>
      </c>
      <c r="AV427" s="120">
        <f>IF(AND(V427="OK",ISNUMBER($N$5),$N$5&gt;0,ISNUMBER($N$3),$N$3&gt;0),R427/(6*$N$3*1000000*$N$5)*(IF(N427&lt;($N$4*9/10),($N$4*9/10)*(MIN(O427,($N$4*9/10))^3-N427^3)-(MIN(O427,($N$4*9/10))^4-N427^4)/4,0)+IF(O427&gt;($N$4*9/10),($N$4*9/10)^2*(1.5*(O427^2-MAX(N427,($N$4*9/10))^2)-($N$4*9/10)*(O427-MAX(N427,($N$4*9/10)))),0))*1000,0)</f>
        <v>0</v>
      </c>
      <c r="AW427" s="120">
        <f>IF(AND(V427="OK",ISNUMBER($N$5),$N$5&gt;0,ISNUMBER($N$3),$N$3&gt;0),R427/(6*$N$3*1000000*$N$5)*(IF(N427&lt;($N$4*10/10),($N$4*10/10)*(MIN(O427,($N$4*10/10))^3-N427^3)-(MIN(O427,($N$4*10/10))^4-N427^4)/4,0)+IF(O427&gt;($N$4*10/10),($N$4*10/10)^2*(1.5*(O427^2-MAX(N427,($N$4*10/10))^2)-($N$4*10/10)*(O427-MAX(N427,($N$4*10/10)))),0))*1000,0)</f>
        <v>0</v>
      </c>
    </row>
    <row r="428" spans="1:49">
      <c r="A428" s="124"/>
      <c r="B428" s="125"/>
      <c r="C428" s="125"/>
      <c r="D428" s="125"/>
      <c r="E428" s="125"/>
      <c r="F428" s="126" t="str">
        <f>IF(J428="OK",D428*E428,"")</f>
        <v/>
      </c>
      <c r="G428" s="126" t="str">
        <f>IF(J428="OK",F428*(C428-B428),"")</f>
        <v/>
      </c>
      <c r="H428" s="126" t="str">
        <f>IF(J428="OK",G428*(C428+B428)/2,"")</f>
        <v/>
      </c>
      <c r="I428" s="126" t="str">
        <f>IF(AND(J428="OK",ISNUMBER($B$5),$B$5&gt;0,ISNUMBER($B$3),$B$3&gt;0),F428*(4*$B$4*(C428^3-B428^3)-(C428^4-B428^4))/(24*$B$3*1000000*$B$5)*1000,"")</f>
        <v/>
      </c>
      <c r="J428" s="120" t="str">
        <f>IF(COUNTA(A428:E428)=0,"",IF(AND(COUNT(B428:E428)=4,B428&gt;=0,C428&gt;B428,C428&lt;=$B$4,D428&gt;=0,E428&gt;0),IF(COUNTIFS($B$13:$B$427,"&lt;"&amp;C428,$C$13:$C$427,"&gt;"&amp;B428)&gt;0,"OVERLAP","OK"),"CHECK INPUTS"))</f>
        <v/>
      </c>
      <c r="M428" s="124"/>
      <c r="N428" s="125"/>
      <c r="O428" s="125"/>
      <c r="P428" s="125"/>
      <c r="Q428" s="125"/>
      <c r="R428" s="126" t="str">
        <f>IF(V428="OK",P428*Q428,"")</f>
        <v/>
      </c>
      <c r="S428" s="126" t="str">
        <f>IF(V428="OK",R428*(O428-N428),"")</f>
        <v/>
      </c>
      <c r="T428" s="126" t="str">
        <f>IF(V428="OK",S428*(O428+N428)/2,"")</f>
        <v/>
      </c>
      <c r="U428" s="126" t="str">
        <f>IF(AND(V428="OK",ISNUMBER($N$5),$N$5&gt;0,ISNUMBER($N$3),$N$3&gt;0),R428*(4*$N$4*(O428^3-N428^3)-(O428^4-N428^4))/(24*$N$3*1000000*$N$5)*1000,"")</f>
        <v/>
      </c>
      <c r="V428" s="120" t="str">
        <f>IF(COUNTA(M428:Q428)=0,"",IF(AND(COUNT(N428:Q428)=4,N428&gt;=0,O428&gt;N428,O428&lt;=$N$4,P428&gt;=0,Q428&gt;0),IF(COUNTIFS($N$13:$N$427,"&lt;"&amp;O428,$O$13:$O$427,"&gt;"&amp;N428)&gt;0,"OVERLAP","OK"),"CHECK INPUTS"))</f>
        <v/>
      </c>
      <c r="AA428" s="120">
        <f>IF(AND(J428="OK",ISNUMBER($B$5),$B$5&gt;0,ISNUMBER($B$3),$B$3&gt;0),F428/(6*$B$3*1000000*$B$5)*(IF(B428&lt;($B$4*0/10),($B$4*0/10)*(MIN(C428,($B$4*0/10))^3-B428^3)-(MIN(C428,($B$4*0/10))^4-B428^4)/4,0)+IF(C428&gt;($B$4*0/10),($B$4*0/10)^2*(1.5*(C428^2-MAX(B428,($B$4*0/10))^2)-($B$4*0/10)*(C428-MAX(B428,($B$4*0/10)))),0))*1000,0)</f>
        <v>0</v>
      </c>
      <c r="AB428" s="120">
        <f>IF(AND(J428="OK",ISNUMBER($B$5),$B$5&gt;0,ISNUMBER($B$3),$B$3&gt;0),F428/(6*$B$3*1000000*$B$5)*(IF(B428&lt;($B$4*1/10),($B$4*1/10)*(MIN(C428,($B$4*1/10))^3-B428^3)-(MIN(C428,($B$4*1/10))^4-B428^4)/4,0)+IF(C428&gt;($B$4*1/10),($B$4*1/10)^2*(1.5*(C428^2-MAX(B428,($B$4*1/10))^2)-($B$4*1/10)*(C428-MAX(B428,($B$4*1/10)))),0))*1000,0)</f>
        <v>0</v>
      </c>
      <c r="AC428" s="120">
        <f>IF(AND(J428="OK",ISNUMBER($B$5),$B$5&gt;0,ISNUMBER($B$3),$B$3&gt;0),F428/(6*$B$3*1000000*$B$5)*(IF(B428&lt;($B$4*2/10),($B$4*2/10)*(MIN(C428,($B$4*2/10))^3-B428^3)-(MIN(C428,($B$4*2/10))^4-B428^4)/4,0)+IF(C428&gt;($B$4*2/10),($B$4*2/10)^2*(1.5*(C428^2-MAX(B428,($B$4*2/10))^2)-($B$4*2/10)*(C428-MAX(B428,($B$4*2/10)))),0))*1000,0)</f>
        <v>0</v>
      </c>
      <c r="AD428" s="120">
        <f>IF(AND(J428="OK",ISNUMBER($B$5),$B$5&gt;0,ISNUMBER($B$3),$B$3&gt;0),F428/(6*$B$3*1000000*$B$5)*(IF(B428&lt;($B$4*3/10),($B$4*3/10)*(MIN(C428,($B$4*3/10))^3-B428^3)-(MIN(C428,($B$4*3/10))^4-B428^4)/4,0)+IF(C428&gt;($B$4*3/10),($B$4*3/10)^2*(1.5*(C428^2-MAX(B428,($B$4*3/10))^2)-($B$4*3/10)*(C428-MAX(B428,($B$4*3/10)))),0))*1000,0)</f>
        <v>0</v>
      </c>
      <c r="AE428" s="120">
        <f>IF(AND(J428="OK",ISNUMBER($B$5),$B$5&gt;0,ISNUMBER($B$3),$B$3&gt;0),F428/(6*$B$3*1000000*$B$5)*(IF(B428&lt;($B$4*4/10),($B$4*4/10)*(MIN(C428,($B$4*4/10))^3-B428^3)-(MIN(C428,($B$4*4/10))^4-B428^4)/4,0)+IF(C428&gt;($B$4*4/10),($B$4*4/10)^2*(1.5*(C428^2-MAX(B428,($B$4*4/10))^2)-($B$4*4/10)*(C428-MAX(B428,($B$4*4/10)))),0))*1000,0)</f>
        <v>0</v>
      </c>
      <c r="AF428" s="120">
        <f>IF(AND(J428="OK",ISNUMBER($B$5),$B$5&gt;0,ISNUMBER($B$3),$B$3&gt;0),F428/(6*$B$3*1000000*$B$5)*(IF(B428&lt;($B$4*5/10),($B$4*5/10)*(MIN(C428,($B$4*5/10))^3-B428^3)-(MIN(C428,($B$4*5/10))^4-B428^4)/4,0)+IF(C428&gt;($B$4*5/10),($B$4*5/10)^2*(1.5*(C428^2-MAX(B428,($B$4*5/10))^2)-($B$4*5/10)*(C428-MAX(B428,($B$4*5/10)))),0))*1000,0)</f>
        <v>0</v>
      </c>
      <c r="AG428" s="120">
        <f>IF(AND(J428="OK",ISNUMBER($B$5),$B$5&gt;0,ISNUMBER($B$3),$B$3&gt;0),F428/(6*$B$3*1000000*$B$5)*(IF(B428&lt;($B$4*6/10),($B$4*6/10)*(MIN(C428,($B$4*6/10))^3-B428^3)-(MIN(C428,($B$4*6/10))^4-B428^4)/4,0)+IF(C428&gt;($B$4*6/10),($B$4*6/10)^2*(1.5*(C428^2-MAX(B428,($B$4*6/10))^2)-($B$4*6/10)*(C428-MAX(B428,($B$4*6/10)))),0))*1000,0)</f>
        <v>0</v>
      </c>
      <c r="AH428" s="120">
        <f>IF(AND(J428="OK",ISNUMBER($B$5),$B$5&gt;0,ISNUMBER($B$3),$B$3&gt;0),F428/(6*$B$3*1000000*$B$5)*(IF(B428&lt;($B$4*7/10),($B$4*7/10)*(MIN(C428,($B$4*7/10))^3-B428^3)-(MIN(C428,($B$4*7/10))^4-B428^4)/4,0)+IF(C428&gt;($B$4*7/10),($B$4*7/10)^2*(1.5*(C428^2-MAX(B428,($B$4*7/10))^2)-($B$4*7/10)*(C428-MAX(B428,($B$4*7/10)))),0))*1000,0)</f>
        <v>0</v>
      </c>
      <c r="AI428" s="120">
        <f>IF(AND(J428="OK",ISNUMBER($B$5),$B$5&gt;0,ISNUMBER($B$3),$B$3&gt;0),F428/(6*$B$3*1000000*$B$5)*(IF(B428&lt;($B$4*8/10),($B$4*8/10)*(MIN(C428,($B$4*8/10))^3-B428^3)-(MIN(C428,($B$4*8/10))^4-B428^4)/4,0)+IF(C428&gt;($B$4*8/10),($B$4*8/10)^2*(1.5*(C428^2-MAX(B428,($B$4*8/10))^2)-($B$4*8/10)*(C428-MAX(B428,($B$4*8/10)))),0))*1000,0)</f>
        <v>0</v>
      </c>
      <c r="AJ428" s="120">
        <f>IF(AND(J428="OK",ISNUMBER($B$5),$B$5&gt;0,ISNUMBER($B$3),$B$3&gt;0),F428/(6*$B$3*1000000*$B$5)*(IF(B428&lt;($B$4*9/10),($B$4*9/10)*(MIN(C428,($B$4*9/10))^3-B428^3)-(MIN(C428,($B$4*9/10))^4-B428^4)/4,0)+IF(C428&gt;($B$4*9/10),($B$4*9/10)^2*(1.5*(C428^2-MAX(B428,($B$4*9/10))^2)-($B$4*9/10)*(C428-MAX(B428,($B$4*9/10)))),0))*1000,0)</f>
        <v>0</v>
      </c>
      <c r="AK428" s="120">
        <f>IF(AND(J428="OK",ISNUMBER($B$5),$B$5&gt;0,ISNUMBER($B$3),$B$3&gt;0),F428/(6*$B$3*1000000*$B$5)*(IF(B428&lt;($B$4*10/10),($B$4*10/10)*(MIN(C428,($B$4*10/10))^3-B428^3)-(MIN(C428,($B$4*10/10))^4-B428^4)/4,0)+IF(C428&gt;($B$4*10/10),($B$4*10/10)^2*(1.5*(C428^2-MAX(B428,($B$4*10/10))^2)-($B$4*10/10)*(C428-MAX(B428,($B$4*10/10)))),0))*1000,0)</f>
        <v>0</v>
      </c>
      <c r="AM428" s="120">
        <f>IF(AND(V428="OK",ISNUMBER($N$5),$N$5&gt;0,ISNUMBER($N$3),$N$3&gt;0),R428/(6*$N$3*1000000*$N$5)*(IF(N428&lt;($N$4*0/10),($N$4*0/10)*(MIN(O428,($N$4*0/10))^3-N428^3)-(MIN(O428,($N$4*0/10))^4-N428^4)/4,0)+IF(O428&gt;($N$4*0/10),($N$4*0/10)^2*(1.5*(O428^2-MAX(N428,($N$4*0/10))^2)-($N$4*0/10)*(O428-MAX(N428,($N$4*0/10)))),0))*1000,0)</f>
        <v>0</v>
      </c>
      <c r="AN428" s="120">
        <f>IF(AND(V428="OK",ISNUMBER($N$5),$N$5&gt;0,ISNUMBER($N$3),$N$3&gt;0),R428/(6*$N$3*1000000*$N$5)*(IF(N428&lt;($N$4*1/10),($N$4*1/10)*(MIN(O428,($N$4*1/10))^3-N428^3)-(MIN(O428,($N$4*1/10))^4-N428^4)/4,0)+IF(O428&gt;($N$4*1/10),($N$4*1/10)^2*(1.5*(O428^2-MAX(N428,($N$4*1/10))^2)-($N$4*1/10)*(O428-MAX(N428,($N$4*1/10)))),0))*1000,0)</f>
        <v>0</v>
      </c>
      <c r="AO428" s="120">
        <f>IF(AND(V428="OK",ISNUMBER($N$5),$N$5&gt;0,ISNUMBER($N$3),$N$3&gt;0),R428/(6*$N$3*1000000*$N$5)*(IF(N428&lt;($N$4*2/10),($N$4*2/10)*(MIN(O428,($N$4*2/10))^3-N428^3)-(MIN(O428,($N$4*2/10))^4-N428^4)/4,0)+IF(O428&gt;($N$4*2/10),($N$4*2/10)^2*(1.5*(O428^2-MAX(N428,($N$4*2/10))^2)-($N$4*2/10)*(O428-MAX(N428,($N$4*2/10)))),0))*1000,0)</f>
        <v>0</v>
      </c>
      <c r="AP428" s="120">
        <f>IF(AND(V428="OK",ISNUMBER($N$5),$N$5&gt;0,ISNUMBER($N$3),$N$3&gt;0),R428/(6*$N$3*1000000*$N$5)*(IF(N428&lt;($N$4*3/10),($N$4*3/10)*(MIN(O428,($N$4*3/10))^3-N428^3)-(MIN(O428,($N$4*3/10))^4-N428^4)/4,0)+IF(O428&gt;($N$4*3/10),($N$4*3/10)^2*(1.5*(O428^2-MAX(N428,($N$4*3/10))^2)-($N$4*3/10)*(O428-MAX(N428,($N$4*3/10)))),0))*1000,0)</f>
        <v>0</v>
      </c>
      <c r="AQ428" s="120">
        <f>IF(AND(V428="OK",ISNUMBER($N$5),$N$5&gt;0,ISNUMBER($N$3),$N$3&gt;0),R428/(6*$N$3*1000000*$N$5)*(IF(N428&lt;($N$4*4/10),($N$4*4/10)*(MIN(O428,($N$4*4/10))^3-N428^3)-(MIN(O428,($N$4*4/10))^4-N428^4)/4,0)+IF(O428&gt;($N$4*4/10),($N$4*4/10)^2*(1.5*(O428^2-MAX(N428,($N$4*4/10))^2)-($N$4*4/10)*(O428-MAX(N428,($N$4*4/10)))),0))*1000,0)</f>
        <v>0</v>
      </c>
      <c r="AR428" s="120">
        <f>IF(AND(V428="OK",ISNUMBER($N$5),$N$5&gt;0,ISNUMBER($N$3),$N$3&gt;0),R428/(6*$N$3*1000000*$N$5)*(IF(N428&lt;($N$4*5/10),($N$4*5/10)*(MIN(O428,($N$4*5/10))^3-N428^3)-(MIN(O428,($N$4*5/10))^4-N428^4)/4,0)+IF(O428&gt;($N$4*5/10),($N$4*5/10)^2*(1.5*(O428^2-MAX(N428,($N$4*5/10))^2)-($N$4*5/10)*(O428-MAX(N428,($N$4*5/10)))),0))*1000,0)</f>
        <v>0</v>
      </c>
      <c r="AS428" s="120">
        <f>IF(AND(V428="OK",ISNUMBER($N$5),$N$5&gt;0,ISNUMBER($N$3),$N$3&gt;0),R428/(6*$N$3*1000000*$N$5)*(IF(N428&lt;($N$4*6/10),($N$4*6/10)*(MIN(O428,($N$4*6/10))^3-N428^3)-(MIN(O428,($N$4*6/10))^4-N428^4)/4,0)+IF(O428&gt;($N$4*6/10),($N$4*6/10)^2*(1.5*(O428^2-MAX(N428,($N$4*6/10))^2)-($N$4*6/10)*(O428-MAX(N428,($N$4*6/10)))),0))*1000,0)</f>
        <v>0</v>
      </c>
      <c r="AT428" s="120">
        <f>IF(AND(V428="OK",ISNUMBER($N$5),$N$5&gt;0,ISNUMBER($N$3),$N$3&gt;0),R428/(6*$N$3*1000000*$N$5)*(IF(N428&lt;($N$4*7/10),($N$4*7/10)*(MIN(O428,($N$4*7/10))^3-N428^3)-(MIN(O428,($N$4*7/10))^4-N428^4)/4,0)+IF(O428&gt;($N$4*7/10),($N$4*7/10)^2*(1.5*(O428^2-MAX(N428,($N$4*7/10))^2)-($N$4*7/10)*(O428-MAX(N428,($N$4*7/10)))),0))*1000,0)</f>
        <v>0</v>
      </c>
      <c r="AU428" s="120">
        <f>IF(AND(V428="OK",ISNUMBER($N$5),$N$5&gt;0,ISNUMBER($N$3),$N$3&gt;0),R428/(6*$N$3*1000000*$N$5)*(IF(N428&lt;($N$4*8/10),($N$4*8/10)*(MIN(O428,($N$4*8/10))^3-N428^3)-(MIN(O428,($N$4*8/10))^4-N428^4)/4,0)+IF(O428&gt;($N$4*8/10),($N$4*8/10)^2*(1.5*(O428^2-MAX(N428,($N$4*8/10))^2)-($N$4*8/10)*(O428-MAX(N428,($N$4*8/10)))),0))*1000,0)</f>
        <v>0</v>
      </c>
      <c r="AV428" s="120">
        <f>IF(AND(V428="OK",ISNUMBER($N$5),$N$5&gt;0,ISNUMBER($N$3),$N$3&gt;0),R428/(6*$N$3*1000000*$N$5)*(IF(N428&lt;($N$4*9/10),($N$4*9/10)*(MIN(O428,($N$4*9/10))^3-N428^3)-(MIN(O428,($N$4*9/10))^4-N428^4)/4,0)+IF(O428&gt;($N$4*9/10),($N$4*9/10)^2*(1.5*(O428^2-MAX(N428,($N$4*9/10))^2)-($N$4*9/10)*(O428-MAX(N428,($N$4*9/10)))),0))*1000,0)</f>
        <v>0</v>
      </c>
      <c r="AW428" s="120">
        <f>IF(AND(V428="OK",ISNUMBER($N$5),$N$5&gt;0,ISNUMBER($N$3),$N$3&gt;0),R428/(6*$N$3*1000000*$N$5)*(IF(N428&lt;($N$4*10/10),($N$4*10/10)*(MIN(O428,($N$4*10/10))^3-N428^3)-(MIN(O428,($N$4*10/10))^4-N428^4)/4,0)+IF(O428&gt;($N$4*10/10),($N$4*10/10)^2*(1.5*(O428^2-MAX(N428,($N$4*10/10))^2)-($N$4*10/10)*(O428-MAX(N428,($N$4*10/10)))),0))*1000,0)</f>
        <v>0</v>
      </c>
    </row>
    <row r="429" spans="1:49">
      <c r="A429" s="124"/>
      <c r="B429" s="125"/>
      <c r="C429" s="125"/>
      <c r="D429" s="125"/>
      <c r="E429" s="125"/>
      <c r="F429" s="126" t="str">
        <f>IF(J429="OK",D429*E429,"")</f>
        <v/>
      </c>
      <c r="G429" s="126" t="str">
        <f>IF(J429="OK",F429*(C429-B429),"")</f>
        <v/>
      </c>
      <c r="H429" s="126" t="str">
        <f>IF(J429="OK",G429*(C429+B429)/2,"")</f>
        <v/>
      </c>
      <c r="I429" s="126" t="str">
        <f>IF(AND(J429="OK",ISNUMBER($B$5),$B$5&gt;0,ISNUMBER($B$3),$B$3&gt;0),F429*(4*$B$4*(C429^3-B429^3)-(C429^4-B429^4))/(24*$B$3*1000000*$B$5)*1000,"")</f>
        <v/>
      </c>
      <c r="J429" s="120" t="str">
        <f>IF(COUNTA(A429:E429)=0,"",IF(AND(COUNT(B429:E429)=4,B429&gt;=0,C429&gt;B429,C429&lt;=$B$4,D429&gt;=0,E429&gt;0),IF(COUNTIFS($B$13:$B$428,"&lt;"&amp;C429,$C$13:$C$428,"&gt;"&amp;B429)&gt;0,"OVERLAP","OK"),"CHECK INPUTS"))</f>
        <v/>
      </c>
      <c r="M429" s="124"/>
      <c r="N429" s="125"/>
      <c r="O429" s="125"/>
      <c r="P429" s="125"/>
      <c r="Q429" s="125"/>
      <c r="R429" s="126" t="str">
        <f>IF(V429="OK",P429*Q429,"")</f>
        <v/>
      </c>
      <c r="S429" s="126" t="str">
        <f>IF(V429="OK",R429*(O429-N429),"")</f>
        <v/>
      </c>
      <c r="T429" s="126" t="str">
        <f>IF(V429="OK",S429*(O429+N429)/2,"")</f>
        <v/>
      </c>
      <c r="U429" s="126" t="str">
        <f>IF(AND(V429="OK",ISNUMBER($N$5),$N$5&gt;0,ISNUMBER($N$3),$N$3&gt;0),R429*(4*$N$4*(O429^3-N429^3)-(O429^4-N429^4))/(24*$N$3*1000000*$N$5)*1000,"")</f>
        <v/>
      </c>
      <c r="V429" s="120" t="str">
        <f>IF(COUNTA(M429:Q429)=0,"",IF(AND(COUNT(N429:Q429)=4,N429&gt;=0,O429&gt;N429,O429&lt;=$N$4,P429&gt;=0,Q429&gt;0),IF(COUNTIFS($N$13:$N$428,"&lt;"&amp;O429,$O$13:$O$428,"&gt;"&amp;N429)&gt;0,"OVERLAP","OK"),"CHECK INPUTS"))</f>
        <v/>
      </c>
      <c r="AA429" s="120">
        <f>IF(AND(J429="OK",ISNUMBER($B$5),$B$5&gt;0,ISNUMBER($B$3),$B$3&gt;0),F429/(6*$B$3*1000000*$B$5)*(IF(B429&lt;($B$4*0/10),($B$4*0/10)*(MIN(C429,($B$4*0/10))^3-B429^3)-(MIN(C429,($B$4*0/10))^4-B429^4)/4,0)+IF(C429&gt;($B$4*0/10),($B$4*0/10)^2*(1.5*(C429^2-MAX(B429,($B$4*0/10))^2)-($B$4*0/10)*(C429-MAX(B429,($B$4*0/10)))),0))*1000,0)</f>
        <v>0</v>
      </c>
      <c r="AB429" s="120">
        <f>IF(AND(J429="OK",ISNUMBER($B$5),$B$5&gt;0,ISNUMBER($B$3),$B$3&gt;0),F429/(6*$B$3*1000000*$B$5)*(IF(B429&lt;($B$4*1/10),($B$4*1/10)*(MIN(C429,($B$4*1/10))^3-B429^3)-(MIN(C429,($B$4*1/10))^4-B429^4)/4,0)+IF(C429&gt;($B$4*1/10),($B$4*1/10)^2*(1.5*(C429^2-MAX(B429,($B$4*1/10))^2)-($B$4*1/10)*(C429-MAX(B429,($B$4*1/10)))),0))*1000,0)</f>
        <v>0</v>
      </c>
      <c r="AC429" s="120">
        <f>IF(AND(J429="OK",ISNUMBER($B$5),$B$5&gt;0,ISNUMBER($B$3),$B$3&gt;0),F429/(6*$B$3*1000000*$B$5)*(IF(B429&lt;($B$4*2/10),($B$4*2/10)*(MIN(C429,($B$4*2/10))^3-B429^3)-(MIN(C429,($B$4*2/10))^4-B429^4)/4,0)+IF(C429&gt;($B$4*2/10),($B$4*2/10)^2*(1.5*(C429^2-MAX(B429,($B$4*2/10))^2)-($B$4*2/10)*(C429-MAX(B429,($B$4*2/10)))),0))*1000,0)</f>
        <v>0</v>
      </c>
      <c r="AD429" s="120">
        <f>IF(AND(J429="OK",ISNUMBER($B$5),$B$5&gt;0,ISNUMBER($B$3),$B$3&gt;0),F429/(6*$B$3*1000000*$B$5)*(IF(B429&lt;($B$4*3/10),($B$4*3/10)*(MIN(C429,($B$4*3/10))^3-B429^3)-(MIN(C429,($B$4*3/10))^4-B429^4)/4,0)+IF(C429&gt;($B$4*3/10),($B$4*3/10)^2*(1.5*(C429^2-MAX(B429,($B$4*3/10))^2)-($B$4*3/10)*(C429-MAX(B429,($B$4*3/10)))),0))*1000,0)</f>
        <v>0</v>
      </c>
      <c r="AE429" s="120">
        <f>IF(AND(J429="OK",ISNUMBER($B$5),$B$5&gt;0,ISNUMBER($B$3),$B$3&gt;0),F429/(6*$B$3*1000000*$B$5)*(IF(B429&lt;($B$4*4/10),($B$4*4/10)*(MIN(C429,($B$4*4/10))^3-B429^3)-(MIN(C429,($B$4*4/10))^4-B429^4)/4,0)+IF(C429&gt;($B$4*4/10),($B$4*4/10)^2*(1.5*(C429^2-MAX(B429,($B$4*4/10))^2)-($B$4*4/10)*(C429-MAX(B429,($B$4*4/10)))),0))*1000,0)</f>
        <v>0</v>
      </c>
      <c r="AF429" s="120">
        <f>IF(AND(J429="OK",ISNUMBER($B$5),$B$5&gt;0,ISNUMBER($B$3),$B$3&gt;0),F429/(6*$B$3*1000000*$B$5)*(IF(B429&lt;($B$4*5/10),($B$4*5/10)*(MIN(C429,($B$4*5/10))^3-B429^3)-(MIN(C429,($B$4*5/10))^4-B429^4)/4,0)+IF(C429&gt;($B$4*5/10),($B$4*5/10)^2*(1.5*(C429^2-MAX(B429,($B$4*5/10))^2)-($B$4*5/10)*(C429-MAX(B429,($B$4*5/10)))),0))*1000,0)</f>
        <v>0</v>
      </c>
      <c r="AG429" s="120">
        <f>IF(AND(J429="OK",ISNUMBER($B$5),$B$5&gt;0,ISNUMBER($B$3),$B$3&gt;0),F429/(6*$B$3*1000000*$B$5)*(IF(B429&lt;($B$4*6/10),($B$4*6/10)*(MIN(C429,($B$4*6/10))^3-B429^3)-(MIN(C429,($B$4*6/10))^4-B429^4)/4,0)+IF(C429&gt;($B$4*6/10),($B$4*6/10)^2*(1.5*(C429^2-MAX(B429,($B$4*6/10))^2)-($B$4*6/10)*(C429-MAX(B429,($B$4*6/10)))),0))*1000,0)</f>
        <v>0</v>
      </c>
      <c r="AH429" s="120">
        <f>IF(AND(J429="OK",ISNUMBER($B$5),$B$5&gt;0,ISNUMBER($B$3),$B$3&gt;0),F429/(6*$B$3*1000000*$B$5)*(IF(B429&lt;($B$4*7/10),($B$4*7/10)*(MIN(C429,($B$4*7/10))^3-B429^3)-(MIN(C429,($B$4*7/10))^4-B429^4)/4,0)+IF(C429&gt;($B$4*7/10),($B$4*7/10)^2*(1.5*(C429^2-MAX(B429,($B$4*7/10))^2)-($B$4*7/10)*(C429-MAX(B429,($B$4*7/10)))),0))*1000,0)</f>
        <v>0</v>
      </c>
      <c r="AI429" s="120">
        <f>IF(AND(J429="OK",ISNUMBER($B$5),$B$5&gt;0,ISNUMBER($B$3),$B$3&gt;0),F429/(6*$B$3*1000000*$B$5)*(IF(B429&lt;($B$4*8/10),($B$4*8/10)*(MIN(C429,($B$4*8/10))^3-B429^3)-(MIN(C429,($B$4*8/10))^4-B429^4)/4,0)+IF(C429&gt;($B$4*8/10),($B$4*8/10)^2*(1.5*(C429^2-MAX(B429,($B$4*8/10))^2)-($B$4*8/10)*(C429-MAX(B429,($B$4*8/10)))),0))*1000,0)</f>
        <v>0</v>
      </c>
      <c r="AJ429" s="120">
        <f>IF(AND(J429="OK",ISNUMBER($B$5),$B$5&gt;0,ISNUMBER($B$3),$B$3&gt;0),F429/(6*$B$3*1000000*$B$5)*(IF(B429&lt;($B$4*9/10),($B$4*9/10)*(MIN(C429,($B$4*9/10))^3-B429^3)-(MIN(C429,($B$4*9/10))^4-B429^4)/4,0)+IF(C429&gt;($B$4*9/10),($B$4*9/10)^2*(1.5*(C429^2-MAX(B429,($B$4*9/10))^2)-($B$4*9/10)*(C429-MAX(B429,($B$4*9/10)))),0))*1000,0)</f>
        <v>0</v>
      </c>
      <c r="AK429" s="120">
        <f>IF(AND(J429="OK",ISNUMBER($B$5),$B$5&gt;0,ISNUMBER($B$3),$B$3&gt;0),F429/(6*$B$3*1000000*$B$5)*(IF(B429&lt;($B$4*10/10),($B$4*10/10)*(MIN(C429,($B$4*10/10))^3-B429^3)-(MIN(C429,($B$4*10/10))^4-B429^4)/4,0)+IF(C429&gt;($B$4*10/10),($B$4*10/10)^2*(1.5*(C429^2-MAX(B429,($B$4*10/10))^2)-($B$4*10/10)*(C429-MAX(B429,($B$4*10/10)))),0))*1000,0)</f>
        <v>0</v>
      </c>
      <c r="AM429" s="120">
        <f>IF(AND(V429="OK",ISNUMBER($N$5),$N$5&gt;0,ISNUMBER($N$3),$N$3&gt;0),R429/(6*$N$3*1000000*$N$5)*(IF(N429&lt;($N$4*0/10),($N$4*0/10)*(MIN(O429,($N$4*0/10))^3-N429^3)-(MIN(O429,($N$4*0/10))^4-N429^4)/4,0)+IF(O429&gt;($N$4*0/10),($N$4*0/10)^2*(1.5*(O429^2-MAX(N429,($N$4*0/10))^2)-($N$4*0/10)*(O429-MAX(N429,($N$4*0/10)))),0))*1000,0)</f>
        <v>0</v>
      </c>
      <c r="AN429" s="120">
        <f>IF(AND(V429="OK",ISNUMBER($N$5),$N$5&gt;0,ISNUMBER($N$3),$N$3&gt;0),R429/(6*$N$3*1000000*$N$5)*(IF(N429&lt;($N$4*1/10),($N$4*1/10)*(MIN(O429,($N$4*1/10))^3-N429^3)-(MIN(O429,($N$4*1/10))^4-N429^4)/4,0)+IF(O429&gt;($N$4*1/10),($N$4*1/10)^2*(1.5*(O429^2-MAX(N429,($N$4*1/10))^2)-($N$4*1/10)*(O429-MAX(N429,($N$4*1/10)))),0))*1000,0)</f>
        <v>0</v>
      </c>
      <c r="AO429" s="120">
        <f>IF(AND(V429="OK",ISNUMBER($N$5),$N$5&gt;0,ISNUMBER($N$3),$N$3&gt;0),R429/(6*$N$3*1000000*$N$5)*(IF(N429&lt;($N$4*2/10),($N$4*2/10)*(MIN(O429,($N$4*2/10))^3-N429^3)-(MIN(O429,($N$4*2/10))^4-N429^4)/4,0)+IF(O429&gt;($N$4*2/10),($N$4*2/10)^2*(1.5*(O429^2-MAX(N429,($N$4*2/10))^2)-($N$4*2/10)*(O429-MAX(N429,($N$4*2/10)))),0))*1000,0)</f>
        <v>0</v>
      </c>
      <c r="AP429" s="120">
        <f>IF(AND(V429="OK",ISNUMBER($N$5),$N$5&gt;0,ISNUMBER($N$3),$N$3&gt;0),R429/(6*$N$3*1000000*$N$5)*(IF(N429&lt;($N$4*3/10),($N$4*3/10)*(MIN(O429,($N$4*3/10))^3-N429^3)-(MIN(O429,($N$4*3/10))^4-N429^4)/4,0)+IF(O429&gt;($N$4*3/10),($N$4*3/10)^2*(1.5*(O429^2-MAX(N429,($N$4*3/10))^2)-($N$4*3/10)*(O429-MAX(N429,($N$4*3/10)))),0))*1000,0)</f>
        <v>0</v>
      </c>
      <c r="AQ429" s="120">
        <f>IF(AND(V429="OK",ISNUMBER($N$5),$N$5&gt;0,ISNUMBER($N$3),$N$3&gt;0),R429/(6*$N$3*1000000*$N$5)*(IF(N429&lt;($N$4*4/10),($N$4*4/10)*(MIN(O429,($N$4*4/10))^3-N429^3)-(MIN(O429,($N$4*4/10))^4-N429^4)/4,0)+IF(O429&gt;($N$4*4/10),($N$4*4/10)^2*(1.5*(O429^2-MAX(N429,($N$4*4/10))^2)-($N$4*4/10)*(O429-MAX(N429,($N$4*4/10)))),0))*1000,0)</f>
        <v>0</v>
      </c>
      <c r="AR429" s="120">
        <f>IF(AND(V429="OK",ISNUMBER($N$5),$N$5&gt;0,ISNUMBER($N$3),$N$3&gt;0),R429/(6*$N$3*1000000*$N$5)*(IF(N429&lt;($N$4*5/10),($N$4*5/10)*(MIN(O429,($N$4*5/10))^3-N429^3)-(MIN(O429,($N$4*5/10))^4-N429^4)/4,0)+IF(O429&gt;($N$4*5/10),($N$4*5/10)^2*(1.5*(O429^2-MAX(N429,($N$4*5/10))^2)-($N$4*5/10)*(O429-MAX(N429,($N$4*5/10)))),0))*1000,0)</f>
        <v>0</v>
      </c>
      <c r="AS429" s="120">
        <f>IF(AND(V429="OK",ISNUMBER($N$5),$N$5&gt;0,ISNUMBER($N$3),$N$3&gt;0),R429/(6*$N$3*1000000*$N$5)*(IF(N429&lt;($N$4*6/10),($N$4*6/10)*(MIN(O429,($N$4*6/10))^3-N429^3)-(MIN(O429,($N$4*6/10))^4-N429^4)/4,0)+IF(O429&gt;($N$4*6/10),($N$4*6/10)^2*(1.5*(O429^2-MAX(N429,($N$4*6/10))^2)-($N$4*6/10)*(O429-MAX(N429,($N$4*6/10)))),0))*1000,0)</f>
        <v>0</v>
      </c>
      <c r="AT429" s="120">
        <f>IF(AND(V429="OK",ISNUMBER($N$5),$N$5&gt;0,ISNUMBER($N$3),$N$3&gt;0),R429/(6*$N$3*1000000*$N$5)*(IF(N429&lt;($N$4*7/10),($N$4*7/10)*(MIN(O429,($N$4*7/10))^3-N429^3)-(MIN(O429,($N$4*7/10))^4-N429^4)/4,0)+IF(O429&gt;($N$4*7/10),($N$4*7/10)^2*(1.5*(O429^2-MAX(N429,($N$4*7/10))^2)-($N$4*7/10)*(O429-MAX(N429,($N$4*7/10)))),0))*1000,0)</f>
        <v>0</v>
      </c>
      <c r="AU429" s="120">
        <f>IF(AND(V429="OK",ISNUMBER($N$5),$N$5&gt;0,ISNUMBER($N$3),$N$3&gt;0),R429/(6*$N$3*1000000*$N$5)*(IF(N429&lt;($N$4*8/10),($N$4*8/10)*(MIN(O429,($N$4*8/10))^3-N429^3)-(MIN(O429,($N$4*8/10))^4-N429^4)/4,0)+IF(O429&gt;($N$4*8/10),($N$4*8/10)^2*(1.5*(O429^2-MAX(N429,($N$4*8/10))^2)-($N$4*8/10)*(O429-MAX(N429,($N$4*8/10)))),0))*1000,0)</f>
        <v>0</v>
      </c>
      <c r="AV429" s="120">
        <f>IF(AND(V429="OK",ISNUMBER($N$5),$N$5&gt;0,ISNUMBER($N$3),$N$3&gt;0),R429/(6*$N$3*1000000*$N$5)*(IF(N429&lt;($N$4*9/10),($N$4*9/10)*(MIN(O429,($N$4*9/10))^3-N429^3)-(MIN(O429,($N$4*9/10))^4-N429^4)/4,0)+IF(O429&gt;($N$4*9/10),($N$4*9/10)^2*(1.5*(O429^2-MAX(N429,($N$4*9/10))^2)-($N$4*9/10)*(O429-MAX(N429,($N$4*9/10)))),0))*1000,0)</f>
        <v>0</v>
      </c>
      <c r="AW429" s="120">
        <f>IF(AND(V429="OK",ISNUMBER($N$5),$N$5&gt;0,ISNUMBER($N$3),$N$3&gt;0),R429/(6*$N$3*1000000*$N$5)*(IF(N429&lt;($N$4*10/10),($N$4*10/10)*(MIN(O429,($N$4*10/10))^3-N429^3)-(MIN(O429,($N$4*10/10))^4-N429^4)/4,0)+IF(O429&gt;($N$4*10/10),($N$4*10/10)^2*(1.5*(O429^2-MAX(N429,($N$4*10/10))^2)-($N$4*10/10)*(O429-MAX(N429,($N$4*10/10)))),0))*1000,0)</f>
        <v>0</v>
      </c>
    </row>
    <row r="430" spans="1:49">
      <c r="A430" s="124"/>
      <c r="B430" s="125"/>
      <c r="C430" s="125"/>
      <c r="D430" s="125"/>
      <c r="E430" s="125"/>
      <c r="F430" s="126" t="str">
        <f>IF(J430="OK",D430*E430,"")</f>
        <v/>
      </c>
      <c r="G430" s="126" t="str">
        <f>IF(J430="OK",F430*(C430-B430),"")</f>
        <v/>
      </c>
      <c r="H430" s="126" t="str">
        <f>IF(J430="OK",G430*(C430+B430)/2,"")</f>
        <v/>
      </c>
      <c r="I430" s="126" t="str">
        <f>IF(AND(J430="OK",ISNUMBER($B$5),$B$5&gt;0,ISNUMBER($B$3),$B$3&gt;0),F430*(4*$B$4*(C430^3-B430^3)-(C430^4-B430^4))/(24*$B$3*1000000*$B$5)*1000,"")</f>
        <v/>
      </c>
      <c r="J430" s="120" t="str">
        <f>IF(COUNTA(A430:E430)=0,"",IF(AND(COUNT(B430:E430)=4,B430&gt;=0,C430&gt;B430,C430&lt;=$B$4,D430&gt;=0,E430&gt;0),IF(COUNTIFS($B$13:$B$429,"&lt;"&amp;C430,$C$13:$C$429,"&gt;"&amp;B430)&gt;0,"OVERLAP","OK"),"CHECK INPUTS"))</f>
        <v/>
      </c>
      <c r="M430" s="124"/>
      <c r="N430" s="125"/>
      <c r="O430" s="125"/>
      <c r="P430" s="125"/>
      <c r="Q430" s="125"/>
      <c r="R430" s="126" t="str">
        <f>IF(V430="OK",P430*Q430,"")</f>
        <v/>
      </c>
      <c r="S430" s="126" t="str">
        <f>IF(V430="OK",R430*(O430-N430),"")</f>
        <v/>
      </c>
      <c r="T430" s="126" t="str">
        <f>IF(V430="OK",S430*(O430+N430)/2,"")</f>
        <v/>
      </c>
      <c r="U430" s="126" t="str">
        <f>IF(AND(V430="OK",ISNUMBER($N$5),$N$5&gt;0,ISNUMBER($N$3),$N$3&gt;0),R430*(4*$N$4*(O430^3-N430^3)-(O430^4-N430^4))/(24*$N$3*1000000*$N$5)*1000,"")</f>
        <v/>
      </c>
      <c r="V430" s="120" t="str">
        <f>IF(COUNTA(M430:Q430)=0,"",IF(AND(COUNT(N430:Q430)=4,N430&gt;=0,O430&gt;N430,O430&lt;=$N$4,P430&gt;=0,Q430&gt;0),IF(COUNTIFS($N$13:$N$429,"&lt;"&amp;O430,$O$13:$O$429,"&gt;"&amp;N430)&gt;0,"OVERLAP","OK"),"CHECK INPUTS"))</f>
        <v/>
      </c>
      <c r="AA430" s="120">
        <f>IF(AND(J430="OK",ISNUMBER($B$5),$B$5&gt;0,ISNUMBER($B$3),$B$3&gt;0),F430/(6*$B$3*1000000*$B$5)*(IF(B430&lt;($B$4*0/10),($B$4*0/10)*(MIN(C430,($B$4*0/10))^3-B430^3)-(MIN(C430,($B$4*0/10))^4-B430^4)/4,0)+IF(C430&gt;($B$4*0/10),($B$4*0/10)^2*(1.5*(C430^2-MAX(B430,($B$4*0/10))^2)-($B$4*0/10)*(C430-MAX(B430,($B$4*0/10)))),0))*1000,0)</f>
        <v>0</v>
      </c>
      <c r="AB430" s="120">
        <f>IF(AND(J430="OK",ISNUMBER($B$5),$B$5&gt;0,ISNUMBER($B$3),$B$3&gt;0),F430/(6*$B$3*1000000*$B$5)*(IF(B430&lt;($B$4*1/10),($B$4*1/10)*(MIN(C430,($B$4*1/10))^3-B430^3)-(MIN(C430,($B$4*1/10))^4-B430^4)/4,0)+IF(C430&gt;($B$4*1/10),($B$4*1/10)^2*(1.5*(C430^2-MAX(B430,($B$4*1/10))^2)-($B$4*1/10)*(C430-MAX(B430,($B$4*1/10)))),0))*1000,0)</f>
        <v>0</v>
      </c>
      <c r="AC430" s="120">
        <f>IF(AND(J430="OK",ISNUMBER($B$5),$B$5&gt;0,ISNUMBER($B$3),$B$3&gt;0),F430/(6*$B$3*1000000*$B$5)*(IF(B430&lt;($B$4*2/10),($B$4*2/10)*(MIN(C430,($B$4*2/10))^3-B430^3)-(MIN(C430,($B$4*2/10))^4-B430^4)/4,0)+IF(C430&gt;($B$4*2/10),($B$4*2/10)^2*(1.5*(C430^2-MAX(B430,($B$4*2/10))^2)-($B$4*2/10)*(C430-MAX(B430,($B$4*2/10)))),0))*1000,0)</f>
        <v>0</v>
      </c>
      <c r="AD430" s="120">
        <f>IF(AND(J430="OK",ISNUMBER($B$5),$B$5&gt;0,ISNUMBER($B$3),$B$3&gt;0),F430/(6*$B$3*1000000*$B$5)*(IF(B430&lt;($B$4*3/10),($B$4*3/10)*(MIN(C430,($B$4*3/10))^3-B430^3)-(MIN(C430,($B$4*3/10))^4-B430^4)/4,0)+IF(C430&gt;($B$4*3/10),($B$4*3/10)^2*(1.5*(C430^2-MAX(B430,($B$4*3/10))^2)-($B$4*3/10)*(C430-MAX(B430,($B$4*3/10)))),0))*1000,0)</f>
        <v>0</v>
      </c>
      <c r="AE430" s="120">
        <f>IF(AND(J430="OK",ISNUMBER($B$5),$B$5&gt;0,ISNUMBER($B$3),$B$3&gt;0),F430/(6*$B$3*1000000*$B$5)*(IF(B430&lt;($B$4*4/10),($B$4*4/10)*(MIN(C430,($B$4*4/10))^3-B430^3)-(MIN(C430,($B$4*4/10))^4-B430^4)/4,0)+IF(C430&gt;($B$4*4/10),($B$4*4/10)^2*(1.5*(C430^2-MAX(B430,($B$4*4/10))^2)-($B$4*4/10)*(C430-MAX(B430,($B$4*4/10)))),0))*1000,0)</f>
        <v>0</v>
      </c>
      <c r="AF430" s="120">
        <f>IF(AND(J430="OK",ISNUMBER($B$5),$B$5&gt;0,ISNUMBER($B$3),$B$3&gt;0),F430/(6*$B$3*1000000*$B$5)*(IF(B430&lt;($B$4*5/10),($B$4*5/10)*(MIN(C430,($B$4*5/10))^3-B430^3)-(MIN(C430,($B$4*5/10))^4-B430^4)/4,0)+IF(C430&gt;($B$4*5/10),($B$4*5/10)^2*(1.5*(C430^2-MAX(B430,($B$4*5/10))^2)-($B$4*5/10)*(C430-MAX(B430,($B$4*5/10)))),0))*1000,0)</f>
        <v>0</v>
      </c>
      <c r="AG430" s="120">
        <f>IF(AND(J430="OK",ISNUMBER($B$5),$B$5&gt;0,ISNUMBER($B$3),$B$3&gt;0),F430/(6*$B$3*1000000*$B$5)*(IF(B430&lt;($B$4*6/10),($B$4*6/10)*(MIN(C430,($B$4*6/10))^3-B430^3)-(MIN(C430,($B$4*6/10))^4-B430^4)/4,0)+IF(C430&gt;($B$4*6/10),($B$4*6/10)^2*(1.5*(C430^2-MAX(B430,($B$4*6/10))^2)-($B$4*6/10)*(C430-MAX(B430,($B$4*6/10)))),0))*1000,0)</f>
        <v>0</v>
      </c>
      <c r="AH430" s="120">
        <f>IF(AND(J430="OK",ISNUMBER($B$5),$B$5&gt;0,ISNUMBER($B$3),$B$3&gt;0),F430/(6*$B$3*1000000*$B$5)*(IF(B430&lt;($B$4*7/10),($B$4*7/10)*(MIN(C430,($B$4*7/10))^3-B430^3)-(MIN(C430,($B$4*7/10))^4-B430^4)/4,0)+IF(C430&gt;($B$4*7/10),($B$4*7/10)^2*(1.5*(C430^2-MAX(B430,($B$4*7/10))^2)-($B$4*7/10)*(C430-MAX(B430,($B$4*7/10)))),0))*1000,0)</f>
        <v>0</v>
      </c>
      <c r="AI430" s="120">
        <f>IF(AND(J430="OK",ISNUMBER($B$5),$B$5&gt;0,ISNUMBER($B$3),$B$3&gt;0),F430/(6*$B$3*1000000*$B$5)*(IF(B430&lt;($B$4*8/10),($B$4*8/10)*(MIN(C430,($B$4*8/10))^3-B430^3)-(MIN(C430,($B$4*8/10))^4-B430^4)/4,0)+IF(C430&gt;($B$4*8/10),($B$4*8/10)^2*(1.5*(C430^2-MAX(B430,($B$4*8/10))^2)-($B$4*8/10)*(C430-MAX(B430,($B$4*8/10)))),0))*1000,0)</f>
        <v>0</v>
      </c>
      <c r="AJ430" s="120">
        <f>IF(AND(J430="OK",ISNUMBER($B$5),$B$5&gt;0,ISNUMBER($B$3),$B$3&gt;0),F430/(6*$B$3*1000000*$B$5)*(IF(B430&lt;($B$4*9/10),($B$4*9/10)*(MIN(C430,($B$4*9/10))^3-B430^3)-(MIN(C430,($B$4*9/10))^4-B430^4)/4,0)+IF(C430&gt;($B$4*9/10),($B$4*9/10)^2*(1.5*(C430^2-MAX(B430,($B$4*9/10))^2)-($B$4*9/10)*(C430-MAX(B430,($B$4*9/10)))),0))*1000,0)</f>
        <v>0</v>
      </c>
      <c r="AK430" s="120">
        <f>IF(AND(J430="OK",ISNUMBER($B$5),$B$5&gt;0,ISNUMBER($B$3),$B$3&gt;0),F430/(6*$B$3*1000000*$B$5)*(IF(B430&lt;($B$4*10/10),($B$4*10/10)*(MIN(C430,($B$4*10/10))^3-B430^3)-(MIN(C430,($B$4*10/10))^4-B430^4)/4,0)+IF(C430&gt;($B$4*10/10),($B$4*10/10)^2*(1.5*(C430^2-MAX(B430,($B$4*10/10))^2)-($B$4*10/10)*(C430-MAX(B430,($B$4*10/10)))),0))*1000,0)</f>
        <v>0</v>
      </c>
      <c r="AM430" s="120">
        <f>IF(AND(V430="OK",ISNUMBER($N$5),$N$5&gt;0,ISNUMBER($N$3),$N$3&gt;0),R430/(6*$N$3*1000000*$N$5)*(IF(N430&lt;($N$4*0/10),($N$4*0/10)*(MIN(O430,($N$4*0/10))^3-N430^3)-(MIN(O430,($N$4*0/10))^4-N430^4)/4,0)+IF(O430&gt;($N$4*0/10),($N$4*0/10)^2*(1.5*(O430^2-MAX(N430,($N$4*0/10))^2)-($N$4*0/10)*(O430-MAX(N430,($N$4*0/10)))),0))*1000,0)</f>
        <v>0</v>
      </c>
      <c r="AN430" s="120">
        <f>IF(AND(V430="OK",ISNUMBER($N$5),$N$5&gt;0,ISNUMBER($N$3),$N$3&gt;0),R430/(6*$N$3*1000000*$N$5)*(IF(N430&lt;($N$4*1/10),($N$4*1/10)*(MIN(O430,($N$4*1/10))^3-N430^3)-(MIN(O430,($N$4*1/10))^4-N430^4)/4,0)+IF(O430&gt;($N$4*1/10),($N$4*1/10)^2*(1.5*(O430^2-MAX(N430,($N$4*1/10))^2)-($N$4*1/10)*(O430-MAX(N430,($N$4*1/10)))),0))*1000,0)</f>
        <v>0</v>
      </c>
      <c r="AO430" s="120">
        <f>IF(AND(V430="OK",ISNUMBER($N$5),$N$5&gt;0,ISNUMBER($N$3),$N$3&gt;0),R430/(6*$N$3*1000000*$N$5)*(IF(N430&lt;($N$4*2/10),($N$4*2/10)*(MIN(O430,($N$4*2/10))^3-N430^3)-(MIN(O430,($N$4*2/10))^4-N430^4)/4,0)+IF(O430&gt;($N$4*2/10),($N$4*2/10)^2*(1.5*(O430^2-MAX(N430,($N$4*2/10))^2)-($N$4*2/10)*(O430-MAX(N430,($N$4*2/10)))),0))*1000,0)</f>
        <v>0</v>
      </c>
      <c r="AP430" s="120">
        <f>IF(AND(V430="OK",ISNUMBER($N$5),$N$5&gt;0,ISNUMBER($N$3),$N$3&gt;0),R430/(6*$N$3*1000000*$N$5)*(IF(N430&lt;($N$4*3/10),($N$4*3/10)*(MIN(O430,($N$4*3/10))^3-N430^3)-(MIN(O430,($N$4*3/10))^4-N430^4)/4,0)+IF(O430&gt;($N$4*3/10),($N$4*3/10)^2*(1.5*(O430^2-MAX(N430,($N$4*3/10))^2)-($N$4*3/10)*(O430-MAX(N430,($N$4*3/10)))),0))*1000,0)</f>
        <v>0</v>
      </c>
      <c r="AQ430" s="120">
        <f>IF(AND(V430="OK",ISNUMBER($N$5),$N$5&gt;0,ISNUMBER($N$3),$N$3&gt;0),R430/(6*$N$3*1000000*$N$5)*(IF(N430&lt;($N$4*4/10),($N$4*4/10)*(MIN(O430,($N$4*4/10))^3-N430^3)-(MIN(O430,($N$4*4/10))^4-N430^4)/4,0)+IF(O430&gt;($N$4*4/10),($N$4*4/10)^2*(1.5*(O430^2-MAX(N430,($N$4*4/10))^2)-($N$4*4/10)*(O430-MAX(N430,($N$4*4/10)))),0))*1000,0)</f>
        <v>0</v>
      </c>
      <c r="AR430" s="120">
        <f>IF(AND(V430="OK",ISNUMBER($N$5),$N$5&gt;0,ISNUMBER($N$3),$N$3&gt;0),R430/(6*$N$3*1000000*$N$5)*(IF(N430&lt;($N$4*5/10),($N$4*5/10)*(MIN(O430,($N$4*5/10))^3-N430^3)-(MIN(O430,($N$4*5/10))^4-N430^4)/4,0)+IF(O430&gt;($N$4*5/10),($N$4*5/10)^2*(1.5*(O430^2-MAX(N430,($N$4*5/10))^2)-($N$4*5/10)*(O430-MAX(N430,($N$4*5/10)))),0))*1000,0)</f>
        <v>0</v>
      </c>
      <c r="AS430" s="120">
        <f>IF(AND(V430="OK",ISNUMBER($N$5),$N$5&gt;0,ISNUMBER($N$3),$N$3&gt;0),R430/(6*$N$3*1000000*$N$5)*(IF(N430&lt;($N$4*6/10),($N$4*6/10)*(MIN(O430,($N$4*6/10))^3-N430^3)-(MIN(O430,($N$4*6/10))^4-N430^4)/4,0)+IF(O430&gt;($N$4*6/10),($N$4*6/10)^2*(1.5*(O430^2-MAX(N430,($N$4*6/10))^2)-($N$4*6/10)*(O430-MAX(N430,($N$4*6/10)))),0))*1000,0)</f>
        <v>0</v>
      </c>
      <c r="AT430" s="120">
        <f>IF(AND(V430="OK",ISNUMBER($N$5),$N$5&gt;0,ISNUMBER($N$3),$N$3&gt;0),R430/(6*$N$3*1000000*$N$5)*(IF(N430&lt;($N$4*7/10),($N$4*7/10)*(MIN(O430,($N$4*7/10))^3-N430^3)-(MIN(O430,($N$4*7/10))^4-N430^4)/4,0)+IF(O430&gt;($N$4*7/10),($N$4*7/10)^2*(1.5*(O430^2-MAX(N430,($N$4*7/10))^2)-($N$4*7/10)*(O430-MAX(N430,($N$4*7/10)))),0))*1000,0)</f>
        <v>0</v>
      </c>
      <c r="AU430" s="120">
        <f>IF(AND(V430="OK",ISNUMBER($N$5),$N$5&gt;0,ISNUMBER($N$3),$N$3&gt;0),R430/(6*$N$3*1000000*$N$5)*(IF(N430&lt;($N$4*8/10),($N$4*8/10)*(MIN(O430,($N$4*8/10))^3-N430^3)-(MIN(O430,($N$4*8/10))^4-N430^4)/4,0)+IF(O430&gt;($N$4*8/10),($N$4*8/10)^2*(1.5*(O430^2-MAX(N430,($N$4*8/10))^2)-($N$4*8/10)*(O430-MAX(N430,($N$4*8/10)))),0))*1000,0)</f>
        <v>0</v>
      </c>
      <c r="AV430" s="120">
        <f>IF(AND(V430="OK",ISNUMBER($N$5),$N$5&gt;0,ISNUMBER($N$3),$N$3&gt;0),R430/(6*$N$3*1000000*$N$5)*(IF(N430&lt;($N$4*9/10),($N$4*9/10)*(MIN(O430,($N$4*9/10))^3-N430^3)-(MIN(O430,($N$4*9/10))^4-N430^4)/4,0)+IF(O430&gt;($N$4*9/10),($N$4*9/10)^2*(1.5*(O430^2-MAX(N430,($N$4*9/10))^2)-($N$4*9/10)*(O430-MAX(N430,($N$4*9/10)))),0))*1000,0)</f>
        <v>0</v>
      </c>
      <c r="AW430" s="120">
        <f>IF(AND(V430="OK",ISNUMBER($N$5),$N$5&gt;0,ISNUMBER($N$3),$N$3&gt;0),R430/(6*$N$3*1000000*$N$5)*(IF(N430&lt;($N$4*10/10),($N$4*10/10)*(MIN(O430,($N$4*10/10))^3-N430^3)-(MIN(O430,($N$4*10/10))^4-N430^4)/4,0)+IF(O430&gt;($N$4*10/10),($N$4*10/10)^2*(1.5*(O430^2-MAX(N430,($N$4*10/10))^2)-($N$4*10/10)*(O430-MAX(N430,($N$4*10/10)))),0))*1000,0)</f>
        <v>0</v>
      </c>
    </row>
    <row r="431" spans="1:49">
      <c r="A431" s="124"/>
      <c r="B431" s="125"/>
      <c r="C431" s="125"/>
      <c r="D431" s="125"/>
      <c r="E431" s="125"/>
      <c r="F431" s="126" t="str">
        <f>IF(J431="OK",D431*E431,"")</f>
        <v/>
      </c>
      <c r="G431" s="126" t="str">
        <f>IF(J431="OK",F431*(C431-B431),"")</f>
        <v/>
      </c>
      <c r="H431" s="126" t="str">
        <f>IF(J431="OK",G431*(C431+B431)/2,"")</f>
        <v/>
      </c>
      <c r="I431" s="126" t="str">
        <f>IF(AND(J431="OK",ISNUMBER($B$5),$B$5&gt;0,ISNUMBER($B$3),$B$3&gt;0),F431*(4*$B$4*(C431^3-B431^3)-(C431^4-B431^4))/(24*$B$3*1000000*$B$5)*1000,"")</f>
        <v/>
      </c>
      <c r="J431" s="120" t="str">
        <f>IF(COUNTA(A431:E431)=0,"",IF(AND(COUNT(B431:E431)=4,B431&gt;=0,C431&gt;B431,C431&lt;=$B$4,D431&gt;=0,E431&gt;0),IF(COUNTIFS($B$13:$B$430,"&lt;"&amp;C431,$C$13:$C$430,"&gt;"&amp;B431)&gt;0,"OVERLAP","OK"),"CHECK INPUTS"))</f>
        <v/>
      </c>
      <c r="M431" s="124"/>
      <c r="N431" s="125"/>
      <c r="O431" s="125"/>
      <c r="P431" s="125"/>
      <c r="Q431" s="125"/>
      <c r="R431" s="126" t="str">
        <f>IF(V431="OK",P431*Q431,"")</f>
        <v/>
      </c>
      <c r="S431" s="126" t="str">
        <f>IF(V431="OK",R431*(O431-N431),"")</f>
        <v/>
      </c>
      <c r="T431" s="126" t="str">
        <f>IF(V431="OK",S431*(O431+N431)/2,"")</f>
        <v/>
      </c>
      <c r="U431" s="126" t="str">
        <f>IF(AND(V431="OK",ISNUMBER($N$5),$N$5&gt;0,ISNUMBER($N$3),$N$3&gt;0),R431*(4*$N$4*(O431^3-N431^3)-(O431^4-N431^4))/(24*$N$3*1000000*$N$5)*1000,"")</f>
        <v/>
      </c>
      <c r="V431" s="120" t="str">
        <f>IF(COUNTA(M431:Q431)=0,"",IF(AND(COUNT(N431:Q431)=4,N431&gt;=0,O431&gt;N431,O431&lt;=$N$4,P431&gt;=0,Q431&gt;0),IF(COUNTIFS($N$13:$N$430,"&lt;"&amp;O431,$O$13:$O$430,"&gt;"&amp;N431)&gt;0,"OVERLAP","OK"),"CHECK INPUTS"))</f>
        <v/>
      </c>
      <c r="AA431" s="120">
        <f>IF(AND(J431="OK",ISNUMBER($B$5),$B$5&gt;0,ISNUMBER($B$3),$B$3&gt;0),F431/(6*$B$3*1000000*$B$5)*(IF(B431&lt;($B$4*0/10),($B$4*0/10)*(MIN(C431,($B$4*0/10))^3-B431^3)-(MIN(C431,($B$4*0/10))^4-B431^4)/4,0)+IF(C431&gt;($B$4*0/10),($B$4*0/10)^2*(1.5*(C431^2-MAX(B431,($B$4*0/10))^2)-($B$4*0/10)*(C431-MAX(B431,($B$4*0/10)))),0))*1000,0)</f>
        <v>0</v>
      </c>
      <c r="AB431" s="120">
        <f>IF(AND(J431="OK",ISNUMBER($B$5),$B$5&gt;0,ISNUMBER($B$3),$B$3&gt;0),F431/(6*$B$3*1000000*$B$5)*(IF(B431&lt;($B$4*1/10),($B$4*1/10)*(MIN(C431,($B$4*1/10))^3-B431^3)-(MIN(C431,($B$4*1/10))^4-B431^4)/4,0)+IF(C431&gt;($B$4*1/10),($B$4*1/10)^2*(1.5*(C431^2-MAX(B431,($B$4*1/10))^2)-($B$4*1/10)*(C431-MAX(B431,($B$4*1/10)))),0))*1000,0)</f>
        <v>0</v>
      </c>
      <c r="AC431" s="120">
        <f>IF(AND(J431="OK",ISNUMBER($B$5),$B$5&gt;0,ISNUMBER($B$3),$B$3&gt;0),F431/(6*$B$3*1000000*$B$5)*(IF(B431&lt;($B$4*2/10),($B$4*2/10)*(MIN(C431,($B$4*2/10))^3-B431^3)-(MIN(C431,($B$4*2/10))^4-B431^4)/4,0)+IF(C431&gt;($B$4*2/10),($B$4*2/10)^2*(1.5*(C431^2-MAX(B431,($B$4*2/10))^2)-($B$4*2/10)*(C431-MAX(B431,($B$4*2/10)))),0))*1000,0)</f>
        <v>0</v>
      </c>
      <c r="AD431" s="120">
        <f>IF(AND(J431="OK",ISNUMBER($B$5),$B$5&gt;0,ISNUMBER($B$3),$B$3&gt;0),F431/(6*$B$3*1000000*$B$5)*(IF(B431&lt;($B$4*3/10),($B$4*3/10)*(MIN(C431,($B$4*3/10))^3-B431^3)-(MIN(C431,($B$4*3/10))^4-B431^4)/4,0)+IF(C431&gt;($B$4*3/10),($B$4*3/10)^2*(1.5*(C431^2-MAX(B431,($B$4*3/10))^2)-($B$4*3/10)*(C431-MAX(B431,($B$4*3/10)))),0))*1000,0)</f>
        <v>0</v>
      </c>
      <c r="AE431" s="120">
        <f>IF(AND(J431="OK",ISNUMBER($B$5),$B$5&gt;0,ISNUMBER($B$3),$B$3&gt;0),F431/(6*$B$3*1000000*$B$5)*(IF(B431&lt;($B$4*4/10),($B$4*4/10)*(MIN(C431,($B$4*4/10))^3-B431^3)-(MIN(C431,($B$4*4/10))^4-B431^4)/4,0)+IF(C431&gt;($B$4*4/10),($B$4*4/10)^2*(1.5*(C431^2-MAX(B431,($B$4*4/10))^2)-($B$4*4/10)*(C431-MAX(B431,($B$4*4/10)))),0))*1000,0)</f>
        <v>0</v>
      </c>
      <c r="AF431" s="120">
        <f>IF(AND(J431="OK",ISNUMBER($B$5),$B$5&gt;0,ISNUMBER($B$3),$B$3&gt;0),F431/(6*$B$3*1000000*$B$5)*(IF(B431&lt;($B$4*5/10),($B$4*5/10)*(MIN(C431,($B$4*5/10))^3-B431^3)-(MIN(C431,($B$4*5/10))^4-B431^4)/4,0)+IF(C431&gt;($B$4*5/10),($B$4*5/10)^2*(1.5*(C431^2-MAX(B431,($B$4*5/10))^2)-($B$4*5/10)*(C431-MAX(B431,($B$4*5/10)))),0))*1000,0)</f>
        <v>0</v>
      </c>
      <c r="AG431" s="120">
        <f>IF(AND(J431="OK",ISNUMBER($B$5),$B$5&gt;0,ISNUMBER($B$3),$B$3&gt;0),F431/(6*$B$3*1000000*$B$5)*(IF(B431&lt;($B$4*6/10),($B$4*6/10)*(MIN(C431,($B$4*6/10))^3-B431^3)-(MIN(C431,($B$4*6/10))^4-B431^4)/4,0)+IF(C431&gt;($B$4*6/10),($B$4*6/10)^2*(1.5*(C431^2-MAX(B431,($B$4*6/10))^2)-($B$4*6/10)*(C431-MAX(B431,($B$4*6/10)))),0))*1000,0)</f>
        <v>0</v>
      </c>
      <c r="AH431" s="120">
        <f>IF(AND(J431="OK",ISNUMBER($B$5),$B$5&gt;0,ISNUMBER($B$3),$B$3&gt;0),F431/(6*$B$3*1000000*$B$5)*(IF(B431&lt;($B$4*7/10),($B$4*7/10)*(MIN(C431,($B$4*7/10))^3-B431^3)-(MIN(C431,($B$4*7/10))^4-B431^4)/4,0)+IF(C431&gt;($B$4*7/10),($B$4*7/10)^2*(1.5*(C431^2-MAX(B431,($B$4*7/10))^2)-($B$4*7/10)*(C431-MAX(B431,($B$4*7/10)))),0))*1000,0)</f>
        <v>0</v>
      </c>
      <c r="AI431" s="120">
        <f>IF(AND(J431="OK",ISNUMBER($B$5),$B$5&gt;0,ISNUMBER($B$3),$B$3&gt;0),F431/(6*$B$3*1000000*$B$5)*(IF(B431&lt;($B$4*8/10),($B$4*8/10)*(MIN(C431,($B$4*8/10))^3-B431^3)-(MIN(C431,($B$4*8/10))^4-B431^4)/4,0)+IF(C431&gt;($B$4*8/10),($B$4*8/10)^2*(1.5*(C431^2-MAX(B431,($B$4*8/10))^2)-($B$4*8/10)*(C431-MAX(B431,($B$4*8/10)))),0))*1000,0)</f>
        <v>0</v>
      </c>
      <c r="AJ431" s="120">
        <f>IF(AND(J431="OK",ISNUMBER($B$5),$B$5&gt;0,ISNUMBER($B$3),$B$3&gt;0),F431/(6*$B$3*1000000*$B$5)*(IF(B431&lt;($B$4*9/10),($B$4*9/10)*(MIN(C431,($B$4*9/10))^3-B431^3)-(MIN(C431,($B$4*9/10))^4-B431^4)/4,0)+IF(C431&gt;($B$4*9/10),($B$4*9/10)^2*(1.5*(C431^2-MAX(B431,($B$4*9/10))^2)-($B$4*9/10)*(C431-MAX(B431,($B$4*9/10)))),0))*1000,0)</f>
        <v>0</v>
      </c>
      <c r="AK431" s="120">
        <f>IF(AND(J431="OK",ISNUMBER($B$5),$B$5&gt;0,ISNUMBER($B$3),$B$3&gt;0),F431/(6*$B$3*1000000*$B$5)*(IF(B431&lt;($B$4*10/10),($B$4*10/10)*(MIN(C431,($B$4*10/10))^3-B431^3)-(MIN(C431,($B$4*10/10))^4-B431^4)/4,0)+IF(C431&gt;($B$4*10/10),($B$4*10/10)^2*(1.5*(C431^2-MAX(B431,($B$4*10/10))^2)-($B$4*10/10)*(C431-MAX(B431,($B$4*10/10)))),0))*1000,0)</f>
        <v>0</v>
      </c>
      <c r="AM431" s="120">
        <f>IF(AND(V431="OK",ISNUMBER($N$5),$N$5&gt;0,ISNUMBER($N$3),$N$3&gt;0),R431/(6*$N$3*1000000*$N$5)*(IF(N431&lt;($N$4*0/10),($N$4*0/10)*(MIN(O431,($N$4*0/10))^3-N431^3)-(MIN(O431,($N$4*0/10))^4-N431^4)/4,0)+IF(O431&gt;($N$4*0/10),($N$4*0/10)^2*(1.5*(O431^2-MAX(N431,($N$4*0/10))^2)-($N$4*0/10)*(O431-MAX(N431,($N$4*0/10)))),0))*1000,0)</f>
        <v>0</v>
      </c>
      <c r="AN431" s="120">
        <f>IF(AND(V431="OK",ISNUMBER($N$5),$N$5&gt;0,ISNUMBER($N$3),$N$3&gt;0),R431/(6*$N$3*1000000*$N$5)*(IF(N431&lt;($N$4*1/10),($N$4*1/10)*(MIN(O431,($N$4*1/10))^3-N431^3)-(MIN(O431,($N$4*1/10))^4-N431^4)/4,0)+IF(O431&gt;($N$4*1/10),($N$4*1/10)^2*(1.5*(O431^2-MAX(N431,($N$4*1/10))^2)-($N$4*1/10)*(O431-MAX(N431,($N$4*1/10)))),0))*1000,0)</f>
        <v>0</v>
      </c>
      <c r="AO431" s="120">
        <f>IF(AND(V431="OK",ISNUMBER($N$5),$N$5&gt;0,ISNUMBER($N$3),$N$3&gt;0),R431/(6*$N$3*1000000*$N$5)*(IF(N431&lt;($N$4*2/10),($N$4*2/10)*(MIN(O431,($N$4*2/10))^3-N431^3)-(MIN(O431,($N$4*2/10))^4-N431^4)/4,0)+IF(O431&gt;($N$4*2/10),($N$4*2/10)^2*(1.5*(O431^2-MAX(N431,($N$4*2/10))^2)-($N$4*2/10)*(O431-MAX(N431,($N$4*2/10)))),0))*1000,0)</f>
        <v>0</v>
      </c>
      <c r="AP431" s="120">
        <f>IF(AND(V431="OK",ISNUMBER($N$5),$N$5&gt;0,ISNUMBER($N$3),$N$3&gt;0),R431/(6*$N$3*1000000*$N$5)*(IF(N431&lt;($N$4*3/10),($N$4*3/10)*(MIN(O431,($N$4*3/10))^3-N431^3)-(MIN(O431,($N$4*3/10))^4-N431^4)/4,0)+IF(O431&gt;($N$4*3/10),($N$4*3/10)^2*(1.5*(O431^2-MAX(N431,($N$4*3/10))^2)-($N$4*3/10)*(O431-MAX(N431,($N$4*3/10)))),0))*1000,0)</f>
        <v>0</v>
      </c>
      <c r="AQ431" s="120">
        <f>IF(AND(V431="OK",ISNUMBER($N$5),$N$5&gt;0,ISNUMBER($N$3),$N$3&gt;0),R431/(6*$N$3*1000000*$N$5)*(IF(N431&lt;($N$4*4/10),($N$4*4/10)*(MIN(O431,($N$4*4/10))^3-N431^3)-(MIN(O431,($N$4*4/10))^4-N431^4)/4,0)+IF(O431&gt;($N$4*4/10),($N$4*4/10)^2*(1.5*(O431^2-MAX(N431,($N$4*4/10))^2)-($N$4*4/10)*(O431-MAX(N431,($N$4*4/10)))),0))*1000,0)</f>
        <v>0</v>
      </c>
      <c r="AR431" s="120">
        <f>IF(AND(V431="OK",ISNUMBER($N$5),$N$5&gt;0,ISNUMBER($N$3),$N$3&gt;0),R431/(6*$N$3*1000000*$N$5)*(IF(N431&lt;($N$4*5/10),($N$4*5/10)*(MIN(O431,($N$4*5/10))^3-N431^3)-(MIN(O431,($N$4*5/10))^4-N431^4)/4,0)+IF(O431&gt;($N$4*5/10),($N$4*5/10)^2*(1.5*(O431^2-MAX(N431,($N$4*5/10))^2)-($N$4*5/10)*(O431-MAX(N431,($N$4*5/10)))),0))*1000,0)</f>
        <v>0</v>
      </c>
      <c r="AS431" s="120">
        <f>IF(AND(V431="OK",ISNUMBER($N$5),$N$5&gt;0,ISNUMBER($N$3),$N$3&gt;0),R431/(6*$N$3*1000000*$N$5)*(IF(N431&lt;($N$4*6/10),($N$4*6/10)*(MIN(O431,($N$4*6/10))^3-N431^3)-(MIN(O431,($N$4*6/10))^4-N431^4)/4,0)+IF(O431&gt;($N$4*6/10),($N$4*6/10)^2*(1.5*(O431^2-MAX(N431,($N$4*6/10))^2)-($N$4*6/10)*(O431-MAX(N431,($N$4*6/10)))),0))*1000,0)</f>
        <v>0</v>
      </c>
      <c r="AT431" s="120">
        <f>IF(AND(V431="OK",ISNUMBER($N$5),$N$5&gt;0,ISNUMBER($N$3),$N$3&gt;0),R431/(6*$N$3*1000000*$N$5)*(IF(N431&lt;($N$4*7/10),($N$4*7/10)*(MIN(O431,($N$4*7/10))^3-N431^3)-(MIN(O431,($N$4*7/10))^4-N431^4)/4,0)+IF(O431&gt;($N$4*7/10),($N$4*7/10)^2*(1.5*(O431^2-MAX(N431,($N$4*7/10))^2)-($N$4*7/10)*(O431-MAX(N431,($N$4*7/10)))),0))*1000,0)</f>
        <v>0</v>
      </c>
      <c r="AU431" s="120">
        <f>IF(AND(V431="OK",ISNUMBER($N$5),$N$5&gt;0,ISNUMBER($N$3),$N$3&gt;0),R431/(6*$N$3*1000000*$N$5)*(IF(N431&lt;($N$4*8/10),($N$4*8/10)*(MIN(O431,($N$4*8/10))^3-N431^3)-(MIN(O431,($N$4*8/10))^4-N431^4)/4,0)+IF(O431&gt;($N$4*8/10),($N$4*8/10)^2*(1.5*(O431^2-MAX(N431,($N$4*8/10))^2)-($N$4*8/10)*(O431-MAX(N431,($N$4*8/10)))),0))*1000,0)</f>
        <v>0</v>
      </c>
      <c r="AV431" s="120">
        <f>IF(AND(V431="OK",ISNUMBER($N$5),$N$5&gt;0,ISNUMBER($N$3),$N$3&gt;0),R431/(6*$N$3*1000000*$N$5)*(IF(N431&lt;($N$4*9/10),($N$4*9/10)*(MIN(O431,($N$4*9/10))^3-N431^3)-(MIN(O431,($N$4*9/10))^4-N431^4)/4,0)+IF(O431&gt;($N$4*9/10),($N$4*9/10)^2*(1.5*(O431^2-MAX(N431,($N$4*9/10))^2)-($N$4*9/10)*(O431-MAX(N431,($N$4*9/10)))),0))*1000,0)</f>
        <v>0</v>
      </c>
      <c r="AW431" s="120">
        <f>IF(AND(V431="OK",ISNUMBER($N$5),$N$5&gt;0,ISNUMBER($N$3),$N$3&gt;0),R431/(6*$N$3*1000000*$N$5)*(IF(N431&lt;($N$4*10/10),($N$4*10/10)*(MIN(O431,($N$4*10/10))^3-N431^3)-(MIN(O431,($N$4*10/10))^4-N431^4)/4,0)+IF(O431&gt;($N$4*10/10),($N$4*10/10)^2*(1.5*(O431^2-MAX(N431,($N$4*10/10))^2)-($N$4*10/10)*(O431-MAX(N431,($N$4*10/10)))),0))*1000,0)</f>
        <v>0</v>
      </c>
    </row>
    <row r="432" spans="1:49">
      <c r="A432" s="124"/>
      <c r="B432" s="125"/>
      <c r="C432" s="125"/>
      <c r="D432" s="125"/>
      <c r="E432" s="125"/>
      <c r="F432" s="126" t="str">
        <f>IF(J432="OK",D432*E432,"")</f>
        <v/>
      </c>
      <c r="G432" s="126" t="str">
        <f>IF(J432="OK",F432*(C432-B432),"")</f>
        <v/>
      </c>
      <c r="H432" s="126" t="str">
        <f>IF(J432="OK",G432*(C432+B432)/2,"")</f>
        <v/>
      </c>
      <c r="I432" s="126" t="str">
        <f>IF(AND(J432="OK",ISNUMBER($B$5),$B$5&gt;0,ISNUMBER($B$3),$B$3&gt;0),F432*(4*$B$4*(C432^3-B432^3)-(C432^4-B432^4))/(24*$B$3*1000000*$B$5)*1000,"")</f>
        <v/>
      </c>
      <c r="J432" s="120" t="str">
        <f>IF(COUNTA(A432:E432)=0,"",IF(AND(COUNT(B432:E432)=4,B432&gt;=0,C432&gt;B432,C432&lt;=$B$4,D432&gt;=0,E432&gt;0),IF(COUNTIFS($B$13:$B$431,"&lt;"&amp;C432,$C$13:$C$431,"&gt;"&amp;B432)&gt;0,"OVERLAP","OK"),"CHECK INPUTS"))</f>
        <v/>
      </c>
      <c r="M432" s="124"/>
      <c r="N432" s="125"/>
      <c r="O432" s="125"/>
      <c r="P432" s="125"/>
      <c r="Q432" s="125"/>
      <c r="R432" s="126" t="str">
        <f>IF(V432="OK",P432*Q432,"")</f>
        <v/>
      </c>
      <c r="S432" s="126" t="str">
        <f>IF(V432="OK",R432*(O432-N432),"")</f>
        <v/>
      </c>
      <c r="T432" s="126" t="str">
        <f>IF(V432="OK",S432*(O432+N432)/2,"")</f>
        <v/>
      </c>
      <c r="U432" s="126" t="str">
        <f>IF(AND(V432="OK",ISNUMBER($N$5),$N$5&gt;0,ISNUMBER($N$3),$N$3&gt;0),R432*(4*$N$4*(O432^3-N432^3)-(O432^4-N432^4))/(24*$N$3*1000000*$N$5)*1000,"")</f>
        <v/>
      </c>
      <c r="V432" s="120" t="str">
        <f>IF(COUNTA(M432:Q432)=0,"",IF(AND(COUNT(N432:Q432)=4,N432&gt;=0,O432&gt;N432,O432&lt;=$N$4,P432&gt;=0,Q432&gt;0),IF(COUNTIFS($N$13:$N$431,"&lt;"&amp;O432,$O$13:$O$431,"&gt;"&amp;N432)&gt;0,"OVERLAP","OK"),"CHECK INPUTS"))</f>
        <v/>
      </c>
      <c r="AA432" s="120">
        <f>IF(AND(J432="OK",ISNUMBER($B$5),$B$5&gt;0,ISNUMBER($B$3),$B$3&gt;0),F432/(6*$B$3*1000000*$B$5)*(IF(B432&lt;($B$4*0/10),($B$4*0/10)*(MIN(C432,($B$4*0/10))^3-B432^3)-(MIN(C432,($B$4*0/10))^4-B432^4)/4,0)+IF(C432&gt;($B$4*0/10),($B$4*0/10)^2*(1.5*(C432^2-MAX(B432,($B$4*0/10))^2)-($B$4*0/10)*(C432-MAX(B432,($B$4*0/10)))),0))*1000,0)</f>
        <v>0</v>
      </c>
      <c r="AB432" s="120">
        <f>IF(AND(J432="OK",ISNUMBER($B$5),$B$5&gt;0,ISNUMBER($B$3),$B$3&gt;0),F432/(6*$B$3*1000000*$B$5)*(IF(B432&lt;($B$4*1/10),($B$4*1/10)*(MIN(C432,($B$4*1/10))^3-B432^3)-(MIN(C432,($B$4*1/10))^4-B432^4)/4,0)+IF(C432&gt;($B$4*1/10),($B$4*1/10)^2*(1.5*(C432^2-MAX(B432,($B$4*1/10))^2)-($B$4*1/10)*(C432-MAX(B432,($B$4*1/10)))),0))*1000,0)</f>
        <v>0</v>
      </c>
      <c r="AC432" s="120">
        <f>IF(AND(J432="OK",ISNUMBER($B$5),$B$5&gt;0,ISNUMBER($B$3),$B$3&gt;0),F432/(6*$B$3*1000000*$B$5)*(IF(B432&lt;($B$4*2/10),($B$4*2/10)*(MIN(C432,($B$4*2/10))^3-B432^3)-(MIN(C432,($B$4*2/10))^4-B432^4)/4,0)+IF(C432&gt;($B$4*2/10),($B$4*2/10)^2*(1.5*(C432^2-MAX(B432,($B$4*2/10))^2)-($B$4*2/10)*(C432-MAX(B432,($B$4*2/10)))),0))*1000,0)</f>
        <v>0</v>
      </c>
      <c r="AD432" s="120">
        <f>IF(AND(J432="OK",ISNUMBER($B$5),$B$5&gt;0,ISNUMBER($B$3),$B$3&gt;0),F432/(6*$B$3*1000000*$B$5)*(IF(B432&lt;($B$4*3/10),($B$4*3/10)*(MIN(C432,($B$4*3/10))^3-B432^3)-(MIN(C432,($B$4*3/10))^4-B432^4)/4,0)+IF(C432&gt;($B$4*3/10),($B$4*3/10)^2*(1.5*(C432^2-MAX(B432,($B$4*3/10))^2)-($B$4*3/10)*(C432-MAX(B432,($B$4*3/10)))),0))*1000,0)</f>
        <v>0</v>
      </c>
      <c r="AE432" s="120">
        <f>IF(AND(J432="OK",ISNUMBER($B$5),$B$5&gt;0,ISNUMBER($B$3),$B$3&gt;0),F432/(6*$B$3*1000000*$B$5)*(IF(B432&lt;($B$4*4/10),($B$4*4/10)*(MIN(C432,($B$4*4/10))^3-B432^3)-(MIN(C432,($B$4*4/10))^4-B432^4)/4,0)+IF(C432&gt;($B$4*4/10),($B$4*4/10)^2*(1.5*(C432^2-MAX(B432,($B$4*4/10))^2)-($B$4*4/10)*(C432-MAX(B432,($B$4*4/10)))),0))*1000,0)</f>
        <v>0</v>
      </c>
      <c r="AF432" s="120">
        <f>IF(AND(J432="OK",ISNUMBER($B$5),$B$5&gt;0,ISNUMBER($B$3),$B$3&gt;0),F432/(6*$B$3*1000000*$B$5)*(IF(B432&lt;($B$4*5/10),($B$4*5/10)*(MIN(C432,($B$4*5/10))^3-B432^3)-(MIN(C432,($B$4*5/10))^4-B432^4)/4,0)+IF(C432&gt;($B$4*5/10),($B$4*5/10)^2*(1.5*(C432^2-MAX(B432,($B$4*5/10))^2)-($B$4*5/10)*(C432-MAX(B432,($B$4*5/10)))),0))*1000,0)</f>
        <v>0</v>
      </c>
      <c r="AG432" s="120">
        <f>IF(AND(J432="OK",ISNUMBER($B$5),$B$5&gt;0,ISNUMBER($B$3),$B$3&gt;0),F432/(6*$B$3*1000000*$B$5)*(IF(B432&lt;($B$4*6/10),($B$4*6/10)*(MIN(C432,($B$4*6/10))^3-B432^3)-(MIN(C432,($B$4*6/10))^4-B432^4)/4,0)+IF(C432&gt;($B$4*6/10),($B$4*6/10)^2*(1.5*(C432^2-MAX(B432,($B$4*6/10))^2)-($B$4*6/10)*(C432-MAX(B432,($B$4*6/10)))),0))*1000,0)</f>
        <v>0</v>
      </c>
      <c r="AH432" s="120">
        <f>IF(AND(J432="OK",ISNUMBER($B$5),$B$5&gt;0,ISNUMBER($B$3),$B$3&gt;0),F432/(6*$B$3*1000000*$B$5)*(IF(B432&lt;($B$4*7/10),($B$4*7/10)*(MIN(C432,($B$4*7/10))^3-B432^3)-(MIN(C432,($B$4*7/10))^4-B432^4)/4,0)+IF(C432&gt;($B$4*7/10),($B$4*7/10)^2*(1.5*(C432^2-MAX(B432,($B$4*7/10))^2)-($B$4*7/10)*(C432-MAX(B432,($B$4*7/10)))),0))*1000,0)</f>
        <v>0</v>
      </c>
      <c r="AI432" s="120">
        <f>IF(AND(J432="OK",ISNUMBER($B$5),$B$5&gt;0,ISNUMBER($B$3),$B$3&gt;0),F432/(6*$B$3*1000000*$B$5)*(IF(B432&lt;($B$4*8/10),($B$4*8/10)*(MIN(C432,($B$4*8/10))^3-B432^3)-(MIN(C432,($B$4*8/10))^4-B432^4)/4,0)+IF(C432&gt;($B$4*8/10),($B$4*8/10)^2*(1.5*(C432^2-MAX(B432,($B$4*8/10))^2)-($B$4*8/10)*(C432-MAX(B432,($B$4*8/10)))),0))*1000,0)</f>
        <v>0</v>
      </c>
      <c r="AJ432" s="120">
        <f>IF(AND(J432="OK",ISNUMBER($B$5),$B$5&gt;0,ISNUMBER($B$3),$B$3&gt;0),F432/(6*$B$3*1000000*$B$5)*(IF(B432&lt;($B$4*9/10),($B$4*9/10)*(MIN(C432,($B$4*9/10))^3-B432^3)-(MIN(C432,($B$4*9/10))^4-B432^4)/4,0)+IF(C432&gt;($B$4*9/10),($B$4*9/10)^2*(1.5*(C432^2-MAX(B432,($B$4*9/10))^2)-($B$4*9/10)*(C432-MAX(B432,($B$4*9/10)))),0))*1000,0)</f>
        <v>0</v>
      </c>
      <c r="AK432" s="120">
        <f>IF(AND(J432="OK",ISNUMBER($B$5),$B$5&gt;0,ISNUMBER($B$3),$B$3&gt;0),F432/(6*$B$3*1000000*$B$5)*(IF(B432&lt;($B$4*10/10),($B$4*10/10)*(MIN(C432,($B$4*10/10))^3-B432^3)-(MIN(C432,($B$4*10/10))^4-B432^4)/4,0)+IF(C432&gt;($B$4*10/10),($B$4*10/10)^2*(1.5*(C432^2-MAX(B432,($B$4*10/10))^2)-($B$4*10/10)*(C432-MAX(B432,($B$4*10/10)))),0))*1000,0)</f>
        <v>0</v>
      </c>
      <c r="AM432" s="120">
        <f>IF(AND(V432="OK",ISNUMBER($N$5),$N$5&gt;0,ISNUMBER($N$3),$N$3&gt;0),R432/(6*$N$3*1000000*$N$5)*(IF(N432&lt;($N$4*0/10),($N$4*0/10)*(MIN(O432,($N$4*0/10))^3-N432^3)-(MIN(O432,($N$4*0/10))^4-N432^4)/4,0)+IF(O432&gt;($N$4*0/10),($N$4*0/10)^2*(1.5*(O432^2-MAX(N432,($N$4*0/10))^2)-($N$4*0/10)*(O432-MAX(N432,($N$4*0/10)))),0))*1000,0)</f>
        <v>0</v>
      </c>
      <c r="AN432" s="120">
        <f>IF(AND(V432="OK",ISNUMBER($N$5),$N$5&gt;0,ISNUMBER($N$3),$N$3&gt;0),R432/(6*$N$3*1000000*$N$5)*(IF(N432&lt;($N$4*1/10),($N$4*1/10)*(MIN(O432,($N$4*1/10))^3-N432^3)-(MIN(O432,($N$4*1/10))^4-N432^4)/4,0)+IF(O432&gt;($N$4*1/10),($N$4*1/10)^2*(1.5*(O432^2-MAX(N432,($N$4*1/10))^2)-($N$4*1/10)*(O432-MAX(N432,($N$4*1/10)))),0))*1000,0)</f>
        <v>0</v>
      </c>
      <c r="AO432" s="120">
        <f>IF(AND(V432="OK",ISNUMBER($N$5),$N$5&gt;0,ISNUMBER($N$3),$N$3&gt;0),R432/(6*$N$3*1000000*$N$5)*(IF(N432&lt;($N$4*2/10),($N$4*2/10)*(MIN(O432,($N$4*2/10))^3-N432^3)-(MIN(O432,($N$4*2/10))^4-N432^4)/4,0)+IF(O432&gt;($N$4*2/10),($N$4*2/10)^2*(1.5*(O432^2-MAX(N432,($N$4*2/10))^2)-($N$4*2/10)*(O432-MAX(N432,($N$4*2/10)))),0))*1000,0)</f>
        <v>0</v>
      </c>
      <c r="AP432" s="120">
        <f>IF(AND(V432="OK",ISNUMBER($N$5),$N$5&gt;0,ISNUMBER($N$3),$N$3&gt;0),R432/(6*$N$3*1000000*$N$5)*(IF(N432&lt;($N$4*3/10),($N$4*3/10)*(MIN(O432,($N$4*3/10))^3-N432^3)-(MIN(O432,($N$4*3/10))^4-N432^4)/4,0)+IF(O432&gt;($N$4*3/10),($N$4*3/10)^2*(1.5*(O432^2-MAX(N432,($N$4*3/10))^2)-($N$4*3/10)*(O432-MAX(N432,($N$4*3/10)))),0))*1000,0)</f>
        <v>0</v>
      </c>
      <c r="AQ432" s="120">
        <f>IF(AND(V432="OK",ISNUMBER($N$5),$N$5&gt;0,ISNUMBER($N$3),$N$3&gt;0),R432/(6*$N$3*1000000*$N$5)*(IF(N432&lt;($N$4*4/10),($N$4*4/10)*(MIN(O432,($N$4*4/10))^3-N432^3)-(MIN(O432,($N$4*4/10))^4-N432^4)/4,0)+IF(O432&gt;($N$4*4/10),($N$4*4/10)^2*(1.5*(O432^2-MAX(N432,($N$4*4/10))^2)-($N$4*4/10)*(O432-MAX(N432,($N$4*4/10)))),0))*1000,0)</f>
        <v>0</v>
      </c>
      <c r="AR432" s="120">
        <f>IF(AND(V432="OK",ISNUMBER($N$5),$N$5&gt;0,ISNUMBER($N$3),$N$3&gt;0),R432/(6*$N$3*1000000*$N$5)*(IF(N432&lt;($N$4*5/10),($N$4*5/10)*(MIN(O432,($N$4*5/10))^3-N432^3)-(MIN(O432,($N$4*5/10))^4-N432^4)/4,0)+IF(O432&gt;($N$4*5/10),($N$4*5/10)^2*(1.5*(O432^2-MAX(N432,($N$4*5/10))^2)-($N$4*5/10)*(O432-MAX(N432,($N$4*5/10)))),0))*1000,0)</f>
        <v>0</v>
      </c>
      <c r="AS432" s="120">
        <f>IF(AND(V432="OK",ISNUMBER($N$5),$N$5&gt;0,ISNUMBER($N$3),$N$3&gt;0),R432/(6*$N$3*1000000*$N$5)*(IF(N432&lt;($N$4*6/10),($N$4*6/10)*(MIN(O432,($N$4*6/10))^3-N432^3)-(MIN(O432,($N$4*6/10))^4-N432^4)/4,0)+IF(O432&gt;($N$4*6/10),($N$4*6/10)^2*(1.5*(O432^2-MAX(N432,($N$4*6/10))^2)-($N$4*6/10)*(O432-MAX(N432,($N$4*6/10)))),0))*1000,0)</f>
        <v>0</v>
      </c>
      <c r="AT432" s="120">
        <f>IF(AND(V432="OK",ISNUMBER($N$5),$N$5&gt;0,ISNUMBER($N$3),$N$3&gt;0),R432/(6*$N$3*1000000*$N$5)*(IF(N432&lt;($N$4*7/10),($N$4*7/10)*(MIN(O432,($N$4*7/10))^3-N432^3)-(MIN(O432,($N$4*7/10))^4-N432^4)/4,0)+IF(O432&gt;($N$4*7/10),($N$4*7/10)^2*(1.5*(O432^2-MAX(N432,($N$4*7/10))^2)-($N$4*7/10)*(O432-MAX(N432,($N$4*7/10)))),0))*1000,0)</f>
        <v>0</v>
      </c>
      <c r="AU432" s="120">
        <f>IF(AND(V432="OK",ISNUMBER($N$5),$N$5&gt;0,ISNUMBER($N$3),$N$3&gt;0),R432/(6*$N$3*1000000*$N$5)*(IF(N432&lt;($N$4*8/10),($N$4*8/10)*(MIN(O432,($N$4*8/10))^3-N432^3)-(MIN(O432,($N$4*8/10))^4-N432^4)/4,0)+IF(O432&gt;($N$4*8/10),($N$4*8/10)^2*(1.5*(O432^2-MAX(N432,($N$4*8/10))^2)-($N$4*8/10)*(O432-MAX(N432,($N$4*8/10)))),0))*1000,0)</f>
        <v>0</v>
      </c>
      <c r="AV432" s="120">
        <f>IF(AND(V432="OK",ISNUMBER($N$5),$N$5&gt;0,ISNUMBER($N$3),$N$3&gt;0),R432/(6*$N$3*1000000*$N$5)*(IF(N432&lt;($N$4*9/10),($N$4*9/10)*(MIN(O432,($N$4*9/10))^3-N432^3)-(MIN(O432,($N$4*9/10))^4-N432^4)/4,0)+IF(O432&gt;($N$4*9/10),($N$4*9/10)^2*(1.5*(O432^2-MAX(N432,($N$4*9/10))^2)-($N$4*9/10)*(O432-MAX(N432,($N$4*9/10)))),0))*1000,0)</f>
        <v>0</v>
      </c>
      <c r="AW432" s="120">
        <f>IF(AND(V432="OK",ISNUMBER($N$5),$N$5&gt;0,ISNUMBER($N$3),$N$3&gt;0),R432/(6*$N$3*1000000*$N$5)*(IF(N432&lt;($N$4*10/10),($N$4*10/10)*(MIN(O432,($N$4*10/10))^3-N432^3)-(MIN(O432,($N$4*10/10))^4-N432^4)/4,0)+IF(O432&gt;($N$4*10/10),($N$4*10/10)^2*(1.5*(O432^2-MAX(N432,($N$4*10/10))^2)-($N$4*10/10)*(O432-MAX(N432,($N$4*10/10)))),0))*1000,0)</f>
        <v>0</v>
      </c>
    </row>
    <row r="433" spans="1:49">
      <c r="A433" s="124"/>
      <c r="B433" s="125"/>
      <c r="C433" s="125"/>
      <c r="D433" s="125"/>
      <c r="E433" s="125"/>
      <c r="F433" s="126" t="str">
        <f>IF(J433="OK",D433*E433,"")</f>
        <v/>
      </c>
      <c r="G433" s="126" t="str">
        <f>IF(J433="OK",F433*(C433-B433),"")</f>
        <v/>
      </c>
      <c r="H433" s="126" t="str">
        <f>IF(J433="OK",G433*(C433+B433)/2,"")</f>
        <v/>
      </c>
      <c r="I433" s="126" t="str">
        <f>IF(AND(J433="OK",ISNUMBER($B$5),$B$5&gt;0,ISNUMBER($B$3),$B$3&gt;0),F433*(4*$B$4*(C433^3-B433^3)-(C433^4-B433^4))/(24*$B$3*1000000*$B$5)*1000,"")</f>
        <v/>
      </c>
      <c r="J433" s="120" t="str">
        <f>IF(COUNTA(A433:E433)=0,"",IF(AND(COUNT(B433:E433)=4,B433&gt;=0,C433&gt;B433,C433&lt;=$B$4,D433&gt;=0,E433&gt;0),IF(COUNTIFS($B$13:$B$432,"&lt;"&amp;C433,$C$13:$C$432,"&gt;"&amp;B433)&gt;0,"OVERLAP","OK"),"CHECK INPUTS"))</f>
        <v/>
      </c>
      <c r="M433" s="124"/>
      <c r="N433" s="125"/>
      <c r="O433" s="125"/>
      <c r="P433" s="125"/>
      <c r="Q433" s="125"/>
      <c r="R433" s="126" t="str">
        <f>IF(V433="OK",P433*Q433,"")</f>
        <v/>
      </c>
      <c r="S433" s="126" t="str">
        <f>IF(V433="OK",R433*(O433-N433),"")</f>
        <v/>
      </c>
      <c r="T433" s="126" t="str">
        <f>IF(V433="OK",S433*(O433+N433)/2,"")</f>
        <v/>
      </c>
      <c r="U433" s="126" t="str">
        <f>IF(AND(V433="OK",ISNUMBER($N$5),$N$5&gt;0,ISNUMBER($N$3),$N$3&gt;0),R433*(4*$N$4*(O433^3-N433^3)-(O433^4-N433^4))/(24*$N$3*1000000*$N$5)*1000,"")</f>
        <v/>
      </c>
      <c r="V433" s="120" t="str">
        <f>IF(COUNTA(M433:Q433)=0,"",IF(AND(COUNT(N433:Q433)=4,N433&gt;=0,O433&gt;N433,O433&lt;=$N$4,P433&gt;=0,Q433&gt;0),IF(COUNTIFS($N$13:$N$432,"&lt;"&amp;O433,$O$13:$O$432,"&gt;"&amp;N433)&gt;0,"OVERLAP","OK"),"CHECK INPUTS"))</f>
        <v/>
      </c>
      <c r="AA433" s="120">
        <f>IF(AND(J433="OK",ISNUMBER($B$5),$B$5&gt;0,ISNUMBER($B$3),$B$3&gt;0),F433/(6*$B$3*1000000*$B$5)*(IF(B433&lt;($B$4*0/10),($B$4*0/10)*(MIN(C433,($B$4*0/10))^3-B433^3)-(MIN(C433,($B$4*0/10))^4-B433^4)/4,0)+IF(C433&gt;($B$4*0/10),($B$4*0/10)^2*(1.5*(C433^2-MAX(B433,($B$4*0/10))^2)-($B$4*0/10)*(C433-MAX(B433,($B$4*0/10)))),0))*1000,0)</f>
        <v>0</v>
      </c>
      <c r="AB433" s="120">
        <f>IF(AND(J433="OK",ISNUMBER($B$5),$B$5&gt;0,ISNUMBER($B$3),$B$3&gt;0),F433/(6*$B$3*1000000*$B$5)*(IF(B433&lt;($B$4*1/10),($B$4*1/10)*(MIN(C433,($B$4*1/10))^3-B433^3)-(MIN(C433,($B$4*1/10))^4-B433^4)/4,0)+IF(C433&gt;($B$4*1/10),($B$4*1/10)^2*(1.5*(C433^2-MAX(B433,($B$4*1/10))^2)-($B$4*1/10)*(C433-MAX(B433,($B$4*1/10)))),0))*1000,0)</f>
        <v>0</v>
      </c>
      <c r="AC433" s="120">
        <f>IF(AND(J433="OK",ISNUMBER($B$5),$B$5&gt;0,ISNUMBER($B$3),$B$3&gt;0),F433/(6*$B$3*1000000*$B$5)*(IF(B433&lt;($B$4*2/10),($B$4*2/10)*(MIN(C433,($B$4*2/10))^3-B433^3)-(MIN(C433,($B$4*2/10))^4-B433^4)/4,0)+IF(C433&gt;($B$4*2/10),($B$4*2/10)^2*(1.5*(C433^2-MAX(B433,($B$4*2/10))^2)-($B$4*2/10)*(C433-MAX(B433,($B$4*2/10)))),0))*1000,0)</f>
        <v>0</v>
      </c>
      <c r="AD433" s="120">
        <f>IF(AND(J433="OK",ISNUMBER($B$5),$B$5&gt;0,ISNUMBER($B$3),$B$3&gt;0),F433/(6*$B$3*1000000*$B$5)*(IF(B433&lt;($B$4*3/10),($B$4*3/10)*(MIN(C433,($B$4*3/10))^3-B433^3)-(MIN(C433,($B$4*3/10))^4-B433^4)/4,0)+IF(C433&gt;($B$4*3/10),($B$4*3/10)^2*(1.5*(C433^2-MAX(B433,($B$4*3/10))^2)-($B$4*3/10)*(C433-MAX(B433,($B$4*3/10)))),0))*1000,0)</f>
        <v>0</v>
      </c>
      <c r="AE433" s="120">
        <f>IF(AND(J433="OK",ISNUMBER($B$5),$B$5&gt;0,ISNUMBER($B$3),$B$3&gt;0),F433/(6*$B$3*1000000*$B$5)*(IF(B433&lt;($B$4*4/10),($B$4*4/10)*(MIN(C433,($B$4*4/10))^3-B433^3)-(MIN(C433,($B$4*4/10))^4-B433^4)/4,0)+IF(C433&gt;($B$4*4/10),($B$4*4/10)^2*(1.5*(C433^2-MAX(B433,($B$4*4/10))^2)-($B$4*4/10)*(C433-MAX(B433,($B$4*4/10)))),0))*1000,0)</f>
        <v>0</v>
      </c>
      <c r="AF433" s="120">
        <f>IF(AND(J433="OK",ISNUMBER($B$5),$B$5&gt;0,ISNUMBER($B$3),$B$3&gt;0),F433/(6*$B$3*1000000*$B$5)*(IF(B433&lt;($B$4*5/10),($B$4*5/10)*(MIN(C433,($B$4*5/10))^3-B433^3)-(MIN(C433,($B$4*5/10))^4-B433^4)/4,0)+IF(C433&gt;($B$4*5/10),($B$4*5/10)^2*(1.5*(C433^2-MAX(B433,($B$4*5/10))^2)-($B$4*5/10)*(C433-MAX(B433,($B$4*5/10)))),0))*1000,0)</f>
        <v>0</v>
      </c>
      <c r="AG433" s="120">
        <f>IF(AND(J433="OK",ISNUMBER($B$5),$B$5&gt;0,ISNUMBER($B$3),$B$3&gt;0),F433/(6*$B$3*1000000*$B$5)*(IF(B433&lt;($B$4*6/10),($B$4*6/10)*(MIN(C433,($B$4*6/10))^3-B433^3)-(MIN(C433,($B$4*6/10))^4-B433^4)/4,0)+IF(C433&gt;($B$4*6/10),($B$4*6/10)^2*(1.5*(C433^2-MAX(B433,($B$4*6/10))^2)-($B$4*6/10)*(C433-MAX(B433,($B$4*6/10)))),0))*1000,0)</f>
        <v>0</v>
      </c>
      <c r="AH433" s="120">
        <f>IF(AND(J433="OK",ISNUMBER($B$5),$B$5&gt;0,ISNUMBER($B$3),$B$3&gt;0),F433/(6*$B$3*1000000*$B$5)*(IF(B433&lt;($B$4*7/10),($B$4*7/10)*(MIN(C433,($B$4*7/10))^3-B433^3)-(MIN(C433,($B$4*7/10))^4-B433^4)/4,0)+IF(C433&gt;($B$4*7/10),($B$4*7/10)^2*(1.5*(C433^2-MAX(B433,($B$4*7/10))^2)-($B$4*7/10)*(C433-MAX(B433,($B$4*7/10)))),0))*1000,0)</f>
        <v>0</v>
      </c>
      <c r="AI433" s="120">
        <f>IF(AND(J433="OK",ISNUMBER($B$5),$B$5&gt;0,ISNUMBER($B$3),$B$3&gt;0),F433/(6*$B$3*1000000*$B$5)*(IF(B433&lt;($B$4*8/10),($B$4*8/10)*(MIN(C433,($B$4*8/10))^3-B433^3)-(MIN(C433,($B$4*8/10))^4-B433^4)/4,0)+IF(C433&gt;($B$4*8/10),($B$4*8/10)^2*(1.5*(C433^2-MAX(B433,($B$4*8/10))^2)-($B$4*8/10)*(C433-MAX(B433,($B$4*8/10)))),0))*1000,0)</f>
        <v>0</v>
      </c>
      <c r="AJ433" s="120">
        <f>IF(AND(J433="OK",ISNUMBER($B$5),$B$5&gt;0,ISNUMBER($B$3),$B$3&gt;0),F433/(6*$B$3*1000000*$B$5)*(IF(B433&lt;($B$4*9/10),($B$4*9/10)*(MIN(C433,($B$4*9/10))^3-B433^3)-(MIN(C433,($B$4*9/10))^4-B433^4)/4,0)+IF(C433&gt;($B$4*9/10),($B$4*9/10)^2*(1.5*(C433^2-MAX(B433,($B$4*9/10))^2)-($B$4*9/10)*(C433-MAX(B433,($B$4*9/10)))),0))*1000,0)</f>
        <v>0</v>
      </c>
      <c r="AK433" s="120">
        <f>IF(AND(J433="OK",ISNUMBER($B$5),$B$5&gt;0,ISNUMBER($B$3),$B$3&gt;0),F433/(6*$B$3*1000000*$B$5)*(IF(B433&lt;($B$4*10/10),($B$4*10/10)*(MIN(C433,($B$4*10/10))^3-B433^3)-(MIN(C433,($B$4*10/10))^4-B433^4)/4,0)+IF(C433&gt;($B$4*10/10),($B$4*10/10)^2*(1.5*(C433^2-MAX(B433,($B$4*10/10))^2)-($B$4*10/10)*(C433-MAX(B433,($B$4*10/10)))),0))*1000,0)</f>
        <v>0</v>
      </c>
      <c r="AM433" s="120">
        <f>IF(AND(V433="OK",ISNUMBER($N$5),$N$5&gt;0,ISNUMBER($N$3),$N$3&gt;0),R433/(6*$N$3*1000000*$N$5)*(IF(N433&lt;($N$4*0/10),($N$4*0/10)*(MIN(O433,($N$4*0/10))^3-N433^3)-(MIN(O433,($N$4*0/10))^4-N433^4)/4,0)+IF(O433&gt;($N$4*0/10),($N$4*0/10)^2*(1.5*(O433^2-MAX(N433,($N$4*0/10))^2)-($N$4*0/10)*(O433-MAX(N433,($N$4*0/10)))),0))*1000,0)</f>
        <v>0</v>
      </c>
      <c r="AN433" s="120">
        <f>IF(AND(V433="OK",ISNUMBER($N$5),$N$5&gt;0,ISNUMBER($N$3),$N$3&gt;0),R433/(6*$N$3*1000000*$N$5)*(IF(N433&lt;($N$4*1/10),($N$4*1/10)*(MIN(O433,($N$4*1/10))^3-N433^3)-(MIN(O433,($N$4*1/10))^4-N433^4)/4,0)+IF(O433&gt;($N$4*1/10),($N$4*1/10)^2*(1.5*(O433^2-MAX(N433,($N$4*1/10))^2)-($N$4*1/10)*(O433-MAX(N433,($N$4*1/10)))),0))*1000,0)</f>
        <v>0</v>
      </c>
      <c r="AO433" s="120">
        <f>IF(AND(V433="OK",ISNUMBER($N$5),$N$5&gt;0,ISNUMBER($N$3),$N$3&gt;0),R433/(6*$N$3*1000000*$N$5)*(IF(N433&lt;($N$4*2/10),($N$4*2/10)*(MIN(O433,($N$4*2/10))^3-N433^3)-(MIN(O433,($N$4*2/10))^4-N433^4)/4,0)+IF(O433&gt;($N$4*2/10),($N$4*2/10)^2*(1.5*(O433^2-MAX(N433,($N$4*2/10))^2)-($N$4*2/10)*(O433-MAX(N433,($N$4*2/10)))),0))*1000,0)</f>
        <v>0</v>
      </c>
      <c r="AP433" s="120">
        <f>IF(AND(V433="OK",ISNUMBER($N$5),$N$5&gt;0,ISNUMBER($N$3),$N$3&gt;0),R433/(6*$N$3*1000000*$N$5)*(IF(N433&lt;($N$4*3/10),($N$4*3/10)*(MIN(O433,($N$4*3/10))^3-N433^3)-(MIN(O433,($N$4*3/10))^4-N433^4)/4,0)+IF(O433&gt;($N$4*3/10),($N$4*3/10)^2*(1.5*(O433^2-MAX(N433,($N$4*3/10))^2)-($N$4*3/10)*(O433-MAX(N433,($N$4*3/10)))),0))*1000,0)</f>
        <v>0</v>
      </c>
      <c r="AQ433" s="120">
        <f>IF(AND(V433="OK",ISNUMBER($N$5),$N$5&gt;0,ISNUMBER($N$3),$N$3&gt;0),R433/(6*$N$3*1000000*$N$5)*(IF(N433&lt;($N$4*4/10),($N$4*4/10)*(MIN(O433,($N$4*4/10))^3-N433^3)-(MIN(O433,($N$4*4/10))^4-N433^4)/4,0)+IF(O433&gt;($N$4*4/10),($N$4*4/10)^2*(1.5*(O433^2-MAX(N433,($N$4*4/10))^2)-($N$4*4/10)*(O433-MAX(N433,($N$4*4/10)))),0))*1000,0)</f>
        <v>0</v>
      </c>
      <c r="AR433" s="120">
        <f>IF(AND(V433="OK",ISNUMBER($N$5),$N$5&gt;0,ISNUMBER($N$3),$N$3&gt;0),R433/(6*$N$3*1000000*$N$5)*(IF(N433&lt;($N$4*5/10),($N$4*5/10)*(MIN(O433,($N$4*5/10))^3-N433^3)-(MIN(O433,($N$4*5/10))^4-N433^4)/4,0)+IF(O433&gt;($N$4*5/10),($N$4*5/10)^2*(1.5*(O433^2-MAX(N433,($N$4*5/10))^2)-($N$4*5/10)*(O433-MAX(N433,($N$4*5/10)))),0))*1000,0)</f>
        <v>0</v>
      </c>
      <c r="AS433" s="120">
        <f>IF(AND(V433="OK",ISNUMBER($N$5),$N$5&gt;0,ISNUMBER($N$3),$N$3&gt;0),R433/(6*$N$3*1000000*$N$5)*(IF(N433&lt;($N$4*6/10),($N$4*6/10)*(MIN(O433,($N$4*6/10))^3-N433^3)-(MIN(O433,($N$4*6/10))^4-N433^4)/4,0)+IF(O433&gt;($N$4*6/10),($N$4*6/10)^2*(1.5*(O433^2-MAX(N433,($N$4*6/10))^2)-($N$4*6/10)*(O433-MAX(N433,($N$4*6/10)))),0))*1000,0)</f>
        <v>0</v>
      </c>
      <c r="AT433" s="120">
        <f>IF(AND(V433="OK",ISNUMBER($N$5),$N$5&gt;0,ISNUMBER($N$3),$N$3&gt;0),R433/(6*$N$3*1000000*$N$5)*(IF(N433&lt;($N$4*7/10),($N$4*7/10)*(MIN(O433,($N$4*7/10))^3-N433^3)-(MIN(O433,($N$4*7/10))^4-N433^4)/4,0)+IF(O433&gt;($N$4*7/10),($N$4*7/10)^2*(1.5*(O433^2-MAX(N433,($N$4*7/10))^2)-($N$4*7/10)*(O433-MAX(N433,($N$4*7/10)))),0))*1000,0)</f>
        <v>0</v>
      </c>
      <c r="AU433" s="120">
        <f>IF(AND(V433="OK",ISNUMBER($N$5),$N$5&gt;0,ISNUMBER($N$3),$N$3&gt;0),R433/(6*$N$3*1000000*$N$5)*(IF(N433&lt;($N$4*8/10),($N$4*8/10)*(MIN(O433,($N$4*8/10))^3-N433^3)-(MIN(O433,($N$4*8/10))^4-N433^4)/4,0)+IF(O433&gt;($N$4*8/10),($N$4*8/10)^2*(1.5*(O433^2-MAX(N433,($N$4*8/10))^2)-($N$4*8/10)*(O433-MAX(N433,($N$4*8/10)))),0))*1000,0)</f>
        <v>0</v>
      </c>
      <c r="AV433" s="120">
        <f>IF(AND(V433="OK",ISNUMBER($N$5),$N$5&gt;0,ISNUMBER($N$3),$N$3&gt;0),R433/(6*$N$3*1000000*$N$5)*(IF(N433&lt;($N$4*9/10),($N$4*9/10)*(MIN(O433,($N$4*9/10))^3-N433^3)-(MIN(O433,($N$4*9/10))^4-N433^4)/4,0)+IF(O433&gt;($N$4*9/10),($N$4*9/10)^2*(1.5*(O433^2-MAX(N433,($N$4*9/10))^2)-($N$4*9/10)*(O433-MAX(N433,($N$4*9/10)))),0))*1000,0)</f>
        <v>0</v>
      </c>
      <c r="AW433" s="120">
        <f>IF(AND(V433="OK",ISNUMBER($N$5),$N$5&gt;0,ISNUMBER($N$3),$N$3&gt;0),R433/(6*$N$3*1000000*$N$5)*(IF(N433&lt;($N$4*10/10),($N$4*10/10)*(MIN(O433,($N$4*10/10))^3-N433^3)-(MIN(O433,($N$4*10/10))^4-N433^4)/4,0)+IF(O433&gt;($N$4*10/10),($N$4*10/10)^2*(1.5*(O433^2-MAX(N433,($N$4*10/10))^2)-($N$4*10/10)*(O433-MAX(N433,($N$4*10/10)))),0))*1000,0)</f>
        <v>0</v>
      </c>
    </row>
    <row r="434" spans="1:49">
      <c r="A434" s="124"/>
      <c r="B434" s="125"/>
      <c r="C434" s="125"/>
      <c r="D434" s="125"/>
      <c r="E434" s="125"/>
      <c r="F434" s="126" t="str">
        <f>IF(J434="OK",D434*E434,"")</f>
        <v/>
      </c>
      <c r="G434" s="126" t="str">
        <f>IF(J434="OK",F434*(C434-B434),"")</f>
        <v/>
      </c>
      <c r="H434" s="126" t="str">
        <f>IF(J434="OK",G434*(C434+B434)/2,"")</f>
        <v/>
      </c>
      <c r="I434" s="126" t="str">
        <f>IF(AND(J434="OK",ISNUMBER($B$5),$B$5&gt;0,ISNUMBER($B$3),$B$3&gt;0),F434*(4*$B$4*(C434^3-B434^3)-(C434^4-B434^4))/(24*$B$3*1000000*$B$5)*1000,"")</f>
        <v/>
      </c>
      <c r="J434" s="120" t="str">
        <f>IF(COUNTA(A434:E434)=0,"",IF(AND(COUNT(B434:E434)=4,B434&gt;=0,C434&gt;B434,C434&lt;=$B$4,D434&gt;=0,E434&gt;0),IF(COUNTIFS($B$13:$B$433,"&lt;"&amp;C434,$C$13:$C$433,"&gt;"&amp;B434)&gt;0,"OVERLAP","OK"),"CHECK INPUTS"))</f>
        <v/>
      </c>
      <c r="M434" s="124"/>
      <c r="N434" s="125"/>
      <c r="O434" s="125"/>
      <c r="P434" s="125"/>
      <c r="Q434" s="125"/>
      <c r="R434" s="126" t="str">
        <f>IF(V434="OK",P434*Q434,"")</f>
        <v/>
      </c>
      <c r="S434" s="126" t="str">
        <f>IF(V434="OK",R434*(O434-N434),"")</f>
        <v/>
      </c>
      <c r="T434" s="126" t="str">
        <f>IF(V434="OK",S434*(O434+N434)/2,"")</f>
        <v/>
      </c>
      <c r="U434" s="126" t="str">
        <f>IF(AND(V434="OK",ISNUMBER($N$5),$N$5&gt;0,ISNUMBER($N$3),$N$3&gt;0),R434*(4*$N$4*(O434^3-N434^3)-(O434^4-N434^4))/(24*$N$3*1000000*$N$5)*1000,"")</f>
        <v/>
      </c>
      <c r="V434" s="120" t="str">
        <f>IF(COUNTA(M434:Q434)=0,"",IF(AND(COUNT(N434:Q434)=4,N434&gt;=0,O434&gt;N434,O434&lt;=$N$4,P434&gt;=0,Q434&gt;0),IF(COUNTIFS($N$13:$N$433,"&lt;"&amp;O434,$O$13:$O$433,"&gt;"&amp;N434)&gt;0,"OVERLAP","OK"),"CHECK INPUTS"))</f>
        <v/>
      </c>
      <c r="AA434" s="120">
        <f>IF(AND(J434="OK",ISNUMBER($B$5),$B$5&gt;0,ISNUMBER($B$3),$B$3&gt;0),F434/(6*$B$3*1000000*$B$5)*(IF(B434&lt;($B$4*0/10),($B$4*0/10)*(MIN(C434,($B$4*0/10))^3-B434^3)-(MIN(C434,($B$4*0/10))^4-B434^4)/4,0)+IF(C434&gt;($B$4*0/10),($B$4*0/10)^2*(1.5*(C434^2-MAX(B434,($B$4*0/10))^2)-($B$4*0/10)*(C434-MAX(B434,($B$4*0/10)))),0))*1000,0)</f>
        <v>0</v>
      </c>
      <c r="AB434" s="120">
        <f>IF(AND(J434="OK",ISNUMBER($B$5),$B$5&gt;0,ISNUMBER($B$3),$B$3&gt;0),F434/(6*$B$3*1000000*$B$5)*(IF(B434&lt;($B$4*1/10),($B$4*1/10)*(MIN(C434,($B$4*1/10))^3-B434^3)-(MIN(C434,($B$4*1/10))^4-B434^4)/4,0)+IF(C434&gt;($B$4*1/10),($B$4*1/10)^2*(1.5*(C434^2-MAX(B434,($B$4*1/10))^2)-($B$4*1/10)*(C434-MAX(B434,($B$4*1/10)))),0))*1000,0)</f>
        <v>0</v>
      </c>
      <c r="AC434" s="120">
        <f>IF(AND(J434="OK",ISNUMBER($B$5),$B$5&gt;0,ISNUMBER($B$3),$B$3&gt;0),F434/(6*$B$3*1000000*$B$5)*(IF(B434&lt;($B$4*2/10),($B$4*2/10)*(MIN(C434,($B$4*2/10))^3-B434^3)-(MIN(C434,($B$4*2/10))^4-B434^4)/4,0)+IF(C434&gt;($B$4*2/10),($B$4*2/10)^2*(1.5*(C434^2-MAX(B434,($B$4*2/10))^2)-($B$4*2/10)*(C434-MAX(B434,($B$4*2/10)))),0))*1000,0)</f>
        <v>0</v>
      </c>
      <c r="AD434" s="120">
        <f>IF(AND(J434="OK",ISNUMBER($B$5),$B$5&gt;0,ISNUMBER($B$3),$B$3&gt;0),F434/(6*$B$3*1000000*$B$5)*(IF(B434&lt;($B$4*3/10),($B$4*3/10)*(MIN(C434,($B$4*3/10))^3-B434^3)-(MIN(C434,($B$4*3/10))^4-B434^4)/4,0)+IF(C434&gt;($B$4*3/10),($B$4*3/10)^2*(1.5*(C434^2-MAX(B434,($B$4*3/10))^2)-($B$4*3/10)*(C434-MAX(B434,($B$4*3/10)))),0))*1000,0)</f>
        <v>0</v>
      </c>
      <c r="AE434" s="120">
        <f>IF(AND(J434="OK",ISNUMBER($B$5),$B$5&gt;0,ISNUMBER($B$3),$B$3&gt;0),F434/(6*$B$3*1000000*$B$5)*(IF(B434&lt;($B$4*4/10),($B$4*4/10)*(MIN(C434,($B$4*4/10))^3-B434^3)-(MIN(C434,($B$4*4/10))^4-B434^4)/4,0)+IF(C434&gt;($B$4*4/10),($B$4*4/10)^2*(1.5*(C434^2-MAX(B434,($B$4*4/10))^2)-($B$4*4/10)*(C434-MAX(B434,($B$4*4/10)))),0))*1000,0)</f>
        <v>0</v>
      </c>
      <c r="AF434" s="120">
        <f>IF(AND(J434="OK",ISNUMBER($B$5),$B$5&gt;0,ISNUMBER($B$3),$B$3&gt;0),F434/(6*$B$3*1000000*$B$5)*(IF(B434&lt;($B$4*5/10),($B$4*5/10)*(MIN(C434,($B$4*5/10))^3-B434^3)-(MIN(C434,($B$4*5/10))^4-B434^4)/4,0)+IF(C434&gt;($B$4*5/10),($B$4*5/10)^2*(1.5*(C434^2-MAX(B434,($B$4*5/10))^2)-($B$4*5/10)*(C434-MAX(B434,($B$4*5/10)))),0))*1000,0)</f>
        <v>0</v>
      </c>
      <c r="AG434" s="120">
        <f>IF(AND(J434="OK",ISNUMBER($B$5),$B$5&gt;0,ISNUMBER($B$3),$B$3&gt;0),F434/(6*$B$3*1000000*$B$5)*(IF(B434&lt;($B$4*6/10),($B$4*6/10)*(MIN(C434,($B$4*6/10))^3-B434^3)-(MIN(C434,($B$4*6/10))^4-B434^4)/4,0)+IF(C434&gt;($B$4*6/10),($B$4*6/10)^2*(1.5*(C434^2-MAX(B434,($B$4*6/10))^2)-($B$4*6/10)*(C434-MAX(B434,($B$4*6/10)))),0))*1000,0)</f>
        <v>0</v>
      </c>
      <c r="AH434" s="120">
        <f>IF(AND(J434="OK",ISNUMBER($B$5),$B$5&gt;0,ISNUMBER($B$3),$B$3&gt;0),F434/(6*$B$3*1000000*$B$5)*(IF(B434&lt;($B$4*7/10),($B$4*7/10)*(MIN(C434,($B$4*7/10))^3-B434^3)-(MIN(C434,($B$4*7/10))^4-B434^4)/4,0)+IF(C434&gt;($B$4*7/10),($B$4*7/10)^2*(1.5*(C434^2-MAX(B434,($B$4*7/10))^2)-($B$4*7/10)*(C434-MAX(B434,($B$4*7/10)))),0))*1000,0)</f>
        <v>0</v>
      </c>
      <c r="AI434" s="120">
        <f>IF(AND(J434="OK",ISNUMBER($B$5),$B$5&gt;0,ISNUMBER($B$3),$B$3&gt;0),F434/(6*$B$3*1000000*$B$5)*(IF(B434&lt;($B$4*8/10),($B$4*8/10)*(MIN(C434,($B$4*8/10))^3-B434^3)-(MIN(C434,($B$4*8/10))^4-B434^4)/4,0)+IF(C434&gt;($B$4*8/10),($B$4*8/10)^2*(1.5*(C434^2-MAX(B434,($B$4*8/10))^2)-($B$4*8/10)*(C434-MAX(B434,($B$4*8/10)))),0))*1000,0)</f>
        <v>0</v>
      </c>
      <c r="AJ434" s="120">
        <f>IF(AND(J434="OK",ISNUMBER($B$5),$B$5&gt;0,ISNUMBER($B$3),$B$3&gt;0),F434/(6*$B$3*1000000*$B$5)*(IF(B434&lt;($B$4*9/10),($B$4*9/10)*(MIN(C434,($B$4*9/10))^3-B434^3)-(MIN(C434,($B$4*9/10))^4-B434^4)/4,0)+IF(C434&gt;($B$4*9/10),($B$4*9/10)^2*(1.5*(C434^2-MAX(B434,($B$4*9/10))^2)-($B$4*9/10)*(C434-MAX(B434,($B$4*9/10)))),0))*1000,0)</f>
        <v>0</v>
      </c>
      <c r="AK434" s="120">
        <f>IF(AND(J434="OK",ISNUMBER($B$5),$B$5&gt;0,ISNUMBER($B$3),$B$3&gt;0),F434/(6*$B$3*1000000*$B$5)*(IF(B434&lt;($B$4*10/10),($B$4*10/10)*(MIN(C434,($B$4*10/10))^3-B434^3)-(MIN(C434,($B$4*10/10))^4-B434^4)/4,0)+IF(C434&gt;($B$4*10/10),($B$4*10/10)^2*(1.5*(C434^2-MAX(B434,($B$4*10/10))^2)-($B$4*10/10)*(C434-MAX(B434,($B$4*10/10)))),0))*1000,0)</f>
        <v>0</v>
      </c>
      <c r="AM434" s="120">
        <f>IF(AND(V434="OK",ISNUMBER($N$5),$N$5&gt;0,ISNUMBER($N$3),$N$3&gt;0),R434/(6*$N$3*1000000*$N$5)*(IF(N434&lt;($N$4*0/10),($N$4*0/10)*(MIN(O434,($N$4*0/10))^3-N434^3)-(MIN(O434,($N$4*0/10))^4-N434^4)/4,0)+IF(O434&gt;($N$4*0/10),($N$4*0/10)^2*(1.5*(O434^2-MAX(N434,($N$4*0/10))^2)-($N$4*0/10)*(O434-MAX(N434,($N$4*0/10)))),0))*1000,0)</f>
        <v>0</v>
      </c>
      <c r="AN434" s="120">
        <f>IF(AND(V434="OK",ISNUMBER($N$5),$N$5&gt;0,ISNUMBER($N$3),$N$3&gt;0),R434/(6*$N$3*1000000*$N$5)*(IF(N434&lt;($N$4*1/10),($N$4*1/10)*(MIN(O434,($N$4*1/10))^3-N434^3)-(MIN(O434,($N$4*1/10))^4-N434^4)/4,0)+IF(O434&gt;($N$4*1/10),($N$4*1/10)^2*(1.5*(O434^2-MAX(N434,($N$4*1/10))^2)-($N$4*1/10)*(O434-MAX(N434,($N$4*1/10)))),0))*1000,0)</f>
        <v>0</v>
      </c>
      <c r="AO434" s="120">
        <f>IF(AND(V434="OK",ISNUMBER($N$5),$N$5&gt;0,ISNUMBER($N$3),$N$3&gt;0),R434/(6*$N$3*1000000*$N$5)*(IF(N434&lt;($N$4*2/10),($N$4*2/10)*(MIN(O434,($N$4*2/10))^3-N434^3)-(MIN(O434,($N$4*2/10))^4-N434^4)/4,0)+IF(O434&gt;($N$4*2/10),($N$4*2/10)^2*(1.5*(O434^2-MAX(N434,($N$4*2/10))^2)-($N$4*2/10)*(O434-MAX(N434,($N$4*2/10)))),0))*1000,0)</f>
        <v>0</v>
      </c>
      <c r="AP434" s="120">
        <f>IF(AND(V434="OK",ISNUMBER($N$5),$N$5&gt;0,ISNUMBER($N$3),$N$3&gt;0),R434/(6*$N$3*1000000*$N$5)*(IF(N434&lt;($N$4*3/10),($N$4*3/10)*(MIN(O434,($N$4*3/10))^3-N434^3)-(MIN(O434,($N$4*3/10))^4-N434^4)/4,0)+IF(O434&gt;($N$4*3/10),($N$4*3/10)^2*(1.5*(O434^2-MAX(N434,($N$4*3/10))^2)-($N$4*3/10)*(O434-MAX(N434,($N$4*3/10)))),0))*1000,0)</f>
        <v>0</v>
      </c>
      <c r="AQ434" s="120">
        <f>IF(AND(V434="OK",ISNUMBER($N$5),$N$5&gt;0,ISNUMBER($N$3),$N$3&gt;0),R434/(6*$N$3*1000000*$N$5)*(IF(N434&lt;($N$4*4/10),($N$4*4/10)*(MIN(O434,($N$4*4/10))^3-N434^3)-(MIN(O434,($N$4*4/10))^4-N434^4)/4,0)+IF(O434&gt;($N$4*4/10),($N$4*4/10)^2*(1.5*(O434^2-MAX(N434,($N$4*4/10))^2)-($N$4*4/10)*(O434-MAX(N434,($N$4*4/10)))),0))*1000,0)</f>
        <v>0</v>
      </c>
      <c r="AR434" s="120">
        <f>IF(AND(V434="OK",ISNUMBER($N$5),$N$5&gt;0,ISNUMBER($N$3),$N$3&gt;0),R434/(6*$N$3*1000000*$N$5)*(IF(N434&lt;($N$4*5/10),($N$4*5/10)*(MIN(O434,($N$4*5/10))^3-N434^3)-(MIN(O434,($N$4*5/10))^4-N434^4)/4,0)+IF(O434&gt;($N$4*5/10),($N$4*5/10)^2*(1.5*(O434^2-MAX(N434,($N$4*5/10))^2)-($N$4*5/10)*(O434-MAX(N434,($N$4*5/10)))),0))*1000,0)</f>
        <v>0</v>
      </c>
      <c r="AS434" s="120">
        <f>IF(AND(V434="OK",ISNUMBER($N$5),$N$5&gt;0,ISNUMBER($N$3),$N$3&gt;0),R434/(6*$N$3*1000000*$N$5)*(IF(N434&lt;($N$4*6/10),($N$4*6/10)*(MIN(O434,($N$4*6/10))^3-N434^3)-(MIN(O434,($N$4*6/10))^4-N434^4)/4,0)+IF(O434&gt;($N$4*6/10),($N$4*6/10)^2*(1.5*(O434^2-MAX(N434,($N$4*6/10))^2)-($N$4*6/10)*(O434-MAX(N434,($N$4*6/10)))),0))*1000,0)</f>
        <v>0</v>
      </c>
      <c r="AT434" s="120">
        <f>IF(AND(V434="OK",ISNUMBER($N$5),$N$5&gt;0,ISNUMBER($N$3),$N$3&gt;0),R434/(6*$N$3*1000000*$N$5)*(IF(N434&lt;($N$4*7/10),($N$4*7/10)*(MIN(O434,($N$4*7/10))^3-N434^3)-(MIN(O434,($N$4*7/10))^4-N434^4)/4,0)+IF(O434&gt;($N$4*7/10),($N$4*7/10)^2*(1.5*(O434^2-MAX(N434,($N$4*7/10))^2)-($N$4*7/10)*(O434-MAX(N434,($N$4*7/10)))),0))*1000,0)</f>
        <v>0</v>
      </c>
      <c r="AU434" s="120">
        <f>IF(AND(V434="OK",ISNUMBER($N$5),$N$5&gt;0,ISNUMBER($N$3),$N$3&gt;0),R434/(6*$N$3*1000000*$N$5)*(IF(N434&lt;($N$4*8/10),($N$4*8/10)*(MIN(O434,($N$4*8/10))^3-N434^3)-(MIN(O434,($N$4*8/10))^4-N434^4)/4,0)+IF(O434&gt;($N$4*8/10),($N$4*8/10)^2*(1.5*(O434^2-MAX(N434,($N$4*8/10))^2)-($N$4*8/10)*(O434-MAX(N434,($N$4*8/10)))),0))*1000,0)</f>
        <v>0</v>
      </c>
      <c r="AV434" s="120">
        <f>IF(AND(V434="OK",ISNUMBER($N$5),$N$5&gt;0,ISNUMBER($N$3),$N$3&gt;0),R434/(6*$N$3*1000000*$N$5)*(IF(N434&lt;($N$4*9/10),($N$4*9/10)*(MIN(O434,($N$4*9/10))^3-N434^3)-(MIN(O434,($N$4*9/10))^4-N434^4)/4,0)+IF(O434&gt;($N$4*9/10),($N$4*9/10)^2*(1.5*(O434^2-MAX(N434,($N$4*9/10))^2)-($N$4*9/10)*(O434-MAX(N434,($N$4*9/10)))),0))*1000,0)</f>
        <v>0</v>
      </c>
      <c r="AW434" s="120">
        <f>IF(AND(V434="OK",ISNUMBER($N$5),$N$5&gt;0,ISNUMBER($N$3),$N$3&gt;0),R434/(6*$N$3*1000000*$N$5)*(IF(N434&lt;($N$4*10/10),($N$4*10/10)*(MIN(O434,($N$4*10/10))^3-N434^3)-(MIN(O434,($N$4*10/10))^4-N434^4)/4,0)+IF(O434&gt;($N$4*10/10),($N$4*10/10)^2*(1.5*(O434^2-MAX(N434,($N$4*10/10))^2)-($N$4*10/10)*(O434-MAX(N434,($N$4*10/10)))),0))*1000,0)</f>
        <v>0</v>
      </c>
    </row>
    <row r="435" spans="1:49">
      <c r="A435" s="124"/>
      <c r="B435" s="125"/>
      <c r="C435" s="125"/>
      <c r="D435" s="125"/>
      <c r="E435" s="125"/>
      <c r="F435" s="126" t="str">
        <f>IF(J435="OK",D435*E435,"")</f>
        <v/>
      </c>
      <c r="G435" s="126" t="str">
        <f>IF(J435="OK",F435*(C435-B435),"")</f>
        <v/>
      </c>
      <c r="H435" s="126" t="str">
        <f>IF(J435="OK",G435*(C435+B435)/2,"")</f>
        <v/>
      </c>
      <c r="I435" s="126" t="str">
        <f>IF(AND(J435="OK",ISNUMBER($B$5),$B$5&gt;0,ISNUMBER($B$3),$B$3&gt;0),F435*(4*$B$4*(C435^3-B435^3)-(C435^4-B435^4))/(24*$B$3*1000000*$B$5)*1000,"")</f>
        <v/>
      </c>
      <c r="J435" s="120" t="str">
        <f>IF(COUNTA(A435:E435)=0,"",IF(AND(COUNT(B435:E435)=4,B435&gt;=0,C435&gt;B435,C435&lt;=$B$4,D435&gt;=0,E435&gt;0),IF(COUNTIFS($B$13:$B$434,"&lt;"&amp;C435,$C$13:$C$434,"&gt;"&amp;B435)&gt;0,"OVERLAP","OK"),"CHECK INPUTS"))</f>
        <v/>
      </c>
      <c r="M435" s="124"/>
      <c r="N435" s="125"/>
      <c r="O435" s="125"/>
      <c r="P435" s="125"/>
      <c r="Q435" s="125"/>
      <c r="R435" s="126" t="str">
        <f>IF(V435="OK",P435*Q435,"")</f>
        <v/>
      </c>
      <c r="S435" s="126" t="str">
        <f>IF(V435="OK",R435*(O435-N435),"")</f>
        <v/>
      </c>
      <c r="T435" s="126" t="str">
        <f>IF(V435="OK",S435*(O435+N435)/2,"")</f>
        <v/>
      </c>
      <c r="U435" s="126" t="str">
        <f>IF(AND(V435="OK",ISNUMBER($N$5),$N$5&gt;0,ISNUMBER($N$3),$N$3&gt;0),R435*(4*$N$4*(O435^3-N435^3)-(O435^4-N435^4))/(24*$N$3*1000000*$N$5)*1000,"")</f>
        <v/>
      </c>
      <c r="V435" s="120" t="str">
        <f>IF(COUNTA(M435:Q435)=0,"",IF(AND(COUNT(N435:Q435)=4,N435&gt;=0,O435&gt;N435,O435&lt;=$N$4,P435&gt;=0,Q435&gt;0),IF(COUNTIFS($N$13:$N$434,"&lt;"&amp;O435,$O$13:$O$434,"&gt;"&amp;N435)&gt;0,"OVERLAP","OK"),"CHECK INPUTS"))</f>
        <v/>
      </c>
      <c r="AA435" s="120">
        <f>IF(AND(J435="OK",ISNUMBER($B$5),$B$5&gt;0,ISNUMBER($B$3),$B$3&gt;0),F435/(6*$B$3*1000000*$B$5)*(IF(B435&lt;($B$4*0/10),($B$4*0/10)*(MIN(C435,($B$4*0/10))^3-B435^3)-(MIN(C435,($B$4*0/10))^4-B435^4)/4,0)+IF(C435&gt;($B$4*0/10),($B$4*0/10)^2*(1.5*(C435^2-MAX(B435,($B$4*0/10))^2)-($B$4*0/10)*(C435-MAX(B435,($B$4*0/10)))),0))*1000,0)</f>
        <v>0</v>
      </c>
      <c r="AB435" s="120">
        <f>IF(AND(J435="OK",ISNUMBER($B$5),$B$5&gt;0,ISNUMBER($B$3),$B$3&gt;0),F435/(6*$B$3*1000000*$B$5)*(IF(B435&lt;($B$4*1/10),($B$4*1/10)*(MIN(C435,($B$4*1/10))^3-B435^3)-(MIN(C435,($B$4*1/10))^4-B435^4)/4,0)+IF(C435&gt;($B$4*1/10),($B$4*1/10)^2*(1.5*(C435^2-MAX(B435,($B$4*1/10))^2)-($B$4*1/10)*(C435-MAX(B435,($B$4*1/10)))),0))*1000,0)</f>
        <v>0</v>
      </c>
      <c r="AC435" s="120">
        <f>IF(AND(J435="OK",ISNUMBER($B$5),$B$5&gt;0,ISNUMBER($B$3),$B$3&gt;0),F435/(6*$B$3*1000000*$B$5)*(IF(B435&lt;($B$4*2/10),($B$4*2/10)*(MIN(C435,($B$4*2/10))^3-B435^3)-(MIN(C435,($B$4*2/10))^4-B435^4)/4,0)+IF(C435&gt;($B$4*2/10),($B$4*2/10)^2*(1.5*(C435^2-MAX(B435,($B$4*2/10))^2)-($B$4*2/10)*(C435-MAX(B435,($B$4*2/10)))),0))*1000,0)</f>
        <v>0</v>
      </c>
      <c r="AD435" s="120">
        <f>IF(AND(J435="OK",ISNUMBER($B$5),$B$5&gt;0,ISNUMBER($B$3),$B$3&gt;0),F435/(6*$B$3*1000000*$B$5)*(IF(B435&lt;($B$4*3/10),($B$4*3/10)*(MIN(C435,($B$4*3/10))^3-B435^3)-(MIN(C435,($B$4*3/10))^4-B435^4)/4,0)+IF(C435&gt;($B$4*3/10),($B$4*3/10)^2*(1.5*(C435^2-MAX(B435,($B$4*3/10))^2)-($B$4*3/10)*(C435-MAX(B435,($B$4*3/10)))),0))*1000,0)</f>
        <v>0</v>
      </c>
      <c r="AE435" s="120">
        <f>IF(AND(J435="OK",ISNUMBER($B$5),$B$5&gt;0,ISNUMBER($B$3),$B$3&gt;0),F435/(6*$B$3*1000000*$B$5)*(IF(B435&lt;($B$4*4/10),($B$4*4/10)*(MIN(C435,($B$4*4/10))^3-B435^3)-(MIN(C435,($B$4*4/10))^4-B435^4)/4,0)+IF(C435&gt;($B$4*4/10),($B$4*4/10)^2*(1.5*(C435^2-MAX(B435,($B$4*4/10))^2)-($B$4*4/10)*(C435-MAX(B435,($B$4*4/10)))),0))*1000,0)</f>
        <v>0</v>
      </c>
      <c r="AF435" s="120">
        <f>IF(AND(J435="OK",ISNUMBER($B$5),$B$5&gt;0,ISNUMBER($B$3),$B$3&gt;0),F435/(6*$B$3*1000000*$B$5)*(IF(B435&lt;($B$4*5/10),($B$4*5/10)*(MIN(C435,($B$4*5/10))^3-B435^3)-(MIN(C435,($B$4*5/10))^4-B435^4)/4,0)+IF(C435&gt;($B$4*5/10),($B$4*5/10)^2*(1.5*(C435^2-MAX(B435,($B$4*5/10))^2)-($B$4*5/10)*(C435-MAX(B435,($B$4*5/10)))),0))*1000,0)</f>
        <v>0</v>
      </c>
      <c r="AG435" s="120">
        <f>IF(AND(J435="OK",ISNUMBER($B$5),$B$5&gt;0,ISNUMBER($B$3),$B$3&gt;0),F435/(6*$B$3*1000000*$B$5)*(IF(B435&lt;($B$4*6/10),($B$4*6/10)*(MIN(C435,($B$4*6/10))^3-B435^3)-(MIN(C435,($B$4*6/10))^4-B435^4)/4,0)+IF(C435&gt;($B$4*6/10),($B$4*6/10)^2*(1.5*(C435^2-MAX(B435,($B$4*6/10))^2)-($B$4*6/10)*(C435-MAX(B435,($B$4*6/10)))),0))*1000,0)</f>
        <v>0</v>
      </c>
      <c r="AH435" s="120">
        <f>IF(AND(J435="OK",ISNUMBER($B$5),$B$5&gt;0,ISNUMBER($B$3),$B$3&gt;0),F435/(6*$B$3*1000000*$B$5)*(IF(B435&lt;($B$4*7/10),($B$4*7/10)*(MIN(C435,($B$4*7/10))^3-B435^3)-(MIN(C435,($B$4*7/10))^4-B435^4)/4,0)+IF(C435&gt;($B$4*7/10),($B$4*7/10)^2*(1.5*(C435^2-MAX(B435,($B$4*7/10))^2)-($B$4*7/10)*(C435-MAX(B435,($B$4*7/10)))),0))*1000,0)</f>
        <v>0</v>
      </c>
      <c r="AI435" s="120">
        <f>IF(AND(J435="OK",ISNUMBER($B$5),$B$5&gt;0,ISNUMBER($B$3),$B$3&gt;0),F435/(6*$B$3*1000000*$B$5)*(IF(B435&lt;($B$4*8/10),($B$4*8/10)*(MIN(C435,($B$4*8/10))^3-B435^3)-(MIN(C435,($B$4*8/10))^4-B435^4)/4,0)+IF(C435&gt;($B$4*8/10),($B$4*8/10)^2*(1.5*(C435^2-MAX(B435,($B$4*8/10))^2)-($B$4*8/10)*(C435-MAX(B435,($B$4*8/10)))),0))*1000,0)</f>
        <v>0</v>
      </c>
      <c r="AJ435" s="120">
        <f>IF(AND(J435="OK",ISNUMBER($B$5),$B$5&gt;0,ISNUMBER($B$3),$B$3&gt;0),F435/(6*$B$3*1000000*$B$5)*(IF(B435&lt;($B$4*9/10),($B$4*9/10)*(MIN(C435,($B$4*9/10))^3-B435^3)-(MIN(C435,($B$4*9/10))^4-B435^4)/4,0)+IF(C435&gt;($B$4*9/10),($B$4*9/10)^2*(1.5*(C435^2-MAX(B435,($B$4*9/10))^2)-($B$4*9/10)*(C435-MAX(B435,($B$4*9/10)))),0))*1000,0)</f>
        <v>0</v>
      </c>
      <c r="AK435" s="120">
        <f>IF(AND(J435="OK",ISNUMBER($B$5),$B$5&gt;0,ISNUMBER($B$3),$B$3&gt;0),F435/(6*$B$3*1000000*$B$5)*(IF(B435&lt;($B$4*10/10),($B$4*10/10)*(MIN(C435,($B$4*10/10))^3-B435^3)-(MIN(C435,($B$4*10/10))^4-B435^4)/4,0)+IF(C435&gt;($B$4*10/10),($B$4*10/10)^2*(1.5*(C435^2-MAX(B435,($B$4*10/10))^2)-($B$4*10/10)*(C435-MAX(B435,($B$4*10/10)))),0))*1000,0)</f>
        <v>0</v>
      </c>
      <c r="AM435" s="120">
        <f>IF(AND(V435="OK",ISNUMBER($N$5),$N$5&gt;0,ISNUMBER($N$3),$N$3&gt;0),R435/(6*$N$3*1000000*$N$5)*(IF(N435&lt;($N$4*0/10),($N$4*0/10)*(MIN(O435,($N$4*0/10))^3-N435^3)-(MIN(O435,($N$4*0/10))^4-N435^4)/4,0)+IF(O435&gt;($N$4*0/10),($N$4*0/10)^2*(1.5*(O435^2-MAX(N435,($N$4*0/10))^2)-($N$4*0/10)*(O435-MAX(N435,($N$4*0/10)))),0))*1000,0)</f>
        <v>0</v>
      </c>
      <c r="AN435" s="120">
        <f>IF(AND(V435="OK",ISNUMBER($N$5),$N$5&gt;0,ISNUMBER($N$3),$N$3&gt;0),R435/(6*$N$3*1000000*$N$5)*(IF(N435&lt;($N$4*1/10),($N$4*1/10)*(MIN(O435,($N$4*1/10))^3-N435^3)-(MIN(O435,($N$4*1/10))^4-N435^4)/4,0)+IF(O435&gt;($N$4*1/10),($N$4*1/10)^2*(1.5*(O435^2-MAX(N435,($N$4*1/10))^2)-($N$4*1/10)*(O435-MAX(N435,($N$4*1/10)))),0))*1000,0)</f>
        <v>0</v>
      </c>
      <c r="AO435" s="120">
        <f>IF(AND(V435="OK",ISNUMBER($N$5),$N$5&gt;0,ISNUMBER($N$3),$N$3&gt;0),R435/(6*$N$3*1000000*$N$5)*(IF(N435&lt;($N$4*2/10),($N$4*2/10)*(MIN(O435,($N$4*2/10))^3-N435^3)-(MIN(O435,($N$4*2/10))^4-N435^4)/4,0)+IF(O435&gt;($N$4*2/10),($N$4*2/10)^2*(1.5*(O435^2-MAX(N435,($N$4*2/10))^2)-($N$4*2/10)*(O435-MAX(N435,($N$4*2/10)))),0))*1000,0)</f>
        <v>0</v>
      </c>
      <c r="AP435" s="120">
        <f>IF(AND(V435="OK",ISNUMBER($N$5),$N$5&gt;0,ISNUMBER($N$3),$N$3&gt;0),R435/(6*$N$3*1000000*$N$5)*(IF(N435&lt;($N$4*3/10),($N$4*3/10)*(MIN(O435,($N$4*3/10))^3-N435^3)-(MIN(O435,($N$4*3/10))^4-N435^4)/4,0)+IF(O435&gt;($N$4*3/10),($N$4*3/10)^2*(1.5*(O435^2-MAX(N435,($N$4*3/10))^2)-($N$4*3/10)*(O435-MAX(N435,($N$4*3/10)))),0))*1000,0)</f>
        <v>0</v>
      </c>
      <c r="AQ435" s="120">
        <f>IF(AND(V435="OK",ISNUMBER($N$5),$N$5&gt;0,ISNUMBER($N$3),$N$3&gt;0),R435/(6*$N$3*1000000*$N$5)*(IF(N435&lt;($N$4*4/10),($N$4*4/10)*(MIN(O435,($N$4*4/10))^3-N435^3)-(MIN(O435,($N$4*4/10))^4-N435^4)/4,0)+IF(O435&gt;($N$4*4/10),($N$4*4/10)^2*(1.5*(O435^2-MAX(N435,($N$4*4/10))^2)-($N$4*4/10)*(O435-MAX(N435,($N$4*4/10)))),0))*1000,0)</f>
        <v>0</v>
      </c>
      <c r="AR435" s="120">
        <f>IF(AND(V435="OK",ISNUMBER($N$5),$N$5&gt;0,ISNUMBER($N$3),$N$3&gt;0),R435/(6*$N$3*1000000*$N$5)*(IF(N435&lt;($N$4*5/10),($N$4*5/10)*(MIN(O435,($N$4*5/10))^3-N435^3)-(MIN(O435,($N$4*5/10))^4-N435^4)/4,0)+IF(O435&gt;($N$4*5/10),($N$4*5/10)^2*(1.5*(O435^2-MAX(N435,($N$4*5/10))^2)-($N$4*5/10)*(O435-MAX(N435,($N$4*5/10)))),0))*1000,0)</f>
        <v>0</v>
      </c>
      <c r="AS435" s="120">
        <f>IF(AND(V435="OK",ISNUMBER($N$5),$N$5&gt;0,ISNUMBER($N$3),$N$3&gt;0),R435/(6*$N$3*1000000*$N$5)*(IF(N435&lt;($N$4*6/10),($N$4*6/10)*(MIN(O435,($N$4*6/10))^3-N435^3)-(MIN(O435,($N$4*6/10))^4-N435^4)/4,0)+IF(O435&gt;($N$4*6/10),($N$4*6/10)^2*(1.5*(O435^2-MAX(N435,($N$4*6/10))^2)-($N$4*6/10)*(O435-MAX(N435,($N$4*6/10)))),0))*1000,0)</f>
        <v>0</v>
      </c>
      <c r="AT435" s="120">
        <f>IF(AND(V435="OK",ISNUMBER($N$5),$N$5&gt;0,ISNUMBER($N$3),$N$3&gt;0),R435/(6*$N$3*1000000*$N$5)*(IF(N435&lt;($N$4*7/10),($N$4*7/10)*(MIN(O435,($N$4*7/10))^3-N435^3)-(MIN(O435,($N$4*7/10))^4-N435^4)/4,0)+IF(O435&gt;($N$4*7/10),($N$4*7/10)^2*(1.5*(O435^2-MAX(N435,($N$4*7/10))^2)-($N$4*7/10)*(O435-MAX(N435,($N$4*7/10)))),0))*1000,0)</f>
        <v>0</v>
      </c>
      <c r="AU435" s="120">
        <f>IF(AND(V435="OK",ISNUMBER($N$5),$N$5&gt;0,ISNUMBER($N$3),$N$3&gt;0),R435/(6*$N$3*1000000*$N$5)*(IF(N435&lt;($N$4*8/10),($N$4*8/10)*(MIN(O435,($N$4*8/10))^3-N435^3)-(MIN(O435,($N$4*8/10))^4-N435^4)/4,0)+IF(O435&gt;($N$4*8/10),($N$4*8/10)^2*(1.5*(O435^2-MAX(N435,($N$4*8/10))^2)-($N$4*8/10)*(O435-MAX(N435,($N$4*8/10)))),0))*1000,0)</f>
        <v>0</v>
      </c>
      <c r="AV435" s="120">
        <f>IF(AND(V435="OK",ISNUMBER($N$5),$N$5&gt;0,ISNUMBER($N$3),$N$3&gt;0),R435/(6*$N$3*1000000*$N$5)*(IF(N435&lt;($N$4*9/10),($N$4*9/10)*(MIN(O435,($N$4*9/10))^3-N435^3)-(MIN(O435,($N$4*9/10))^4-N435^4)/4,0)+IF(O435&gt;($N$4*9/10),($N$4*9/10)^2*(1.5*(O435^2-MAX(N435,($N$4*9/10))^2)-($N$4*9/10)*(O435-MAX(N435,($N$4*9/10)))),0))*1000,0)</f>
        <v>0</v>
      </c>
      <c r="AW435" s="120">
        <f>IF(AND(V435="OK",ISNUMBER($N$5),$N$5&gt;0,ISNUMBER($N$3),$N$3&gt;0),R435/(6*$N$3*1000000*$N$5)*(IF(N435&lt;($N$4*10/10),($N$4*10/10)*(MIN(O435,($N$4*10/10))^3-N435^3)-(MIN(O435,($N$4*10/10))^4-N435^4)/4,0)+IF(O435&gt;($N$4*10/10),($N$4*10/10)^2*(1.5*(O435^2-MAX(N435,($N$4*10/10))^2)-($N$4*10/10)*(O435-MAX(N435,($N$4*10/10)))),0))*1000,0)</f>
        <v>0</v>
      </c>
    </row>
    <row r="436" spans="1:49">
      <c r="A436" s="124"/>
      <c r="B436" s="125"/>
      <c r="C436" s="125"/>
      <c r="D436" s="125"/>
      <c r="E436" s="125"/>
      <c r="F436" s="126" t="str">
        <f>IF(J436="OK",D436*E436,"")</f>
        <v/>
      </c>
      <c r="G436" s="126" t="str">
        <f>IF(J436="OK",F436*(C436-B436),"")</f>
        <v/>
      </c>
      <c r="H436" s="126" t="str">
        <f>IF(J436="OK",G436*(C436+B436)/2,"")</f>
        <v/>
      </c>
      <c r="I436" s="126" t="str">
        <f>IF(AND(J436="OK",ISNUMBER($B$5),$B$5&gt;0,ISNUMBER($B$3),$B$3&gt;0),F436*(4*$B$4*(C436^3-B436^3)-(C436^4-B436^4))/(24*$B$3*1000000*$B$5)*1000,"")</f>
        <v/>
      </c>
      <c r="J436" s="120" t="str">
        <f>IF(COUNTA(A436:E436)=0,"",IF(AND(COUNT(B436:E436)=4,B436&gt;=0,C436&gt;B436,C436&lt;=$B$4,D436&gt;=0,E436&gt;0),IF(COUNTIFS($B$13:$B$435,"&lt;"&amp;C436,$C$13:$C$435,"&gt;"&amp;B436)&gt;0,"OVERLAP","OK"),"CHECK INPUTS"))</f>
        <v/>
      </c>
      <c r="M436" s="124"/>
      <c r="N436" s="125"/>
      <c r="O436" s="125"/>
      <c r="P436" s="125"/>
      <c r="Q436" s="125"/>
      <c r="R436" s="126" t="str">
        <f>IF(V436="OK",P436*Q436,"")</f>
        <v/>
      </c>
      <c r="S436" s="126" t="str">
        <f>IF(V436="OK",R436*(O436-N436),"")</f>
        <v/>
      </c>
      <c r="T436" s="126" t="str">
        <f>IF(V436="OK",S436*(O436+N436)/2,"")</f>
        <v/>
      </c>
      <c r="U436" s="126" t="str">
        <f>IF(AND(V436="OK",ISNUMBER($N$5),$N$5&gt;0,ISNUMBER($N$3),$N$3&gt;0),R436*(4*$N$4*(O436^3-N436^3)-(O436^4-N436^4))/(24*$N$3*1000000*$N$5)*1000,"")</f>
        <v/>
      </c>
      <c r="V436" s="120" t="str">
        <f>IF(COUNTA(M436:Q436)=0,"",IF(AND(COUNT(N436:Q436)=4,N436&gt;=0,O436&gt;N436,O436&lt;=$N$4,P436&gt;=0,Q436&gt;0),IF(COUNTIFS($N$13:$N$435,"&lt;"&amp;O436,$O$13:$O$435,"&gt;"&amp;N436)&gt;0,"OVERLAP","OK"),"CHECK INPUTS"))</f>
        <v/>
      </c>
      <c r="AA436" s="120">
        <f>IF(AND(J436="OK",ISNUMBER($B$5),$B$5&gt;0,ISNUMBER($B$3),$B$3&gt;0),F436/(6*$B$3*1000000*$B$5)*(IF(B436&lt;($B$4*0/10),($B$4*0/10)*(MIN(C436,($B$4*0/10))^3-B436^3)-(MIN(C436,($B$4*0/10))^4-B436^4)/4,0)+IF(C436&gt;($B$4*0/10),($B$4*0/10)^2*(1.5*(C436^2-MAX(B436,($B$4*0/10))^2)-($B$4*0/10)*(C436-MAX(B436,($B$4*0/10)))),0))*1000,0)</f>
        <v>0</v>
      </c>
      <c r="AB436" s="120">
        <f>IF(AND(J436="OK",ISNUMBER($B$5),$B$5&gt;0,ISNUMBER($B$3),$B$3&gt;0),F436/(6*$B$3*1000000*$B$5)*(IF(B436&lt;($B$4*1/10),($B$4*1/10)*(MIN(C436,($B$4*1/10))^3-B436^3)-(MIN(C436,($B$4*1/10))^4-B436^4)/4,0)+IF(C436&gt;($B$4*1/10),($B$4*1/10)^2*(1.5*(C436^2-MAX(B436,($B$4*1/10))^2)-($B$4*1/10)*(C436-MAX(B436,($B$4*1/10)))),0))*1000,0)</f>
        <v>0</v>
      </c>
      <c r="AC436" s="120">
        <f>IF(AND(J436="OK",ISNUMBER($B$5),$B$5&gt;0,ISNUMBER($B$3),$B$3&gt;0),F436/(6*$B$3*1000000*$B$5)*(IF(B436&lt;($B$4*2/10),($B$4*2/10)*(MIN(C436,($B$4*2/10))^3-B436^3)-(MIN(C436,($B$4*2/10))^4-B436^4)/4,0)+IF(C436&gt;($B$4*2/10),($B$4*2/10)^2*(1.5*(C436^2-MAX(B436,($B$4*2/10))^2)-($B$4*2/10)*(C436-MAX(B436,($B$4*2/10)))),0))*1000,0)</f>
        <v>0</v>
      </c>
      <c r="AD436" s="120">
        <f>IF(AND(J436="OK",ISNUMBER($B$5),$B$5&gt;0,ISNUMBER($B$3),$B$3&gt;0),F436/(6*$B$3*1000000*$B$5)*(IF(B436&lt;($B$4*3/10),($B$4*3/10)*(MIN(C436,($B$4*3/10))^3-B436^3)-(MIN(C436,($B$4*3/10))^4-B436^4)/4,0)+IF(C436&gt;($B$4*3/10),($B$4*3/10)^2*(1.5*(C436^2-MAX(B436,($B$4*3/10))^2)-($B$4*3/10)*(C436-MAX(B436,($B$4*3/10)))),0))*1000,0)</f>
        <v>0</v>
      </c>
      <c r="AE436" s="120">
        <f>IF(AND(J436="OK",ISNUMBER($B$5),$B$5&gt;0,ISNUMBER($B$3),$B$3&gt;0),F436/(6*$B$3*1000000*$B$5)*(IF(B436&lt;($B$4*4/10),($B$4*4/10)*(MIN(C436,($B$4*4/10))^3-B436^3)-(MIN(C436,($B$4*4/10))^4-B436^4)/4,0)+IF(C436&gt;($B$4*4/10),($B$4*4/10)^2*(1.5*(C436^2-MAX(B436,($B$4*4/10))^2)-($B$4*4/10)*(C436-MAX(B436,($B$4*4/10)))),0))*1000,0)</f>
        <v>0</v>
      </c>
      <c r="AF436" s="120">
        <f>IF(AND(J436="OK",ISNUMBER($B$5),$B$5&gt;0,ISNUMBER($B$3),$B$3&gt;0),F436/(6*$B$3*1000000*$B$5)*(IF(B436&lt;($B$4*5/10),($B$4*5/10)*(MIN(C436,($B$4*5/10))^3-B436^3)-(MIN(C436,($B$4*5/10))^4-B436^4)/4,0)+IF(C436&gt;($B$4*5/10),($B$4*5/10)^2*(1.5*(C436^2-MAX(B436,($B$4*5/10))^2)-($B$4*5/10)*(C436-MAX(B436,($B$4*5/10)))),0))*1000,0)</f>
        <v>0</v>
      </c>
      <c r="AG436" s="120">
        <f>IF(AND(J436="OK",ISNUMBER($B$5),$B$5&gt;0,ISNUMBER($B$3),$B$3&gt;0),F436/(6*$B$3*1000000*$B$5)*(IF(B436&lt;($B$4*6/10),($B$4*6/10)*(MIN(C436,($B$4*6/10))^3-B436^3)-(MIN(C436,($B$4*6/10))^4-B436^4)/4,0)+IF(C436&gt;($B$4*6/10),($B$4*6/10)^2*(1.5*(C436^2-MAX(B436,($B$4*6/10))^2)-($B$4*6/10)*(C436-MAX(B436,($B$4*6/10)))),0))*1000,0)</f>
        <v>0</v>
      </c>
      <c r="AH436" s="120">
        <f>IF(AND(J436="OK",ISNUMBER($B$5),$B$5&gt;0,ISNUMBER($B$3),$B$3&gt;0),F436/(6*$B$3*1000000*$B$5)*(IF(B436&lt;($B$4*7/10),($B$4*7/10)*(MIN(C436,($B$4*7/10))^3-B436^3)-(MIN(C436,($B$4*7/10))^4-B436^4)/4,0)+IF(C436&gt;($B$4*7/10),($B$4*7/10)^2*(1.5*(C436^2-MAX(B436,($B$4*7/10))^2)-($B$4*7/10)*(C436-MAX(B436,($B$4*7/10)))),0))*1000,0)</f>
        <v>0</v>
      </c>
      <c r="AI436" s="120">
        <f>IF(AND(J436="OK",ISNUMBER($B$5),$B$5&gt;0,ISNUMBER($B$3),$B$3&gt;0),F436/(6*$B$3*1000000*$B$5)*(IF(B436&lt;($B$4*8/10),($B$4*8/10)*(MIN(C436,($B$4*8/10))^3-B436^3)-(MIN(C436,($B$4*8/10))^4-B436^4)/4,0)+IF(C436&gt;($B$4*8/10),($B$4*8/10)^2*(1.5*(C436^2-MAX(B436,($B$4*8/10))^2)-($B$4*8/10)*(C436-MAX(B436,($B$4*8/10)))),0))*1000,0)</f>
        <v>0</v>
      </c>
      <c r="AJ436" s="120">
        <f>IF(AND(J436="OK",ISNUMBER($B$5),$B$5&gt;0,ISNUMBER($B$3),$B$3&gt;0),F436/(6*$B$3*1000000*$B$5)*(IF(B436&lt;($B$4*9/10),($B$4*9/10)*(MIN(C436,($B$4*9/10))^3-B436^3)-(MIN(C436,($B$4*9/10))^4-B436^4)/4,0)+IF(C436&gt;($B$4*9/10),($B$4*9/10)^2*(1.5*(C436^2-MAX(B436,($B$4*9/10))^2)-($B$4*9/10)*(C436-MAX(B436,($B$4*9/10)))),0))*1000,0)</f>
        <v>0</v>
      </c>
      <c r="AK436" s="120">
        <f>IF(AND(J436="OK",ISNUMBER($B$5),$B$5&gt;0,ISNUMBER($B$3),$B$3&gt;0),F436/(6*$B$3*1000000*$B$5)*(IF(B436&lt;($B$4*10/10),($B$4*10/10)*(MIN(C436,($B$4*10/10))^3-B436^3)-(MIN(C436,($B$4*10/10))^4-B436^4)/4,0)+IF(C436&gt;($B$4*10/10),($B$4*10/10)^2*(1.5*(C436^2-MAX(B436,($B$4*10/10))^2)-($B$4*10/10)*(C436-MAX(B436,($B$4*10/10)))),0))*1000,0)</f>
        <v>0</v>
      </c>
      <c r="AM436" s="120">
        <f>IF(AND(V436="OK",ISNUMBER($N$5),$N$5&gt;0,ISNUMBER($N$3),$N$3&gt;0),R436/(6*$N$3*1000000*$N$5)*(IF(N436&lt;($N$4*0/10),($N$4*0/10)*(MIN(O436,($N$4*0/10))^3-N436^3)-(MIN(O436,($N$4*0/10))^4-N436^4)/4,0)+IF(O436&gt;($N$4*0/10),($N$4*0/10)^2*(1.5*(O436^2-MAX(N436,($N$4*0/10))^2)-($N$4*0/10)*(O436-MAX(N436,($N$4*0/10)))),0))*1000,0)</f>
        <v>0</v>
      </c>
      <c r="AN436" s="120">
        <f>IF(AND(V436="OK",ISNUMBER($N$5),$N$5&gt;0,ISNUMBER($N$3),$N$3&gt;0),R436/(6*$N$3*1000000*$N$5)*(IF(N436&lt;($N$4*1/10),($N$4*1/10)*(MIN(O436,($N$4*1/10))^3-N436^3)-(MIN(O436,($N$4*1/10))^4-N436^4)/4,0)+IF(O436&gt;($N$4*1/10),($N$4*1/10)^2*(1.5*(O436^2-MAX(N436,($N$4*1/10))^2)-($N$4*1/10)*(O436-MAX(N436,($N$4*1/10)))),0))*1000,0)</f>
        <v>0</v>
      </c>
      <c r="AO436" s="120">
        <f>IF(AND(V436="OK",ISNUMBER($N$5),$N$5&gt;0,ISNUMBER($N$3),$N$3&gt;0),R436/(6*$N$3*1000000*$N$5)*(IF(N436&lt;($N$4*2/10),($N$4*2/10)*(MIN(O436,($N$4*2/10))^3-N436^3)-(MIN(O436,($N$4*2/10))^4-N436^4)/4,0)+IF(O436&gt;($N$4*2/10),($N$4*2/10)^2*(1.5*(O436^2-MAX(N436,($N$4*2/10))^2)-($N$4*2/10)*(O436-MAX(N436,($N$4*2/10)))),0))*1000,0)</f>
        <v>0</v>
      </c>
      <c r="AP436" s="120">
        <f>IF(AND(V436="OK",ISNUMBER($N$5),$N$5&gt;0,ISNUMBER($N$3),$N$3&gt;0),R436/(6*$N$3*1000000*$N$5)*(IF(N436&lt;($N$4*3/10),($N$4*3/10)*(MIN(O436,($N$4*3/10))^3-N436^3)-(MIN(O436,($N$4*3/10))^4-N436^4)/4,0)+IF(O436&gt;($N$4*3/10),($N$4*3/10)^2*(1.5*(O436^2-MAX(N436,($N$4*3/10))^2)-($N$4*3/10)*(O436-MAX(N436,($N$4*3/10)))),0))*1000,0)</f>
        <v>0</v>
      </c>
      <c r="AQ436" s="120">
        <f>IF(AND(V436="OK",ISNUMBER($N$5),$N$5&gt;0,ISNUMBER($N$3),$N$3&gt;0),R436/(6*$N$3*1000000*$N$5)*(IF(N436&lt;($N$4*4/10),($N$4*4/10)*(MIN(O436,($N$4*4/10))^3-N436^3)-(MIN(O436,($N$4*4/10))^4-N436^4)/4,0)+IF(O436&gt;($N$4*4/10),($N$4*4/10)^2*(1.5*(O436^2-MAX(N436,($N$4*4/10))^2)-($N$4*4/10)*(O436-MAX(N436,($N$4*4/10)))),0))*1000,0)</f>
        <v>0</v>
      </c>
      <c r="AR436" s="120">
        <f>IF(AND(V436="OK",ISNUMBER($N$5),$N$5&gt;0,ISNUMBER($N$3),$N$3&gt;0),R436/(6*$N$3*1000000*$N$5)*(IF(N436&lt;($N$4*5/10),($N$4*5/10)*(MIN(O436,($N$4*5/10))^3-N436^3)-(MIN(O436,($N$4*5/10))^4-N436^4)/4,0)+IF(O436&gt;($N$4*5/10),($N$4*5/10)^2*(1.5*(O436^2-MAX(N436,($N$4*5/10))^2)-($N$4*5/10)*(O436-MAX(N436,($N$4*5/10)))),0))*1000,0)</f>
        <v>0</v>
      </c>
      <c r="AS436" s="120">
        <f>IF(AND(V436="OK",ISNUMBER($N$5),$N$5&gt;0,ISNUMBER($N$3),$N$3&gt;0),R436/(6*$N$3*1000000*$N$5)*(IF(N436&lt;($N$4*6/10),($N$4*6/10)*(MIN(O436,($N$4*6/10))^3-N436^3)-(MIN(O436,($N$4*6/10))^4-N436^4)/4,0)+IF(O436&gt;($N$4*6/10),($N$4*6/10)^2*(1.5*(O436^2-MAX(N436,($N$4*6/10))^2)-($N$4*6/10)*(O436-MAX(N436,($N$4*6/10)))),0))*1000,0)</f>
        <v>0</v>
      </c>
      <c r="AT436" s="120">
        <f>IF(AND(V436="OK",ISNUMBER($N$5),$N$5&gt;0,ISNUMBER($N$3),$N$3&gt;0),R436/(6*$N$3*1000000*$N$5)*(IF(N436&lt;($N$4*7/10),($N$4*7/10)*(MIN(O436,($N$4*7/10))^3-N436^3)-(MIN(O436,($N$4*7/10))^4-N436^4)/4,0)+IF(O436&gt;($N$4*7/10),($N$4*7/10)^2*(1.5*(O436^2-MAX(N436,($N$4*7/10))^2)-($N$4*7/10)*(O436-MAX(N436,($N$4*7/10)))),0))*1000,0)</f>
        <v>0</v>
      </c>
      <c r="AU436" s="120">
        <f>IF(AND(V436="OK",ISNUMBER($N$5),$N$5&gt;0,ISNUMBER($N$3),$N$3&gt;0),R436/(6*$N$3*1000000*$N$5)*(IF(N436&lt;($N$4*8/10),($N$4*8/10)*(MIN(O436,($N$4*8/10))^3-N436^3)-(MIN(O436,($N$4*8/10))^4-N436^4)/4,0)+IF(O436&gt;($N$4*8/10),($N$4*8/10)^2*(1.5*(O436^2-MAX(N436,($N$4*8/10))^2)-($N$4*8/10)*(O436-MAX(N436,($N$4*8/10)))),0))*1000,0)</f>
        <v>0</v>
      </c>
      <c r="AV436" s="120">
        <f>IF(AND(V436="OK",ISNUMBER($N$5),$N$5&gt;0,ISNUMBER($N$3),$N$3&gt;0),R436/(6*$N$3*1000000*$N$5)*(IF(N436&lt;($N$4*9/10),($N$4*9/10)*(MIN(O436,($N$4*9/10))^3-N436^3)-(MIN(O436,($N$4*9/10))^4-N436^4)/4,0)+IF(O436&gt;($N$4*9/10),($N$4*9/10)^2*(1.5*(O436^2-MAX(N436,($N$4*9/10))^2)-($N$4*9/10)*(O436-MAX(N436,($N$4*9/10)))),0))*1000,0)</f>
        <v>0</v>
      </c>
      <c r="AW436" s="120">
        <f>IF(AND(V436="OK",ISNUMBER($N$5),$N$5&gt;0,ISNUMBER($N$3),$N$3&gt;0),R436/(6*$N$3*1000000*$N$5)*(IF(N436&lt;($N$4*10/10),($N$4*10/10)*(MIN(O436,($N$4*10/10))^3-N436^3)-(MIN(O436,($N$4*10/10))^4-N436^4)/4,0)+IF(O436&gt;($N$4*10/10),($N$4*10/10)^2*(1.5*(O436^2-MAX(N436,($N$4*10/10))^2)-($N$4*10/10)*(O436-MAX(N436,($N$4*10/10)))),0))*1000,0)</f>
        <v>0</v>
      </c>
    </row>
    <row r="437" spans="1:49">
      <c r="A437" s="124"/>
      <c r="B437" s="125"/>
      <c r="C437" s="125"/>
      <c r="D437" s="125"/>
      <c r="E437" s="125"/>
      <c r="F437" s="126" t="str">
        <f>IF(J437="OK",D437*E437,"")</f>
        <v/>
      </c>
      <c r="G437" s="126" t="str">
        <f>IF(J437="OK",F437*(C437-B437),"")</f>
        <v/>
      </c>
      <c r="H437" s="126" t="str">
        <f>IF(J437="OK",G437*(C437+B437)/2,"")</f>
        <v/>
      </c>
      <c r="I437" s="126" t="str">
        <f>IF(AND(J437="OK",ISNUMBER($B$5),$B$5&gt;0,ISNUMBER($B$3),$B$3&gt;0),F437*(4*$B$4*(C437^3-B437^3)-(C437^4-B437^4))/(24*$B$3*1000000*$B$5)*1000,"")</f>
        <v/>
      </c>
      <c r="J437" s="120" t="str">
        <f>IF(COUNTA(A437:E437)=0,"",IF(AND(COUNT(B437:E437)=4,B437&gt;=0,C437&gt;B437,C437&lt;=$B$4,D437&gt;=0,E437&gt;0),IF(COUNTIFS($B$13:$B$436,"&lt;"&amp;C437,$C$13:$C$436,"&gt;"&amp;B437)&gt;0,"OVERLAP","OK"),"CHECK INPUTS"))</f>
        <v/>
      </c>
      <c r="M437" s="124"/>
      <c r="N437" s="125"/>
      <c r="O437" s="125"/>
      <c r="P437" s="125"/>
      <c r="Q437" s="125"/>
      <c r="R437" s="126" t="str">
        <f>IF(V437="OK",P437*Q437,"")</f>
        <v/>
      </c>
      <c r="S437" s="126" t="str">
        <f>IF(V437="OK",R437*(O437-N437),"")</f>
        <v/>
      </c>
      <c r="T437" s="126" t="str">
        <f>IF(V437="OK",S437*(O437+N437)/2,"")</f>
        <v/>
      </c>
      <c r="U437" s="126" t="str">
        <f>IF(AND(V437="OK",ISNUMBER($N$5),$N$5&gt;0,ISNUMBER($N$3),$N$3&gt;0),R437*(4*$N$4*(O437^3-N437^3)-(O437^4-N437^4))/(24*$N$3*1000000*$N$5)*1000,"")</f>
        <v/>
      </c>
      <c r="V437" s="120" t="str">
        <f>IF(COUNTA(M437:Q437)=0,"",IF(AND(COUNT(N437:Q437)=4,N437&gt;=0,O437&gt;N437,O437&lt;=$N$4,P437&gt;=0,Q437&gt;0),IF(COUNTIFS($N$13:$N$436,"&lt;"&amp;O437,$O$13:$O$436,"&gt;"&amp;N437)&gt;0,"OVERLAP","OK"),"CHECK INPUTS"))</f>
        <v/>
      </c>
      <c r="AA437" s="120">
        <f>IF(AND(J437="OK",ISNUMBER($B$5),$B$5&gt;0,ISNUMBER($B$3),$B$3&gt;0),F437/(6*$B$3*1000000*$B$5)*(IF(B437&lt;($B$4*0/10),($B$4*0/10)*(MIN(C437,($B$4*0/10))^3-B437^3)-(MIN(C437,($B$4*0/10))^4-B437^4)/4,0)+IF(C437&gt;($B$4*0/10),($B$4*0/10)^2*(1.5*(C437^2-MAX(B437,($B$4*0/10))^2)-($B$4*0/10)*(C437-MAX(B437,($B$4*0/10)))),0))*1000,0)</f>
        <v>0</v>
      </c>
      <c r="AB437" s="120">
        <f>IF(AND(J437="OK",ISNUMBER($B$5),$B$5&gt;0,ISNUMBER($B$3),$B$3&gt;0),F437/(6*$B$3*1000000*$B$5)*(IF(B437&lt;($B$4*1/10),($B$4*1/10)*(MIN(C437,($B$4*1/10))^3-B437^3)-(MIN(C437,($B$4*1/10))^4-B437^4)/4,0)+IF(C437&gt;($B$4*1/10),($B$4*1/10)^2*(1.5*(C437^2-MAX(B437,($B$4*1/10))^2)-($B$4*1/10)*(C437-MAX(B437,($B$4*1/10)))),0))*1000,0)</f>
        <v>0</v>
      </c>
      <c r="AC437" s="120">
        <f>IF(AND(J437="OK",ISNUMBER($B$5),$B$5&gt;0,ISNUMBER($B$3),$B$3&gt;0),F437/(6*$B$3*1000000*$B$5)*(IF(B437&lt;($B$4*2/10),($B$4*2/10)*(MIN(C437,($B$4*2/10))^3-B437^3)-(MIN(C437,($B$4*2/10))^4-B437^4)/4,0)+IF(C437&gt;($B$4*2/10),($B$4*2/10)^2*(1.5*(C437^2-MAX(B437,($B$4*2/10))^2)-($B$4*2/10)*(C437-MAX(B437,($B$4*2/10)))),0))*1000,0)</f>
        <v>0</v>
      </c>
      <c r="AD437" s="120">
        <f>IF(AND(J437="OK",ISNUMBER($B$5),$B$5&gt;0,ISNUMBER($B$3),$B$3&gt;0),F437/(6*$B$3*1000000*$B$5)*(IF(B437&lt;($B$4*3/10),($B$4*3/10)*(MIN(C437,($B$4*3/10))^3-B437^3)-(MIN(C437,($B$4*3/10))^4-B437^4)/4,0)+IF(C437&gt;($B$4*3/10),($B$4*3/10)^2*(1.5*(C437^2-MAX(B437,($B$4*3/10))^2)-($B$4*3/10)*(C437-MAX(B437,($B$4*3/10)))),0))*1000,0)</f>
        <v>0</v>
      </c>
      <c r="AE437" s="120">
        <f>IF(AND(J437="OK",ISNUMBER($B$5),$B$5&gt;0,ISNUMBER($B$3),$B$3&gt;0),F437/(6*$B$3*1000000*$B$5)*(IF(B437&lt;($B$4*4/10),($B$4*4/10)*(MIN(C437,($B$4*4/10))^3-B437^3)-(MIN(C437,($B$4*4/10))^4-B437^4)/4,0)+IF(C437&gt;($B$4*4/10),($B$4*4/10)^2*(1.5*(C437^2-MAX(B437,($B$4*4/10))^2)-($B$4*4/10)*(C437-MAX(B437,($B$4*4/10)))),0))*1000,0)</f>
        <v>0</v>
      </c>
      <c r="AF437" s="120">
        <f>IF(AND(J437="OK",ISNUMBER($B$5),$B$5&gt;0,ISNUMBER($B$3),$B$3&gt;0),F437/(6*$B$3*1000000*$B$5)*(IF(B437&lt;($B$4*5/10),($B$4*5/10)*(MIN(C437,($B$4*5/10))^3-B437^3)-(MIN(C437,($B$4*5/10))^4-B437^4)/4,0)+IF(C437&gt;($B$4*5/10),($B$4*5/10)^2*(1.5*(C437^2-MAX(B437,($B$4*5/10))^2)-($B$4*5/10)*(C437-MAX(B437,($B$4*5/10)))),0))*1000,0)</f>
        <v>0</v>
      </c>
      <c r="AG437" s="120">
        <f>IF(AND(J437="OK",ISNUMBER($B$5),$B$5&gt;0,ISNUMBER($B$3),$B$3&gt;0),F437/(6*$B$3*1000000*$B$5)*(IF(B437&lt;($B$4*6/10),($B$4*6/10)*(MIN(C437,($B$4*6/10))^3-B437^3)-(MIN(C437,($B$4*6/10))^4-B437^4)/4,0)+IF(C437&gt;($B$4*6/10),($B$4*6/10)^2*(1.5*(C437^2-MAX(B437,($B$4*6/10))^2)-($B$4*6/10)*(C437-MAX(B437,($B$4*6/10)))),0))*1000,0)</f>
        <v>0</v>
      </c>
      <c r="AH437" s="120">
        <f>IF(AND(J437="OK",ISNUMBER($B$5),$B$5&gt;0,ISNUMBER($B$3),$B$3&gt;0),F437/(6*$B$3*1000000*$B$5)*(IF(B437&lt;($B$4*7/10),($B$4*7/10)*(MIN(C437,($B$4*7/10))^3-B437^3)-(MIN(C437,($B$4*7/10))^4-B437^4)/4,0)+IF(C437&gt;($B$4*7/10),($B$4*7/10)^2*(1.5*(C437^2-MAX(B437,($B$4*7/10))^2)-($B$4*7/10)*(C437-MAX(B437,($B$4*7/10)))),0))*1000,0)</f>
        <v>0</v>
      </c>
      <c r="AI437" s="120">
        <f>IF(AND(J437="OK",ISNUMBER($B$5),$B$5&gt;0,ISNUMBER($B$3),$B$3&gt;0),F437/(6*$B$3*1000000*$B$5)*(IF(B437&lt;($B$4*8/10),($B$4*8/10)*(MIN(C437,($B$4*8/10))^3-B437^3)-(MIN(C437,($B$4*8/10))^4-B437^4)/4,0)+IF(C437&gt;($B$4*8/10),($B$4*8/10)^2*(1.5*(C437^2-MAX(B437,($B$4*8/10))^2)-($B$4*8/10)*(C437-MAX(B437,($B$4*8/10)))),0))*1000,0)</f>
        <v>0</v>
      </c>
      <c r="AJ437" s="120">
        <f>IF(AND(J437="OK",ISNUMBER($B$5),$B$5&gt;0,ISNUMBER($B$3),$B$3&gt;0),F437/(6*$B$3*1000000*$B$5)*(IF(B437&lt;($B$4*9/10),($B$4*9/10)*(MIN(C437,($B$4*9/10))^3-B437^3)-(MIN(C437,($B$4*9/10))^4-B437^4)/4,0)+IF(C437&gt;($B$4*9/10),($B$4*9/10)^2*(1.5*(C437^2-MAX(B437,($B$4*9/10))^2)-($B$4*9/10)*(C437-MAX(B437,($B$4*9/10)))),0))*1000,0)</f>
        <v>0</v>
      </c>
      <c r="AK437" s="120">
        <f>IF(AND(J437="OK",ISNUMBER($B$5),$B$5&gt;0,ISNUMBER($B$3),$B$3&gt;0),F437/(6*$B$3*1000000*$B$5)*(IF(B437&lt;($B$4*10/10),($B$4*10/10)*(MIN(C437,($B$4*10/10))^3-B437^3)-(MIN(C437,($B$4*10/10))^4-B437^4)/4,0)+IF(C437&gt;($B$4*10/10),($B$4*10/10)^2*(1.5*(C437^2-MAX(B437,($B$4*10/10))^2)-($B$4*10/10)*(C437-MAX(B437,($B$4*10/10)))),0))*1000,0)</f>
        <v>0</v>
      </c>
      <c r="AM437" s="120">
        <f>IF(AND(V437="OK",ISNUMBER($N$5),$N$5&gt;0,ISNUMBER($N$3),$N$3&gt;0),R437/(6*$N$3*1000000*$N$5)*(IF(N437&lt;($N$4*0/10),($N$4*0/10)*(MIN(O437,($N$4*0/10))^3-N437^3)-(MIN(O437,($N$4*0/10))^4-N437^4)/4,0)+IF(O437&gt;($N$4*0/10),($N$4*0/10)^2*(1.5*(O437^2-MAX(N437,($N$4*0/10))^2)-($N$4*0/10)*(O437-MAX(N437,($N$4*0/10)))),0))*1000,0)</f>
        <v>0</v>
      </c>
      <c r="AN437" s="120">
        <f>IF(AND(V437="OK",ISNUMBER($N$5),$N$5&gt;0,ISNUMBER($N$3),$N$3&gt;0),R437/(6*$N$3*1000000*$N$5)*(IF(N437&lt;($N$4*1/10),($N$4*1/10)*(MIN(O437,($N$4*1/10))^3-N437^3)-(MIN(O437,($N$4*1/10))^4-N437^4)/4,0)+IF(O437&gt;($N$4*1/10),($N$4*1/10)^2*(1.5*(O437^2-MAX(N437,($N$4*1/10))^2)-($N$4*1/10)*(O437-MAX(N437,($N$4*1/10)))),0))*1000,0)</f>
        <v>0</v>
      </c>
      <c r="AO437" s="120">
        <f>IF(AND(V437="OK",ISNUMBER($N$5),$N$5&gt;0,ISNUMBER($N$3),$N$3&gt;0),R437/(6*$N$3*1000000*$N$5)*(IF(N437&lt;($N$4*2/10),($N$4*2/10)*(MIN(O437,($N$4*2/10))^3-N437^3)-(MIN(O437,($N$4*2/10))^4-N437^4)/4,0)+IF(O437&gt;($N$4*2/10),($N$4*2/10)^2*(1.5*(O437^2-MAX(N437,($N$4*2/10))^2)-($N$4*2/10)*(O437-MAX(N437,($N$4*2/10)))),0))*1000,0)</f>
        <v>0</v>
      </c>
      <c r="AP437" s="120">
        <f>IF(AND(V437="OK",ISNUMBER($N$5),$N$5&gt;0,ISNUMBER($N$3),$N$3&gt;0),R437/(6*$N$3*1000000*$N$5)*(IF(N437&lt;($N$4*3/10),($N$4*3/10)*(MIN(O437,($N$4*3/10))^3-N437^3)-(MIN(O437,($N$4*3/10))^4-N437^4)/4,0)+IF(O437&gt;($N$4*3/10),($N$4*3/10)^2*(1.5*(O437^2-MAX(N437,($N$4*3/10))^2)-($N$4*3/10)*(O437-MAX(N437,($N$4*3/10)))),0))*1000,0)</f>
        <v>0</v>
      </c>
      <c r="AQ437" s="120">
        <f>IF(AND(V437="OK",ISNUMBER($N$5),$N$5&gt;0,ISNUMBER($N$3),$N$3&gt;0),R437/(6*$N$3*1000000*$N$5)*(IF(N437&lt;($N$4*4/10),($N$4*4/10)*(MIN(O437,($N$4*4/10))^3-N437^3)-(MIN(O437,($N$4*4/10))^4-N437^4)/4,0)+IF(O437&gt;($N$4*4/10),($N$4*4/10)^2*(1.5*(O437^2-MAX(N437,($N$4*4/10))^2)-($N$4*4/10)*(O437-MAX(N437,($N$4*4/10)))),0))*1000,0)</f>
        <v>0</v>
      </c>
      <c r="AR437" s="120">
        <f>IF(AND(V437="OK",ISNUMBER($N$5),$N$5&gt;0,ISNUMBER($N$3),$N$3&gt;0),R437/(6*$N$3*1000000*$N$5)*(IF(N437&lt;($N$4*5/10),($N$4*5/10)*(MIN(O437,($N$4*5/10))^3-N437^3)-(MIN(O437,($N$4*5/10))^4-N437^4)/4,0)+IF(O437&gt;($N$4*5/10),($N$4*5/10)^2*(1.5*(O437^2-MAX(N437,($N$4*5/10))^2)-($N$4*5/10)*(O437-MAX(N437,($N$4*5/10)))),0))*1000,0)</f>
        <v>0</v>
      </c>
      <c r="AS437" s="120">
        <f>IF(AND(V437="OK",ISNUMBER($N$5),$N$5&gt;0,ISNUMBER($N$3),$N$3&gt;0),R437/(6*$N$3*1000000*$N$5)*(IF(N437&lt;($N$4*6/10),($N$4*6/10)*(MIN(O437,($N$4*6/10))^3-N437^3)-(MIN(O437,($N$4*6/10))^4-N437^4)/4,0)+IF(O437&gt;($N$4*6/10),($N$4*6/10)^2*(1.5*(O437^2-MAX(N437,($N$4*6/10))^2)-($N$4*6/10)*(O437-MAX(N437,($N$4*6/10)))),0))*1000,0)</f>
        <v>0</v>
      </c>
      <c r="AT437" s="120">
        <f>IF(AND(V437="OK",ISNUMBER($N$5),$N$5&gt;0,ISNUMBER($N$3),$N$3&gt;0),R437/(6*$N$3*1000000*$N$5)*(IF(N437&lt;($N$4*7/10),($N$4*7/10)*(MIN(O437,($N$4*7/10))^3-N437^3)-(MIN(O437,($N$4*7/10))^4-N437^4)/4,0)+IF(O437&gt;($N$4*7/10),($N$4*7/10)^2*(1.5*(O437^2-MAX(N437,($N$4*7/10))^2)-($N$4*7/10)*(O437-MAX(N437,($N$4*7/10)))),0))*1000,0)</f>
        <v>0</v>
      </c>
      <c r="AU437" s="120">
        <f>IF(AND(V437="OK",ISNUMBER($N$5),$N$5&gt;0,ISNUMBER($N$3),$N$3&gt;0),R437/(6*$N$3*1000000*$N$5)*(IF(N437&lt;($N$4*8/10),($N$4*8/10)*(MIN(O437,($N$4*8/10))^3-N437^3)-(MIN(O437,($N$4*8/10))^4-N437^4)/4,0)+IF(O437&gt;($N$4*8/10),($N$4*8/10)^2*(1.5*(O437^2-MAX(N437,($N$4*8/10))^2)-($N$4*8/10)*(O437-MAX(N437,($N$4*8/10)))),0))*1000,0)</f>
        <v>0</v>
      </c>
      <c r="AV437" s="120">
        <f>IF(AND(V437="OK",ISNUMBER($N$5),$N$5&gt;0,ISNUMBER($N$3),$N$3&gt;0),R437/(6*$N$3*1000000*$N$5)*(IF(N437&lt;($N$4*9/10),($N$4*9/10)*(MIN(O437,($N$4*9/10))^3-N437^3)-(MIN(O437,($N$4*9/10))^4-N437^4)/4,0)+IF(O437&gt;($N$4*9/10),($N$4*9/10)^2*(1.5*(O437^2-MAX(N437,($N$4*9/10))^2)-($N$4*9/10)*(O437-MAX(N437,($N$4*9/10)))),0))*1000,0)</f>
        <v>0</v>
      </c>
      <c r="AW437" s="120">
        <f>IF(AND(V437="OK",ISNUMBER($N$5),$N$5&gt;0,ISNUMBER($N$3),$N$3&gt;0),R437/(6*$N$3*1000000*$N$5)*(IF(N437&lt;($N$4*10/10),($N$4*10/10)*(MIN(O437,($N$4*10/10))^3-N437^3)-(MIN(O437,($N$4*10/10))^4-N437^4)/4,0)+IF(O437&gt;($N$4*10/10),($N$4*10/10)^2*(1.5*(O437^2-MAX(N437,($N$4*10/10))^2)-($N$4*10/10)*(O437-MAX(N437,($N$4*10/10)))),0))*1000,0)</f>
        <v>0</v>
      </c>
    </row>
    <row r="438" spans="1:49">
      <c r="A438" s="124"/>
      <c r="B438" s="125"/>
      <c r="C438" s="125"/>
      <c r="D438" s="125"/>
      <c r="E438" s="125"/>
      <c r="F438" s="126" t="str">
        <f>IF(J438="OK",D438*E438,"")</f>
        <v/>
      </c>
      <c r="G438" s="126" t="str">
        <f>IF(J438="OK",F438*(C438-B438),"")</f>
        <v/>
      </c>
      <c r="H438" s="126" t="str">
        <f>IF(J438="OK",G438*(C438+B438)/2,"")</f>
        <v/>
      </c>
      <c r="I438" s="126" t="str">
        <f>IF(AND(J438="OK",ISNUMBER($B$5),$B$5&gt;0,ISNUMBER($B$3),$B$3&gt;0),F438*(4*$B$4*(C438^3-B438^3)-(C438^4-B438^4))/(24*$B$3*1000000*$B$5)*1000,"")</f>
        <v/>
      </c>
      <c r="J438" s="120" t="str">
        <f>IF(COUNTA(A438:E438)=0,"",IF(AND(COUNT(B438:E438)=4,B438&gt;=0,C438&gt;B438,C438&lt;=$B$4,D438&gt;=0,E438&gt;0),IF(COUNTIFS($B$13:$B$437,"&lt;"&amp;C438,$C$13:$C$437,"&gt;"&amp;B438)&gt;0,"OVERLAP","OK"),"CHECK INPUTS"))</f>
        <v/>
      </c>
      <c r="M438" s="124"/>
      <c r="N438" s="125"/>
      <c r="O438" s="125"/>
      <c r="P438" s="125"/>
      <c r="Q438" s="125"/>
      <c r="R438" s="126" t="str">
        <f>IF(V438="OK",P438*Q438,"")</f>
        <v/>
      </c>
      <c r="S438" s="126" t="str">
        <f>IF(V438="OK",R438*(O438-N438),"")</f>
        <v/>
      </c>
      <c r="T438" s="126" t="str">
        <f>IF(V438="OK",S438*(O438+N438)/2,"")</f>
        <v/>
      </c>
      <c r="U438" s="126" t="str">
        <f>IF(AND(V438="OK",ISNUMBER($N$5),$N$5&gt;0,ISNUMBER($N$3),$N$3&gt;0),R438*(4*$N$4*(O438^3-N438^3)-(O438^4-N438^4))/(24*$N$3*1000000*$N$5)*1000,"")</f>
        <v/>
      </c>
      <c r="V438" s="120" t="str">
        <f>IF(COUNTA(M438:Q438)=0,"",IF(AND(COUNT(N438:Q438)=4,N438&gt;=0,O438&gt;N438,O438&lt;=$N$4,P438&gt;=0,Q438&gt;0),IF(COUNTIFS($N$13:$N$437,"&lt;"&amp;O438,$O$13:$O$437,"&gt;"&amp;N438)&gt;0,"OVERLAP","OK"),"CHECK INPUTS"))</f>
        <v/>
      </c>
      <c r="AA438" s="120">
        <f>IF(AND(J438="OK",ISNUMBER($B$5),$B$5&gt;0,ISNUMBER($B$3),$B$3&gt;0),F438/(6*$B$3*1000000*$B$5)*(IF(B438&lt;($B$4*0/10),($B$4*0/10)*(MIN(C438,($B$4*0/10))^3-B438^3)-(MIN(C438,($B$4*0/10))^4-B438^4)/4,0)+IF(C438&gt;($B$4*0/10),($B$4*0/10)^2*(1.5*(C438^2-MAX(B438,($B$4*0/10))^2)-($B$4*0/10)*(C438-MAX(B438,($B$4*0/10)))),0))*1000,0)</f>
        <v>0</v>
      </c>
      <c r="AB438" s="120">
        <f>IF(AND(J438="OK",ISNUMBER($B$5),$B$5&gt;0,ISNUMBER($B$3),$B$3&gt;0),F438/(6*$B$3*1000000*$B$5)*(IF(B438&lt;($B$4*1/10),($B$4*1/10)*(MIN(C438,($B$4*1/10))^3-B438^3)-(MIN(C438,($B$4*1/10))^4-B438^4)/4,0)+IF(C438&gt;($B$4*1/10),($B$4*1/10)^2*(1.5*(C438^2-MAX(B438,($B$4*1/10))^2)-($B$4*1/10)*(C438-MAX(B438,($B$4*1/10)))),0))*1000,0)</f>
        <v>0</v>
      </c>
      <c r="AC438" s="120">
        <f>IF(AND(J438="OK",ISNUMBER($B$5),$B$5&gt;0,ISNUMBER($B$3),$B$3&gt;0),F438/(6*$B$3*1000000*$B$5)*(IF(B438&lt;($B$4*2/10),($B$4*2/10)*(MIN(C438,($B$4*2/10))^3-B438^3)-(MIN(C438,($B$4*2/10))^4-B438^4)/4,0)+IF(C438&gt;($B$4*2/10),($B$4*2/10)^2*(1.5*(C438^2-MAX(B438,($B$4*2/10))^2)-($B$4*2/10)*(C438-MAX(B438,($B$4*2/10)))),0))*1000,0)</f>
        <v>0</v>
      </c>
      <c r="AD438" s="120">
        <f>IF(AND(J438="OK",ISNUMBER($B$5),$B$5&gt;0,ISNUMBER($B$3),$B$3&gt;0),F438/(6*$B$3*1000000*$B$5)*(IF(B438&lt;($B$4*3/10),($B$4*3/10)*(MIN(C438,($B$4*3/10))^3-B438^3)-(MIN(C438,($B$4*3/10))^4-B438^4)/4,0)+IF(C438&gt;($B$4*3/10),($B$4*3/10)^2*(1.5*(C438^2-MAX(B438,($B$4*3/10))^2)-($B$4*3/10)*(C438-MAX(B438,($B$4*3/10)))),0))*1000,0)</f>
        <v>0</v>
      </c>
      <c r="AE438" s="120">
        <f>IF(AND(J438="OK",ISNUMBER($B$5),$B$5&gt;0,ISNUMBER($B$3),$B$3&gt;0),F438/(6*$B$3*1000000*$B$5)*(IF(B438&lt;($B$4*4/10),($B$4*4/10)*(MIN(C438,($B$4*4/10))^3-B438^3)-(MIN(C438,($B$4*4/10))^4-B438^4)/4,0)+IF(C438&gt;($B$4*4/10),($B$4*4/10)^2*(1.5*(C438^2-MAX(B438,($B$4*4/10))^2)-($B$4*4/10)*(C438-MAX(B438,($B$4*4/10)))),0))*1000,0)</f>
        <v>0</v>
      </c>
      <c r="AF438" s="120">
        <f>IF(AND(J438="OK",ISNUMBER($B$5),$B$5&gt;0,ISNUMBER($B$3),$B$3&gt;0),F438/(6*$B$3*1000000*$B$5)*(IF(B438&lt;($B$4*5/10),($B$4*5/10)*(MIN(C438,($B$4*5/10))^3-B438^3)-(MIN(C438,($B$4*5/10))^4-B438^4)/4,0)+IF(C438&gt;($B$4*5/10),($B$4*5/10)^2*(1.5*(C438^2-MAX(B438,($B$4*5/10))^2)-($B$4*5/10)*(C438-MAX(B438,($B$4*5/10)))),0))*1000,0)</f>
        <v>0</v>
      </c>
      <c r="AG438" s="120">
        <f>IF(AND(J438="OK",ISNUMBER($B$5),$B$5&gt;0,ISNUMBER($B$3),$B$3&gt;0),F438/(6*$B$3*1000000*$B$5)*(IF(B438&lt;($B$4*6/10),($B$4*6/10)*(MIN(C438,($B$4*6/10))^3-B438^3)-(MIN(C438,($B$4*6/10))^4-B438^4)/4,0)+IF(C438&gt;($B$4*6/10),($B$4*6/10)^2*(1.5*(C438^2-MAX(B438,($B$4*6/10))^2)-($B$4*6/10)*(C438-MAX(B438,($B$4*6/10)))),0))*1000,0)</f>
        <v>0</v>
      </c>
      <c r="AH438" s="120">
        <f>IF(AND(J438="OK",ISNUMBER($B$5),$B$5&gt;0,ISNUMBER($B$3),$B$3&gt;0),F438/(6*$B$3*1000000*$B$5)*(IF(B438&lt;($B$4*7/10),($B$4*7/10)*(MIN(C438,($B$4*7/10))^3-B438^3)-(MIN(C438,($B$4*7/10))^4-B438^4)/4,0)+IF(C438&gt;($B$4*7/10),($B$4*7/10)^2*(1.5*(C438^2-MAX(B438,($B$4*7/10))^2)-($B$4*7/10)*(C438-MAX(B438,($B$4*7/10)))),0))*1000,0)</f>
        <v>0</v>
      </c>
      <c r="AI438" s="120">
        <f>IF(AND(J438="OK",ISNUMBER($B$5),$B$5&gt;0,ISNUMBER($B$3),$B$3&gt;0),F438/(6*$B$3*1000000*$B$5)*(IF(B438&lt;($B$4*8/10),($B$4*8/10)*(MIN(C438,($B$4*8/10))^3-B438^3)-(MIN(C438,($B$4*8/10))^4-B438^4)/4,0)+IF(C438&gt;($B$4*8/10),($B$4*8/10)^2*(1.5*(C438^2-MAX(B438,($B$4*8/10))^2)-($B$4*8/10)*(C438-MAX(B438,($B$4*8/10)))),0))*1000,0)</f>
        <v>0</v>
      </c>
      <c r="AJ438" s="120">
        <f>IF(AND(J438="OK",ISNUMBER($B$5),$B$5&gt;0,ISNUMBER($B$3),$B$3&gt;0),F438/(6*$B$3*1000000*$B$5)*(IF(B438&lt;($B$4*9/10),($B$4*9/10)*(MIN(C438,($B$4*9/10))^3-B438^3)-(MIN(C438,($B$4*9/10))^4-B438^4)/4,0)+IF(C438&gt;($B$4*9/10),($B$4*9/10)^2*(1.5*(C438^2-MAX(B438,($B$4*9/10))^2)-($B$4*9/10)*(C438-MAX(B438,($B$4*9/10)))),0))*1000,0)</f>
        <v>0</v>
      </c>
      <c r="AK438" s="120">
        <f>IF(AND(J438="OK",ISNUMBER($B$5),$B$5&gt;0,ISNUMBER($B$3),$B$3&gt;0),F438/(6*$B$3*1000000*$B$5)*(IF(B438&lt;($B$4*10/10),($B$4*10/10)*(MIN(C438,($B$4*10/10))^3-B438^3)-(MIN(C438,($B$4*10/10))^4-B438^4)/4,0)+IF(C438&gt;($B$4*10/10),($B$4*10/10)^2*(1.5*(C438^2-MAX(B438,($B$4*10/10))^2)-($B$4*10/10)*(C438-MAX(B438,($B$4*10/10)))),0))*1000,0)</f>
        <v>0</v>
      </c>
      <c r="AM438" s="120">
        <f>IF(AND(V438="OK",ISNUMBER($N$5),$N$5&gt;0,ISNUMBER($N$3),$N$3&gt;0),R438/(6*$N$3*1000000*$N$5)*(IF(N438&lt;($N$4*0/10),($N$4*0/10)*(MIN(O438,($N$4*0/10))^3-N438^3)-(MIN(O438,($N$4*0/10))^4-N438^4)/4,0)+IF(O438&gt;($N$4*0/10),($N$4*0/10)^2*(1.5*(O438^2-MAX(N438,($N$4*0/10))^2)-($N$4*0/10)*(O438-MAX(N438,($N$4*0/10)))),0))*1000,0)</f>
        <v>0</v>
      </c>
      <c r="AN438" s="120">
        <f>IF(AND(V438="OK",ISNUMBER($N$5),$N$5&gt;0,ISNUMBER($N$3),$N$3&gt;0),R438/(6*$N$3*1000000*$N$5)*(IF(N438&lt;($N$4*1/10),($N$4*1/10)*(MIN(O438,($N$4*1/10))^3-N438^3)-(MIN(O438,($N$4*1/10))^4-N438^4)/4,0)+IF(O438&gt;($N$4*1/10),($N$4*1/10)^2*(1.5*(O438^2-MAX(N438,($N$4*1/10))^2)-($N$4*1/10)*(O438-MAX(N438,($N$4*1/10)))),0))*1000,0)</f>
        <v>0</v>
      </c>
      <c r="AO438" s="120">
        <f>IF(AND(V438="OK",ISNUMBER($N$5),$N$5&gt;0,ISNUMBER($N$3),$N$3&gt;0),R438/(6*$N$3*1000000*$N$5)*(IF(N438&lt;($N$4*2/10),($N$4*2/10)*(MIN(O438,($N$4*2/10))^3-N438^3)-(MIN(O438,($N$4*2/10))^4-N438^4)/4,0)+IF(O438&gt;($N$4*2/10),($N$4*2/10)^2*(1.5*(O438^2-MAX(N438,($N$4*2/10))^2)-($N$4*2/10)*(O438-MAX(N438,($N$4*2/10)))),0))*1000,0)</f>
        <v>0</v>
      </c>
      <c r="AP438" s="120">
        <f>IF(AND(V438="OK",ISNUMBER($N$5),$N$5&gt;0,ISNUMBER($N$3),$N$3&gt;0),R438/(6*$N$3*1000000*$N$5)*(IF(N438&lt;($N$4*3/10),($N$4*3/10)*(MIN(O438,($N$4*3/10))^3-N438^3)-(MIN(O438,($N$4*3/10))^4-N438^4)/4,0)+IF(O438&gt;($N$4*3/10),($N$4*3/10)^2*(1.5*(O438^2-MAX(N438,($N$4*3/10))^2)-($N$4*3/10)*(O438-MAX(N438,($N$4*3/10)))),0))*1000,0)</f>
        <v>0</v>
      </c>
      <c r="AQ438" s="120">
        <f>IF(AND(V438="OK",ISNUMBER($N$5),$N$5&gt;0,ISNUMBER($N$3),$N$3&gt;0),R438/(6*$N$3*1000000*$N$5)*(IF(N438&lt;($N$4*4/10),($N$4*4/10)*(MIN(O438,($N$4*4/10))^3-N438^3)-(MIN(O438,($N$4*4/10))^4-N438^4)/4,0)+IF(O438&gt;($N$4*4/10),($N$4*4/10)^2*(1.5*(O438^2-MAX(N438,($N$4*4/10))^2)-($N$4*4/10)*(O438-MAX(N438,($N$4*4/10)))),0))*1000,0)</f>
        <v>0</v>
      </c>
      <c r="AR438" s="120">
        <f>IF(AND(V438="OK",ISNUMBER($N$5),$N$5&gt;0,ISNUMBER($N$3),$N$3&gt;0),R438/(6*$N$3*1000000*$N$5)*(IF(N438&lt;($N$4*5/10),($N$4*5/10)*(MIN(O438,($N$4*5/10))^3-N438^3)-(MIN(O438,($N$4*5/10))^4-N438^4)/4,0)+IF(O438&gt;($N$4*5/10),($N$4*5/10)^2*(1.5*(O438^2-MAX(N438,($N$4*5/10))^2)-($N$4*5/10)*(O438-MAX(N438,($N$4*5/10)))),0))*1000,0)</f>
        <v>0</v>
      </c>
      <c r="AS438" s="120">
        <f>IF(AND(V438="OK",ISNUMBER($N$5),$N$5&gt;0,ISNUMBER($N$3),$N$3&gt;0),R438/(6*$N$3*1000000*$N$5)*(IF(N438&lt;($N$4*6/10),($N$4*6/10)*(MIN(O438,($N$4*6/10))^3-N438^3)-(MIN(O438,($N$4*6/10))^4-N438^4)/4,0)+IF(O438&gt;($N$4*6/10),($N$4*6/10)^2*(1.5*(O438^2-MAX(N438,($N$4*6/10))^2)-($N$4*6/10)*(O438-MAX(N438,($N$4*6/10)))),0))*1000,0)</f>
        <v>0</v>
      </c>
      <c r="AT438" s="120">
        <f>IF(AND(V438="OK",ISNUMBER($N$5),$N$5&gt;0,ISNUMBER($N$3),$N$3&gt;0),R438/(6*$N$3*1000000*$N$5)*(IF(N438&lt;($N$4*7/10),($N$4*7/10)*(MIN(O438,($N$4*7/10))^3-N438^3)-(MIN(O438,($N$4*7/10))^4-N438^4)/4,0)+IF(O438&gt;($N$4*7/10),($N$4*7/10)^2*(1.5*(O438^2-MAX(N438,($N$4*7/10))^2)-($N$4*7/10)*(O438-MAX(N438,($N$4*7/10)))),0))*1000,0)</f>
        <v>0</v>
      </c>
      <c r="AU438" s="120">
        <f>IF(AND(V438="OK",ISNUMBER($N$5),$N$5&gt;0,ISNUMBER($N$3),$N$3&gt;0),R438/(6*$N$3*1000000*$N$5)*(IF(N438&lt;($N$4*8/10),($N$4*8/10)*(MIN(O438,($N$4*8/10))^3-N438^3)-(MIN(O438,($N$4*8/10))^4-N438^4)/4,0)+IF(O438&gt;($N$4*8/10),($N$4*8/10)^2*(1.5*(O438^2-MAX(N438,($N$4*8/10))^2)-($N$4*8/10)*(O438-MAX(N438,($N$4*8/10)))),0))*1000,0)</f>
        <v>0</v>
      </c>
      <c r="AV438" s="120">
        <f>IF(AND(V438="OK",ISNUMBER($N$5),$N$5&gt;0,ISNUMBER($N$3),$N$3&gt;0),R438/(6*$N$3*1000000*$N$5)*(IF(N438&lt;($N$4*9/10),($N$4*9/10)*(MIN(O438,($N$4*9/10))^3-N438^3)-(MIN(O438,($N$4*9/10))^4-N438^4)/4,0)+IF(O438&gt;($N$4*9/10),($N$4*9/10)^2*(1.5*(O438^2-MAX(N438,($N$4*9/10))^2)-($N$4*9/10)*(O438-MAX(N438,($N$4*9/10)))),0))*1000,0)</f>
        <v>0</v>
      </c>
      <c r="AW438" s="120">
        <f>IF(AND(V438="OK",ISNUMBER($N$5),$N$5&gt;0,ISNUMBER($N$3),$N$3&gt;0),R438/(6*$N$3*1000000*$N$5)*(IF(N438&lt;($N$4*10/10),($N$4*10/10)*(MIN(O438,($N$4*10/10))^3-N438^3)-(MIN(O438,($N$4*10/10))^4-N438^4)/4,0)+IF(O438&gt;($N$4*10/10),($N$4*10/10)^2*(1.5*(O438^2-MAX(N438,($N$4*10/10))^2)-($N$4*10/10)*(O438-MAX(N438,($N$4*10/10)))),0))*1000,0)</f>
        <v>0</v>
      </c>
    </row>
    <row r="439" spans="1:49">
      <c r="A439" s="124"/>
      <c r="B439" s="125"/>
      <c r="C439" s="125"/>
      <c r="D439" s="125"/>
      <c r="E439" s="125"/>
      <c r="F439" s="126" t="str">
        <f>IF(J439="OK",D439*E439,"")</f>
        <v/>
      </c>
      <c r="G439" s="126" t="str">
        <f>IF(J439="OK",F439*(C439-B439),"")</f>
        <v/>
      </c>
      <c r="H439" s="126" t="str">
        <f>IF(J439="OK",G439*(C439+B439)/2,"")</f>
        <v/>
      </c>
      <c r="I439" s="126" t="str">
        <f>IF(AND(J439="OK",ISNUMBER($B$5),$B$5&gt;0,ISNUMBER($B$3),$B$3&gt;0),F439*(4*$B$4*(C439^3-B439^3)-(C439^4-B439^4))/(24*$B$3*1000000*$B$5)*1000,"")</f>
        <v/>
      </c>
      <c r="J439" s="120" t="str">
        <f>IF(COUNTA(A439:E439)=0,"",IF(AND(COUNT(B439:E439)=4,B439&gt;=0,C439&gt;B439,C439&lt;=$B$4,D439&gt;=0,E439&gt;0),IF(COUNTIFS($B$13:$B$438,"&lt;"&amp;C439,$C$13:$C$438,"&gt;"&amp;B439)&gt;0,"OVERLAP","OK"),"CHECK INPUTS"))</f>
        <v/>
      </c>
      <c r="M439" s="124"/>
      <c r="N439" s="125"/>
      <c r="O439" s="125"/>
      <c r="P439" s="125"/>
      <c r="Q439" s="125"/>
      <c r="R439" s="126" t="str">
        <f>IF(V439="OK",P439*Q439,"")</f>
        <v/>
      </c>
      <c r="S439" s="126" t="str">
        <f>IF(V439="OK",R439*(O439-N439),"")</f>
        <v/>
      </c>
      <c r="T439" s="126" t="str">
        <f>IF(V439="OK",S439*(O439+N439)/2,"")</f>
        <v/>
      </c>
      <c r="U439" s="126" t="str">
        <f>IF(AND(V439="OK",ISNUMBER($N$5),$N$5&gt;0,ISNUMBER($N$3),$N$3&gt;0),R439*(4*$N$4*(O439^3-N439^3)-(O439^4-N439^4))/(24*$N$3*1000000*$N$5)*1000,"")</f>
        <v/>
      </c>
      <c r="V439" s="120" t="str">
        <f>IF(COUNTA(M439:Q439)=0,"",IF(AND(COUNT(N439:Q439)=4,N439&gt;=0,O439&gt;N439,O439&lt;=$N$4,P439&gt;=0,Q439&gt;0),IF(COUNTIFS($N$13:$N$438,"&lt;"&amp;O439,$O$13:$O$438,"&gt;"&amp;N439)&gt;0,"OVERLAP","OK"),"CHECK INPUTS"))</f>
        <v/>
      </c>
      <c r="AA439" s="120">
        <f>IF(AND(J439="OK",ISNUMBER($B$5),$B$5&gt;0,ISNUMBER($B$3),$B$3&gt;0),F439/(6*$B$3*1000000*$B$5)*(IF(B439&lt;($B$4*0/10),($B$4*0/10)*(MIN(C439,($B$4*0/10))^3-B439^3)-(MIN(C439,($B$4*0/10))^4-B439^4)/4,0)+IF(C439&gt;($B$4*0/10),($B$4*0/10)^2*(1.5*(C439^2-MAX(B439,($B$4*0/10))^2)-($B$4*0/10)*(C439-MAX(B439,($B$4*0/10)))),0))*1000,0)</f>
        <v>0</v>
      </c>
      <c r="AB439" s="120">
        <f>IF(AND(J439="OK",ISNUMBER($B$5),$B$5&gt;0,ISNUMBER($B$3),$B$3&gt;0),F439/(6*$B$3*1000000*$B$5)*(IF(B439&lt;($B$4*1/10),($B$4*1/10)*(MIN(C439,($B$4*1/10))^3-B439^3)-(MIN(C439,($B$4*1/10))^4-B439^4)/4,0)+IF(C439&gt;($B$4*1/10),($B$4*1/10)^2*(1.5*(C439^2-MAX(B439,($B$4*1/10))^2)-($B$4*1/10)*(C439-MAX(B439,($B$4*1/10)))),0))*1000,0)</f>
        <v>0</v>
      </c>
      <c r="AC439" s="120">
        <f>IF(AND(J439="OK",ISNUMBER($B$5),$B$5&gt;0,ISNUMBER($B$3),$B$3&gt;0),F439/(6*$B$3*1000000*$B$5)*(IF(B439&lt;($B$4*2/10),($B$4*2/10)*(MIN(C439,($B$4*2/10))^3-B439^3)-(MIN(C439,($B$4*2/10))^4-B439^4)/4,0)+IF(C439&gt;($B$4*2/10),($B$4*2/10)^2*(1.5*(C439^2-MAX(B439,($B$4*2/10))^2)-($B$4*2/10)*(C439-MAX(B439,($B$4*2/10)))),0))*1000,0)</f>
        <v>0</v>
      </c>
      <c r="AD439" s="120">
        <f>IF(AND(J439="OK",ISNUMBER($B$5),$B$5&gt;0,ISNUMBER($B$3),$B$3&gt;0),F439/(6*$B$3*1000000*$B$5)*(IF(B439&lt;($B$4*3/10),($B$4*3/10)*(MIN(C439,($B$4*3/10))^3-B439^3)-(MIN(C439,($B$4*3/10))^4-B439^4)/4,0)+IF(C439&gt;($B$4*3/10),($B$4*3/10)^2*(1.5*(C439^2-MAX(B439,($B$4*3/10))^2)-($B$4*3/10)*(C439-MAX(B439,($B$4*3/10)))),0))*1000,0)</f>
        <v>0</v>
      </c>
      <c r="AE439" s="120">
        <f>IF(AND(J439="OK",ISNUMBER($B$5),$B$5&gt;0,ISNUMBER($B$3),$B$3&gt;0),F439/(6*$B$3*1000000*$B$5)*(IF(B439&lt;($B$4*4/10),($B$4*4/10)*(MIN(C439,($B$4*4/10))^3-B439^3)-(MIN(C439,($B$4*4/10))^4-B439^4)/4,0)+IF(C439&gt;($B$4*4/10),($B$4*4/10)^2*(1.5*(C439^2-MAX(B439,($B$4*4/10))^2)-($B$4*4/10)*(C439-MAX(B439,($B$4*4/10)))),0))*1000,0)</f>
        <v>0</v>
      </c>
      <c r="AF439" s="120">
        <f>IF(AND(J439="OK",ISNUMBER($B$5),$B$5&gt;0,ISNUMBER($B$3),$B$3&gt;0),F439/(6*$B$3*1000000*$B$5)*(IF(B439&lt;($B$4*5/10),($B$4*5/10)*(MIN(C439,($B$4*5/10))^3-B439^3)-(MIN(C439,($B$4*5/10))^4-B439^4)/4,0)+IF(C439&gt;($B$4*5/10),($B$4*5/10)^2*(1.5*(C439^2-MAX(B439,($B$4*5/10))^2)-($B$4*5/10)*(C439-MAX(B439,($B$4*5/10)))),0))*1000,0)</f>
        <v>0</v>
      </c>
      <c r="AG439" s="120">
        <f>IF(AND(J439="OK",ISNUMBER($B$5),$B$5&gt;0,ISNUMBER($B$3),$B$3&gt;0),F439/(6*$B$3*1000000*$B$5)*(IF(B439&lt;($B$4*6/10),($B$4*6/10)*(MIN(C439,($B$4*6/10))^3-B439^3)-(MIN(C439,($B$4*6/10))^4-B439^4)/4,0)+IF(C439&gt;($B$4*6/10),($B$4*6/10)^2*(1.5*(C439^2-MAX(B439,($B$4*6/10))^2)-($B$4*6/10)*(C439-MAX(B439,($B$4*6/10)))),0))*1000,0)</f>
        <v>0</v>
      </c>
      <c r="AH439" s="120">
        <f>IF(AND(J439="OK",ISNUMBER($B$5),$B$5&gt;0,ISNUMBER($B$3),$B$3&gt;0),F439/(6*$B$3*1000000*$B$5)*(IF(B439&lt;($B$4*7/10),($B$4*7/10)*(MIN(C439,($B$4*7/10))^3-B439^3)-(MIN(C439,($B$4*7/10))^4-B439^4)/4,0)+IF(C439&gt;($B$4*7/10),($B$4*7/10)^2*(1.5*(C439^2-MAX(B439,($B$4*7/10))^2)-($B$4*7/10)*(C439-MAX(B439,($B$4*7/10)))),0))*1000,0)</f>
        <v>0</v>
      </c>
      <c r="AI439" s="120">
        <f>IF(AND(J439="OK",ISNUMBER($B$5),$B$5&gt;0,ISNUMBER($B$3),$B$3&gt;0),F439/(6*$B$3*1000000*$B$5)*(IF(B439&lt;($B$4*8/10),($B$4*8/10)*(MIN(C439,($B$4*8/10))^3-B439^3)-(MIN(C439,($B$4*8/10))^4-B439^4)/4,0)+IF(C439&gt;($B$4*8/10),($B$4*8/10)^2*(1.5*(C439^2-MAX(B439,($B$4*8/10))^2)-($B$4*8/10)*(C439-MAX(B439,($B$4*8/10)))),0))*1000,0)</f>
        <v>0</v>
      </c>
      <c r="AJ439" s="120">
        <f>IF(AND(J439="OK",ISNUMBER($B$5),$B$5&gt;0,ISNUMBER($B$3),$B$3&gt;0),F439/(6*$B$3*1000000*$B$5)*(IF(B439&lt;($B$4*9/10),($B$4*9/10)*(MIN(C439,($B$4*9/10))^3-B439^3)-(MIN(C439,($B$4*9/10))^4-B439^4)/4,0)+IF(C439&gt;($B$4*9/10),($B$4*9/10)^2*(1.5*(C439^2-MAX(B439,($B$4*9/10))^2)-($B$4*9/10)*(C439-MAX(B439,($B$4*9/10)))),0))*1000,0)</f>
        <v>0</v>
      </c>
      <c r="AK439" s="120">
        <f>IF(AND(J439="OK",ISNUMBER($B$5),$B$5&gt;0,ISNUMBER($B$3),$B$3&gt;0),F439/(6*$B$3*1000000*$B$5)*(IF(B439&lt;($B$4*10/10),($B$4*10/10)*(MIN(C439,($B$4*10/10))^3-B439^3)-(MIN(C439,($B$4*10/10))^4-B439^4)/4,0)+IF(C439&gt;($B$4*10/10),($B$4*10/10)^2*(1.5*(C439^2-MAX(B439,($B$4*10/10))^2)-($B$4*10/10)*(C439-MAX(B439,($B$4*10/10)))),0))*1000,0)</f>
        <v>0</v>
      </c>
      <c r="AM439" s="120">
        <f>IF(AND(V439="OK",ISNUMBER($N$5),$N$5&gt;0,ISNUMBER($N$3),$N$3&gt;0),R439/(6*$N$3*1000000*$N$5)*(IF(N439&lt;($N$4*0/10),($N$4*0/10)*(MIN(O439,($N$4*0/10))^3-N439^3)-(MIN(O439,($N$4*0/10))^4-N439^4)/4,0)+IF(O439&gt;($N$4*0/10),($N$4*0/10)^2*(1.5*(O439^2-MAX(N439,($N$4*0/10))^2)-($N$4*0/10)*(O439-MAX(N439,($N$4*0/10)))),0))*1000,0)</f>
        <v>0</v>
      </c>
      <c r="AN439" s="120">
        <f>IF(AND(V439="OK",ISNUMBER($N$5),$N$5&gt;0,ISNUMBER($N$3),$N$3&gt;0),R439/(6*$N$3*1000000*$N$5)*(IF(N439&lt;($N$4*1/10),($N$4*1/10)*(MIN(O439,($N$4*1/10))^3-N439^3)-(MIN(O439,($N$4*1/10))^4-N439^4)/4,0)+IF(O439&gt;($N$4*1/10),($N$4*1/10)^2*(1.5*(O439^2-MAX(N439,($N$4*1/10))^2)-($N$4*1/10)*(O439-MAX(N439,($N$4*1/10)))),0))*1000,0)</f>
        <v>0</v>
      </c>
      <c r="AO439" s="120">
        <f>IF(AND(V439="OK",ISNUMBER($N$5),$N$5&gt;0,ISNUMBER($N$3),$N$3&gt;0),R439/(6*$N$3*1000000*$N$5)*(IF(N439&lt;($N$4*2/10),($N$4*2/10)*(MIN(O439,($N$4*2/10))^3-N439^3)-(MIN(O439,($N$4*2/10))^4-N439^4)/4,0)+IF(O439&gt;($N$4*2/10),($N$4*2/10)^2*(1.5*(O439^2-MAX(N439,($N$4*2/10))^2)-($N$4*2/10)*(O439-MAX(N439,($N$4*2/10)))),0))*1000,0)</f>
        <v>0</v>
      </c>
      <c r="AP439" s="120">
        <f>IF(AND(V439="OK",ISNUMBER($N$5),$N$5&gt;0,ISNUMBER($N$3),$N$3&gt;0),R439/(6*$N$3*1000000*$N$5)*(IF(N439&lt;($N$4*3/10),($N$4*3/10)*(MIN(O439,($N$4*3/10))^3-N439^3)-(MIN(O439,($N$4*3/10))^4-N439^4)/4,0)+IF(O439&gt;($N$4*3/10),($N$4*3/10)^2*(1.5*(O439^2-MAX(N439,($N$4*3/10))^2)-($N$4*3/10)*(O439-MAX(N439,($N$4*3/10)))),0))*1000,0)</f>
        <v>0</v>
      </c>
      <c r="AQ439" s="120">
        <f>IF(AND(V439="OK",ISNUMBER($N$5),$N$5&gt;0,ISNUMBER($N$3),$N$3&gt;0),R439/(6*$N$3*1000000*$N$5)*(IF(N439&lt;($N$4*4/10),($N$4*4/10)*(MIN(O439,($N$4*4/10))^3-N439^3)-(MIN(O439,($N$4*4/10))^4-N439^4)/4,0)+IF(O439&gt;($N$4*4/10),($N$4*4/10)^2*(1.5*(O439^2-MAX(N439,($N$4*4/10))^2)-($N$4*4/10)*(O439-MAX(N439,($N$4*4/10)))),0))*1000,0)</f>
        <v>0</v>
      </c>
      <c r="AR439" s="120">
        <f>IF(AND(V439="OK",ISNUMBER($N$5),$N$5&gt;0,ISNUMBER($N$3),$N$3&gt;0),R439/(6*$N$3*1000000*$N$5)*(IF(N439&lt;($N$4*5/10),($N$4*5/10)*(MIN(O439,($N$4*5/10))^3-N439^3)-(MIN(O439,($N$4*5/10))^4-N439^4)/4,0)+IF(O439&gt;($N$4*5/10),($N$4*5/10)^2*(1.5*(O439^2-MAX(N439,($N$4*5/10))^2)-($N$4*5/10)*(O439-MAX(N439,($N$4*5/10)))),0))*1000,0)</f>
        <v>0</v>
      </c>
      <c r="AS439" s="120">
        <f>IF(AND(V439="OK",ISNUMBER($N$5),$N$5&gt;0,ISNUMBER($N$3),$N$3&gt;0),R439/(6*$N$3*1000000*$N$5)*(IF(N439&lt;($N$4*6/10),($N$4*6/10)*(MIN(O439,($N$4*6/10))^3-N439^3)-(MIN(O439,($N$4*6/10))^4-N439^4)/4,0)+IF(O439&gt;($N$4*6/10),($N$4*6/10)^2*(1.5*(O439^2-MAX(N439,($N$4*6/10))^2)-($N$4*6/10)*(O439-MAX(N439,($N$4*6/10)))),0))*1000,0)</f>
        <v>0</v>
      </c>
      <c r="AT439" s="120">
        <f>IF(AND(V439="OK",ISNUMBER($N$5),$N$5&gt;0,ISNUMBER($N$3),$N$3&gt;0),R439/(6*$N$3*1000000*$N$5)*(IF(N439&lt;($N$4*7/10),($N$4*7/10)*(MIN(O439,($N$4*7/10))^3-N439^3)-(MIN(O439,($N$4*7/10))^4-N439^4)/4,0)+IF(O439&gt;($N$4*7/10),($N$4*7/10)^2*(1.5*(O439^2-MAX(N439,($N$4*7/10))^2)-($N$4*7/10)*(O439-MAX(N439,($N$4*7/10)))),0))*1000,0)</f>
        <v>0</v>
      </c>
      <c r="AU439" s="120">
        <f>IF(AND(V439="OK",ISNUMBER($N$5),$N$5&gt;0,ISNUMBER($N$3),$N$3&gt;0),R439/(6*$N$3*1000000*$N$5)*(IF(N439&lt;($N$4*8/10),($N$4*8/10)*(MIN(O439,($N$4*8/10))^3-N439^3)-(MIN(O439,($N$4*8/10))^4-N439^4)/4,0)+IF(O439&gt;($N$4*8/10),($N$4*8/10)^2*(1.5*(O439^2-MAX(N439,($N$4*8/10))^2)-($N$4*8/10)*(O439-MAX(N439,($N$4*8/10)))),0))*1000,0)</f>
        <v>0</v>
      </c>
      <c r="AV439" s="120">
        <f>IF(AND(V439="OK",ISNUMBER($N$5),$N$5&gt;0,ISNUMBER($N$3),$N$3&gt;0),R439/(6*$N$3*1000000*$N$5)*(IF(N439&lt;($N$4*9/10),($N$4*9/10)*(MIN(O439,($N$4*9/10))^3-N439^3)-(MIN(O439,($N$4*9/10))^4-N439^4)/4,0)+IF(O439&gt;($N$4*9/10),($N$4*9/10)^2*(1.5*(O439^2-MAX(N439,($N$4*9/10))^2)-($N$4*9/10)*(O439-MAX(N439,($N$4*9/10)))),0))*1000,0)</f>
        <v>0</v>
      </c>
      <c r="AW439" s="120">
        <f>IF(AND(V439="OK",ISNUMBER($N$5),$N$5&gt;0,ISNUMBER($N$3),$N$3&gt;0),R439/(6*$N$3*1000000*$N$5)*(IF(N439&lt;($N$4*10/10),($N$4*10/10)*(MIN(O439,($N$4*10/10))^3-N439^3)-(MIN(O439,($N$4*10/10))^4-N439^4)/4,0)+IF(O439&gt;($N$4*10/10),($N$4*10/10)^2*(1.5*(O439^2-MAX(N439,($N$4*10/10))^2)-($N$4*10/10)*(O439-MAX(N439,($N$4*10/10)))),0))*1000,0)</f>
        <v>0</v>
      </c>
    </row>
    <row r="440" spans="1:49">
      <c r="A440" s="124"/>
      <c r="B440" s="125"/>
      <c r="C440" s="125"/>
      <c r="D440" s="125"/>
      <c r="E440" s="125"/>
      <c r="F440" s="126" t="str">
        <f>IF(J440="OK",D440*E440,"")</f>
        <v/>
      </c>
      <c r="G440" s="126" t="str">
        <f>IF(J440="OK",F440*(C440-B440),"")</f>
        <v/>
      </c>
      <c r="H440" s="126" t="str">
        <f>IF(J440="OK",G440*(C440+B440)/2,"")</f>
        <v/>
      </c>
      <c r="I440" s="126" t="str">
        <f>IF(AND(J440="OK",ISNUMBER($B$5),$B$5&gt;0,ISNUMBER($B$3),$B$3&gt;0),F440*(4*$B$4*(C440^3-B440^3)-(C440^4-B440^4))/(24*$B$3*1000000*$B$5)*1000,"")</f>
        <v/>
      </c>
      <c r="J440" s="120" t="str">
        <f>IF(COUNTA(A440:E440)=0,"",IF(AND(COUNT(B440:E440)=4,B440&gt;=0,C440&gt;B440,C440&lt;=$B$4,D440&gt;=0,E440&gt;0),IF(COUNTIFS($B$13:$B$439,"&lt;"&amp;C440,$C$13:$C$439,"&gt;"&amp;B440)&gt;0,"OVERLAP","OK"),"CHECK INPUTS"))</f>
        <v/>
      </c>
      <c r="M440" s="124"/>
      <c r="N440" s="125"/>
      <c r="O440" s="125"/>
      <c r="P440" s="125"/>
      <c r="Q440" s="125"/>
      <c r="R440" s="126" t="str">
        <f>IF(V440="OK",P440*Q440,"")</f>
        <v/>
      </c>
      <c r="S440" s="126" t="str">
        <f>IF(V440="OK",R440*(O440-N440),"")</f>
        <v/>
      </c>
      <c r="T440" s="126" t="str">
        <f>IF(V440="OK",S440*(O440+N440)/2,"")</f>
        <v/>
      </c>
      <c r="U440" s="126" t="str">
        <f>IF(AND(V440="OK",ISNUMBER($N$5),$N$5&gt;0,ISNUMBER($N$3),$N$3&gt;0),R440*(4*$N$4*(O440^3-N440^3)-(O440^4-N440^4))/(24*$N$3*1000000*$N$5)*1000,"")</f>
        <v/>
      </c>
      <c r="V440" s="120" t="str">
        <f>IF(COUNTA(M440:Q440)=0,"",IF(AND(COUNT(N440:Q440)=4,N440&gt;=0,O440&gt;N440,O440&lt;=$N$4,P440&gt;=0,Q440&gt;0),IF(COUNTIFS($N$13:$N$439,"&lt;"&amp;O440,$O$13:$O$439,"&gt;"&amp;N440)&gt;0,"OVERLAP","OK"),"CHECK INPUTS"))</f>
        <v/>
      </c>
      <c r="AA440" s="120">
        <f>IF(AND(J440="OK",ISNUMBER($B$5),$B$5&gt;0,ISNUMBER($B$3),$B$3&gt;0),F440/(6*$B$3*1000000*$B$5)*(IF(B440&lt;($B$4*0/10),($B$4*0/10)*(MIN(C440,($B$4*0/10))^3-B440^3)-(MIN(C440,($B$4*0/10))^4-B440^4)/4,0)+IF(C440&gt;($B$4*0/10),($B$4*0/10)^2*(1.5*(C440^2-MAX(B440,($B$4*0/10))^2)-($B$4*0/10)*(C440-MAX(B440,($B$4*0/10)))),0))*1000,0)</f>
        <v>0</v>
      </c>
      <c r="AB440" s="120">
        <f>IF(AND(J440="OK",ISNUMBER($B$5),$B$5&gt;0,ISNUMBER($B$3),$B$3&gt;0),F440/(6*$B$3*1000000*$B$5)*(IF(B440&lt;($B$4*1/10),($B$4*1/10)*(MIN(C440,($B$4*1/10))^3-B440^3)-(MIN(C440,($B$4*1/10))^4-B440^4)/4,0)+IF(C440&gt;($B$4*1/10),($B$4*1/10)^2*(1.5*(C440^2-MAX(B440,($B$4*1/10))^2)-($B$4*1/10)*(C440-MAX(B440,($B$4*1/10)))),0))*1000,0)</f>
        <v>0</v>
      </c>
      <c r="AC440" s="120">
        <f>IF(AND(J440="OK",ISNUMBER($B$5),$B$5&gt;0,ISNUMBER($B$3),$B$3&gt;0),F440/(6*$B$3*1000000*$B$5)*(IF(B440&lt;($B$4*2/10),($B$4*2/10)*(MIN(C440,($B$4*2/10))^3-B440^3)-(MIN(C440,($B$4*2/10))^4-B440^4)/4,0)+IF(C440&gt;($B$4*2/10),($B$4*2/10)^2*(1.5*(C440^2-MAX(B440,($B$4*2/10))^2)-($B$4*2/10)*(C440-MAX(B440,($B$4*2/10)))),0))*1000,0)</f>
        <v>0</v>
      </c>
      <c r="AD440" s="120">
        <f>IF(AND(J440="OK",ISNUMBER($B$5),$B$5&gt;0,ISNUMBER($B$3),$B$3&gt;0),F440/(6*$B$3*1000000*$B$5)*(IF(B440&lt;($B$4*3/10),($B$4*3/10)*(MIN(C440,($B$4*3/10))^3-B440^3)-(MIN(C440,($B$4*3/10))^4-B440^4)/4,0)+IF(C440&gt;($B$4*3/10),($B$4*3/10)^2*(1.5*(C440^2-MAX(B440,($B$4*3/10))^2)-($B$4*3/10)*(C440-MAX(B440,($B$4*3/10)))),0))*1000,0)</f>
        <v>0</v>
      </c>
      <c r="AE440" s="120">
        <f>IF(AND(J440="OK",ISNUMBER($B$5),$B$5&gt;0,ISNUMBER($B$3),$B$3&gt;0),F440/(6*$B$3*1000000*$B$5)*(IF(B440&lt;($B$4*4/10),($B$4*4/10)*(MIN(C440,($B$4*4/10))^3-B440^3)-(MIN(C440,($B$4*4/10))^4-B440^4)/4,0)+IF(C440&gt;($B$4*4/10),($B$4*4/10)^2*(1.5*(C440^2-MAX(B440,($B$4*4/10))^2)-($B$4*4/10)*(C440-MAX(B440,($B$4*4/10)))),0))*1000,0)</f>
        <v>0</v>
      </c>
      <c r="AF440" s="120">
        <f>IF(AND(J440="OK",ISNUMBER($B$5),$B$5&gt;0,ISNUMBER($B$3),$B$3&gt;0),F440/(6*$B$3*1000000*$B$5)*(IF(B440&lt;($B$4*5/10),($B$4*5/10)*(MIN(C440,($B$4*5/10))^3-B440^3)-(MIN(C440,($B$4*5/10))^4-B440^4)/4,0)+IF(C440&gt;($B$4*5/10),($B$4*5/10)^2*(1.5*(C440^2-MAX(B440,($B$4*5/10))^2)-($B$4*5/10)*(C440-MAX(B440,($B$4*5/10)))),0))*1000,0)</f>
        <v>0</v>
      </c>
      <c r="AG440" s="120">
        <f>IF(AND(J440="OK",ISNUMBER($B$5),$B$5&gt;0,ISNUMBER($B$3),$B$3&gt;0),F440/(6*$B$3*1000000*$B$5)*(IF(B440&lt;($B$4*6/10),($B$4*6/10)*(MIN(C440,($B$4*6/10))^3-B440^3)-(MIN(C440,($B$4*6/10))^4-B440^4)/4,0)+IF(C440&gt;($B$4*6/10),($B$4*6/10)^2*(1.5*(C440^2-MAX(B440,($B$4*6/10))^2)-($B$4*6/10)*(C440-MAX(B440,($B$4*6/10)))),0))*1000,0)</f>
        <v>0</v>
      </c>
      <c r="AH440" s="120">
        <f>IF(AND(J440="OK",ISNUMBER($B$5),$B$5&gt;0,ISNUMBER($B$3),$B$3&gt;0),F440/(6*$B$3*1000000*$B$5)*(IF(B440&lt;($B$4*7/10),($B$4*7/10)*(MIN(C440,($B$4*7/10))^3-B440^3)-(MIN(C440,($B$4*7/10))^4-B440^4)/4,0)+IF(C440&gt;($B$4*7/10),($B$4*7/10)^2*(1.5*(C440^2-MAX(B440,($B$4*7/10))^2)-($B$4*7/10)*(C440-MAX(B440,($B$4*7/10)))),0))*1000,0)</f>
        <v>0</v>
      </c>
      <c r="AI440" s="120">
        <f>IF(AND(J440="OK",ISNUMBER($B$5),$B$5&gt;0,ISNUMBER($B$3),$B$3&gt;0),F440/(6*$B$3*1000000*$B$5)*(IF(B440&lt;($B$4*8/10),($B$4*8/10)*(MIN(C440,($B$4*8/10))^3-B440^3)-(MIN(C440,($B$4*8/10))^4-B440^4)/4,0)+IF(C440&gt;($B$4*8/10),($B$4*8/10)^2*(1.5*(C440^2-MAX(B440,($B$4*8/10))^2)-($B$4*8/10)*(C440-MAX(B440,($B$4*8/10)))),0))*1000,0)</f>
        <v>0</v>
      </c>
      <c r="AJ440" s="120">
        <f>IF(AND(J440="OK",ISNUMBER($B$5),$B$5&gt;0,ISNUMBER($B$3),$B$3&gt;0),F440/(6*$B$3*1000000*$B$5)*(IF(B440&lt;($B$4*9/10),($B$4*9/10)*(MIN(C440,($B$4*9/10))^3-B440^3)-(MIN(C440,($B$4*9/10))^4-B440^4)/4,0)+IF(C440&gt;($B$4*9/10),($B$4*9/10)^2*(1.5*(C440^2-MAX(B440,($B$4*9/10))^2)-($B$4*9/10)*(C440-MAX(B440,($B$4*9/10)))),0))*1000,0)</f>
        <v>0</v>
      </c>
      <c r="AK440" s="120">
        <f>IF(AND(J440="OK",ISNUMBER($B$5),$B$5&gt;0,ISNUMBER($B$3),$B$3&gt;0),F440/(6*$B$3*1000000*$B$5)*(IF(B440&lt;($B$4*10/10),($B$4*10/10)*(MIN(C440,($B$4*10/10))^3-B440^3)-(MIN(C440,($B$4*10/10))^4-B440^4)/4,0)+IF(C440&gt;($B$4*10/10),($B$4*10/10)^2*(1.5*(C440^2-MAX(B440,($B$4*10/10))^2)-($B$4*10/10)*(C440-MAX(B440,($B$4*10/10)))),0))*1000,0)</f>
        <v>0</v>
      </c>
      <c r="AM440" s="120">
        <f>IF(AND(V440="OK",ISNUMBER($N$5),$N$5&gt;0,ISNUMBER($N$3),$N$3&gt;0),R440/(6*$N$3*1000000*$N$5)*(IF(N440&lt;($N$4*0/10),($N$4*0/10)*(MIN(O440,($N$4*0/10))^3-N440^3)-(MIN(O440,($N$4*0/10))^4-N440^4)/4,0)+IF(O440&gt;($N$4*0/10),($N$4*0/10)^2*(1.5*(O440^2-MAX(N440,($N$4*0/10))^2)-($N$4*0/10)*(O440-MAX(N440,($N$4*0/10)))),0))*1000,0)</f>
        <v>0</v>
      </c>
      <c r="AN440" s="120">
        <f>IF(AND(V440="OK",ISNUMBER($N$5),$N$5&gt;0,ISNUMBER($N$3),$N$3&gt;0),R440/(6*$N$3*1000000*$N$5)*(IF(N440&lt;($N$4*1/10),($N$4*1/10)*(MIN(O440,($N$4*1/10))^3-N440^3)-(MIN(O440,($N$4*1/10))^4-N440^4)/4,0)+IF(O440&gt;($N$4*1/10),($N$4*1/10)^2*(1.5*(O440^2-MAX(N440,($N$4*1/10))^2)-($N$4*1/10)*(O440-MAX(N440,($N$4*1/10)))),0))*1000,0)</f>
        <v>0</v>
      </c>
      <c r="AO440" s="120">
        <f>IF(AND(V440="OK",ISNUMBER($N$5),$N$5&gt;0,ISNUMBER($N$3),$N$3&gt;0),R440/(6*$N$3*1000000*$N$5)*(IF(N440&lt;($N$4*2/10),($N$4*2/10)*(MIN(O440,($N$4*2/10))^3-N440^3)-(MIN(O440,($N$4*2/10))^4-N440^4)/4,0)+IF(O440&gt;($N$4*2/10),($N$4*2/10)^2*(1.5*(O440^2-MAX(N440,($N$4*2/10))^2)-($N$4*2/10)*(O440-MAX(N440,($N$4*2/10)))),0))*1000,0)</f>
        <v>0</v>
      </c>
      <c r="AP440" s="120">
        <f>IF(AND(V440="OK",ISNUMBER($N$5),$N$5&gt;0,ISNUMBER($N$3),$N$3&gt;0),R440/(6*$N$3*1000000*$N$5)*(IF(N440&lt;($N$4*3/10),($N$4*3/10)*(MIN(O440,($N$4*3/10))^3-N440^3)-(MIN(O440,($N$4*3/10))^4-N440^4)/4,0)+IF(O440&gt;($N$4*3/10),($N$4*3/10)^2*(1.5*(O440^2-MAX(N440,($N$4*3/10))^2)-($N$4*3/10)*(O440-MAX(N440,($N$4*3/10)))),0))*1000,0)</f>
        <v>0</v>
      </c>
      <c r="AQ440" s="120">
        <f>IF(AND(V440="OK",ISNUMBER($N$5),$N$5&gt;0,ISNUMBER($N$3),$N$3&gt;0),R440/(6*$N$3*1000000*$N$5)*(IF(N440&lt;($N$4*4/10),($N$4*4/10)*(MIN(O440,($N$4*4/10))^3-N440^3)-(MIN(O440,($N$4*4/10))^4-N440^4)/4,0)+IF(O440&gt;($N$4*4/10),($N$4*4/10)^2*(1.5*(O440^2-MAX(N440,($N$4*4/10))^2)-($N$4*4/10)*(O440-MAX(N440,($N$4*4/10)))),0))*1000,0)</f>
        <v>0</v>
      </c>
      <c r="AR440" s="120">
        <f>IF(AND(V440="OK",ISNUMBER($N$5),$N$5&gt;0,ISNUMBER($N$3),$N$3&gt;0),R440/(6*$N$3*1000000*$N$5)*(IF(N440&lt;($N$4*5/10),($N$4*5/10)*(MIN(O440,($N$4*5/10))^3-N440^3)-(MIN(O440,($N$4*5/10))^4-N440^4)/4,0)+IF(O440&gt;($N$4*5/10),($N$4*5/10)^2*(1.5*(O440^2-MAX(N440,($N$4*5/10))^2)-($N$4*5/10)*(O440-MAX(N440,($N$4*5/10)))),0))*1000,0)</f>
        <v>0</v>
      </c>
      <c r="AS440" s="120">
        <f>IF(AND(V440="OK",ISNUMBER($N$5),$N$5&gt;0,ISNUMBER($N$3),$N$3&gt;0),R440/(6*$N$3*1000000*$N$5)*(IF(N440&lt;($N$4*6/10),($N$4*6/10)*(MIN(O440,($N$4*6/10))^3-N440^3)-(MIN(O440,($N$4*6/10))^4-N440^4)/4,0)+IF(O440&gt;($N$4*6/10),($N$4*6/10)^2*(1.5*(O440^2-MAX(N440,($N$4*6/10))^2)-($N$4*6/10)*(O440-MAX(N440,($N$4*6/10)))),0))*1000,0)</f>
        <v>0</v>
      </c>
      <c r="AT440" s="120">
        <f>IF(AND(V440="OK",ISNUMBER($N$5),$N$5&gt;0,ISNUMBER($N$3),$N$3&gt;0),R440/(6*$N$3*1000000*$N$5)*(IF(N440&lt;($N$4*7/10),($N$4*7/10)*(MIN(O440,($N$4*7/10))^3-N440^3)-(MIN(O440,($N$4*7/10))^4-N440^4)/4,0)+IF(O440&gt;($N$4*7/10),($N$4*7/10)^2*(1.5*(O440^2-MAX(N440,($N$4*7/10))^2)-($N$4*7/10)*(O440-MAX(N440,($N$4*7/10)))),0))*1000,0)</f>
        <v>0</v>
      </c>
      <c r="AU440" s="120">
        <f>IF(AND(V440="OK",ISNUMBER($N$5),$N$5&gt;0,ISNUMBER($N$3),$N$3&gt;0),R440/(6*$N$3*1000000*$N$5)*(IF(N440&lt;($N$4*8/10),($N$4*8/10)*(MIN(O440,($N$4*8/10))^3-N440^3)-(MIN(O440,($N$4*8/10))^4-N440^4)/4,0)+IF(O440&gt;($N$4*8/10),($N$4*8/10)^2*(1.5*(O440^2-MAX(N440,($N$4*8/10))^2)-($N$4*8/10)*(O440-MAX(N440,($N$4*8/10)))),0))*1000,0)</f>
        <v>0</v>
      </c>
      <c r="AV440" s="120">
        <f>IF(AND(V440="OK",ISNUMBER($N$5),$N$5&gt;0,ISNUMBER($N$3),$N$3&gt;0),R440/(6*$N$3*1000000*$N$5)*(IF(N440&lt;($N$4*9/10),($N$4*9/10)*(MIN(O440,($N$4*9/10))^3-N440^3)-(MIN(O440,($N$4*9/10))^4-N440^4)/4,0)+IF(O440&gt;($N$4*9/10),($N$4*9/10)^2*(1.5*(O440^2-MAX(N440,($N$4*9/10))^2)-($N$4*9/10)*(O440-MAX(N440,($N$4*9/10)))),0))*1000,0)</f>
        <v>0</v>
      </c>
      <c r="AW440" s="120">
        <f>IF(AND(V440="OK",ISNUMBER($N$5),$N$5&gt;0,ISNUMBER($N$3),$N$3&gt;0),R440/(6*$N$3*1000000*$N$5)*(IF(N440&lt;($N$4*10/10),($N$4*10/10)*(MIN(O440,($N$4*10/10))^3-N440^3)-(MIN(O440,($N$4*10/10))^4-N440^4)/4,0)+IF(O440&gt;($N$4*10/10),($N$4*10/10)^2*(1.5*(O440^2-MAX(N440,($N$4*10/10))^2)-($N$4*10/10)*(O440-MAX(N440,($N$4*10/10)))),0))*1000,0)</f>
        <v>0</v>
      </c>
    </row>
    <row r="441" spans="1:49">
      <c r="A441" s="124"/>
      <c r="B441" s="125"/>
      <c r="C441" s="125"/>
      <c r="D441" s="125"/>
      <c r="E441" s="125"/>
      <c r="F441" s="126" t="str">
        <f>IF(J441="OK",D441*E441,"")</f>
        <v/>
      </c>
      <c r="G441" s="126" t="str">
        <f>IF(J441="OK",F441*(C441-B441),"")</f>
        <v/>
      </c>
      <c r="H441" s="126" t="str">
        <f>IF(J441="OK",G441*(C441+B441)/2,"")</f>
        <v/>
      </c>
      <c r="I441" s="126" t="str">
        <f>IF(AND(J441="OK",ISNUMBER($B$5),$B$5&gt;0,ISNUMBER($B$3),$B$3&gt;0),F441*(4*$B$4*(C441^3-B441^3)-(C441^4-B441^4))/(24*$B$3*1000000*$B$5)*1000,"")</f>
        <v/>
      </c>
      <c r="J441" s="120" t="str">
        <f>IF(COUNTA(A441:E441)=0,"",IF(AND(COUNT(B441:E441)=4,B441&gt;=0,C441&gt;B441,C441&lt;=$B$4,D441&gt;=0,E441&gt;0),IF(COUNTIFS($B$13:$B$440,"&lt;"&amp;C441,$C$13:$C$440,"&gt;"&amp;B441)&gt;0,"OVERLAP","OK"),"CHECK INPUTS"))</f>
        <v/>
      </c>
      <c r="M441" s="124"/>
      <c r="N441" s="125"/>
      <c r="O441" s="125"/>
      <c r="P441" s="125"/>
      <c r="Q441" s="125"/>
      <c r="R441" s="126" t="str">
        <f>IF(V441="OK",P441*Q441,"")</f>
        <v/>
      </c>
      <c r="S441" s="126" t="str">
        <f>IF(V441="OK",R441*(O441-N441),"")</f>
        <v/>
      </c>
      <c r="T441" s="126" t="str">
        <f>IF(V441="OK",S441*(O441+N441)/2,"")</f>
        <v/>
      </c>
      <c r="U441" s="126" t="str">
        <f>IF(AND(V441="OK",ISNUMBER($N$5),$N$5&gt;0,ISNUMBER($N$3),$N$3&gt;0),R441*(4*$N$4*(O441^3-N441^3)-(O441^4-N441^4))/(24*$N$3*1000000*$N$5)*1000,"")</f>
        <v/>
      </c>
      <c r="V441" s="120" t="str">
        <f>IF(COUNTA(M441:Q441)=0,"",IF(AND(COUNT(N441:Q441)=4,N441&gt;=0,O441&gt;N441,O441&lt;=$N$4,P441&gt;=0,Q441&gt;0),IF(COUNTIFS($N$13:$N$440,"&lt;"&amp;O441,$O$13:$O$440,"&gt;"&amp;N441)&gt;0,"OVERLAP","OK"),"CHECK INPUTS"))</f>
        <v/>
      </c>
      <c r="AA441" s="120">
        <f>IF(AND(J441="OK",ISNUMBER($B$5),$B$5&gt;0,ISNUMBER($B$3),$B$3&gt;0),F441/(6*$B$3*1000000*$B$5)*(IF(B441&lt;($B$4*0/10),($B$4*0/10)*(MIN(C441,($B$4*0/10))^3-B441^3)-(MIN(C441,($B$4*0/10))^4-B441^4)/4,0)+IF(C441&gt;($B$4*0/10),($B$4*0/10)^2*(1.5*(C441^2-MAX(B441,($B$4*0/10))^2)-($B$4*0/10)*(C441-MAX(B441,($B$4*0/10)))),0))*1000,0)</f>
        <v>0</v>
      </c>
      <c r="AB441" s="120">
        <f>IF(AND(J441="OK",ISNUMBER($B$5),$B$5&gt;0,ISNUMBER($B$3),$B$3&gt;0),F441/(6*$B$3*1000000*$B$5)*(IF(B441&lt;($B$4*1/10),($B$4*1/10)*(MIN(C441,($B$4*1/10))^3-B441^3)-(MIN(C441,($B$4*1/10))^4-B441^4)/4,0)+IF(C441&gt;($B$4*1/10),($B$4*1/10)^2*(1.5*(C441^2-MAX(B441,($B$4*1/10))^2)-($B$4*1/10)*(C441-MAX(B441,($B$4*1/10)))),0))*1000,0)</f>
        <v>0</v>
      </c>
      <c r="AC441" s="120">
        <f>IF(AND(J441="OK",ISNUMBER($B$5),$B$5&gt;0,ISNUMBER($B$3),$B$3&gt;0),F441/(6*$B$3*1000000*$B$5)*(IF(B441&lt;($B$4*2/10),($B$4*2/10)*(MIN(C441,($B$4*2/10))^3-B441^3)-(MIN(C441,($B$4*2/10))^4-B441^4)/4,0)+IF(C441&gt;($B$4*2/10),($B$4*2/10)^2*(1.5*(C441^2-MAX(B441,($B$4*2/10))^2)-($B$4*2/10)*(C441-MAX(B441,($B$4*2/10)))),0))*1000,0)</f>
        <v>0</v>
      </c>
      <c r="AD441" s="120">
        <f>IF(AND(J441="OK",ISNUMBER($B$5),$B$5&gt;0,ISNUMBER($B$3),$B$3&gt;0),F441/(6*$B$3*1000000*$B$5)*(IF(B441&lt;($B$4*3/10),($B$4*3/10)*(MIN(C441,($B$4*3/10))^3-B441^3)-(MIN(C441,($B$4*3/10))^4-B441^4)/4,0)+IF(C441&gt;($B$4*3/10),($B$4*3/10)^2*(1.5*(C441^2-MAX(B441,($B$4*3/10))^2)-($B$4*3/10)*(C441-MAX(B441,($B$4*3/10)))),0))*1000,0)</f>
        <v>0</v>
      </c>
      <c r="AE441" s="120">
        <f>IF(AND(J441="OK",ISNUMBER($B$5),$B$5&gt;0,ISNUMBER($B$3),$B$3&gt;0),F441/(6*$B$3*1000000*$B$5)*(IF(B441&lt;($B$4*4/10),($B$4*4/10)*(MIN(C441,($B$4*4/10))^3-B441^3)-(MIN(C441,($B$4*4/10))^4-B441^4)/4,0)+IF(C441&gt;($B$4*4/10),($B$4*4/10)^2*(1.5*(C441^2-MAX(B441,($B$4*4/10))^2)-($B$4*4/10)*(C441-MAX(B441,($B$4*4/10)))),0))*1000,0)</f>
        <v>0</v>
      </c>
      <c r="AF441" s="120">
        <f>IF(AND(J441="OK",ISNUMBER($B$5),$B$5&gt;0,ISNUMBER($B$3),$B$3&gt;0),F441/(6*$B$3*1000000*$B$5)*(IF(B441&lt;($B$4*5/10),($B$4*5/10)*(MIN(C441,($B$4*5/10))^3-B441^3)-(MIN(C441,($B$4*5/10))^4-B441^4)/4,0)+IF(C441&gt;($B$4*5/10),($B$4*5/10)^2*(1.5*(C441^2-MAX(B441,($B$4*5/10))^2)-($B$4*5/10)*(C441-MAX(B441,($B$4*5/10)))),0))*1000,0)</f>
        <v>0</v>
      </c>
      <c r="AG441" s="120">
        <f>IF(AND(J441="OK",ISNUMBER($B$5),$B$5&gt;0,ISNUMBER($B$3),$B$3&gt;0),F441/(6*$B$3*1000000*$B$5)*(IF(B441&lt;($B$4*6/10),($B$4*6/10)*(MIN(C441,($B$4*6/10))^3-B441^3)-(MIN(C441,($B$4*6/10))^4-B441^4)/4,0)+IF(C441&gt;($B$4*6/10),($B$4*6/10)^2*(1.5*(C441^2-MAX(B441,($B$4*6/10))^2)-($B$4*6/10)*(C441-MAX(B441,($B$4*6/10)))),0))*1000,0)</f>
        <v>0</v>
      </c>
      <c r="AH441" s="120">
        <f>IF(AND(J441="OK",ISNUMBER($B$5),$B$5&gt;0,ISNUMBER($B$3),$B$3&gt;0),F441/(6*$B$3*1000000*$B$5)*(IF(B441&lt;($B$4*7/10),($B$4*7/10)*(MIN(C441,($B$4*7/10))^3-B441^3)-(MIN(C441,($B$4*7/10))^4-B441^4)/4,0)+IF(C441&gt;($B$4*7/10),($B$4*7/10)^2*(1.5*(C441^2-MAX(B441,($B$4*7/10))^2)-($B$4*7/10)*(C441-MAX(B441,($B$4*7/10)))),0))*1000,0)</f>
        <v>0</v>
      </c>
      <c r="AI441" s="120">
        <f>IF(AND(J441="OK",ISNUMBER($B$5),$B$5&gt;0,ISNUMBER($B$3),$B$3&gt;0),F441/(6*$B$3*1000000*$B$5)*(IF(B441&lt;($B$4*8/10),($B$4*8/10)*(MIN(C441,($B$4*8/10))^3-B441^3)-(MIN(C441,($B$4*8/10))^4-B441^4)/4,0)+IF(C441&gt;($B$4*8/10),($B$4*8/10)^2*(1.5*(C441^2-MAX(B441,($B$4*8/10))^2)-($B$4*8/10)*(C441-MAX(B441,($B$4*8/10)))),0))*1000,0)</f>
        <v>0</v>
      </c>
      <c r="AJ441" s="120">
        <f>IF(AND(J441="OK",ISNUMBER($B$5),$B$5&gt;0,ISNUMBER($B$3),$B$3&gt;0),F441/(6*$B$3*1000000*$B$5)*(IF(B441&lt;($B$4*9/10),($B$4*9/10)*(MIN(C441,($B$4*9/10))^3-B441^3)-(MIN(C441,($B$4*9/10))^4-B441^4)/4,0)+IF(C441&gt;($B$4*9/10),($B$4*9/10)^2*(1.5*(C441^2-MAX(B441,($B$4*9/10))^2)-($B$4*9/10)*(C441-MAX(B441,($B$4*9/10)))),0))*1000,0)</f>
        <v>0</v>
      </c>
      <c r="AK441" s="120">
        <f>IF(AND(J441="OK",ISNUMBER($B$5),$B$5&gt;0,ISNUMBER($B$3),$B$3&gt;0),F441/(6*$B$3*1000000*$B$5)*(IF(B441&lt;($B$4*10/10),($B$4*10/10)*(MIN(C441,($B$4*10/10))^3-B441^3)-(MIN(C441,($B$4*10/10))^4-B441^4)/4,0)+IF(C441&gt;($B$4*10/10),($B$4*10/10)^2*(1.5*(C441^2-MAX(B441,($B$4*10/10))^2)-($B$4*10/10)*(C441-MAX(B441,($B$4*10/10)))),0))*1000,0)</f>
        <v>0</v>
      </c>
      <c r="AM441" s="120">
        <f>IF(AND(V441="OK",ISNUMBER($N$5),$N$5&gt;0,ISNUMBER($N$3),$N$3&gt;0),R441/(6*$N$3*1000000*$N$5)*(IF(N441&lt;($N$4*0/10),($N$4*0/10)*(MIN(O441,($N$4*0/10))^3-N441^3)-(MIN(O441,($N$4*0/10))^4-N441^4)/4,0)+IF(O441&gt;($N$4*0/10),($N$4*0/10)^2*(1.5*(O441^2-MAX(N441,($N$4*0/10))^2)-($N$4*0/10)*(O441-MAX(N441,($N$4*0/10)))),0))*1000,0)</f>
        <v>0</v>
      </c>
      <c r="AN441" s="120">
        <f>IF(AND(V441="OK",ISNUMBER($N$5),$N$5&gt;0,ISNUMBER($N$3),$N$3&gt;0),R441/(6*$N$3*1000000*$N$5)*(IF(N441&lt;($N$4*1/10),($N$4*1/10)*(MIN(O441,($N$4*1/10))^3-N441^3)-(MIN(O441,($N$4*1/10))^4-N441^4)/4,0)+IF(O441&gt;($N$4*1/10),($N$4*1/10)^2*(1.5*(O441^2-MAX(N441,($N$4*1/10))^2)-($N$4*1/10)*(O441-MAX(N441,($N$4*1/10)))),0))*1000,0)</f>
        <v>0</v>
      </c>
      <c r="AO441" s="120">
        <f>IF(AND(V441="OK",ISNUMBER($N$5),$N$5&gt;0,ISNUMBER($N$3),$N$3&gt;0),R441/(6*$N$3*1000000*$N$5)*(IF(N441&lt;($N$4*2/10),($N$4*2/10)*(MIN(O441,($N$4*2/10))^3-N441^3)-(MIN(O441,($N$4*2/10))^4-N441^4)/4,0)+IF(O441&gt;($N$4*2/10),($N$4*2/10)^2*(1.5*(O441^2-MAX(N441,($N$4*2/10))^2)-($N$4*2/10)*(O441-MAX(N441,($N$4*2/10)))),0))*1000,0)</f>
        <v>0</v>
      </c>
      <c r="AP441" s="120">
        <f>IF(AND(V441="OK",ISNUMBER($N$5),$N$5&gt;0,ISNUMBER($N$3),$N$3&gt;0),R441/(6*$N$3*1000000*$N$5)*(IF(N441&lt;($N$4*3/10),($N$4*3/10)*(MIN(O441,($N$4*3/10))^3-N441^3)-(MIN(O441,($N$4*3/10))^4-N441^4)/4,0)+IF(O441&gt;($N$4*3/10),($N$4*3/10)^2*(1.5*(O441^2-MAX(N441,($N$4*3/10))^2)-($N$4*3/10)*(O441-MAX(N441,($N$4*3/10)))),0))*1000,0)</f>
        <v>0</v>
      </c>
      <c r="AQ441" s="120">
        <f>IF(AND(V441="OK",ISNUMBER($N$5),$N$5&gt;0,ISNUMBER($N$3),$N$3&gt;0),R441/(6*$N$3*1000000*$N$5)*(IF(N441&lt;($N$4*4/10),($N$4*4/10)*(MIN(O441,($N$4*4/10))^3-N441^3)-(MIN(O441,($N$4*4/10))^4-N441^4)/4,0)+IF(O441&gt;($N$4*4/10),($N$4*4/10)^2*(1.5*(O441^2-MAX(N441,($N$4*4/10))^2)-($N$4*4/10)*(O441-MAX(N441,($N$4*4/10)))),0))*1000,0)</f>
        <v>0</v>
      </c>
      <c r="AR441" s="120">
        <f>IF(AND(V441="OK",ISNUMBER($N$5),$N$5&gt;0,ISNUMBER($N$3),$N$3&gt;0),R441/(6*$N$3*1000000*$N$5)*(IF(N441&lt;($N$4*5/10),($N$4*5/10)*(MIN(O441,($N$4*5/10))^3-N441^3)-(MIN(O441,($N$4*5/10))^4-N441^4)/4,0)+IF(O441&gt;($N$4*5/10),($N$4*5/10)^2*(1.5*(O441^2-MAX(N441,($N$4*5/10))^2)-($N$4*5/10)*(O441-MAX(N441,($N$4*5/10)))),0))*1000,0)</f>
        <v>0</v>
      </c>
      <c r="AS441" s="120">
        <f>IF(AND(V441="OK",ISNUMBER($N$5),$N$5&gt;0,ISNUMBER($N$3),$N$3&gt;0),R441/(6*$N$3*1000000*$N$5)*(IF(N441&lt;($N$4*6/10),($N$4*6/10)*(MIN(O441,($N$4*6/10))^3-N441^3)-(MIN(O441,($N$4*6/10))^4-N441^4)/4,0)+IF(O441&gt;($N$4*6/10),($N$4*6/10)^2*(1.5*(O441^2-MAX(N441,($N$4*6/10))^2)-($N$4*6/10)*(O441-MAX(N441,($N$4*6/10)))),0))*1000,0)</f>
        <v>0</v>
      </c>
      <c r="AT441" s="120">
        <f>IF(AND(V441="OK",ISNUMBER($N$5),$N$5&gt;0,ISNUMBER($N$3),$N$3&gt;0),R441/(6*$N$3*1000000*$N$5)*(IF(N441&lt;($N$4*7/10),($N$4*7/10)*(MIN(O441,($N$4*7/10))^3-N441^3)-(MIN(O441,($N$4*7/10))^4-N441^4)/4,0)+IF(O441&gt;($N$4*7/10),($N$4*7/10)^2*(1.5*(O441^2-MAX(N441,($N$4*7/10))^2)-($N$4*7/10)*(O441-MAX(N441,($N$4*7/10)))),0))*1000,0)</f>
        <v>0</v>
      </c>
      <c r="AU441" s="120">
        <f>IF(AND(V441="OK",ISNUMBER($N$5),$N$5&gt;0,ISNUMBER($N$3),$N$3&gt;0),R441/(6*$N$3*1000000*$N$5)*(IF(N441&lt;($N$4*8/10),($N$4*8/10)*(MIN(O441,($N$4*8/10))^3-N441^3)-(MIN(O441,($N$4*8/10))^4-N441^4)/4,0)+IF(O441&gt;($N$4*8/10),($N$4*8/10)^2*(1.5*(O441^2-MAX(N441,($N$4*8/10))^2)-($N$4*8/10)*(O441-MAX(N441,($N$4*8/10)))),0))*1000,0)</f>
        <v>0</v>
      </c>
      <c r="AV441" s="120">
        <f>IF(AND(V441="OK",ISNUMBER($N$5),$N$5&gt;0,ISNUMBER($N$3),$N$3&gt;0),R441/(6*$N$3*1000000*$N$5)*(IF(N441&lt;($N$4*9/10),($N$4*9/10)*(MIN(O441,($N$4*9/10))^3-N441^3)-(MIN(O441,($N$4*9/10))^4-N441^4)/4,0)+IF(O441&gt;($N$4*9/10),($N$4*9/10)^2*(1.5*(O441^2-MAX(N441,($N$4*9/10))^2)-($N$4*9/10)*(O441-MAX(N441,($N$4*9/10)))),0))*1000,0)</f>
        <v>0</v>
      </c>
      <c r="AW441" s="120">
        <f>IF(AND(V441="OK",ISNUMBER($N$5),$N$5&gt;0,ISNUMBER($N$3),$N$3&gt;0),R441/(6*$N$3*1000000*$N$5)*(IF(N441&lt;($N$4*10/10),($N$4*10/10)*(MIN(O441,($N$4*10/10))^3-N441^3)-(MIN(O441,($N$4*10/10))^4-N441^4)/4,0)+IF(O441&gt;($N$4*10/10),($N$4*10/10)^2*(1.5*(O441^2-MAX(N441,($N$4*10/10))^2)-($N$4*10/10)*(O441-MAX(N441,($N$4*10/10)))),0))*1000,0)</f>
        <v>0</v>
      </c>
    </row>
    <row r="442" spans="1:49">
      <c r="A442" s="124"/>
      <c r="B442" s="125"/>
      <c r="C442" s="125"/>
      <c r="D442" s="125"/>
      <c r="E442" s="125"/>
      <c r="F442" s="126" t="str">
        <f>IF(J442="OK",D442*E442,"")</f>
        <v/>
      </c>
      <c r="G442" s="126" t="str">
        <f>IF(J442="OK",F442*(C442-B442),"")</f>
        <v/>
      </c>
      <c r="H442" s="126" t="str">
        <f>IF(J442="OK",G442*(C442+B442)/2,"")</f>
        <v/>
      </c>
      <c r="I442" s="126" t="str">
        <f>IF(AND(J442="OK",ISNUMBER($B$5),$B$5&gt;0,ISNUMBER($B$3),$B$3&gt;0),F442*(4*$B$4*(C442^3-B442^3)-(C442^4-B442^4))/(24*$B$3*1000000*$B$5)*1000,"")</f>
        <v/>
      </c>
      <c r="J442" s="120" t="str">
        <f>IF(COUNTA(A442:E442)=0,"",IF(AND(COUNT(B442:E442)=4,B442&gt;=0,C442&gt;B442,C442&lt;=$B$4,D442&gt;=0,E442&gt;0),IF(COUNTIFS($B$13:$B$441,"&lt;"&amp;C442,$C$13:$C$441,"&gt;"&amp;B442)&gt;0,"OVERLAP","OK"),"CHECK INPUTS"))</f>
        <v/>
      </c>
      <c r="M442" s="124"/>
      <c r="N442" s="125"/>
      <c r="O442" s="125"/>
      <c r="P442" s="125"/>
      <c r="Q442" s="125"/>
      <c r="R442" s="126" t="str">
        <f>IF(V442="OK",P442*Q442,"")</f>
        <v/>
      </c>
      <c r="S442" s="126" t="str">
        <f>IF(V442="OK",R442*(O442-N442),"")</f>
        <v/>
      </c>
      <c r="T442" s="126" t="str">
        <f>IF(V442="OK",S442*(O442+N442)/2,"")</f>
        <v/>
      </c>
      <c r="U442" s="126" t="str">
        <f>IF(AND(V442="OK",ISNUMBER($N$5),$N$5&gt;0,ISNUMBER($N$3),$N$3&gt;0),R442*(4*$N$4*(O442^3-N442^3)-(O442^4-N442^4))/(24*$N$3*1000000*$N$5)*1000,"")</f>
        <v/>
      </c>
      <c r="V442" s="120" t="str">
        <f>IF(COUNTA(M442:Q442)=0,"",IF(AND(COUNT(N442:Q442)=4,N442&gt;=0,O442&gt;N442,O442&lt;=$N$4,P442&gt;=0,Q442&gt;0),IF(COUNTIFS($N$13:$N$441,"&lt;"&amp;O442,$O$13:$O$441,"&gt;"&amp;N442)&gt;0,"OVERLAP","OK"),"CHECK INPUTS"))</f>
        <v/>
      </c>
      <c r="AA442" s="120">
        <f>IF(AND(J442="OK",ISNUMBER($B$5),$B$5&gt;0,ISNUMBER($B$3),$B$3&gt;0),F442/(6*$B$3*1000000*$B$5)*(IF(B442&lt;($B$4*0/10),($B$4*0/10)*(MIN(C442,($B$4*0/10))^3-B442^3)-(MIN(C442,($B$4*0/10))^4-B442^4)/4,0)+IF(C442&gt;($B$4*0/10),($B$4*0/10)^2*(1.5*(C442^2-MAX(B442,($B$4*0/10))^2)-($B$4*0/10)*(C442-MAX(B442,($B$4*0/10)))),0))*1000,0)</f>
        <v>0</v>
      </c>
      <c r="AB442" s="120">
        <f>IF(AND(J442="OK",ISNUMBER($B$5),$B$5&gt;0,ISNUMBER($B$3),$B$3&gt;0),F442/(6*$B$3*1000000*$B$5)*(IF(B442&lt;($B$4*1/10),($B$4*1/10)*(MIN(C442,($B$4*1/10))^3-B442^3)-(MIN(C442,($B$4*1/10))^4-B442^4)/4,0)+IF(C442&gt;($B$4*1/10),($B$4*1/10)^2*(1.5*(C442^2-MAX(B442,($B$4*1/10))^2)-($B$4*1/10)*(C442-MAX(B442,($B$4*1/10)))),0))*1000,0)</f>
        <v>0</v>
      </c>
      <c r="AC442" s="120">
        <f>IF(AND(J442="OK",ISNUMBER($B$5),$B$5&gt;0,ISNUMBER($B$3),$B$3&gt;0),F442/(6*$B$3*1000000*$B$5)*(IF(B442&lt;($B$4*2/10),($B$4*2/10)*(MIN(C442,($B$4*2/10))^3-B442^3)-(MIN(C442,($B$4*2/10))^4-B442^4)/4,0)+IF(C442&gt;($B$4*2/10),($B$4*2/10)^2*(1.5*(C442^2-MAX(B442,($B$4*2/10))^2)-($B$4*2/10)*(C442-MAX(B442,($B$4*2/10)))),0))*1000,0)</f>
        <v>0</v>
      </c>
      <c r="AD442" s="120">
        <f>IF(AND(J442="OK",ISNUMBER($B$5),$B$5&gt;0,ISNUMBER($B$3),$B$3&gt;0),F442/(6*$B$3*1000000*$B$5)*(IF(B442&lt;($B$4*3/10),($B$4*3/10)*(MIN(C442,($B$4*3/10))^3-B442^3)-(MIN(C442,($B$4*3/10))^4-B442^4)/4,0)+IF(C442&gt;($B$4*3/10),($B$4*3/10)^2*(1.5*(C442^2-MAX(B442,($B$4*3/10))^2)-($B$4*3/10)*(C442-MAX(B442,($B$4*3/10)))),0))*1000,0)</f>
        <v>0</v>
      </c>
      <c r="AE442" s="120">
        <f>IF(AND(J442="OK",ISNUMBER($B$5),$B$5&gt;0,ISNUMBER($B$3),$B$3&gt;0),F442/(6*$B$3*1000000*$B$5)*(IF(B442&lt;($B$4*4/10),($B$4*4/10)*(MIN(C442,($B$4*4/10))^3-B442^3)-(MIN(C442,($B$4*4/10))^4-B442^4)/4,0)+IF(C442&gt;($B$4*4/10),($B$4*4/10)^2*(1.5*(C442^2-MAX(B442,($B$4*4/10))^2)-($B$4*4/10)*(C442-MAX(B442,($B$4*4/10)))),0))*1000,0)</f>
        <v>0</v>
      </c>
      <c r="AF442" s="120">
        <f>IF(AND(J442="OK",ISNUMBER($B$5),$B$5&gt;0,ISNUMBER($B$3),$B$3&gt;0),F442/(6*$B$3*1000000*$B$5)*(IF(B442&lt;($B$4*5/10),($B$4*5/10)*(MIN(C442,($B$4*5/10))^3-B442^3)-(MIN(C442,($B$4*5/10))^4-B442^4)/4,0)+IF(C442&gt;($B$4*5/10),($B$4*5/10)^2*(1.5*(C442^2-MAX(B442,($B$4*5/10))^2)-($B$4*5/10)*(C442-MAX(B442,($B$4*5/10)))),0))*1000,0)</f>
        <v>0</v>
      </c>
      <c r="AG442" s="120">
        <f>IF(AND(J442="OK",ISNUMBER($B$5),$B$5&gt;0,ISNUMBER($B$3),$B$3&gt;0),F442/(6*$B$3*1000000*$B$5)*(IF(B442&lt;($B$4*6/10),($B$4*6/10)*(MIN(C442,($B$4*6/10))^3-B442^3)-(MIN(C442,($B$4*6/10))^4-B442^4)/4,0)+IF(C442&gt;($B$4*6/10),($B$4*6/10)^2*(1.5*(C442^2-MAX(B442,($B$4*6/10))^2)-($B$4*6/10)*(C442-MAX(B442,($B$4*6/10)))),0))*1000,0)</f>
        <v>0</v>
      </c>
      <c r="AH442" s="120">
        <f>IF(AND(J442="OK",ISNUMBER($B$5),$B$5&gt;0,ISNUMBER($B$3),$B$3&gt;0),F442/(6*$B$3*1000000*$B$5)*(IF(B442&lt;($B$4*7/10),($B$4*7/10)*(MIN(C442,($B$4*7/10))^3-B442^3)-(MIN(C442,($B$4*7/10))^4-B442^4)/4,0)+IF(C442&gt;($B$4*7/10),($B$4*7/10)^2*(1.5*(C442^2-MAX(B442,($B$4*7/10))^2)-($B$4*7/10)*(C442-MAX(B442,($B$4*7/10)))),0))*1000,0)</f>
        <v>0</v>
      </c>
      <c r="AI442" s="120">
        <f>IF(AND(J442="OK",ISNUMBER($B$5),$B$5&gt;0,ISNUMBER($B$3),$B$3&gt;0),F442/(6*$B$3*1000000*$B$5)*(IF(B442&lt;($B$4*8/10),($B$4*8/10)*(MIN(C442,($B$4*8/10))^3-B442^3)-(MIN(C442,($B$4*8/10))^4-B442^4)/4,0)+IF(C442&gt;($B$4*8/10),($B$4*8/10)^2*(1.5*(C442^2-MAX(B442,($B$4*8/10))^2)-($B$4*8/10)*(C442-MAX(B442,($B$4*8/10)))),0))*1000,0)</f>
        <v>0</v>
      </c>
      <c r="AJ442" s="120">
        <f>IF(AND(J442="OK",ISNUMBER($B$5),$B$5&gt;0,ISNUMBER($B$3),$B$3&gt;0),F442/(6*$B$3*1000000*$B$5)*(IF(B442&lt;($B$4*9/10),($B$4*9/10)*(MIN(C442,($B$4*9/10))^3-B442^3)-(MIN(C442,($B$4*9/10))^4-B442^4)/4,0)+IF(C442&gt;($B$4*9/10),($B$4*9/10)^2*(1.5*(C442^2-MAX(B442,($B$4*9/10))^2)-($B$4*9/10)*(C442-MAX(B442,($B$4*9/10)))),0))*1000,0)</f>
        <v>0</v>
      </c>
      <c r="AK442" s="120">
        <f>IF(AND(J442="OK",ISNUMBER($B$5),$B$5&gt;0,ISNUMBER($B$3),$B$3&gt;0),F442/(6*$B$3*1000000*$B$5)*(IF(B442&lt;($B$4*10/10),($B$4*10/10)*(MIN(C442,($B$4*10/10))^3-B442^3)-(MIN(C442,($B$4*10/10))^4-B442^4)/4,0)+IF(C442&gt;($B$4*10/10),($B$4*10/10)^2*(1.5*(C442^2-MAX(B442,($B$4*10/10))^2)-($B$4*10/10)*(C442-MAX(B442,($B$4*10/10)))),0))*1000,0)</f>
        <v>0</v>
      </c>
      <c r="AM442" s="120">
        <f>IF(AND(V442="OK",ISNUMBER($N$5),$N$5&gt;0,ISNUMBER($N$3),$N$3&gt;0),R442/(6*$N$3*1000000*$N$5)*(IF(N442&lt;($N$4*0/10),($N$4*0/10)*(MIN(O442,($N$4*0/10))^3-N442^3)-(MIN(O442,($N$4*0/10))^4-N442^4)/4,0)+IF(O442&gt;($N$4*0/10),($N$4*0/10)^2*(1.5*(O442^2-MAX(N442,($N$4*0/10))^2)-($N$4*0/10)*(O442-MAX(N442,($N$4*0/10)))),0))*1000,0)</f>
        <v>0</v>
      </c>
      <c r="AN442" s="120">
        <f>IF(AND(V442="OK",ISNUMBER($N$5),$N$5&gt;0,ISNUMBER($N$3),$N$3&gt;0),R442/(6*$N$3*1000000*$N$5)*(IF(N442&lt;($N$4*1/10),($N$4*1/10)*(MIN(O442,($N$4*1/10))^3-N442^3)-(MIN(O442,($N$4*1/10))^4-N442^4)/4,0)+IF(O442&gt;($N$4*1/10),($N$4*1/10)^2*(1.5*(O442^2-MAX(N442,($N$4*1/10))^2)-($N$4*1/10)*(O442-MAX(N442,($N$4*1/10)))),0))*1000,0)</f>
        <v>0</v>
      </c>
      <c r="AO442" s="120">
        <f>IF(AND(V442="OK",ISNUMBER($N$5),$N$5&gt;0,ISNUMBER($N$3),$N$3&gt;0),R442/(6*$N$3*1000000*$N$5)*(IF(N442&lt;($N$4*2/10),($N$4*2/10)*(MIN(O442,($N$4*2/10))^3-N442^3)-(MIN(O442,($N$4*2/10))^4-N442^4)/4,0)+IF(O442&gt;($N$4*2/10),($N$4*2/10)^2*(1.5*(O442^2-MAX(N442,($N$4*2/10))^2)-($N$4*2/10)*(O442-MAX(N442,($N$4*2/10)))),0))*1000,0)</f>
        <v>0</v>
      </c>
      <c r="AP442" s="120">
        <f>IF(AND(V442="OK",ISNUMBER($N$5),$N$5&gt;0,ISNUMBER($N$3),$N$3&gt;0),R442/(6*$N$3*1000000*$N$5)*(IF(N442&lt;($N$4*3/10),($N$4*3/10)*(MIN(O442,($N$4*3/10))^3-N442^3)-(MIN(O442,($N$4*3/10))^4-N442^4)/4,0)+IF(O442&gt;($N$4*3/10),($N$4*3/10)^2*(1.5*(O442^2-MAX(N442,($N$4*3/10))^2)-($N$4*3/10)*(O442-MAX(N442,($N$4*3/10)))),0))*1000,0)</f>
        <v>0</v>
      </c>
      <c r="AQ442" s="120">
        <f>IF(AND(V442="OK",ISNUMBER($N$5),$N$5&gt;0,ISNUMBER($N$3),$N$3&gt;0),R442/(6*$N$3*1000000*$N$5)*(IF(N442&lt;($N$4*4/10),($N$4*4/10)*(MIN(O442,($N$4*4/10))^3-N442^3)-(MIN(O442,($N$4*4/10))^4-N442^4)/4,0)+IF(O442&gt;($N$4*4/10),($N$4*4/10)^2*(1.5*(O442^2-MAX(N442,($N$4*4/10))^2)-($N$4*4/10)*(O442-MAX(N442,($N$4*4/10)))),0))*1000,0)</f>
        <v>0</v>
      </c>
      <c r="AR442" s="120">
        <f>IF(AND(V442="OK",ISNUMBER($N$5),$N$5&gt;0,ISNUMBER($N$3),$N$3&gt;0),R442/(6*$N$3*1000000*$N$5)*(IF(N442&lt;($N$4*5/10),($N$4*5/10)*(MIN(O442,($N$4*5/10))^3-N442^3)-(MIN(O442,($N$4*5/10))^4-N442^4)/4,0)+IF(O442&gt;($N$4*5/10),($N$4*5/10)^2*(1.5*(O442^2-MAX(N442,($N$4*5/10))^2)-($N$4*5/10)*(O442-MAX(N442,($N$4*5/10)))),0))*1000,0)</f>
        <v>0</v>
      </c>
      <c r="AS442" s="120">
        <f>IF(AND(V442="OK",ISNUMBER($N$5),$N$5&gt;0,ISNUMBER($N$3),$N$3&gt;0),R442/(6*$N$3*1000000*$N$5)*(IF(N442&lt;($N$4*6/10),($N$4*6/10)*(MIN(O442,($N$4*6/10))^3-N442^3)-(MIN(O442,($N$4*6/10))^4-N442^4)/4,0)+IF(O442&gt;($N$4*6/10),($N$4*6/10)^2*(1.5*(O442^2-MAX(N442,($N$4*6/10))^2)-($N$4*6/10)*(O442-MAX(N442,($N$4*6/10)))),0))*1000,0)</f>
        <v>0</v>
      </c>
      <c r="AT442" s="120">
        <f>IF(AND(V442="OK",ISNUMBER($N$5),$N$5&gt;0,ISNUMBER($N$3),$N$3&gt;0),R442/(6*$N$3*1000000*$N$5)*(IF(N442&lt;($N$4*7/10),($N$4*7/10)*(MIN(O442,($N$4*7/10))^3-N442^3)-(MIN(O442,($N$4*7/10))^4-N442^4)/4,0)+IF(O442&gt;($N$4*7/10),($N$4*7/10)^2*(1.5*(O442^2-MAX(N442,($N$4*7/10))^2)-($N$4*7/10)*(O442-MAX(N442,($N$4*7/10)))),0))*1000,0)</f>
        <v>0</v>
      </c>
      <c r="AU442" s="120">
        <f>IF(AND(V442="OK",ISNUMBER($N$5),$N$5&gt;0,ISNUMBER($N$3),$N$3&gt;0),R442/(6*$N$3*1000000*$N$5)*(IF(N442&lt;($N$4*8/10),($N$4*8/10)*(MIN(O442,($N$4*8/10))^3-N442^3)-(MIN(O442,($N$4*8/10))^4-N442^4)/4,0)+IF(O442&gt;($N$4*8/10),($N$4*8/10)^2*(1.5*(O442^2-MAX(N442,($N$4*8/10))^2)-($N$4*8/10)*(O442-MAX(N442,($N$4*8/10)))),0))*1000,0)</f>
        <v>0</v>
      </c>
      <c r="AV442" s="120">
        <f>IF(AND(V442="OK",ISNUMBER($N$5),$N$5&gt;0,ISNUMBER($N$3),$N$3&gt;0),R442/(6*$N$3*1000000*$N$5)*(IF(N442&lt;($N$4*9/10),($N$4*9/10)*(MIN(O442,($N$4*9/10))^3-N442^3)-(MIN(O442,($N$4*9/10))^4-N442^4)/4,0)+IF(O442&gt;($N$4*9/10),($N$4*9/10)^2*(1.5*(O442^2-MAX(N442,($N$4*9/10))^2)-($N$4*9/10)*(O442-MAX(N442,($N$4*9/10)))),0))*1000,0)</f>
        <v>0</v>
      </c>
      <c r="AW442" s="120">
        <f>IF(AND(V442="OK",ISNUMBER($N$5),$N$5&gt;0,ISNUMBER($N$3),$N$3&gt;0),R442/(6*$N$3*1000000*$N$5)*(IF(N442&lt;($N$4*10/10),($N$4*10/10)*(MIN(O442,($N$4*10/10))^3-N442^3)-(MIN(O442,($N$4*10/10))^4-N442^4)/4,0)+IF(O442&gt;($N$4*10/10),($N$4*10/10)^2*(1.5*(O442^2-MAX(N442,($N$4*10/10))^2)-($N$4*10/10)*(O442-MAX(N442,($N$4*10/10)))),0))*1000,0)</f>
        <v>0</v>
      </c>
    </row>
    <row r="443" spans="1:49">
      <c r="A443" s="124"/>
      <c r="B443" s="125"/>
      <c r="C443" s="125"/>
      <c r="D443" s="125"/>
      <c r="E443" s="125"/>
      <c r="F443" s="126" t="str">
        <f>IF(J443="OK",D443*E443,"")</f>
        <v/>
      </c>
      <c r="G443" s="126" t="str">
        <f>IF(J443="OK",F443*(C443-B443),"")</f>
        <v/>
      </c>
      <c r="H443" s="126" t="str">
        <f>IF(J443="OK",G443*(C443+B443)/2,"")</f>
        <v/>
      </c>
      <c r="I443" s="126" t="str">
        <f>IF(AND(J443="OK",ISNUMBER($B$5),$B$5&gt;0,ISNUMBER($B$3),$B$3&gt;0),F443*(4*$B$4*(C443^3-B443^3)-(C443^4-B443^4))/(24*$B$3*1000000*$B$5)*1000,"")</f>
        <v/>
      </c>
      <c r="J443" s="120" t="str">
        <f>IF(COUNTA(A443:E443)=0,"",IF(AND(COUNT(B443:E443)=4,B443&gt;=0,C443&gt;B443,C443&lt;=$B$4,D443&gt;=0,E443&gt;0),IF(COUNTIFS($B$13:$B$442,"&lt;"&amp;C443,$C$13:$C$442,"&gt;"&amp;B443)&gt;0,"OVERLAP","OK"),"CHECK INPUTS"))</f>
        <v/>
      </c>
      <c r="M443" s="124"/>
      <c r="N443" s="125"/>
      <c r="O443" s="125"/>
      <c r="P443" s="125"/>
      <c r="Q443" s="125"/>
      <c r="R443" s="126" t="str">
        <f>IF(V443="OK",P443*Q443,"")</f>
        <v/>
      </c>
      <c r="S443" s="126" t="str">
        <f>IF(V443="OK",R443*(O443-N443),"")</f>
        <v/>
      </c>
      <c r="T443" s="126" t="str">
        <f>IF(V443="OK",S443*(O443+N443)/2,"")</f>
        <v/>
      </c>
      <c r="U443" s="126" t="str">
        <f>IF(AND(V443="OK",ISNUMBER($N$5),$N$5&gt;0,ISNUMBER($N$3),$N$3&gt;0),R443*(4*$N$4*(O443^3-N443^3)-(O443^4-N443^4))/(24*$N$3*1000000*$N$5)*1000,"")</f>
        <v/>
      </c>
      <c r="V443" s="120" t="str">
        <f>IF(COUNTA(M443:Q443)=0,"",IF(AND(COUNT(N443:Q443)=4,N443&gt;=0,O443&gt;N443,O443&lt;=$N$4,P443&gt;=0,Q443&gt;0),IF(COUNTIFS($N$13:$N$442,"&lt;"&amp;O443,$O$13:$O$442,"&gt;"&amp;N443)&gt;0,"OVERLAP","OK"),"CHECK INPUTS"))</f>
        <v/>
      </c>
      <c r="AA443" s="120">
        <f>IF(AND(J443="OK",ISNUMBER($B$5),$B$5&gt;0,ISNUMBER($B$3),$B$3&gt;0),F443/(6*$B$3*1000000*$B$5)*(IF(B443&lt;($B$4*0/10),($B$4*0/10)*(MIN(C443,($B$4*0/10))^3-B443^3)-(MIN(C443,($B$4*0/10))^4-B443^4)/4,0)+IF(C443&gt;($B$4*0/10),($B$4*0/10)^2*(1.5*(C443^2-MAX(B443,($B$4*0/10))^2)-($B$4*0/10)*(C443-MAX(B443,($B$4*0/10)))),0))*1000,0)</f>
        <v>0</v>
      </c>
      <c r="AB443" s="120">
        <f>IF(AND(J443="OK",ISNUMBER($B$5),$B$5&gt;0,ISNUMBER($B$3),$B$3&gt;0),F443/(6*$B$3*1000000*$B$5)*(IF(B443&lt;($B$4*1/10),($B$4*1/10)*(MIN(C443,($B$4*1/10))^3-B443^3)-(MIN(C443,($B$4*1/10))^4-B443^4)/4,0)+IF(C443&gt;($B$4*1/10),($B$4*1/10)^2*(1.5*(C443^2-MAX(B443,($B$4*1/10))^2)-($B$4*1/10)*(C443-MAX(B443,($B$4*1/10)))),0))*1000,0)</f>
        <v>0</v>
      </c>
      <c r="AC443" s="120">
        <f>IF(AND(J443="OK",ISNUMBER($B$5),$B$5&gt;0,ISNUMBER($B$3),$B$3&gt;0),F443/(6*$B$3*1000000*$B$5)*(IF(B443&lt;($B$4*2/10),($B$4*2/10)*(MIN(C443,($B$4*2/10))^3-B443^3)-(MIN(C443,($B$4*2/10))^4-B443^4)/4,0)+IF(C443&gt;($B$4*2/10),($B$4*2/10)^2*(1.5*(C443^2-MAX(B443,($B$4*2/10))^2)-($B$4*2/10)*(C443-MAX(B443,($B$4*2/10)))),0))*1000,0)</f>
        <v>0</v>
      </c>
      <c r="AD443" s="120">
        <f>IF(AND(J443="OK",ISNUMBER($B$5),$B$5&gt;0,ISNUMBER($B$3),$B$3&gt;0),F443/(6*$B$3*1000000*$B$5)*(IF(B443&lt;($B$4*3/10),($B$4*3/10)*(MIN(C443,($B$4*3/10))^3-B443^3)-(MIN(C443,($B$4*3/10))^4-B443^4)/4,0)+IF(C443&gt;($B$4*3/10),($B$4*3/10)^2*(1.5*(C443^2-MAX(B443,($B$4*3/10))^2)-($B$4*3/10)*(C443-MAX(B443,($B$4*3/10)))),0))*1000,0)</f>
        <v>0</v>
      </c>
      <c r="AE443" s="120">
        <f>IF(AND(J443="OK",ISNUMBER($B$5),$B$5&gt;0,ISNUMBER($B$3),$B$3&gt;0),F443/(6*$B$3*1000000*$B$5)*(IF(B443&lt;($B$4*4/10),($B$4*4/10)*(MIN(C443,($B$4*4/10))^3-B443^3)-(MIN(C443,($B$4*4/10))^4-B443^4)/4,0)+IF(C443&gt;($B$4*4/10),($B$4*4/10)^2*(1.5*(C443^2-MAX(B443,($B$4*4/10))^2)-($B$4*4/10)*(C443-MAX(B443,($B$4*4/10)))),0))*1000,0)</f>
        <v>0</v>
      </c>
      <c r="AF443" s="120">
        <f>IF(AND(J443="OK",ISNUMBER($B$5),$B$5&gt;0,ISNUMBER($B$3),$B$3&gt;0),F443/(6*$B$3*1000000*$B$5)*(IF(B443&lt;($B$4*5/10),($B$4*5/10)*(MIN(C443,($B$4*5/10))^3-B443^3)-(MIN(C443,($B$4*5/10))^4-B443^4)/4,0)+IF(C443&gt;($B$4*5/10),($B$4*5/10)^2*(1.5*(C443^2-MAX(B443,($B$4*5/10))^2)-($B$4*5/10)*(C443-MAX(B443,($B$4*5/10)))),0))*1000,0)</f>
        <v>0</v>
      </c>
      <c r="AG443" s="120">
        <f>IF(AND(J443="OK",ISNUMBER($B$5),$B$5&gt;0,ISNUMBER($B$3),$B$3&gt;0),F443/(6*$B$3*1000000*$B$5)*(IF(B443&lt;($B$4*6/10),($B$4*6/10)*(MIN(C443,($B$4*6/10))^3-B443^3)-(MIN(C443,($B$4*6/10))^4-B443^4)/4,0)+IF(C443&gt;($B$4*6/10),($B$4*6/10)^2*(1.5*(C443^2-MAX(B443,($B$4*6/10))^2)-($B$4*6/10)*(C443-MAX(B443,($B$4*6/10)))),0))*1000,0)</f>
        <v>0</v>
      </c>
      <c r="AH443" s="120">
        <f>IF(AND(J443="OK",ISNUMBER($B$5),$B$5&gt;0,ISNUMBER($B$3),$B$3&gt;0),F443/(6*$B$3*1000000*$B$5)*(IF(B443&lt;($B$4*7/10),($B$4*7/10)*(MIN(C443,($B$4*7/10))^3-B443^3)-(MIN(C443,($B$4*7/10))^4-B443^4)/4,0)+IF(C443&gt;($B$4*7/10),($B$4*7/10)^2*(1.5*(C443^2-MAX(B443,($B$4*7/10))^2)-($B$4*7/10)*(C443-MAX(B443,($B$4*7/10)))),0))*1000,0)</f>
        <v>0</v>
      </c>
      <c r="AI443" s="120">
        <f>IF(AND(J443="OK",ISNUMBER($B$5),$B$5&gt;0,ISNUMBER($B$3),$B$3&gt;0),F443/(6*$B$3*1000000*$B$5)*(IF(B443&lt;($B$4*8/10),($B$4*8/10)*(MIN(C443,($B$4*8/10))^3-B443^3)-(MIN(C443,($B$4*8/10))^4-B443^4)/4,0)+IF(C443&gt;($B$4*8/10),($B$4*8/10)^2*(1.5*(C443^2-MAX(B443,($B$4*8/10))^2)-($B$4*8/10)*(C443-MAX(B443,($B$4*8/10)))),0))*1000,0)</f>
        <v>0</v>
      </c>
      <c r="AJ443" s="120">
        <f>IF(AND(J443="OK",ISNUMBER($B$5),$B$5&gt;0,ISNUMBER($B$3),$B$3&gt;0),F443/(6*$B$3*1000000*$B$5)*(IF(B443&lt;($B$4*9/10),($B$4*9/10)*(MIN(C443,($B$4*9/10))^3-B443^3)-(MIN(C443,($B$4*9/10))^4-B443^4)/4,0)+IF(C443&gt;($B$4*9/10),($B$4*9/10)^2*(1.5*(C443^2-MAX(B443,($B$4*9/10))^2)-($B$4*9/10)*(C443-MAX(B443,($B$4*9/10)))),0))*1000,0)</f>
        <v>0</v>
      </c>
      <c r="AK443" s="120">
        <f>IF(AND(J443="OK",ISNUMBER($B$5),$B$5&gt;0,ISNUMBER($B$3),$B$3&gt;0),F443/(6*$B$3*1000000*$B$5)*(IF(B443&lt;($B$4*10/10),($B$4*10/10)*(MIN(C443,($B$4*10/10))^3-B443^3)-(MIN(C443,($B$4*10/10))^4-B443^4)/4,0)+IF(C443&gt;($B$4*10/10),($B$4*10/10)^2*(1.5*(C443^2-MAX(B443,($B$4*10/10))^2)-($B$4*10/10)*(C443-MAX(B443,($B$4*10/10)))),0))*1000,0)</f>
        <v>0</v>
      </c>
      <c r="AM443" s="120">
        <f>IF(AND(V443="OK",ISNUMBER($N$5),$N$5&gt;0,ISNUMBER($N$3),$N$3&gt;0),R443/(6*$N$3*1000000*$N$5)*(IF(N443&lt;($N$4*0/10),($N$4*0/10)*(MIN(O443,($N$4*0/10))^3-N443^3)-(MIN(O443,($N$4*0/10))^4-N443^4)/4,0)+IF(O443&gt;($N$4*0/10),($N$4*0/10)^2*(1.5*(O443^2-MAX(N443,($N$4*0/10))^2)-($N$4*0/10)*(O443-MAX(N443,($N$4*0/10)))),0))*1000,0)</f>
        <v>0</v>
      </c>
      <c r="AN443" s="120">
        <f>IF(AND(V443="OK",ISNUMBER($N$5),$N$5&gt;0,ISNUMBER($N$3),$N$3&gt;0),R443/(6*$N$3*1000000*$N$5)*(IF(N443&lt;($N$4*1/10),($N$4*1/10)*(MIN(O443,($N$4*1/10))^3-N443^3)-(MIN(O443,($N$4*1/10))^4-N443^4)/4,0)+IF(O443&gt;($N$4*1/10),($N$4*1/10)^2*(1.5*(O443^2-MAX(N443,($N$4*1/10))^2)-($N$4*1/10)*(O443-MAX(N443,($N$4*1/10)))),0))*1000,0)</f>
        <v>0</v>
      </c>
      <c r="AO443" s="120">
        <f>IF(AND(V443="OK",ISNUMBER($N$5),$N$5&gt;0,ISNUMBER($N$3),$N$3&gt;0),R443/(6*$N$3*1000000*$N$5)*(IF(N443&lt;($N$4*2/10),($N$4*2/10)*(MIN(O443,($N$4*2/10))^3-N443^3)-(MIN(O443,($N$4*2/10))^4-N443^4)/4,0)+IF(O443&gt;($N$4*2/10),($N$4*2/10)^2*(1.5*(O443^2-MAX(N443,($N$4*2/10))^2)-($N$4*2/10)*(O443-MAX(N443,($N$4*2/10)))),0))*1000,0)</f>
        <v>0</v>
      </c>
      <c r="AP443" s="120">
        <f>IF(AND(V443="OK",ISNUMBER($N$5),$N$5&gt;0,ISNUMBER($N$3),$N$3&gt;0),R443/(6*$N$3*1000000*$N$5)*(IF(N443&lt;($N$4*3/10),($N$4*3/10)*(MIN(O443,($N$4*3/10))^3-N443^3)-(MIN(O443,($N$4*3/10))^4-N443^4)/4,0)+IF(O443&gt;($N$4*3/10),($N$4*3/10)^2*(1.5*(O443^2-MAX(N443,($N$4*3/10))^2)-($N$4*3/10)*(O443-MAX(N443,($N$4*3/10)))),0))*1000,0)</f>
        <v>0</v>
      </c>
      <c r="AQ443" s="120">
        <f>IF(AND(V443="OK",ISNUMBER($N$5),$N$5&gt;0,ISNUMBER($N$3),$N$3&gt;0),R443/(6*$N$3*1000000*$N$5)*(IF(N443&lt;($N$4*4/10),($N$4*4/10)*(MIN(O443,($N$4*4/10))^3-N443^3)-(MIN(O443,($N$4*4/10))^4-N443^4)/4,0)+IF(O443&gt;($N$4*4/10),($N$4*4/10)^2*(1.5*(O443^2-MAX(N443,($N$4*4/10))^2)-($N$4*4/10)*(O443-MAX(N443,($N$4*4/10)))),0))*1000,0)</f>
        <v>0</v>
      </c>
      <c r="AR443" s="120">
        <f>IF(AND(V443="OK",ISNUMBER($N$5),$N$5&gt;0,ISNUMBER($N$3),$N$3&gt;0),R443/(6*$N$3*1000000*$N$5)*(IF(N443&lt;($N$4*5/10),($N$4*5/10)*(MIN(O443,($N$4*5/10))^3-N443^3)-(MIN(O443,($N$4*5/10))^4-N443^4)/4,0)+IF(O443&gt;($N$4*5/10),($N$4*5/10)^2*(1.5*(O443^2-MAX(N443,($N$4*5/10))^2)-($N$4*5/10)*(O443-MAX(N443,($N$4*5/10)))),0))*1000,0)</f>
        <v>0</v>
      </c>
      <c r="AS443" s="120">
        <f>IF(AND(V443="OK",ISNUMBER($N$5),$N$5&gt;0,ISNUMBER($N$3),$N$3&gt;0),R443/(6*$N$3*1000000*$N$5)*(IF(N443&lt;($N$4*6/10),($N$4*6/10)*(MIN(O443,($N$4*6/10))^3-N443^3)-(MIN(O443,($N$4*6/10))^4-N443^4)/4,0)+IF(O443&gt;($N$4*6/10),($N$4*6/10)^2*(1.5*(O443^2-MAX(N443,($N$4*6/10))^2)-($N$4*6/10)*(O443-MAX(N443,($N$4*6/10)))),0))*1000,0)</f>
        <v>0</v>
      </c>
      <c r="AT443" s="120">
        <f>IF(AND(V443="OK",ISNUMBER($N$5),$N$5&gt;0,ISNUMBER($N$3),$N$3&gt;0),R443/(6*$N$3*1000000*$N$5)*(IF(N443&lt;($N$4*7/10),($N$4*7/10)*(MIN(O443,($N$4*7/10))^3-N443^3)-(MIN(O443,($N$4*7/10))^4-N443^4)/4,0)+IF(O443&gt;($N$4*7/10),($N$4*7/10)^2*(1.5*(O443^2-MAX(N443,($N$4*7/10))^2)-($N$4*7/10)*(O443-MAX(N443,($N$4*7/10)))),0))*1000,0)</f>
        <v>0</v>
      </c>
      <c r="AU443" s="120">
        <f>IF(AND(V443="OK",ISNUMBER($N$5),$N$5&gt;0,ISNUMBER($N$3),$N$3&gt;0),R443/(6*$N$3*1000000*$N$5)*(IF(N443&lt;($N$4*8/10),($N$4*8/10)*(MIN(O443,($N$4*8/10))^3-N443^3)-(MIN(O443,($N$4*8/10))^4-N443^4)/4,0)+IF(O443&gt;($N$4*8/10),($N$4*8/10)^2*(1.5*(O443^2-MAX(N443,($N$4*8/10))^2)-($N$4*8/10)*(O443-MAX(N443,($N$4*8/10)))),0))*1000,0)</f>
        <v>0</v>
      </c>
      <c r="AV443" s="120">
        <f>IF(AND(V443="OK",ISNUMBER($N$5),$N$5&gt;0,ISNUMBER($N$3),$N$3&gt;0),R443/(6*$N$3*1000000*$N$5)*(IF(N443&lt;($N$4*9/10),($N$4*9/10)*(MIN(O443,($N$4*9/10))^3-N443^3)-(MIN(O443,($N$4*9/10))^4-N443^4)/4,0)+IF(O443&gt;($N$4*9/10),($N$4*9/10)^2*(1.5*(O443^2-MAX(N443,($N$4*9/10))^2)-($N$4*9/10)*(O443-MAX(N443,($N$4*9/10)))),0))*1000,0)</f>
        <v>0</v>
      </c>
      <c r="AW443" s="120">
        <f>IF(AND(V443="OK",ISNUMBER($N$5),$N$5&gt;0,ISNUMBER($N$3),$N$3&gt;0),R443/(6*$N$3*1000000*$N$5)*(IF(N443&lt;($N$4*10/10),($N$4*10/10)*(MIN(O443,($N$4*10/10))^3-N443^3)-(MIN(O443,($N$4*10/10))^4-N443^4)/4,0)+IF(O443&gt;($N$4*10/10),($N$4*10/10)^2*(1.5*(O443^2-MAX(N443,($N$4*10/10))^2)-($N$4*10/10)*(O443-MAX(N443,($N$4*10/10)))),0))*1000,0)</f>
        <v>0</v>
      </c>
    </row>
    <row r="444" spans="1:49">
      <c r="A444" s="124"/>
      <c r="B444" s="125"/>
      <c r="C444" s="125"/>
      <c r="D444" s="125"/>
      <c r="E444" s="125"/>
      <c r="F444" s="126" t="str">
        <f>IF(J444="OK",D444*E444,"")</f>
        <v/>
      </c>
      <c r="G444" s="126" t="str">
        <f>IF(J444="OK",F444*(C444-B444),"")</f>
        <v/>
      </c>
      <c r="H444" s="126" t="str">
        <f>IF(J444="OK",G444*(C444+B444)/2,"")</f>
        <v/>
      </c>
      <c r="I444" s="126" t="str">
        <f>IF(AND(J444="OK",ISNUMBER($B$5),$B$5&gt;0,ISNUMBER($B$3),$B$3&gt;0),F444*(4*$B$4*(C444^3-B444^3)-(C444^4-B444^4))/(24*$B$3*1000000*$B$5)*1000,"")</f>
        <v/>
      </c>
      <c r="J444" s="120" t="str">
        <f>IF(COUNTA(A444:E444)=0,"",IF(AND(COUNT(B444:E444)=4,B444&gt;=0,C444&gt;B444,C444&lt;=$B$4,D444&gt;=0,E444&gt;0),IF(COUNTIFS($B$13:$B$443,"&lt;"&amp;C444,$C$13:$C$443,"&gt;"&amp;B444)&gt;0,"OVERLAP","OK"),"CHECK INPUTS"))</f>
        <v/>
      </c>
      <c r="M444" s="124"/>
      <c r="N444" s="125"/>
      <c r="O444" s="125"/>
      <c r="P444" s="125"/>
      <c r="Q444" s="125"/>
      <c r="R444" s="126" t="str">
        <f>IF(V444="OK",P444*Q444,"")</f>
        <v/>
      </c>
      <c r="S444" s="126" t="str">
        <f>IF(V444="OK",R444*(O444-N444),"")</f>
        <v/>
      </c>
      <c r="T444" s="126" t="str">
        <f>IF(V444="OK",S444*(O444+N444)/2,"")</f>
        <v/>
      </c>
      <c r="U444" s="126" t="str">
        <f>IF(AND(V444="OK",ISNUMBER($N$5),$N$5&gt;0,ISNUMBER($N$3),$N$3&gt;0),R444*(4*$N$4*(O444^3-N444^3)-(O444^4-N444^4))/(24*$N$3*1000000*$N$5)*1000,"")</f>
        <v/>
      </c>
      <c r="V444" s="120" t="str">
        <f>IF(COUNTA(M444:Q444)=0,"",IF(AND(COUNT(N444:Q444)=4,N444&gt;=0,O444&gt;N444,O444&lt;=$N$4,P444&gt;=0,Q444&gt;0),IF(COUNTIFS($N$13:$N$443,"&lt;"&amp;O444,$O$13:$O$443,"&gt;"&amp;N444)&gt;0,"OVERLAP","OK"),"CHECK INPUTS"))</f>
        <v/>
      </c>
      <c r="AA444" s="120">
        <f>IF(AND(J444="OK",ISNUMBER($B$5),$B$5&gt;0,ISNUMBER($B$3),$B$3&gt;0),F444/(6*$B$3*1000000*$B$5)*(IF(B444&lt;($B$4*0/10),($B$4*0/10)*(MIN(C444,($B$4*0/10))^3-B444^3)-(MIN(C444,($B$4*0/10))^4-B444^4)/4,0)+IF(C444&gt;($B$4*0/10),($B$4*0/10)^2*(1.5*(C444^2-MAX(B444,($B$4*0/10))^2)-($B$4*0/10)*(C444-MAX(B444,($B$4*0/10)))),0))*1000,0)</f>
        <v>0</v>
      </c>
      <c r="AB444" s="120">
        <f>IF(AND(J444="OK",ISNUMBER($B$5),$B$5&gt;0,ISNUMBER($B$3),$B$3&gt;0),F444/(6*$B$3*1000000*$B$5)*(IF(B444&lt;($B$4*1/10),($B$4*1/10)*(MIN(C444,($B$4*1/10))^3-B444^3)-(MIN(C444,($B$4*1/10))^4-B444^4)/4,0)+IF(C444&gt;($B$4*1/10),($B$4*1/10)^2*(1.5*(C444^2-MAX(B444,($B$4*1/10))^2)-($B$4*1/10)*(C444-MAX(B444,($B$4*1/10)))),0))*1000,0)</f>
        <v>0</v>
      </c>
      <c r="AC444" s="120">
        <f>IF(AND(J444="OK",ISNUMBER($B$5),$B$5&gt;0,ISNUMBER($B$3),$B$3&gt;0),F444/(6*$B$3*1000000*$B$5)*(IF(B444&lt;($B$4*2/10),($B$4*2/10)*(MIN(C444,($B$4*2/10))^3-B444^3)-(MIN(C444,($B$4*2/10))^4-B444^4)/4,0)+IF(C444&gt;($B$4*2/10),($B$4*2/10)^2*(1.5*(C444^2-MAX(B444,($B$4*2/10))^2)-($B$4*2/10)*(C444-MAX(B444,($B$4*2/10)))),0))*1000,0)</f>
        <v>0</v>
      </c>
      <c r="AD444" s="120">
        <f>IF(AND(J444="OK",ISNUMBER($B$5),$B$5&gt;0,ISNUMBER($B$3),$B$3&gt;0),F444/(6*$B$3*1000000*$B$5)*(IF(B444&lt;($B$4*3/10),($B$4*3/10)*(MIN(C444,($B$4*3/10))^3-B444^3)-(MIN(C444,($B$4*3/10))^4-B444^4)/4,0)+IF(C444&gt;($B$4*3/10),($B$4*3/10)^2*(1.5*(C444^2-MAX(B444,($B$4*3/10))^2)-($B$4*3/10)*(C444-MAX(B444,($B$4*3/10)))),0))*1000,0)</f>
        <v>0</v>
      </c>
      <c r="AE444" s="120">
        <f>IF(AND(J444="OK",ISNUMBER($B$5),$B$5&gt;0,ISNUMBER($B$3),$B$3&gt;0),F444/(6*$B$3*1000000*$B$5)*(IF(B444&lt;($B$4*4/10),($B$4*4/10)*(MIN(C444,($B$4*4/10))^3-B444^3)-(MIN(C444,($B$4*4/10))^4-B444^4)/4,0)+IF(C444&gt;($B$4*4/10),($B$4*4/10)^2*(1.5*(C444^2-MAX(B444,($B$4*4/10))^2)-($B$4*4/10)*(C444-MAX(B444,($B$4*4/10)))),0))*1000,0)</f>
        <v>0</v>
      </c>
      <c r="AF444" s="120">
        <f>IF(AND(J444="OK",ISNUMBER($B$5),$B$5&gt;0,ISNUMBER($B$3),$B$3&gt;0),F444/(6*$B$3*1000000*$B$5)*(IF(B444&lt;($B$4*5/10),($B$4*5/10)*(MIN(C444,($B$4*5/10))^3-B444^3)-(MIN(C444,($B$4*5/10))^4-B444^4)/4,0)+IF(C444&gt;($B$4*5/10),($B$4*5/10)^2*(1.5*(C444^2-MAX(B444,($B$4*5/10))^2)-($B$4*5/10)*(C444-MAX(B444,($B$4*5/10)))),0))*1000,0)</f>
        <v>0</v>
      </c>
      <c r="AG444" s="120">
        <f>IF(AND(J444="OK",ISNUMBER($B$5),$B$5&gt;0,ISNUMBER($B$3),$B$3&gt;0),F444/(6*$B$3*1000000*$B$5)*(IF(B444&lt;($B$4*6/10),($B$4*6/10)*(MIN(C444,($B$4*6/10))^3-B444^3)-(MIN(C444,($B$4*6/10))^4-B444^4)/4,0)+IF(C444&gt;($B$4*6/10),($B$4*6/10)^2*(1.5*(C444^2-MAX(B444,($B$4*6/10))^2)-($B$4*6/10)*(C444-MAX(B444,($B$4*6/10)))),0))*1000,0)</f>
        <v>0</v>
      </c>
      <c r="AH444" s="120">
        <f>IF(AND(J444="OK",ISNUMBER($B$5),$B$5&gt;0,ISNUMBER($B$3),$B$3&gt;0),F444/(6*$B$3*1000000*$B$5)*(IF(B444&lt;($B$4*7/10),($B$4*7/10)*(MIN(C444,($B$4*7/10))^3-B444^3)-(MIN(C444,($B$4*7/10))^4-B444^4)/4,0)+IF(C444&gt;($B$4*7/10),($B$4*7/10)^2*(1.5*(C444^2-MAX(B444,($B$4*7/10))^2)-($B$4*7/10)*(C444-MAX(B444,($B$4*7/10)))),0))*1000,0)</f>
        <v>0</v>
      </c>
      <c r="AI444" s="120">
        <f>IF(AND(J444="OK",ISNUMBER($B$5),$B$5&gt;0,ISNUMBER($B$3),$B$3&gt;0),F444/(6*$B$3*1000000*$B$5)*(IF(B444&lt;($B$4*8/10),($B$4*8/10)*(MIN(C444,($B$4*8/10))^3-B444^3)-(MIN(C444,($B$4*8/10))^4-B444^4)/4,0)+IF(C444&gt;($B$4*8/10),($B$4*8/10)^2*(1.5*(C444^2-MAX(B444,($B$4*8/10))^2)-($B$4*8/10)*(C444-MAX(B444,($B$4*8/10)))),0))*1000,0)</f>
        <v>0</v>
      </c>
      <c r="AJ444" s="120">
        <f>IF(AND(J444="OK",ISNUMBER($B$5),$B$5&gt;0,ISNUMBER($B$3),$B$3&gt;0),F444/(6*$B$3*1000000*$B$5)*(IF(B444&lt;($B$4*9/10),($B$4*9/10)*(MIN(C444,($B$4*9/10))^3-B444^3)-(MIN(C444,($B$4*9/10))^4-B444^4)/4,0)+IF(C444&gt;($B$4*9/10),($B$4*9/10)^2*(1.5*(C444^2-MAX(B444,($B$4*9/10))^2)-($B$4*9/10)*(C444-MAX(B444,($B$4*9/10)))),0))*1000,0)</f>
        <v>0</v>
      </c>
      <c r="AK444" s="120">
        <f>IF(AND(J444="OK",ISNUMBER($B$5),$B$5&gt;0,ISNUMBER($B$3),$B$3&gt;0),F444/(6*$B$3*1000000*$B$5)*(IF(B444&lt;($B$4*10/10),($B$4*10/10)*(MIN(C444,($B$4*10/10))^3-B444^3)-(MIN(C444,($B$4*10/10))^4-B444^4)/4,0)+IF(C444&gt;($B$4*10/10),($B$4*10/10)^2*(1.5*(C444^2-MAX(B444,($B$4*10/10))^2)-($B$4*10/10)*(C444-MAX(B444,($B$4*10/10)))),0))*1000,0)</f>
        <v>0</v>
      </c>
      <c r="AM444" s="120">
        <f>IF(AND(V444="OK",ISNUMBER($N$5),$N$5&gt;0,ISNUMBER($N$3),$N$3&gt;0),R444/(6*$N$3*1000000*$N$5)*(IF(N444&lt;($N$4*0/10),($N$4*0/10)*(MIN(O444,($N$4*0/10))^3-N444^3)-(MIN(O444,($N$4*0/10))^4-N444^4)/4,0)+IF(O444&gt;($N$4*0/10),($N$4*0/10)^2*(1.5*(O444^2-MAX(N444,($N$4*0/10))^2)-($N$4*0/10)*(O444-MAX(N444,($N$4*0/10)))),0))*1000,0)</f>
        <v>0</v>
      </c>
      <c r="AN444" s="120">
        <f>IF(AND(V444="OK",ISNUMBER($N$5),$N$5&gt;0,ISNUMBER($N$3),$N$3&gt;0),R444/(6*$N$3*1000000*$N$5)*(IF(N444&lt;($N$4*1/10),($N$4*1/10)*(MIN(O444,($N$4*1/10))^3-N444^3)-(MIN(O444,($N$4*1/10))^4-N444^4)/4,0)+IF(O444&gt;($N$4*1/10),($N$4*1/10)^2*(1.5*(O444^2-MAX(N444,($N$4*1/10))^2)-($N$4*1/10)*(O444-MAX(N444,($N$4*1/10)))),0))*1000,0)</f>
        <v>0</v>
      </c>
      <c r="AO444" s="120">
        <f>IF(AND(V444="OK",ISNUMBER($N$5),$N$5&gt;0,ISNUMBER($N$3),$N$3&gt;0),R444/(6*$N$3*1000000*$N$5)*(IF(N444&lt;($N$4*2/10),($N$4*2/10)*(MIN(O444,($N$4*2/10))^3-N444^3)-(MIN(O444,($N$4*2/10))^4-N444^4)/4,0)+IF(O444&gt;($N$4*2/10),($N$4*2/10)^2*(1.5*(O444^2-MAX(N444,($N$4*2/10))^2)-($N$4*2/10)*(O444-MAX(N444,($N$4*2/10)))),0))*1000,0)</f>
        <v>0</v>
      </c>
      <c r="AP444" s="120">
        <f>IF(AND(V444="OK",ISNUMBER($N$5),$N$5&gt;0,ISNUMBER($N$3),$N$3&gt;0),R444/(6*$N$3*1000000*$N$5)*(IF(N444&lt;($N$4*3/10),($N$4*3/10)*(MIN(O444,($N$4*3/10))^3-N444^3)-(MIN(O444,($N$4*3/10))^4-N444^4)/4,0)+IF(O444&gt;($N$4*3/10),($N$4*3/10)^2*(1.5*(O444^2-MAX(N444,($N$4*3/10))^2)-($N$4*3/10)*(O444-MAX(N444,($N$4*3/10)))),0))*1000,0)</f>
        <v>0</v>
      </c>
      <c r="AQ444" s="120">
        <f>IF(AND(V444="OK",ISNUMBER($N$5),$N$5&gt;0,ISNUMBER($N$3),$N$3&gt;0),R444/(6*$N$3*1000000*$N$5)*(IF(N444&lt;($N$4*4/10),($N$4*4/10)*(MIN(O444,($N$4*4/10))^3-N444^3)-(MIN(O444,($N$4*4/10))^4-N444^4)/4,0)+IF(O444&gt;($N$4*4/10),($N$4*4/10)^2*(1.5*(O444^2-MAX(N444,($N$4*4/10))^2)-($N$4*4/10)*(O444-MAX(N444,($N$4*4/10)))),0))*1000,0)</f>
        <v>0</v>
      </c>
      <c r="AR444" s="120">
        <f>IF(AND(V444="OK",ISNUMBER($N$5),$N$5&gt;0,ISNUMBER($N$3),$N$3&gt;0),R444/(6*$N$3*1000000*$N$5)*(IF(N444&lt;($N$4*5/10),($N$4*5/10)*(MIN(O444,($N$4*5/10))^3-N444^3)-(MIN(O444,($N$4*5/10))^4-N444^4)/4,0)+IF(O444&gt;($N$4*5/10),($N$4*5/10)^2*(1.5*(O444^2-MAX(N444,($N$4*5/10))^2)-($N$4*5/10)*(O444-MAX(N444,($N$4*5/10)))),0))*1000,0)</f>
        <v>0</v>
      </c>
      <c r="AS444" s="120">
        <f>IF(AND(V444="OK",ISNUMBER($N$5),$N$5&gt;0,ISNUMBER($N$3),$N$3&gt;0),R444/(6*$N$3*1000000*$N$5)*(IF(N444&lt;($N$4*6/10),($N$4*6/10)*(MIN(O444,($N$4*6/10))^3-N444^3)-(MIN(O444,($N$4*6/10))^4-N444^4)/4,0)+IF(O444&gt;($N$4*6/10),($N$4*6/10)^2*(1.5*(O444^2-MAX(N444,($N$4*6/10))^2)-($N$4*6/10)*(O444-MAX(N444,($N$4*6/10)))),0))*1000,0)</f>
        <v>0</v>
      </c>
      <c r="AT444" s="120">
        <f>IF(AND(V444="OK",ISNUMBER($N$5),$N$5&gt;0,ISNUMBER($N$3),$N$3&gt;0),R444/(6*$N$3*1000000*$N$5)*(IF(N444&lt;($N$4*7/10),($N$4*7/10)*(MIN(O444,($N$4*7/10))^3-N444^3)-(MIN(O444,($N$4*7/10))^4-N444^4)/4,0)+IF(O444&gt;($N$4*7/10),($N$4*7/10)^2*(1.5*(O444^2-MAX(N444,($N$4*7/10))^2)-($N$4*7/10)*(O444-MAX(N444,($N$4*7/10)))),0))*1000,0)</f>
        <v>0</v>
      </c>
      <c r="AU444" s="120">
        <f>IF(AND(V444="OK",ISNUMBER($N$5),$N$5&gt;0,ISNUMBER($N$3),$N$3&gt;0),R444/(6*$N$3*1000000*$N$5)*(IF(N444&lt;($N$4*8/10),($N$4*8/10)*(MIN(O444,($N$4*8/10))^3-N444^3)-(MIN(O444,($N$4*8/10))^4-N444^4)/4,0)+IF(O444&gt;($N$4*8/10),($N$4*8/10)^2*(1.5*(O444^2-MAX(N444,($N$4*8/10))^2)-($N$4*8/10)*(O444-MAX(N444,($N$4*8/10)))),0))*1000,0)</f>
        <v>0</v>
      </c>
      <c r="AV444" s="120">
        <f>IF(AND(V444="OK",ISNUMBER($N$5),$N$5&gt;0,ISNUMBER($N$3),$N$3&gt;0),R444/(6*$N$3*1000000*$N$5)*(IF(N444&lt;($N$4*9/10),($N$4*9/10)*(MIN(O444,($N$4*9/10))^3-N444^3)-(MIN(O444,($N$4*9/10))^4-N444^4)/4,0)+IF(O444&gt;($N$4*9/10),($N$4*9/10)^2*(1.5*(O444^2-MAX(N444,($N$4*9/10))^2)-($N$4*9/10)*(O444-MAX(N444,($N$4*9/10)))),0))*1000,0)</f>
        <v>0</v>
      </c>
      <c r="AW444" s="120">
        <f>IF(AND(V444="OK",ISNUMBER($N$5),$N$5&gt;0,ISNUMBER($N$3),$N$3&gt;0),R444/(6*$N$3*1000000*$N$5)*(IF(N444&lt;($N$4*10/10),($N$4*10/10)*(MIN(O444,($N$4*10/10))^3-N444^3)-(MIN(O444,($N$4*10/10))^4-N444^4)/4,0)+IF(O444&gt;($N$4*10/10),($N$4*10/10)^2*(1.5*(O444^2-MAX(N444,($N$4*10/10))^2)-($N$4*10/10)*(O444-MAX(N444,($N$4*10/10)))),0))*1000,0)</f>
        <v>0</v>
      </c>
    </row>
    <row r="445" spans="1:49">
      <c r="A445" s="124"/>
      <c r="B445" s="125"/>
      <c r="C445" s="125"/>
      <c r="D445" s="125"/>
      <c r="E445" s="125"/>
      <c r="F445" s="126" t="str">
        <f>IF(J445="OK",D445*E445,"")</f>
        <v/>
      </c>
      <c r="G445" s="126" t="str">
        <f>IF(J445="OK",F445*(C445-B445),"")</f>
        <v/>
      </c>
      <c r="H445" s="126" t="str">
        <f>IF(J445="OK",G445*(C445+B445)/2,"")</f>
        <v/>
      </c>
      <c r="I445" s="126" t="str">
        <f>IF(AND(J445="OK",ISNUMBER($B$5),$B$5&gt;0,ISNUMBER($B$3),$B$3&gt;0),F445*(4*$B$4*(C445^3-B445^3)-(C445^4-B445^4))/(24*$B$3*1000000*$B$5)*1000,"")</f>
        <v/>
      </c>
      <c r="J445" s="120" t="str">
        <f>IF(COUNTA(A445:E445)=0,"",IF(AND(COUNT(B445:E445)=4,B445&gt;=0,C445&gt;B445,C445&lt;=$B$4,D445&gt;=0,E445&gt;0),IF(COUNTIFS($B$13:$B$444,"&lt;"&amp;C445,$C$13:$C$444,"&gt;"&amp;B445)&gt;0,"OVERLAP","OK"),"CHECK INPUTS"))</f>
        <v/>
      </c>
      <c r="M445" s="124"/>
      <c r="N445" s="125"/>
      <c r="O445" s="125"/>
      <c r="P445" s="125"/>
      <c r="Q445" s="125"/>
      <c r="R445" s="126" t="str">
        <f>IF(V445="OK",P445*Q445,"")</f>
        <v/>
      </c>
      <c r="S445" s="126" t="str">
        <f>IF(V445="OK",R445*(O445-N445),"")</f>
        <v/>
      </c>
      <c r="T445" s="126" t="str">
        <f>IF(V445="OK",S445*(O445+N445)/2,"")</f>
        <v/>
      </c>
      <c r="U445" s="126" t="str">
        <f>IF(AND(V445="OK",ISNUMBER($N$5),$N$5&gt;0,ISNUMBER($N$3),$N$3&gt;0),R445*(4*$N$4*(O445^3-N445^3)-(O445^4-N445^4))/(24*$N$3*1000000*$N$5)*1000,"")</f>
        <v/>
      </c>
      <c r="V445" s="120" t="str">
        <f>IF(COUNTA(M445:Q445)=0,"",IF(AND(COUNT(N445:Q445)=4,N445&gt;=0,O445&gt;N445,O445&lt;=$N$4,P445&gt;=0,Q445&gt;0),IF(COUNTIFS($N$13:$N$444,"&lt;"&amp;O445,$O$13:$O$444,"&gt;"&amp;N445)&gt;0,"OVERLAP","OK"),"CHECK INPUTS"))</f>
        <v/>
      </c>
      <c r="AA445" s="120">
        <f>IF(AND(J445="OK",ISNUMBER($B$5),$B$5&gt;0,ISNUMBER($B$3),$B$3&gt;0),F445/(6*$B$3*1000000*$B$5)*(IF(B445&lt;($B$4*0/10),($B$4*0/10)*(MIN(C445,($B$4*0/10))^3-B445^3)-(MIN(C445,($B$4*0/10))^4-B445^4)/4,0)+IF(C445&gt;($B$4*0/10),($B$4*0/10)^2*(1.5*(C445^2-MAX(B445,($B$4*0/10))^2)-($B$4*0/10)*(C445-MAX(B445,($B$4*0/10)))),0))*1000,0)</f>
        <v>0</v>
      </c>
      <c r="AB445" s="120">
        <f>IF(AND(J445="OK",ISNUMBER($B$5),$B$5&gt;0,ISNUMBER($B$3),$B$3&gt;0),F445/(6*$B$3*1000000*$B$5)*(IF(B445&lt;($B$4*1/10),($B$4*1/10)*(MIN(C445,($B$4*1/10))^3-B445^3)-(MIN(C445,($B$4*1/10))^4-B445^4)/4,0)+IF(C445&gt;($B$4*1/10),($B$4*1/10)^2*(1.5*(C445^2-MAX(B445,($B$4*1/10))^2)-($B$4*1/10)*(C445-MAX(B445,($B$4*1/10)))),0))*1000,0)</f>
        <v>0</v>
      </c>
      <c r="AC445" s="120">
        <f>IF(AND(J445="OK",ISNUMBER($B$5),$B$5&gt;0,ISNUMBER($B$3),$B$3&gt;0),F445/(6*$B$3*1000000*$B$5)*(IF(B445&lt;($B$4*2/10),($B$4*2/10)*(MIN(C445,($B$4*2/10))^3-B445^3)-(MIN(C445,($B$4*2/10))^4-B445^4)/4,0)+IF(C445&gt;($B$4*2/10),($B$4*2/10)^2*(1.5*(C445^2-MAX(B445,($B$4*2/10))^2)-($B$4*2/10)*(C445-MAX(B445,($B$4*2/10)))),0))*1000,0)</f>
        <v>0</v>
      </c>
      <c r="AD445" s="120">
        <f>IF(AND(J445="OK",ISNUMBER($B$5),$B$5&gt;0,ISNUMBER($B$3),$B$3&gt;0),F445/(6*$B$3*1000000*$B$5)*(IF(B445&lt;($B$4*3/10),($B$4*3/10)*(MIN(C445,($B$4*3/10))^3-B445^3)-(MIN(C445,($B$4*3/10))^4-B445^4)/4,0)+IF(C445&gt;($B$4*3/10),($B$4*3/10)^2*(1.5*(C445^2-MAX(B445,($B$4*3/10))^2)-($B$4*3/10)*(C445-MAX(B445,($B$4*3/10)))),0))*1000,0)</f>
        <v>0</v>
      </c>
      <c r="AE445" s="120">
        <f>IF(AND(J445="OK",ISNUMBER($B$5),$B$5&gt;0,ISNUMBER($B$3),$B$3&gt;0),F445/(6*$B$3*1000000*$B$5)*(IF(B445&lt;($B$4*4/10),($B$4*4/10)*(MIN(C445,($B$4*4/10))^3-B445^3)-(MIN(C445,($B$4*4/10))^4-B445^4)/4,0)+IF(C445&gt;($B$4*4/10),($B$4*4/10)^2*(1.5*(C445^2-MAX(B445,($B$4*4/10))^2)-($B$4*4/10)*(C445-MAX(B445,($B$4*4/10)))),0))*1000,0)</f>
        <v>0</v>
      </c>
      <c r="AF445" s="120">
        <f>IF(AND(J445="OK",ISNUMBER($B$5),$B$5&gt;0,ISNUMBER($B$3),$B$3&gt;0),F445/(6*$B$3*1000000*$B$5)*(IF(B445&lt;($B$4*5/10),($B$4*5/10)*(MIN(C445,($B$4*5/10))^3-B445^3)-(MIN(C445,($B$4*5/10))^4-B445^4)/4,0)+IF(C445&gt;($B$4*5/10),($B$4*5/10)^2*(1.5*(C445^2-MAX(B445,($B$4*5/10))^2)-($B$4*5/10)*(C445-MAX(B445,($B$4*5/10)))),0))*1000,0)</f>
        <v>0</v>
      </c>
      <c r="AG445" s="120">
        <f>IF(AND(J445="OK",ISNUMBER($B$5),$B$5&gt;0,ISNUMBER($B$3),$B$3&gt;0),F445/(6*$B$3*1000000*$B$5)*(IF(B445&lt;($B$4*6/10),($B$4*6/10)*(MIN(C445,($B$4*6/10))^3-B445^3)-(MIN(C445,($B$4*6/10))^4-B445^4)/4,0)+IF(C445&gt;($B$4*6/10),($B$4*6/10)^2*(1.5*(C445^2-MAX(B445,($B$4*6/10))^2)-($B$4*6/10)*(C445-MAX(B445,($B$4*6/10)))),0))*1000,0)</f>
        <v>0</v>
      </c>
      <c r="AH445" s="120">
        <f>IF(AND(J445="OK",ISNUMBER($B$5),$B$5&gt;0,ISNUMBER($B$3),$B$3&gt;0),F445/(6*$B$3*1000000*$B$5)*(IF(B445&lt;($B$4*7/10),($B$4*7/10)*(MIN(C445,($B$4*7/10))^3-B445^3)-(MIN(C445,($B$4*7/10))^4-B445^4)/4,0)+IF(C445&gt;($B$4*7/10),($B$4*7/10)^2*(1.5*(C445^2-MAX(B445,($B$4*7/10))^2)-($B$4*7/10)*(C445-MAX(B445,($B$4*7/10)))),0))*1000,0)</f>
        <v>0</v>
      </c>
      <c r="AI445" s="120">
        <f>IF(AND(J445="OK",ISNUMBER($B$5),$B$5&gt;0,ISNUMBER($B$3),$B$3&gt;0),F445/(6*$B$3*1000000*$B$5)*(IF(B445&lt;($B$4*8/10),($B$4*8/10)*(MIN(C445,($B$4*8/10))^3-B445^3)-(MIN(C445,($B$4*8/10))^4-B445^4)/4,0)+IF(C445&gt;($B$4*8/10),($B$4*8/10)^2*(1.5*(C445^2-MAX(B445,($B$4*8/10))^2)-($B$4*8/10)*(C445-MAX(B445,($B$4*8/10)))),0))*1000,0)</f>
        <v>0</v>
      </c>
      <c r="AJ445" s="120">
        <f>IF(AND(J445="OK",ISNUMBER($B$5),$B$5&gt;0,ISNUMBER($B$3),$B$3&gt;0),F445/(6*$B$3*1000000*$B$5)*(IF(B445&lt;($B$4*9/10),($B$4*9/10)*(MIN(C445,($B$4*9/10))^3-B445^3)-(MIN(C445,($B$4*9/10))^4-B445^4)/4,0)+IF(C445&gt;($B$4*9/10),($B$4*9/10)^2*(1.5*(C445^2-MAX(B445,($B$4*9/10))^2)-($B$4*9/10)*(C445-MAX(B445,($B$4*9/10)))),0))*1000,0)</f>
        <v>0</v>
      </c>
      <c r="AK445" s="120">
        <f>IF(AND(J445="OK",ISNUMBER($B$5),$B$5&gt;0,ISNUMBER($B$3),$B$3&gt;0),F445/(6*$B$3*1000000*$B$5)*(IF(B445&lt;($B$4*10/10),($B$4*10/10)*(MIN(C445,($B$4*10/10))^3-B445^3)-(MIN(C445,($B$4*10/10))^4-B445^4)/4,0)+IF(C445&gt;($B$4*10/10),($B$4*10/10)^2*(1.5*(C445^2-MAX(B445,($B$4*10/10))^2)-($B$4*10/10)*(C445-MAX(B445,($B$4*10/10)))),0))*1000,0)</f>
        <v>0</v>
      </c>
      <c r="AM445" s="120">
        <f>IF(AND(V445="OK",ISNUMBER($N$5),$N$5&gt;0,ISNUMBER($N$3),$N$3&gt;0),R445/(6*$N$3*1000000*$N$5)*(IF(N445&lt;($N$4*0/10),($N$4*0/10)*(MIN(O445,($N$4*0/10))^3-N445^3)-(MIN(O445,($N$4*0/10))^4-N445^4)/4,0)+IF(O445&gt;($N$4*0/10),($N$4*0/10)^2*(1.5*(O445^2-MAX(N445,($N$4*0/10))^2)-($N$4*0/10)*(O445-MAX(N445,($N$4*0/10)))),0))*1000,0)</f>
        <v>0</v>
      </c>
      <c r="AN445" s="120">
        <f>IF(AND(V445="OK",ISNUMBER($N$5),$N$5&gt;0,ISNUMBER($N$3),$N$3&gt;0),R445/(6*$N$3*1000000*$N$5)*(IF(N445&lt;($N$4*1/10),($N$4*1/10)*(MIN(O445,($N$4*1/10))^3-N445^3)-(MIN(O445,($N$4*1/10))^4-N445^4)/4,0)+IF(O445&gt;($N$4*1/10),($N$4*1/10)^2*(1.5*(O445^2-MAX(N445,($N$4*1/10))^2)-($N$4*1/10)*(O445-MAX(N445,($N$4*1/10)))),0))*1000,0)</f>
        <v>0</v>
      </c>
      <c r="AO445" s="120">
        <f>IF(AND(V445="OK",ISNUMBER($N$5),$N$5&gt;0,ISNUMBER($N$3),$N$3&gt;0),R445/(6*$N$3*1000000*$N$5)*(IF(N445&lt;($N$4*2/10),($N$4*2/10)*(MIN(O445,($N$4*2/10))^3-N445^3)-(MIN(O445,($N$4*2/10))^4-N445^4)/4,0)+IF(O445&gt;($N$4*2/10),($N$4*2/10)^2*(1.5*(O445^2-MAX(N445,($N$4*2/10))^2)-($N$4*2/10)*(O445-MAX(N445,($N$4*2/10)))),0))*1000,0)</f>
        <v>0</v>
      </c>
      <c r="AP445" s="120">
        <f>IF(AND(V445="OK",ISNUMBER($N$5),$N$5&gt;0,ISNUMBER($N$3),$N$3&gt;0),R445/(6*$N$3*1000000*$N$5)*(IF(N445&lt;($N$4*3/10),($N$4*3/10)*(MIN(O445,($N$4*3/10))^3-N445^3)-(MIN(O445,($N$4*3/10))^4-N445^4)/4,0)+IF(O445&gt;($N$4*3/10),($N$4*3/10)^2*(1.5*(O445^2-MAX(N445,($N$4*3/10))^2)-($N$4*3/10)*(O445-MAX(N445,($N$4*3/10)))),0))*1000,0)</f>
        <v>0</v>
      </c>
      <c r="AQ445" s="120">
        <f>IF(AND(V445="OK",ISNUMBER($N$5),$N$5&gt;0,ISNUMBER($N$3),$N$3&gt;0),R445/(6*$N$3*1000000*$N$5)*(IF(N445&lt;($N$4*4/10),($N$4*4/10)*(MIN(O445,($N$4*4/10))^3-N445^3)-(MIN(O445,($N$4*4/10))^4-N445^4)/4,0)+IF(O445&gt;($N$4*4/10),($N$4*4/10)^2*(1.5*(O445^2-MAX(N445,($N$4*4/10))^2)-($N$4*4/10)*(O445-MAX(N445,($N$4*4/10)))),0))*1000,0)</f>
        <v>0</v>
      </c>
      <c r="AR445" s="120">
        <f>IF(AND(V445="OK",ISNUMBER($N$5),$N$5&gt;0,ISNUMBER($N$3),$N$3&gt;0),R445/(6*$N$3*1000000*$N$5)*(IF(N445&lt;($N$4*5/10),($N$4*5/10)*(MIN(O445,($N$4*5/10))^3-N445^3)-(MIN(O445,($N$4*5/10))^4-N445^4)/4,0)+IF(O445&gt;($N$4*5/10),($N$4*5/10)^2*(1.5*(O445^2-MAX(N445,($N$4*5/10))^2)-($N$4*5/10)*(O445-MAX(N445,($N$4*5/10)))),0))*1000,0)</f>
        <v>0</v>
      </c>
      <c r="AS445" s="120">
        <f>IF(AND(V445="OK",ISNUMBER($N$5),$N$5&gt;0,ISNUMBER($N$3),$N$3&gt;0),R445/(6*$N$3*1000000*$N$5)*(IF(N445&lt;($N$4*6/10),($N$4*6/10)*(MIN(O445,($N$4*6/10))^3-N445^3)-(MIN(O445,($N$4*6/10))^4-N445^4)/4,0)+IF(O445&gt;($N$4*6/10),($N$4*6/10)^2*(1.5*(O445^2-MAX(N445,($N$4*6/10))^2)-($N$4*6/10)*(O445-MAX(N445,($N$4*6/10)))),0))*1000,0)</f>
        <v>0</v>
      </c>
      <c r="AT445" s="120">
        <f>IF(AND(V445="OK",ISNUMBER($N$5),$N$5&gt;0,ISNUMBER($N$3),$N$3&gt;0),R445/(6*$N$3*1000000*$N$5)*(IF(N445&lt;($N$4*7/10),($N$4*7/10)*(MIN(O445,($N$4*7/10))^3-N445^3)-(MIN(O445,($N$4*7/10))^4-N445^4)/4,0)+IF(O445&gt;($N$4*7/10),($N$4*7/10)^2*(1.5*(O445^2-MAX(N445,($N$4*7/10))^2)-($N$4*7/10)*(O445-MAX(N445,($N$4*7/10)))),0))*1000,0)</f>
        <v>0</v>
      </c>
      <c r="AU445" s="120">
        <f>IF(AND(V445="OK",ISNUMBER($N$5),$N$5&gt;0,ISNUMBER($N$3),$N$3&gt;0),R445/(6*$N$3*1000000*$N$5)*(IF(N445&lt;($N$4*8/10),($N$4*8/10)*(MIN(O445,($N$4*8/10))^3-N445^3)-(MIN(O445,($N$4*8/10))^4-N445^4)/4,0)+IF(O445&gt;($N$4*8/10),($N$4*8/10)^2*(1.5*(O445^2-MAX(N445,($N$4*8/10))^2)-($N$4*8/10)*(O445-MAX(N445,($N$4*8/10)))),0))*1000,0)</f>
        <v>0</v>
      </c>
      <c r="AV445" s="120">
        <f>IF(AND(V445="OK",ISNUMBER($N$5),$N$5&gt;0,ISNUMBER($N$3),$N$3&gt;0),R445/(6*$N$3*1000000*$N$5)*(IF(N445&lt;($N$4*9/10),($N$4*9/10)*(MIN(O445,($N$4*9/10))^3-N445^3)-(MIN(O445,($N$4*9/10))^4-N445^4)/4,0)+IF(O445&gt;($N$4*9/10),($N$4*9/10)^2*(1.5*(O445^2-MAX(N445,($N$4*9/10))^2)-($N$4*9/10)*(O445-MAX(N445,($N$4*9/10)))),0))*1000,0)</f>
        <v>0</v>
      </c>
      <c r="AW445" s="120">
        <f>IF(AND(V445="OK",ISNUMBER($N$5),$N$5&gt;0,ISNUMBER($N$3),$N$3&gt;0),R445/(6*$N$3*1000000*$N$5)*(IF(N445&lt;($N$4*10/10),($N$4*10/10)*(MIN(O445,($N$4*10/10))^3-N445^3)-(MIN(O445,($N$4*10/10))^4-N445^4)/4,0)+IF(O445&gt;($N$4*10/10),($N$4*10/10)^2*(1.5*(O445^2-MAX(N445,($N$4*10/10))^2)-($N$4*10/10)*(O445-MAX(N445,($N$4*10/10)))),0))*1000,0)</f>
        <v>0</v>
      </c>
    </row>
    <row r="446" spans="1:49">
      <c r="A446" s="124"/>
      <c r="B446" s="125"/>
      <c r="C446" s="125"/>
      <c r="D446" s="125"/>
      <c r="E446" s="125"/>
      <c r="F446" s="126" t="str">
        <f>IF(J446="OK",D446*E446,"")</f>
        <v/>
      </c>
      <c r="G446" s="126" t="str">
        <f>IF(J446="OK",F446*(C446-B446),"")</f>
        <v/>
      </c>
      <c r="H446" s="126" t="str">
        <f>IF(J446="OK",G446*(C446+B446)/2,"")</f>
        <v/>
      </c>
      <c r="I446" s="126" t="str">
        <f>IF(AND(J446="OK",ISNUMBER($B$5),$B$5&gt;0,ISNUMBER($B$3),$B$3&gt;0),F446*(4*$B$4*(C446^3-B446^3)-(C446^4-B446^4))/(24*$B$3*1000000*$B$5)*1000,"")</f>
        <v/>
      </c>
      <c r="J446" s="120" t="str">
        <f>IF(COUNTA(A446:E446)=0,"",IF(AND(COUNT(B446:E446)=4,B446&gt;=0,C446&gt;B446,C446&lt;=$B$4,D446&gt;=0,E446&gt;0),IF(COUNTIFS($B$13:$B$445,"&lt;"&amp;C446,$C$13:$C$445,"&gt;"&amp;B446)&gt;0,"OVERLAP","OK"),"CHECK INPUTS"))</f>
        <v/>
      </c>
      <c r="M446" s="124"/>
      <c r="N446" s="125"/>
      <c r="O446" s="125"/>
      <c r="P446" s="125"/>
      <c r="Q446" s="125"/>
      <c r="R446" s="126" t="str">
        <f>IF(V446="OK",P446*Q446,"")</f>
        <v/>
      </c>
      <c r="S446" s="126" t="str">
        <f>IF(V446="OK",R446*(O446-N446),"")</f>
        <v/>
      </c>
      <c r="T446" s="126" t="str">
        <f>IF(V446="OK",S446*(O446+N446)/2,"")</f>
        <v/>
      </c>
      <c r="U446" s="126" t="str">
        <f>IF(AND(V446="OK",ISNUMBER($N$5),$N$5&gt;0,ISNUMBER($N$3),$N$3&gt;0),R446*(4*$N$4*(O446^3-N446^3)-(O446^4-N446^4))/(24*$N$3*1000000*$N$5)*1000,"")</f>
        <v/>
      </c>
      <c r="V446" s="120" t="str">
        <f>IF(COUNTA(M446:Q446)=0,"",IF(AND(COUNT(N446:Q446)=4,N446&gt;=0,O446&gt;N446,O446&lt;=$N$4,P446&gt;=0,Q446&gt;0),IF(COUNTIFS($N$13:$N$445,"&lt;"&amp;O446,$O$13:$O$445,"&gt;"&amp;N446)&gt;0,"OVERLAP","OK"),"CHECK INPUTS"))</f>
        <v/>
      </c>
      <c r="AA446" s="120">
        <f>IF(AND(J446="OK",ISNUMBER($B$5),$B$5&gt;0,ISNUMBER($B$3),$B$3&gt;0),F446/(6*$B$3*1000000*$B$5)*(IF(B446&lt;($B$4*0/10),($B$4*0/10)*(MIN(C446,($B$4*0/10))^3-B446^3)-(MIN(C446,($B$4*0/10))^4-B446^4)/4,0)+IF(C446&gt;($B$4*0/10),($B$4*0/10)^2*(1.5*(C446^2-MAX(B446,($B$4*0/10))^2)-($B$4*0/10)*(C446-MAX(B446,($B$4*0/10)))),0))*1000,0)</f>
        <v>0</v>
      </c>
      <c r="AB446" s="120">
        <f>IF(AND(J446="OK",ISNUMBER($B$5),$B$5&gt;0,ISNUMBER($B$3),$B$3&gt;0),F446/(6*$B$3*1000000*$B$5)*(IF(B446&lt;($B$4*1/10),($B$4*1/10)*(MIN(C446,($B$4*1/10))^3-B446^3)-(MIN(C446,($B$4*1/10))^4-B446^4)/4,0)+IF(C446&gt;($B$4*1/10),($B$4*1/10)^2*(1.5*(C446^2-MAX(B446,($B$4*1/10))^2)-($B$4*1/10)*(C446-MAX(B446,($B$4*1/10)))),0))*1000,0)</f>
        <v>0</v>
      </c>
      <c r="AC446" s="120">
        <f>IF(AND(J446="OK",ISNUMBER($B$5),$B$5&gt;0,ISNUMBER($B$3),$B$3&gt;0),F446/(6*$B$3*1000000*$B$5)*(IF(B446&lt;($B$4*2/10),($B$4*2/10)*(MIN(C446,($B$4*2/10))^3-B446^3)-(MIN(C446,($B$4*2/10))^4-B446^4)/4,0)+IF(C446&gt;($B$4*2/10),($B$4*2/10)^2*(1.5*(C446^2-MAX(B446,($B$4*2/10))^2)-($B$4*2/10)*(C446-MAX(B446,($B$4*2/10)))),0))*1000,0)</f>
        <v>0</v>
      </c>
      <c r="AD446" s="120">
        <f>IF(AND(J446="OK",ISNUMBER($B$5),$B$5&gt;0,ISNUMBER($B$3),$B$3&gt;0),F446/(6*$B$3*1000000*$B$5)*(IF(B446&lt;($B$4*3/10),($B$4*3/10)*(MIN(C446,($B$4*3/10))^3-B446^3)-(MIN(C446,($B$4*3/10))^4-B446^4)/4,0)+IF(C446&gt;($B$4*3/10),($B$4*3/10)^2*(1.5*(C446^2-MAX(B446,($B$4*3/10))^2)-($B$4*3/10)*(C446-MAX(B446,($B$4*3/10)))),0))*1000,0)</f>
        <v>0</v>
      </c>
      <c r="AE446" s="120">
        <f>IF(AND(J446="OK",ISNUMBER($B$5),$B$5&gt;0,ISNUMBER($B$3),$B$3&gt;0),F446/(6*$B$3*1000000*$B$5)*(IF(B446&lt;($B$4*4/10),($B$4*4/10)*(MIN(C446,($B$4*4/10))^3-B446^3)-(MIN(C446,($B$4*4/10))^4-B446^4)/4,0)+IF(C446&gt;($B$4*4/10),($B$4*4/10)^2*(1.5*(C446^2-MAX(B446,($B$4*4/10))^2)-($B$4*4/10)*(C446-MAX(B446,($B$4*4/10)))),0))*1000,0)</f>
        <v>0</v>
      </c>
      <c r="AF446" s="120">
        <f>IF(AND(J446="OK",ISNUMBER($B$5),$B$5&gt;0,ISNUMBER($B$3),$B$3&gt;0),F446/(6*$B$3*1000000*$B$5)*(IF(B446&lt;($B$4*5/10),($B$4*5/10)*(MIN(C446,($B$4*5/10))^3-B446^3)-(MIN(C446,($B$4*5/10))^4-B446^4)/4,0)+IF(C446&gt;($B$4*5/10),($B$4*5/10)^2*(1.5*(C446^2-MAX(B446,($B$4*5/10))^2)-($B$4*5/10)*(C446-MAX(B446,($B$4*5/10)))),0))*1000,0)</f>
        <v>0</v>
      </c>
      <c r="AG446" s="120">
        <f>IF(AND(J446="OK",ISNUMBER($B$5),$B$5&gt;0,ISNUMBER($B$3),$B$3&gt;0),F446/(6*$B$3*1000000*$B$5)*(IF(B446&lt;($B$4*6/10),($B$4*6/10)*(MIN(C446,($B$4*6/10))^3-B446^3)-(MIN(C446,($B$4*6/10))^4-B446^4)/4,0)+IF(C446&gt;($B$4*6/10),($B$4*6/10)^2*(1.5*(C446^2-MAX(B446,($B$4*6/10))^2)-($B$4*6/10)*(C446-MAX(B446,($B$4*6/10)))),0))*1000,0)</f>
        <v>0</v>
      </c>
      <c r="AH446" s="120">
        <f>IF(AND(J446="OK",ISNUMBER($B$5),$B$5&gt;0,ISNUMBER($B$3),$B$3&gt;0),F446/(6*$B$3*1000000*$B$5)*(IF(B446&lt;($B$4*7/10),($B$4*7/10)*(MIN(C446,($B$4*7/10))^3-B446^3)-(MIN(C446,($B$4*7/10))^4-B446^4)/4,0)+IF(C446&gt;($B$4*7/10),($B$4*7/10)^2*(1.5*(C446^2-MAX(B446,($B$4*7/10))^2)-($B$4*7/10)*(C446-MAX(B446,($B$4*7/10)))),0))*1000,0)</f>
        <v>0</v>
      </c>
      <c r="AI446" s="120">
        <f>IF(AND(J446="OK",ISNUMBER($B$5),$B$5&gt;0,ISNUMBER($B$3),$B$3&gt;0),F446/(6*$B$3*1000000*$B$5)*(IF(B446&lt;($B$4*8/10),($B$4*8/10)*(MIN(C446,($B$4*8/10))^3-B446^3)-(MIN(C446,($B$4*8/10))^4-B446^4)/4,0)+IF(C446&gt;($B$4*8/10),($B$4*8/10)^2*(1.5*(C446^2-MAX(B446,($B$4*8/10))^2)-($B$4*8/10)*(C446-MAX(B446,($B$4*8/10)))),0))*1000,0)</f>
        <v>0</v>
      </c>
      <c r="AJ446" s="120">
        <f>IF(AND(J446="OK",ISNUMBER($B$5),$B$5&gt;0,ISNUMBER($B$3),$B$3&gt;0),F446/(6*$B$3*1000000*$B$5)*(IF(B446&lt;($B$4*9/10),($B$4*9/10)*(MIN(C446,($B$4*9/10))^3-B446^3)-(MIN(C446,($B$4*9/10))^4-B446^4)/4,0)+IF(C446&gt;($B$4*9/10),($B$4*9/10)^2*(1.5*(C446^2-MAX(B446,($B$4*9/10))^2)-($B$4*9/10)*(C446-MAX(B446,($B$4*9/10)))),0))*1000,0)</f>
        <v>0</v>
      </c>
      <c r="AK446" s="120">
        <f>IF(AND(J446="OK",ISNUMBER($B$5),$B$5&gt;0,ISNUMBER($B$3),$B$3&gt;0),F446/(6*$B$3*1000000*$B$5)*(IF(B446&lt;($B$4*10/10),($B$4*10/10)*(MIN(C446,($B$4*10/10))^3-B446^3)-(MIN(C446,($B$4*10/10))^4-B446^4)/4,0)+IF(C446&gt;($B$4*10/10),($B$4*10/10)^2*(1.5*(C446^2-MAX(B446,($B$4*10/10))^2)-($B$4*10/10)*(C446-MAX(B446,($B$4*10/10)))),0))*1000,0)</f>
        <v>0</v>
      </c>
      <c r="AM446" s="120">
        <f>IF(AND(V446="OK",ISNUMBER($N$5),$N$5&gt;0,ISNUMBER($N$3),$N$3&gt;0),R446/(6*$N$3*1000000*$N$5)*(IF(N446&lt;($N$4*0/10),($N$4*0/10)*(MIN(O446,($N$4*0/10))^3-N446^3)-(MIN(O446,($N$4*0/10))^4-N446^4)/4,0)+IF(O446&gt;($N$4*0/10),($N$4*0/10)^2*(1.5*(O446^2-MAX(N446,($N$4*0/10))^2)-($N$4*0/10)*(O446-MAX(N446,($N$4*0/10)))),0))*1000,0)</f>
        <v>0</v>
      </c>
      <c r="AN446" s="120">
        <f>IF(AND(V446="OK",ISNUMBER($N$5),$N$5&gt;0,ISNUMBER($N$3),$N$3&gt;0),R446/(6*$N$3*1000000*$N$5)*(IF(N446&lt;($N$4*1/10),($N$4*1/10)*(MIN(O446,($N$4*1/10))^3-N446^3)-(MIN(O446,($N$4*1/10))^4-N446^4)/4,0)+IF(O446&gt;($N$4*1/10),($N$4*1/10)^2*(1.5*(O446^2-MAX(N446,($N$4*1/10))^2)-($N$4*1/10)*(O446-MAX(N446,($N$4*1/10)))),0))*1000,0)</f>
        <v>0</v>
      </c>
      <c r="AO446" s="120">
        <f>IF(AND(V446="OK",ISNUMBER($N$5),$N$5&gt;0,ISNUMBER($N$3),$N$3&gt;0),R446/(6*$N$3*1000000*$N$5)*(IF(N446&lt;($N$4*2/10),($N$4*2/10)*(MIN(O446,($N$4*2/10))^3-N446^3)-(MIN(O446,($N$4*2/10))^4-N446^4)/4,0)+IF(O446&gt;($N$4*2/10),($N$4*2/10)^2*(1.5*(O446^2-MAX(N446,($N$4*2/10))^2)-($N$4*2/10)*(O446-MAX(N446,($N$4*2/10)))),0))*1000,0)</f>
        <v>0</v>
      </c>
      <c r="AP446" s="120">
        <f>IF(AND(V446="OK",ISNUMBER($N$5),$N$5&gt;0,ISNUMBER($N$3),$N$3&gt;0),R446/(6*$N$3*1000000*$N$5)*(IF(N446&lt;($N$4*3/10),($N$4*3/10)*(MIN(O446,($N$4*3/10))^3-N446^3)-(MIN(O446,($N$4*3/10))^4-N446^4)/4,0)+IF(O446&gt;($N$4*3/10),($N$4*3/10)^2*(1.5*(O446^2-MAX(N446,($N$4*3/10))^2)-($N$4*3/10)*(O446-MAX(N446,($N$4*3/10)))),0))*1000,0)</f>
        <v>0</v>
      </c>
      <c r="AQ446" s="120">
        <f>IF(AND(V446="OK",ISNUMBER($N$5),$N$5&gt;0,ISNUMBER($N$3),$N$3&gt;0),R446/(6*$N$3*1000000*$N$5)*(IF(N446&lt;($N$4*4/10),($N$4*4/10)*(MIN(O446,($N$4*4/10))^3-N446^3)-(MIN(O446,($N$4*4/10))^4-N446^4)/4,0)+IF(O446&gt;($N$4*4/10),($N$4*4/10)^2*(1.5*(O446^2-MAX(N446,($N$4*4/10))^2)-($N$4*4/10)*(O446-MAX(N446,($N$4*4/10)))),0))*1000,0)</f>
        <v>0</v>
      </c>
      <c r="AR446" s="120">
        <f>IF(AND(V446="OK",ISNUMBER($N$5),$N$5&gt;0,ISNUMBER($N$3),$N$3&gt;0),R446/(6*$N$3*1000000*$N$5)*(IF(N446&lt;($N$4*5/10),($N$4*5/10)*(MIN(O446,($N$4*5/10))^3-N446^3)-(MIN(O446,($N$4*5/10))^4-N446^4)/4,0)+IF(O446&gt;($N$4*5/10),($N$4*5/10)^2*(1.5*(O446^2-MAX(N446,($N$4*5/10))^2)-($N$4*5/10)*(O446-MAX(N446,($N$4*5/10)))),0))*1000,0)</f>
        <v>0</v>
      </c>
      <c r="AS446" s="120">
        <f>IF(AND(V446="OK",ISNUMBER($N$5),$N$5&gt;0,ISNUMBER($N$3),$N$3&gt;0),R446/(6*$N$3*1000000*$N$5)*(IF(N446&lt;($N$4*6/10),($N$4*6/10)*(MIN(O446,($N$4*6/10))^3-N446^3)-(MIN(O446,($N$4*6/10))^4-N446^4)/4,0)+IF(O446&gt;($N$4*6/10),($N$4*6/10)^2*(1.5*(O446^2-MAX(N446,($N$4*6/10))^2)-($N$4*6/10)*(O446-MAX(N446,($N$4*6/10)))),0))*1000,0)</f>
        <v>0</v>
      </c>
      <c r="AT446" s="120">
        <f>IF(AND(V446="OK",ISNUMBER($N$5),$N$5&gt;0,ISNUMBER($N$3),$N$3&gt;0),R446/(6*$N$3*1000000*$N$5)*(IF(N446&lt;($N$4*7/10),($N$4*7/10)*(MIN(O446,($N$4*7/10))^3-N446^3)-(MIN(O446,($N$4*7/10))^4-N446^4)/4,0)+IF(O446&gt;($N$4*7/10),($N$4*7/10)^2*(1.5*(O446^2-MAX(N446,($N$4*7/10))^2)-($N$4*7/10)*(O446-MAX(N446,($N$4*7/10)))),0))*1000,0)</f>
        <v>0</v>
      </c>
      <c r="AU446" s="120">
        <f>IF(AND(V446="OK",ISNUMBER($N$5),$N$5&gt;0,ISNUMBER($N$3),$N$3&gt;0),R446/(6*$N$3*1000000*$N$5)*(IF(N446&lt;($N$4*8/10),($N$4*8/10)*(MIN(O446,($N$4*8/10))^3-N446^3)-(MIN(O446,($N$4*8/10))^4-N446^4)/4,0)+IF(O446&gt;($N$4*8/10),($N$4*8/10)^2*(1.5*(O446^2-MAX(N446,($N$4*8/10))^2)-($N$4*8/10)*(O446-MAX(N446,($N$4*8/10)))),0))*1000,0)</f>
        <v>0</v>
      </c>
      <c r="AV446" s="120">
        <f>IF(AND(V446="OK",ISNUMBER($N$5),$N$5&gt;0,ISNUMBER($N$3),$N$3&gt;0),R446/(6*$N$3*1000000*$N$5)*(IF(N446&lt;($N$4*9/10),($N$4*9/10)*(MIN(O446,($N$4*9/10))^3-N446^3)-(MIN(O446,($N$4*9/10))^4-N446^4)/4,0)+IF(O446&gt;($N$4*9/10),($N$4*9/10)^2*(1.5*(O446^2-MAX(N446,($N$4*9/10))^2)-($N$4*9/10)*(O446-MAX(N446,($N$4*9/10)))),0))*1000,0)</f>
        <v>0</v>
      </c>
      <c r="AW446" s="120">
        <f>IF(AND(V446="OK",ISNUMBER($N$5),$N$5&gt;0,ISNUMBER($N$3),$N$3&gt;0),R446/(6*$N$3*1000000*$N$5)*(IF(N446&lt;($N$4*10/10),($N$4*10/10)*(MIN(O446,($N$4*10/10))^3-N446^3)-(MIN(O446,($N$4*10/10))^4-N446^4)/4,0)+IF(O446&gt;($N$4*10/10),($N$4*10/10)^2*(1.5*(O446^2-MAX(N446,($N$4*10/10))^2)-($N$4*10/10)*(O446-MAX(N446,($N$4*10/10)))),0))*1000,0)</f>
        <v>0</v>
      </c>
    </row>
    <row r="447" spans="1:49">
      <c r="A447" s="124"/>
      <c r="B447" s="125"/>
      <c r="C447" s="125"/>
      <c r="D447" s="125"/>
      <c r="E447" s="125"/>
      <c r="F447" s="126" t="str">
        <f>IF(J447="OK",D447*E447,"")</f>
        <v/>
      </c>
      <c r="G447" s="126" t="str">
        <f>IF(J447="OK",F447*(C447-B447),"")</f>
        <v/>
      </c>
      <c r="H447" s="126" t="str">
        <f>IF(J447="OK",G447*(C447+B447)/2,"")</f>
        <v/>
      </c>
      <c r="I447" s="126" t="str">
        <f>IF(AND(J447="OK",ISNUMBER($B$5),$B$5&gt;0,ISNUMBER($B$3),$B$3&gt;0),F447*(4*$B$4*(C447^3-B447^3)-(C447^4-B447^4))/(24*$B$3*1000000*$B$5)*1000,"")</f>
        <v/>
      </c>
      <c r="J447" s="120" t="str">
        <f>IF(COUNTA(A447:E447)=0,"",IF(AND(COUNT(B447:E447)=4,B447&gt;=0,C447&gt;B447,C447&lt;=$B$4,D447&gt;=0,E447&gt;0),IF(COUNTIFS($B$13:$B$446,"&lt;"&amp;C447,$C$13:$C$446,"&gt;"&amp;B447)&gt;0,"OVERLAP","OK"),"CHECK INPUTS"))</f>
        <v/>
      </c>
      <c r="M447" s="124"/>
      <c r="N447" s="125"/>
      <c r="O447" s="125"/>
      <c r="P447" s="125"/>
      <c r="Q447" s="125"/>
      <c r="R447" s="126" t="str">
        <f>IF(V447="OK",P447*Q447,"")</f>
        <v/>
      </c>
      <c r="S447" s="126" t="str">
        <f>IF(V447="OK",R447*(O447-N447),"")</f>
        <v/>
      </c>
      <c r="T447" s="126" t="str">
        <f>IF(V447="OK",S447*(O447+N447)/2,"")</f>
        <v/>
      </c>
      <c r="U447" s="126" t="str">
        <f>IF(AND(V447="OK",ISNUMBER($N$5),$N$5&gt;0,ISNUMBER($N$3),$N$3&gt;0),R447*(4*$N$4*(O447^3-N447^3)-(O447^4-N447^4))/(24*$N$3*1000000*$N$5)*1000,"")</f>
        <v/>
      </c>
      <c r="V447" s="120" t="str">
        <f>IF(COUNTA(M447:Q447)=0,"",IF(AND(COUNT(N447:Q447)=4,N447&gt;=0,O447&gt;N447,O447&lt;=$N$4,P447&gt;=0,Q447&gt;0),IF(COUNTIFS($N$13:$N$446,"&lt;"&amp;O447,$O$13:$O$446,"&gt;"&amp;N447)&gt;0,"OVERLAP","OK"),"CHECK INPUTS"))</f>
        <v/>
      </c>
      <c r="AA447" s="120">
        <f>IF(AND(J447="OK",ISNUMBER($B$5),$B$5&gt;0,ISNUMBER($B$3),$B$3&gt;0),F447/(6*$B$3*1000000*$B$5)*(IF(B447&lt;($B$4*0/10),($B$4*0/10)*(MIN(C447,($B$4*0/10))^3-B447^3)-(MIN(C447,($B$4*0/10))^4-B447^4)/4,0)+IF(C447&gt;($B$4*0/10),($B$4*0/10)^2*(1.5*(C447^2-MAX(B447,($B$4*0/10))^2)-($B$4*0/10)*(C447-MAX(B447,($B$4*0/10)))),0))*1000,0)</f>
        <v>0</v>
      </c>
      <c r="AB447" s="120">
        <f>IF(AND(J447="OK",ISNUMBER($B$5),$B$5&gt;0,ISNUMBER($B$3),$B$3&gt;0),F447/(6*$B$3*1000000*$B$5)*(IF(B447&lt;($B$4*1/10),($B$4*1/10)*(MIN(C447,($B$4*1/10))^3-B447^3)-(MIN(C447,($B$4*1/10))^4-B447^4)/4,0)+IF(C447&gt;($B$4*1/10),($B$4*1/10)^2*(1.5*(C447^2-MAX(B447,($B$4*1/10))^2)-($B$4*1/10)*(C447-MAX(B447,($B$4*1/10)))),0))*1000,0)</f>
        <v>0</v>
      </c>
      <c r="AC447" s="120">
        <f>IF(AND(J447="OK",ISNUMBER($B$5),$B$5&gt;0,ISNUMBER($B$3),$B$3&gt;0),F447/(6*$B$3*1000000*$B$5)*(IF(B447&lt;($B$4*2/10),($B$4*2/10)*(MIN(C447,($B$4*2/10))^3-B447^3)-(MIN(C447,($B$4*2/10))^4-B447^4)/4,0)+IF(C447&gt;($B$4*2/10),($B$4*2/10)^2*(1.5*(C447^2-MAX(B447,($B$4*2/10))^2)-($B$4*2/10)*(C447-MAX(B447,($B$4*2/10)))),0))*1000,0)</f>
        <v>0</v>
      </c>
      <c r="AD447" s="120">
        <f>IF(AND(J447="OK",ISNUMBER($B$5),$B$5&gt;0,ISNUMBER($B$3),$B$3&gt;0),F447/(6*$B$3*1000000*$B$5)*(IF(B447&lt;($B$4*3/10),($B$4*3/10)*(MIN(C447,($B$4*3/10))^3-B447^3)-(MIN(C447,($B$4*3/10))^4-B447^4)/4,0)+IF(C447&gt;($B$4*3/10),($B$4*3/10)^2*(1.5*(C447^2-MAX(B447,($B$4*3/10))^2)-($B$4*3/10)*(C447-MAX(B447,($B$4*3/10)))),0))*1000,0)</f>
        <v>0</v>
      </c>
      <c r="AE447" s="120">
        <f>IF(AND(J447="OK",ISNUMBER($B$5),$B$5&gt;0,ISNUMBER($B$3),$B$3&gt;0),F447/(6*$B$3*1000000*$B$5)*(IF(B447&lt;($B$4*4/10),($B$4*4/10)*(MIN(C447,($B$4*4/10))^3-B447^3)-(MIN(C447,($B$4*4/10))^4-B447^4)/4,0)+IF(C447&gt;($B$4*4/10),($B$4*4/10)^2*(1.5*(C447^2-MAX(B447,($B$4*4/10))^2)-($B$4*4/10)*(C447-MAX(B447,($B$4*4/10)))),0))*1000,0)</f>
        <v>0</v>
      </c>
      <c r="AF447" s="120">
        <f>IF(AND(J447="OK",ISNUMBER($B$5),$B$5&gt;0,ISNUMBER($B$3),$B$3&gt;0),F447/(6*$B$3*1000000*$B$5)*(IF(B447&lt;($B$4*5/10),($B$4*5/10)*(MIN(C447,($B$4*5/10))^3-B447^3)-(MIN(C447,($B$4*5/10))^4-B447^4)/4,0)+IF(C447&gt;($B$4*5/10),($B$4*5/10)^2*(1.5*(C447^2-MAX(B447,($B$4*5/10))^2)-($B$4*5/10)*(C447-MAX(B447,($B$4*5/10)))),0))*1000,0)</f>
        <v>0</v>
      </c>
      <c r="AG447" s="120">
        <f>IF(AND(J447="OK",ISNUMBER($B$5),$B$5&gt;0,ISNUMBER($B$3),$B$3&gt;0),F447/(6*$B$3*1000000*$B$5)*(IF(B447&lt;($B$4*6/10),($B$4*6/10)*(MIN(C447,($B$4*6/10))^3-B447^3)-(MIN(C447,($B$4*6/10))^4-B447^4)/4,0)+IF(C447&gt;($B$4*6/10),($B$4*6/10)^2*(1.5*(C447^2-MAX(B447,($B$4*6/10))^2)-($B$4*6/10)*(C447-MAX(B447,($B$4*6/10)))),0))*1000,0)</f>
        <v>0</v>
      </c>
      <c r="AH447" s="120">
        <f>IF(AND(J447="OK",ISNUMBER($B$5),$B$5&gt;0,ISNUMBER($B$3),$B$3&gt;0),F447/(6*$B$3*1000000*$B$5)*(IF(B447&lt;($B$4*7/10),($B$4*7/10)*(MIN(C447,($B$4*7/10))^3-B447^3)-(MIN(C447,($B$4*7/10))^4-B447^4)/4,0)+IF(C447&gt;($B$4*7/10),($B$4*7/10)^2*(1.5*(C447^2-MAX(B447,($B$4*7/10))^2)-($B$4*7/10)*(C447-MAX(B447,($B$4*7/10)))),0))*1000,0)</f>
        <v>0</v>
      </c>
      <c r="AI447" s="120">
        <f>IF(AND(J447="OK",ISNUMBER($B$5),$B$5&gt;0,ISNUMBER($B$3),$B$3&gt;0),F447/(6*$B$3*1000000*$B$5)*(IF(B447&lt;($B$4*8/10),($B$4*8/10)*(MIN(C447,($B$4*8/10))^3-B447^3)-(MIN(C447,($B$4*8/10))^4-B447^4)/4,0)+IF(C447&gt;($B$4*8/10),($B$4*8/10)^2*(1.5*(C447^2-MAX(B447,($B$4*8/10))^2)-($B$4*8/10)*(C447-MAX(B447,($B$4*8/10)))),0))*1000,0)</f>
        <v>0</v>
      </c>
      <c r="AJ447" s="120">
        <f>IF(AND(J447="OK",ISNUMBER($B$5),$B$5&gt;0,ISNUMBER($B$3),$B$3&gt;0),F447/(6*$B$3*1000000*$B$5)*(IF(B447&lt;($B$4*9/10),($B$4*9/10)*(MIN(C447,($B$4*9/10))^3-B447^3)-(MIN(C447,($B$4*9/10))^4-B447^4)/4,0)+IF(C447&gt;($B$4*9/10),($B$4*9/10)^2*(1.5*(C447^2-MAX(B447,($B$4*9/10))^2)-($B$4*9/10)*(C447-MAX(B447,($B$4*9/10)))),0))*1000,0)</f>
        <v>0</v>
      </c>
      <c r="AK447" s="120">
        <f>IF(AND(J447="OK",ISNUMBER($B$5),$B$5&gt;0,ISNUMBER($B$3),$B$3&gt;0),F447/(6*$B$3*1000000*$B$5)*(IF(B447&lt;($B$4*10/10),($B$4*10/10)*(MIN(C447,($B$4*10/10))^3-B447^3)-(MIN(C447,($B$4*10/10))^4-B447^4)/4,0)+IF(C447&gt;($B$4*10/10),($B$4*10/10)^2*(1.5*(C447^2-MAX(B447,($B$4*10/10))^2)-($B$4*10/10)*(C447-MAX(B447,($B$4*10/10)))),0))*1000,0)</f>
        <v>0</v>
      </c>
      <c r="AM447" s="120">
        <f>IF(AND(V447="OK",ISNUMBER($N$5),$N$5&gt;0,ISNUMBER($N$3),$N$3&gt;0),R447/(6*$N$3*1000000*$N$5)*(IF(N447&lt;($N$4*0/10),($N$4*0/10)*(MIN(O447,($N$4*0/10))^3-N447^3)-(MIN(O447,($N$4*0/10))^4-N447^4)/4,0)+IF(O447&gt;($N$4*0/10),($N$4*0/10)^2*(1.5*(O447^2-MAX(N447,($N$4*0/10))^2)-($N$4*0/10)*(O447-MAX(N447,($N$4*0/10)))),0))*1000,0)</f>
        <v>0</v>
      </c>
      <c r="AN447" s="120">
        <f>IF(AND(V447="OK",ISNUMBER($N$5),$N$5&gt;0,ISNUMBER($N$3),$N$3&gt;0),R447/(6*$N$3*1000000*$N$5)*(IF(N447&lt;($N$4*1/10),($N$4*1/10)*(MIN(O447,($N$4*1/10))^3-N447^3)-(MIN(O447,($N$4*1/10))^4-N447^4)/4,0)+IF(O447&gt;($N$4*1/10),($N$4*1/10)^2*(1.5*(O447^2-MAX(N447,($N$4*1/10))^2)-($N$4*1/10)*(O447-MAX(N447,($N$4*1/10)))),0))*1000,0)</f>
        <v>0</v>
      </c>
      <c r="AO447" s="120">
        <f>IF(AND(V447="OK",ISNUMBER($N$5),$N$5&gt;0,ISNUMBER($N$3),$N$3&gt;0),R447/(6*$N$3*1000000*$N$5)*(IF(N447&lt;($N$4*2/10),($N$4*2/10)*(MIN(O447,($N$4*2/10))^3-N447^3)-(MIN(O447,($N$4*2/10))^4-N447^4)/4,0)+IF(O447&gt;($N$4*2/10),($N$4*2/10)^2*(1.5*(O447^2-MAX(N447,($N$4*2/10))^2)-($N$4*2/10)*(O447-MAX(N447,($N$4*2/10)))),0))*1000,0)</f>
        <v>0</v>
      </c>
      <c r="AP447" s="120">
        <f>IF(AND(V447="OK",ISNUMBER($N$5),$N$5&gt;0,ISNUMBER($N$3),$N$3&gt;0),R447/(6*$N$3*1000000*$N$5)*(IF(N447&lt;($N$4*3/10),($N$4*3/10)*(MIN(O447,($N$4*3/10))^3-N447^3)-(MIN(O447,($N$4*3/10))^4-N447^4)/4,0)+IF(O447&gt;($N$4*3/10),($N$4*3/10)^2*(1.5*(O447^2-MAX(N447,($N$4*3/10))^2)-($N$4*3/10)*(O447-MAX(N447,($N$4*3/10)))),0))*1000,0)</f>
        <v>0</v>
      </c>
      <c r="AQ447" s="120">
        <f>IF(AND(V447="OK",ISNUMBER($N$5),$N$5&gt;0,ISNUMBER($N$3),$N$3&gt;0),R447/(6*$N$3*1000000*$N$5)*(IF(N447&lt;($N$4*4/10),($N$4*4/10)*(MIN(O447,($N$4*4/10))^3-N447^3)-(MIN(O447,($N$4*4/10))^4-N447^4)/4,0)+IF(O447&gt;($N$4*4/10),($N$4*4/10)^2*(1.5*(O447^2-MAX(N447,($N$4*4/10))^2)-($N$4*4/10)*(O447-MAX(N447,($N$4*4/10)))),0))*1000,0)</f>
        <v>0</v>
      </c>
      <c r="AR447" s="120">
        <f>IF(AND(V447="OK",ISNUMBER($N$5),$N$5&gt;0,ISNUMBER($N$3),$N$3&gt;0),R447/(6*$N$3*1000000*$N$5)*(IF(N447&lt;($N$4*5/10),($N$4*5/10)*(MIN(O447,($N$4*5/10))^3-N447^3)-(MIN(O447,($N$4*5/10))^4-N447^4)/4,0)+IF(O447&gt;($N$4*5/10),($N$4*5/10)^2*(1.5*(O447^2-MAX(N447,($N$4*5/10))^2)-($N$4*5/10)*(O447-MAX(N447,($N$4*5/10)))),0))*1000,0)</f>
        <v>0</v>
      </c>
      <c r="AS447" s="120">
        <f>IF(AND(V447="OK",ISNUMBER($N$5),$N$5&gt;0,ISNUMBER($N$3),$N$3&gt;0),R447/(6*$N$3*1000000*$N$5)*(IF(N447&lt;($N$4*6/10),($N$4*6/10)*(MIN(O447,($N$4*6/10))^3-N447^3)-(MIN(O447,($N$4*6/10))^4-N447^4)/4,0)+IF(O447&gt;($N$4*6/10),($N$4*6/10)^2*(1.5*(O447^2-MAX(N447,($N$4*6/10))^2)-($N$4*6/10)*(O447-MAX(N447,($N$4*6/10)))),0))*1000,0)</f>
        <v>0</v>
      </c>
      <c r="AT447" s="120">
        <f>IF(AND(V447="OK",ISNUMBER($N$5),$N$5&gt;0,ISNUMBER($N$3),$N$3&gt;0),R447/(6*$N$3*1000000*$N$5)*(IF(N447&lt;($N$4*7/10),($N$4*7/10)*(MIN(O447,($N$4*7/10))^3-N447^3)-(MIN(O447,($N$4*7/10))^4-N447^4)/4,0)+IF(O447&gt;($N$4*7/10),($N$4*7/10)^2*(1.5*(O447^2-MAX(N447,($N$4*7/10))^2)-($N$4*7/10)*(O447-MAX(N447,($N$4*7/10)))),0))*1000,0)</f>
        <v>0</v>
      </c>
      <c r="AU447" s="120">
        <f>IF(AND(V447="OK",ISNUMBER($N$5),$N$5&gt;0,ISNUMBER($N$3),$N$3&gt;0),R447/(6*$N$3*1000000*$N$5)*(IF(N447&lt;($N$4*8/10),($N$4*8/10)*(MIN(O447,($N$4*8/10))^3-N447^3)-(MIN(O447,($N$4*8/10))^4-N447^4)/4,0)+IF(O447&gt;($N$4*8/10),($N$4*8/10)^2*(1.5*(O447^2-MAX(N447,($N$4*8/10))^2)-($N$4*8/10)*(O447-MAX(N447,($N$4*8/10)))),0))*1000,0)</f>
        <v>0</v>
      </c>
      <c r="AV447" s="120">
        <f>IF(AND(V447="OK",ISNUMBER($N$5),$N$5&gt;0,ISNUMBER($N$3),$N$3&gt;0),R447/(6*$N$3*1000000*$N$5)*(IF(N447&lt;($N$4*9/10),($N$4*9/10)*(MIN(O447,($N$4*9/10))^3-N447^3)-(MIN(O447,($N$4*9/10))^4-N447^4)/4,0)+IF(O447&gt;($N$4*9/10),($N$4*9/10)^2*(1.5*(O447^2-MAX(N447,($N$4*9/10))^2)-($N$4*9/10)*(O447-MAX(N447,($N$4*9/10)))),0))*1000,0)</f>
        <v>0</v>
      </c>
      <c r="AW447" s="120">
        <f>IF(AND(V447="OK",ISNUMBER($N$5),$N$5&gt;0,ISNUMBER($N$3),$N$3&gt;0),R447/(6*$N$3*1000000*$N$5)*(IF(N447&lt;($N$4*10/10),($N$4*10/10)*(MIN(O447,($N$4*10/10))^3-N447^3)-(MIN(O447,($N$4*10/10))^4-N447^4)/4,0)+IF(O447&gt;($N$4*10/10),($N$4*10/10)^2*(1.5*(O447^2-MAX(N447,($N$4*10/10))^2)-($N$4*10/10)*(O447-MAX(N447,($N$4*10/10)))),0))*1000,0)</f>
        <v>0</v>
      </c>
    </row>
    <row r="448" spans="1:49">
      <c r="A448" s="124"/>
      <c r="B448" s="125"/>
      <c r="C448" s="125"/>
      <c r="D448" s="125"/>
      <c r="E448" s="125"/>
      <c r="F448" s="126" t="str">
        <f>IF(J448="OK",D448*E448,"")</f>
        <v/>
      </c>
      <c r="G448" s="126" t="str">
        <f>IF(J448="OK",F448*(C448-B448),"")</f>
        <v/>
      </c>
      <c r="H448" s="126" t="str">
        <f>IF(J448="OK",G448*(C448+B448)/2,"")</f>
        <v/>
      </c>
      <c r="I448" s="126" t="str">
        <f>IF(AND(J448="OK",ISNUMBER($B$5),$B$5&gt;0,ISNUMBER($B$3),$B$3&gt;0),F448*(4*$B$4*(C448^3-B448^3)-(C448^4-B448^4))/(24*$B$3*1000000*$B$5)*1000,"")</f>
        <v/>
      </c>
      <c r="J448" s="120" t="str">
        <f>IF(COUNTA(A448:E448)=0,"",IF(AND(COUNT(B448:E448)=4,B448&gt;=0,C448&gt;B448,C448&lt;=$B$4,D448&gt;=0,E448&gt;0),IF(COUNTIFS($B$13:$B$447,"&lt;"&amp;C448,$C$13:$C$447,"&gt;"&amp;B448)&gt;0,"OVERLAP","OK"),"CHECK INPUTS"))</f>
        <v/>
      </c>
      <c r="M448" s="124"/>
      <c r="N448" s="125"/>
      <c r="O448" s="125"/>
      <c r="P448" s="125"/>
      <c r="Q448" s="125"/>
      <c r="R448" s="126" t="str">
        <f>IF(V448="OK",P448*Q448,"")</f>
        <v/>
      </c>
      <c r="S448" s="126" t="str">
        <f>IF(V448="OK",R448*(O448-N448),"")</f>
        <v/>
      </c>
      <c r="T448" s="126" t="str">
        <f>IF(V448="OK",S448*(O448+N448)/2,"")</f>
        <v/>
      </c>
      <c r="U448" s="126" t="str">
        <f>IF(AND(V448="OK",ISNUMBER($N$5),$N$5&gt;0,ISNUMBER($N$3),$N$3&gt;0),R448*(4*$N$4*(O448^3-N448^3)-(O448^4-N448^4))/(24*$N$3*1000000*$N$5)*1000,"")</f>
        <v/>
      </c>
      <c r="V448" s="120" t="str">
        <f>IF(COUNTA(M448:Q448)=0,"",IF(AND(COUNT(N448:Q448)=4,N448&gt;=0,O448&gt;N448,O448&lt;=$N$4,P448&gt;=0,Q448&gt;0),IF(COUNTIFS($N$13:$N$447,"&lt;"&amp;O448,$O$13:$O$447,"&gt;"&amp;N448)&gt;0,"OVERLAP","OK"),"CHECK INPUTS"))</f>
        <v/>
      </c>
      <c r="AA448" s="120">
        <f>IF(AND(J448="OK",ISNUMBER($B$5),$B$5&gt;0,ISNUMBER($B$3),$B$3&gt;0),F448/(6*$B$3*1000000*$B$5)*(IF(B448&lt;($B$4*0/10),($B$4*0/10)*(MIN(C448,($B$4*0/10))^3-B448^3)-(MIN(C448,($B$4*0/10))^4-B448^4)/4,0)+IF(C448&gt;($B$4*0/10),($B$4*0/10)^2*(1.5*(C448^2-MAX(B448,($B$4*0/10))^2)-($B$4*0/10)*(C448-MAX(B448,($B$4*0/10)))),0))*1000,0)</f>
        <v>0</v>
      </c>
      <c r="AB448" s="120">
        <f>IF(AND(J448="OK",ISNUMBER($B$5),$B$5&gt;0,ISNUMBER($B$3),$B$3&gt;0),F448/(6*$B$3*1000000*$B$5)*(IF(B448&lt;($B$4*1/10),($B$4*1/10)*(MIN(C448,($B$4*1/10))^3-B448^3)-(MIN(C448,($B$4*1/10))^4-B448^4)/4,0)+IF(C448&gt;($B$4*1/10),($B$4*1/10)^2*(1.5*(C448^2-MAX(B448,($B$4*1/10))^2)-($B$4*1/10)*(C448-MAX(B448,($B$4*1/10)))),0))*1000,0)</f>
        <v>0</v>
      </c>
      <c r="AC448" s="120">
        <f>IF(AND(J448="OK",ISNUMBER($B$5),$B$5&gt;0,ISNUMBER($B$3),$B$3&gt;0),F448/(6*$B$3*1000000*$B$5)*(IF(B448&lt;($B$4*2/10),($B$4*2/10)*(MIN(C448,($B$4*2/10))^3-B448^3)-(MIN(C448,($B$4*2/10))^4-B448^4)/4,0)+IF(C448&gt;($B$4*2/10),($B$4*2/10)^2*(1.5*(C448^2-MAX(B448,($B$4*2/10))^2)-($B$4*2/10)*(C448-MAX(B448,($B$4*2/10)))),0))*1000,0)</f>
        <v>0</v>
      </c>
      <c r="AD448" s="120">
        <f>IF(AND(J448="OK",ISNUMBER($B$5),$B$5&gt;0,ISNUMBER($B$3),$B$3&gt;0),F448/(6*$B$3*1000000*$B$5)*(IF(B448&lt;($B$4*3/10),($B$4*3/10)*(MIN(C448,($B$4*3/10))^3-B448^3)-(MIN(C448,($B$4*3/10))^4-B448^4)/4,0)+IF(C448&gt;($B$4*3/10),($B$4*3/10)^2*(1.5*(C448^2-MAX(B448,($B$4*3/10))^2)-($B$4*3/10)*(C448-MAX(B448,($B$4*3/10)))),0))*1000,0)</f>
        <v>0</v>
      </c>
      <c r="AE448" s="120">
        <f>IF(AND(J448="OK",ISNUMBER($B$5),$B$5&gt;0,ISNUMBER($B$3),$B$3&gt;0),F448/(6*$B$3*1000000*$B$5)*(IF(B448&lt;($B$4*4/10),($B$4*4/10)*(MIN(C448,($B$4*4/10))^3-B448^3)-(MIN(C448,($B$4*4/10))^4-B448^4)/4,0)+IF(C448&gt;($B$4*4/10),($B$4*4/10)^2*(1.5*(C448^2-MAX(B448,($B$4*4/10))^2)-($B$4*4/10)*(C448-MAX(B448,($B$4*4/10)))),0))*1000,0)</f>
        <v>0</v>
      </c>
      <c r="AF448" s="120">
        <f>IF(AND(J448="OK",ISNUMBER($B$5),$B$5&gt;0,ISNUMBER($B$3),$B$3&gt;0),F448/(6*$B$3*1000000*$B$5)*(IF(B448&lt;($B$4*5/10),($B$4*5/10)*(MIN(C448,($B$4*5/10))^3-B448^3)-(MIN(C448,($B$4*5/10))^4-B448^4)/4,0)+IF(C448&gt;($B$4*5/10),($B$4*5/10)^2*(1.5*(C448^2-MAX(B448,($B$4*5/10))^2)-($B$4*5/10)*(C448-MAX(B448,($B$4*5/10)))),0))*1000,0)</f>
        <v>0</v>
      </c>
      <c r="AG448" s="120">
        <f>IF(AND(J448="OK",ISNUMBER($B$5),$B$5&gt;0,ISNUMBER($B$3),$B$3&gt;0),F448/(6*$B$3*1000000*$B$5)*(IF(B448&lt;($B$4*6/10),($B$4*6/10)*(MIN(C448,($B$4*6/10))^3-B448^3)-(MIN(C448,($B$4*6/10))^4-B448^4)/4,0)+IF(C448&gt;($B$4*6/10),($B$4*6/10)^2*(1.5*(C448^2-MAX(B448,($B$4*6/10))^2)-($B$4*6/10)*(C448-MAX(B448,($B$4*6/10)))),0))*1000,0)</f>
        <v>0</v>
      </c>
      <c r="AH448" s="120">
        <f>IF(AND(J448="OK",ISNUMBER($B$5),$B$5&gt;0,ISNUMBER($B$3),$B$3&gt;0),F448/(6*$B$3*1000000*$B$5)*(IF(B448&lt;($B$4*7/10),($B$4*7/10)*(MIN(C448,($B$4*7/10))^3-B448^3)-(MIN(C448,($B$4*7/10))^4-B448^4)/4,0)+IF(C448&gt;($B$4*7/10),($B$4*7/10)^2*(1.5*(C448^2-MAX(B448,($B$4*7/10))^2)-($B$4*7/10)*(C448-MAX(B448,($B$4*7/10)))),0))*1000,0)</f>
        <v>0</v>
      </c>
      <c r="AI448" s="120">
        <f>IF(AND(J448="OK",ISNUMBER($B$5),$B$5&gt;0,ISNUMBER($B$3),$B$3&gt;0),F448/(6*$B$3*1000000*$B$5)*(IF(B448&lt;($B$4*8/10),($B$4*8/10)*(MIN(C448,($B$4*8/10))^3-B448^3)-(MIN(C448,($B$4*8/10))^4-B448^4)/4,0)+IF(C448&gt;($B$4*8/10),($B$4*8/10)^2*(1.5*(C448^2-MAX(B448,($B$4*8/10))^2)-($B$4*8/10)*(C448-MAX(B448,($B$4*8/10)))),0))*1000,0)</f>
        <v>0</v>
      </c>
      <c r="AJ448" s="120">
        <f>IF(AND(J448="OK",ISNUMBER($B$5),$B$5&gt;0,ISNUMBER($B$3),$B$3&gt;0),F448/(6*$B$3*1000000*$B$5)*(IF(B448&lt;($B$4*9/10),($B$4*9/10)*(MIN(C448,($B$4*9/10))^3-B448^3)-(MIN(C448,($B$4*9/10))^4-B448^4)/4,0)+IF(C448&gt;($B$4*9/10),($B$4*9/10)^2*(1.5*(C448^2-MAX(B448,($B$4*9/10))^2)-($B$4*9/10)*(C448-MAX(B448,($B$4*9/10)))),0))*1000,0)</f>
        <v>0</v>
      </c>
      <c r="AK448" s="120">
        <f>IF(AND(J448="OK",ISNUMBER($B$5),$B$5&gt;0,ISNUMBER($B$3),$B$3&gt;0),F448/(6*$B$3*1000000*$B$5)*(IF(B448&lt;($B$4*10/10),($B$4*10/10)*(MIN(C448,($B$4*10/10))^3-B448^3)-(MIN(C448,($B$4*10/10))^4-B448^4)/4,0)+IF(C448&gt;($B$4*10/10),($B$4*10/10)^2*(1.5*(C448^2-MAX(B448,($B$4*10/10))^2)-($B$4*10/10)*(C448-MAX(B448,($B$4*10/10)))),0))*1000,0)</f>
        <v>0</v>
      </c>
      <c r="AM448" s="120">
        <f>IF(AND(V448="OK",ISNUMBER($N$5),$N$5&gt;0,ISNUMBER($N$3),$N$3&gt;0),R448/(6*$N$3*1000000*$N$5)*(IF(N448&lt;($N$4*0/10),($N$4*0/10)*(MIN(O448,($N$4*0/10))^3-N448^3)-(MIN(O448,($N$4*0/10))^4-N448^4)/4,0)+IF(O448&gt;($N$4*0/10),($N$4*0/10)^2*(1.5*(O448^2-MAX(N448,($N$4*0/10))^2)-($N$4*0/10)*(O448-MAX(N448,($N$4*0/10)))),0))*1000,0)</f>
        <v>0</v>
      </c>
      <c r="AN448" s="120">
        <f>IF(AND(V448="OK",ISNUMBER($N$5),$N$5&gt;0,ISNUMBER($N$3),$N$3&gt;0),R448/(6*$N$3*1000000*$N$5)*(IF(N448&lt;($N$4*1/10),($N$4*1/10)*(MIN(O448,($N$4*1/10))^3-N448^3)-(MIN(O448,($N$4*1/10))^4-N448^4)/4,0)+IF(O448&gt;($N$4*1/10),($N$4*1/10)^2*(1.5*(O448^2-MAX(N448,($N$4*1/10))^2)-($N$4*1/10)*(O448-MAX(N448,($N$4*1/10)))),0))*1000,0)</f>
        <v>0</v>
      </c>
      <c r="AO448" s="120">
        <f>IF(AND(V448="OK",ISNUMBER($N$5),$N$5&gt;0,ISNUMBER($N$3),$N$3&gt;0),R448/(6*$N$3*1000000*$N$5)*(IF(N448&lt;($N$4*2/10),($N$4*2/10)*(MIN(O448,($N$4*2/10))^3-N448^3)-(MIN(O448,($N$4*2/10))^4-N448^4)/4,0)+IF(O448&gt;($N$4*2/10),($N$4*2/10)^2*(1.5*(O448^2-MAX(N448,($N$4*2/10))^2)-($N$4*2/10)*(O448-MAX(N448,($N$4*2/10)))),0))*1000,0)</f>
        <v>0</v>
      </c>
      <c r="AP448" s="120">
        <f>IF(AND(V448="OK",ISNUMBER($N$5),$N$5&gt;0,ISNUMBER($N$3),$N$3&gt;0),R448/(6*$N$3*1000000*$N$5)*(IF(N448&lt;($N$4*3/10),($N$4*3/10)*(MIN(O448,($N$4*3/10))^3-N448^3)-(MIN(O448,($N$4*3/10))^4-N448^4)/4,0)+IF(O448&gt;($N$4*3/10),($N$4*3/10)^2*(1.5*(O448^2-MAX(N448,($N$4*3/10))^2)-($N$4*3/10)*(O448-MAX(N448,($N$4*3/10)))),0))*1000,0)</f>
        <v>0</v>
      </c>
      <c r="AQ448" s="120">
        <f>IF(AND(V448="OK",ISNUMBER($N$5),$N$5&gt;0,ISNUMBER($N$3),$N$3&gt;0),R448/(6*$N$3*1000000*$N$5)*(IF(N448&lt;($N$4*4/10),($N$4*4/10)*(MIN(O448,($N$4*4/10))^3-N448^3)-(MIN(O448,($N$4*4/10))^4-N448^4)/4,0)+IF(O448&gt;($N$4*4/10),($N$4*4/10)^2*(1.5*(O448^2-MAX(N448,($N$4*4/10))^2)-($N$4*4/10)*(O448-MAX(N448,($N$4*4/10)))),0))*1000,0)</f>
        <v>0</v>
      </c>
      <c r="AR448" s="120">
        <f>IF(AND(V448="OK",ISNUMBER($N$5),$N$5&gt;0,ISNUMBER($N$3),$N$3&gt;0),R448/(6*$N$3*1000000*$N$5)*(IF(N448&lt;($N$4*5/10),($N$4*5/10)*(MIN(O448,($N$4*5/10))^3-N448^3)-(MIN(O448,($N$4*5/10))^4-N448^4)/4,0)+IF(O448&gt;($N$4*5/10),($N$4*5/10)^2*(1.5*(O448^2-MAX(N448,($N$4*5/10))^2)-($N$4*5/10)*(O448-MAX(N448,($N$4*5/10)))),0))*1000,0)</f>
        <v>0</v>
      </c>
      <c r="AS448" s="120">
        <f>IF(AND(V448="OK",ISNUMBER($N$5),$N$5&gt;0,ISNUMBER($N$3),$N$3&gt;0),R448/(6*$N$3*1000000*$N$5)*(IF(N448&lt;($N$4*6/10),($N$4*6/10)*(MIN(O448,($N$4*6/10))^3-N448^3)-(MIN(O448,($N$4*6/10))^4-N448^4)/4,0)+IF(O448&gt;($N$4*6/10),($N$4*6/10)^2*(1.5*(O448^2-MAX(N448,($N$4*6/10))^2)-($N$4*6/10)*(O448-MAX(N448,($N$4*6/10)))),0))*1000,0)</f>
        <v>0</v>
      </c>
      <c r="AT448" s="120">
        <f>IF(AND(V448="OK",ISNUMBER($N$5),$N$5&gt;0,ISNUMBER($N$3),$N$3&gt;0),R448/(6*$N$3*1000000*$N$5)*(IF(N448&lt;($N$4*7/10),($N$4*7/10)*(MIN(O448,($N$4*7/10))^3-N448^3)-(MIN(O448,($N$4*7/10))^4-N448^4)/4,0)+IF(O448&gt;($N$4*7/10),($N$4*7/10)^2*(1.5*(O448^2-MAX(N448,($N$4*7/10))^2)-($N$4*7/10)*(O448-MAX(N448,($N$4*7/10)))),0))*1000,0)</f>
        <v>0</v>
      </c>
      <c r="AU448" s="120">
        <f>IF(AND(V448="OK",ISNUMBER($N$5),$N$5&gt;0,ISNUMBER($N$3),$N$3&gt;0),R448/(6*$N$3*1000000*$N$5)*(IF(N448&lt;($N$4*8/10),($N$4*8/10)*(MIN(O448,($N$4*8/10))^3-N448^3)-(MIN(O448,($N$4*8/10))^4-N448^4)/4,0)+IF(O448&gt;($N$4*8/10),($N$4*8/10)^2*(1.5*(O448^2-MAX(N448,($N$4*8/10))^2)-($N$4*8/10)*(O448-MAX(N448,($N$4*8/10)))),0))*1000,0)</f>
        <v>0</v>
      </c>
      <c r="AV448" s="120">
        <f>IF(AND(V448="OK",ISNUMBER($N$5),$N$5&gt;0,ISNUMBER($N$3),$N$3&gt;0),R448/(6*$N$3*1000000*$N$5)*(IF(N448&lt;($N$4*9/10),($N$4*9/10)*(MIN(O448,($N$4*9/10))^3-N448^3)-(MIN(O448,($N$4*9/10))^4-N448^4)/4,0)+IF(O448&gt;($N$4*9/10),($N$4*9/10)^2*(1.5*(O448^2-MAX(N448,($N$4*9/10))^2)-($N$4*9/10)*(O448-MAX(N448,($N$4*9/10)))),0))*1000,0)</f>
        <v>0</v>
      </c>
      <c r="AW448" s="120">
        <f>IF(AND(V448="OK",ISNUMBER($N$5),$N$5&gt;0,ISNUMBER($N$3),$N$3&gt;0),R448/(6*$N$3*1000000*$N$5)*(IF(N448&lt;($N$4*10/10),($N$4*10/10)*(MIN(O448,($N$4*10/10))^3-N448^3)-(MIN(O448,($N$4*10/10))^4-N448^4)/4,0)+IF(O448&gt;($N$4*10/10),($N$4*10/10)^2*(1.5*(O448^2-MAX(N448,($N$4*10/10))^2)-($N$4*10/10)*(O448-MAX(N448,($N$4*10/10)))),0))*1000,0)</f>
        <v>0</v>
      </c>
    </row>
    <row r="449" spans="1:49">
      <c r="A449" s="124"/>
      <c r="B449" s="125"/>
      <c r="C449" s="125"/>
      <c r="D449" s="125"/>
      <c r="E449" s="125"/>
      <c r="F449" s="126" t="str">
        <f>IF(J449="OK",D449*E449,"")</f>
        <v/>
      </c>
      <c r="G449" s="126" t="str">
        <f>IF(J449="OK",F449*(C449-B449),"")</f>
        <v/>
      </c>
      <c r="H449" s="126" t="str">
        <f>IF(J449="OK",G449*(C449+B449)/2,"")</f>
        <v/>
      </c>
      <c r="I449" s="126" t="str">
        <f>IF(AND(J449="OK",ISNUMBER($B$5),$B$5&gt;0,ISNUMBER($B$3),$B$3&gt;0),F449*(4*$B$4*(C449^3-B449^3)-(C449^4-B449^4))/(24*$B$3*1000000*$B$5)*1000,"")</f>
        <v/>
      </c>
      <c r="J449" s="120" t="str">
        <f>IF(COUNTA(A449:E449)=0,"",IF(AND(COUNT(B449:E449)=4,B449&gt;=0,C449&gt;B449,C449&lt;=$B$4,D449&gt;=0,E449&gt;0),IF(COUNTIFS($B$13:$B$448,"&lt;"&amp;C449,$C$13:$C$448,"&gt;"&amp;B449)&gt;0,"OVERLAP","OK"),"CHECK INPUTS"))</f>
        <v/>
      </c>
      <c r="M449" s="124"/>
      <c r="N449" s="125"/>
      <c r="O449" s="125"/>
      <c r="P449" s="125"/>
      <c r="Q449" s="125"/>
      <c r="R449" s="126" t="str">
        <f>IF(V449="OK",P449*Q449,"")</f>
        <v/>
      </c>
      <c r="S449" s="126" t="str">
        <f>IF(V449="OK",R449*(O449-N449),"")</f>
        <v/>
      </c>
      <c r="T449" s="126" t="str">
        <f>IF(V449="OK",S449*(O449+N449)/2,"")</f>
        <v/>
      </c>
      <c r="U449" s="126" t="str">
        <f>IF(AND(V449="OK",ISNUMBER($N$5),$N$5&gt;0,ISNUMBER($N$3),$N$3&gt;0),R449*(4*$N$4*(O449^3-N449^3)-(O449^4-N449^4))/(24*$N$3*1000000*$N$5)*1000,"")</f>
        <v/>
      </c>
      <c r="V449" s="120" t="str">
        <f>IF(COUNTA(M449:Q449)=0,"",IF(AND(COUNT(N449:Q449)=4,N449&gt;=0,O449&gt;N449,O449&lt;=$N$4,P449&gt;=0,Q449&gt;0),IF(COUNTIFS($N$13:$N$448,"&lt;"&amp;O449,$O$13:$O$448,"&gt;"&amp;N449)&gt;0,"OVERLAP","OK"),"CHECK INPUTS"))</f>
        <v/>
      </c>
      <c r="AA449" s="120">
        <f>IF(AND(J449="OK",ISNUMBER($B$5),$B$5&gt;0,ISNUMBER($B$3),$B$3&gt;0),F449/(6*$B$3*1000000*$B$5)*(IF(B449&lt;($B$4*0/10),($B$4*0/10)*(MIN(C449,($B$4*0/10))^3-B449^3)-(MIN(C449,($B$4*0/10))^4-B449^4)/4,0)+IF(C449&gt;($B$4*0/10),($B$4*0/10)^2*(1.5*(C449^2-MAX(B449,($B$4*0/10))^2)-($B$4*0/10)*(C449-MAX(B449,($B$4*0/10)))),0))*1000,0)</f>
        <v>0</v>
      </c>
      <c r="AB449" s="120">
        <f>IF(AND(J449="OK",ISNUMBER($B$5),$B$5&gt;0,ISNUMBER($B$3),$B$3&gt;0),F449/(6*$B$3*1000000*$B$5)*(IF(B449&lt;($B$4*1/10),($B$4*1/10)*(MIN(C449,($B$4*1/10))^3-B449^3)-(MIN(C449,($B$4*1/10))^4-B449^4)/4,0)+IF(C449&gt;($B$4*1/10),($B$4*1/10)^2*(1.5*(C449^2-MAX(B449,($B$4*1/10))^2)-($B$4*1/10)*(C449-MAX(B449,($B$4*1/10)))),0))*1000,0)</f>
        <v>0</v>
      </c>
      <c r="AC449" s="120">
        <f>IF(AND(J449="OK",ISNUMBER($B$5),$B$5&gt;0,ISNUMBER($B$3),$B$3&gt;0),F449/(6*$B$3*1000000*$B$5)*(IF(B449&lt;($B$4*2/10),($B$4*2/10)*(MIN(C449,($B$4*2/10))^3-B449^3)-(MIN(C449,($B$4*2/10))^4-B449^4)/4,0)+IF(C449&gt;($B$4*2/10),($B$4*2/10)^2*(1.5*(C449^2-MAX(B449,($B$4*2/10))^2)-($B$4*2/10)*(C449-MAX(B449,($B$4*2/10)))),0))*1000,0)</f>
        <v>0</v>
      </c>
      <c r="AD449" s="120">
        <f>IF(AND(J449="OK",ISNUMBER($B$5),$B$5&gt;0,ISNUMBER($B$3),$B$3&gt;0),F449/(6*$B$3*1000000*$B$5)*(IF(B449&lt;($B$4*3/10),($B$4*3/10)*(MIN(C449,($B$4*3/10))^3-B449^3)-(MIN(C449,($B$4*3/10))^4-B449^4)/4,0)+IF(C449&gt;($B$4*3/10),($B$4*3/10)^2*(1.5*(C449^2-MAX(B449,($B$4*3/10))^2)-($B$4*3/10)*(C449-MAX(B449,($B$4*3/10)))),0))*1000,0)</f>
        <v>0</v>
      </c>
      <c r="AE449" s="120">
        <f>IF(AND(J449="OK",ISNUMBER($B$5),$B$5&gt;0,ISNUMBER($B$3),$B$3&gt;0),F449/(6*$B$3*1000000*$B$5)*(IF(B449&lt;($B$4*4/10),($B$4*4/10)*(MIN(C449,($B$4*4/10))^3-B449^3)-(MIN(C449,($B$4*4/10))^4-B449^4)/4,0)+IF(C449&gt;($B$4*4/10),($B$4*4/10)^2*(1.5*(C449^2-MAX(B449,($B$4*4/10))^2)-($B$4*4/10)*(C449-MAX(B449,($B$4*4/10)))),0))*1000,0)</f>
        <v>0</v>
      </c>
      <c r="AF449" s="120">
        <f>IF(AND(J449="OK",ISNUMBER($B$5),$B$5&gt;0,ISNUMBER($B$3),$B$3&gt;0),F449/(6*$B$3*1000000*$B$5)*(IF(B449&lt;($B$4*5/10),($B$4*5/10)*(MIN(C449,($B$4*5/10))^3-B449^3)-(MIN(C449,($B$4*5/10))^4-B449^4)/4,0)+IF(C449&gt;($B$4*5/10),($B$4*5/10)^2*(1.5*(C449^2-MAX(B449,($B$4*5/10))^2)-($B$4*5/10)*(C449-MAX(B449,($B$4*5/10)))),0))*1000,0)</f>
        <v>0</v>
      </c>
      <c r="AG449" s="120">
        <f>IF(AND(J449="OK",ISNUMBER($B$5),$B$5&gt;0,ISNUMBER($B$3),$B$3&gt;0),F449/(6*$B$3*1000000*$B$5)*(IF(B449&lt;($B$4*6/10),($B$4*6/10)*(MIN(C449,($B$4*6/10))^3-B449^3)-(MIN(C449,($B$4*6/10))^4-B449^4)/4,0)+IF(C449&gt;($B$4*6/10),($B$4*6/10)^2*(1.5*(C449^2-MAX(B449,($B$4*6/10))^2)-($B$4*6/10)*(C449-MAX(B449,($B$4*6/10)))),0))*1000,0)</f>
        <v>0</v>
      </c>
      <c r="AH449" s="120">
        <f>IF(AND(J449="OK",ISNUMBER($B$5),$B$5&gt;0,ISNUMBER($B$3),$B$3&gt;0),F449/(6*$B$3*1000000*$B$5)*(IF(B449&lt;($B$4*7/10),($B$4*7/10)*(MIN(C449,($B$4*7/10))^3-B449^3)-(MIN(C449,($B$4*7/10))^4-B449^4)/4,0)+IF(C449&gt;($B$4*7/10),($B$4*7/10)^2*(1.5*(C449^2-MAX(B449,($B$4*7/10))^2)-($B$4*7/10)*(C449-MAX(B449,($B$4*7/10)))),0))*1000,0)</f>
        <v>0</v>
      </c>
      <c r="AI449" s="120">
        <f>IF(AND(J449="OK",ISNUMBER($B$5),$B$5&gt;0,ISNUMBER($B$3),$B$3&gt;0),F449/(6*$B$3*1000000*$B$5)*(IF(B449&lt;($B$4*8/10),($B$4*8/10)*(MIN(C449,($B$4*8/10))^3-B449^3)-(MIN(C449,($B$4*8/10))^4-B449^4)/4,0)+IF(C449&gt;($B$4*8/10),($B$4*8/10)^2*(1.5*(C449^2-MAX(B449,($B$4*8/10))^2)-($B$4*8/10)*(C449-MAX(B449,($B$4*8/10)))),0))*1000,0)</f>
        <v>0</v>
      </c>
      <c r="AJ449" s="120">
        <f>IF(AND(J449="OK",ISNUMBER($B$5),$B$5&gt;0,ISNUMBER($B$3),$B$3&gt;0),F449/(6*$B$3*1000000*$B$5)*(IF(B449&lt;($B$4*9/10),($B$4*9/10)*(MIN(C449,($B$4*9/10))^3-B449^3)-(MIN(C449,($B$4*9/10))^4-B449^4)/4,0)+IF(C449&gt;($B$4*9/10),($B$4*9/10)^2*(1.5*(C449^2-MAX(B449,($B$4*9/10))^2)-($B$4*9/10)*(C449-MAX(B449,($B$4*9/10)))),0))*1000,0)</f>
        <v>0</v>
      </c>
      <c r="AK449" s="120">
        <f>IF(AND(J449="OK",ISNUMBER($B$5),$B$5&gt;0,ISNUMBER($B$3),$B$3&gt;0),F449/(6*$B$3*1000000*$B$5)*(IF(B449&lt;($B$4*10/10),($B$4*10/10)*(MIN(C449,($B$4*10/10))^3-B449^3)-(MIN(C449,($B$4*10/10))^4-B449^4)/4,0)+IF(C449&gt;($B$4*10/10),($B$4*10/10)^2*(1.5*(C449^2-MAX(B449,($B$4*10/10))^2)-($B$4*10/10)*(C449-MAX(B449,($B$4*10/10)))),0))*1000,0)</f>
        <v>0</v>
      </c>
      <c r="AM449" s="120">
        <f>IF(AND(V449="OK",ISNUMBER($N$5),$N$5&gt;0,ISNUMBER($N$3),$N$3&gt;0),R449/(6*$N$3*1000000*$N$5)*(IF(N449&lt;($N$4*0/10),($N$4*0/10)*(MIN(O449,($N$4*0/10))^3-N449^3)-(MIN(O449,($N$4*0/10))^4-N449^4)/4,0)+IF(O449&gt;($N$4*0/10),($N$4*0/10)^2*(1.5*(O449^2-MAX(N449,($N$4*0/10))^2)-($N$4*0/10)*(O449-MAX(N449,($N$4*0/10)))),0))*1000,0)</f>
        <v>0</v>
      </c>
      <c r="AN449" s="120">
        <f>IF(AND(V449="OK",ISNUMBER($N$5),$N$5&gt;0,ISNUMBER($N$3),$N$3&gt;0),R449/(6*$N$3*1000000*$N$5)*(IF(N449&lt;($N$4*1/10),($N$4*1/10)*(MIN(O449,($N$4*1/10))^3-N449^3)-(MIN(O449,($N$4*1/10))^4-N449^4)/4,0)+IF(O449&gt;($N$4*1/10),($N$4*1/10)^2*(1.5*(O449^2-MAX(N449,($N$4*1/10))^2)-($N$4*1/10)*(O449-MAX(N449,($N$4*1/10)))),0))*1000,0)</f>
        <v>0</v>
      </c>
      <c r="AO449" s="120">
        <f>IF(AND(V449="OK",ISNUMBER($N$5),$N$5&gt;0,ISNUMBER($N$3),$N$3&gt;0),R449/(6*$N$3*1000000*$N$5)*(IF(N449&lt;($N$4*2/10),($N$4*2/10)*(MIN(O449,($N$4*2/10))^3-N449^3)-(MIN(O449,($N$4*2/10))^4-N449^4)/4,0)+IF(O449&gt;($N$4*2/10),($N$4*2/10)^2*(1.5*(O449^2-MAX(N449,($N$4*2/10))^2)-($N$4*2/10)*(O449-MAX(N449,($N$4*2/10)))),0))*1000,0)</f>
        <v>0</v>
      </c>
      <c r="AP449" s="120">
        <f>IF(AND(V449="OK",ISNUMBER($N$5),$N$5&gt;0,ISNUMBER($N$3),$N$3&gt;0),R449/(6*$N$3*1000000*$N$5)*(IF(N449&lt;($N$4*3/10),($N$4*3/10)*(MIN(O449,($N$4*3/10))^3-N449^3)-(MIN(O449,($N$4*3/10))^4-N449^4)/4,0)+IF(O449&gt;($N$4*3/10),($N$4*3/10)^2*(1.5*(O449^2-MAX(N449,($N$4*3/10))^2)-($N$4*3/10)*(O449-MAX(N449,($N$4*3/10)))),0))*1000,0)</f>
        <v>0</v>
      </c>
      <c r="AQ449" s="120">
        <f>IF(AND(V449="OK",ISNUMBER($N$5),$N$5&gt;0,ISNUMBER($N$3),$N$3&gt;0),R449/(6*$N$3*1000000*$N$5)*(IF(N449&lt;($N$4*4/10),($N$4*4/10)*(MIN(O449,($N$4*4/10))^3-N449^3)-(MIN(O449,($N$4*4/10))^4-N449^4)/4,0)+IF(O449&gt;($N$4*4/10),($N$4*4/10)^2*(1.5*(O449^2-MAX(N449,($N$4*4/10))^2)-($N$4*4/10)*(O449-MAX(N449,($N$4*4/10)))),0))*1000,0)</f>
        <v>0</v>
      </c>
      <c r="AR449" s="120">
        <f>IF(AND(V449="OK",ISNUMBER($N$5),$N$5&gt;0,ISNUMBER($N$3),$N$3&gt;0),R449/(6*$N$3*1000000*$N$5)*(IF(N449&lt;($N$4*5/10),($N$4*5/10)*(MIN(O449,($N$4*5/10))^3-N449^3)-(MIN(O449,($N$4*5/10))^4-N449^4)/4,0)+IF(O449&gt;($N$4*5/10),($N$4*5/10)^2*(1.5*(O449^2-MAX(N449,($N$4*5/10))^2)-($N$4*5/10)*(O449-MAX(N449,($N$4*5/10)))),0))*1000,0)</f>
        <v>0</v>
      </c>
      <c r="AS449" s="120">
        <f>IF(AND(V449="OK",ISNUMBER($N$5),$N$5&gt;0,ISNUMBER($N$3),$N$3&gt;0),R449/(6*$N$3*1000000*$N$5)*(IF(N449&lt;($N$4*6/10),($N$4*6/10)*(MIN(O449,($N$4*6/10))^3-N449^3)-(MIN(O449,($N$4*6/10))^4-N449^4)/4,0)+IF(O449&gt;($N$4*6/10),($N$4*6/10)^2*(1.5*(O449^2-MAX(N449,($N$4*6/10))^2)-($N$4*6/10)*(O449-MAX(N449,($N$4*6/10)))),0))*1000,0)</f>
        <v>0</v>
      </c>
      <c r="AT449" s="120">
        <f>IF(AND(V449="OK",ISNUMBER($N$5),$N$5&gt;0,ISNUMBER($N$3),$N$3&gt;0),R449/(6*$N$3*1000000*$N$5)*(IF(N449&lt;($N$4*7/10),($N$4*7/10)*(MIN(O449,($N$4*7/10))^3-N449^3)-(MIN(O449,($N$4*7/10))^4-N449^4)/4,0)+IF(O449&gt;($N$4*7/10),($N$4*7/10)^2*(1.5*(O449^2-MAX(N449,($N$4*7/10))^2)-($N$4*7/10)*(O449-MAX(N449,($N$4*7/10)))),0))*1000,0)</f>
        <v>0</v>
      </c>
      <c r="AU449" s="120">
        <f>IF(AND(V449="OK",ISNUMBER($N$5),$N$5&gt;0,ISNUMBER($N$3),$N$3&gt;0),R449/(6*$N$3*1000000*$N$5)*(IF(N449&lt;($N$4*8/10),($N$4*8/10)*(MIN(O449,($N$4*8/10))^3-N449^3)-(MIN(O449,($N$4*8/10))^4-N449^4)/4,0)+IF(O449&gt;($N$4*8/10),($N$4*8/10)^2*(1.5*(O449^2-MAX(N449,($N$4*8/10))^2)-($N$4*8/10)*(O449-MAX(N449,($N$4*8/10)))),0))*1000,0)</f>
        <v>0</v>
      </c>
      <c r="AV449" s="120">
        <f>IF(AND(V449="OK",ISNUMBER($N$5),$N$5&gt;0,ISNUMBER($N$3),$N$3&gt;0),R449/(6*$N$3*1000000*$N$5)*(IF(N449&lt;($N$4*9/10),($N$4*9/10)*(MIN(O449,($N$4*9/10))^3-N449^3)-(MIN(O449,($N$4*9/10))^4-N449^4)/4,0)+IF(O449&gt;($N$4*9/10),($N$4*9/10)^2*(1.5*(O449^2-MAX(N449,($N$4*9/10))^2)-($N$4*9/10)*(O449-MAX(N449,($N$4*9/10)))),0))*1000,0)</f>
        <v>0</v>
      </c>
      <c r="AW449" s="120">
        <f>IF(AND(V449="OK",ISNUMBER($N$5),$N$5&gt;0,ISNUMBER($N$3),$N$3&gt;0),R449/(6*$N$3*1000000*$N$5)*(IF(N449&lt;($N$4*10/10),($N$4*10/10)*(MIN(O449,($N$4*10/10))^3-N449^3)-(MIN(O449,($N$4*10/10))^4-N449^4)/4,0)+IF(O449&gt;($N$4*10/10),($N$4*10/10)^2*(1.5*(O449^2-MAX(N449,($N$4*10/10))^2)-($N$4*10/10)*(O449-MAX(N449,($N$4*10/10)))),0))*1000,0)</f>
        <v>0</v>
      </c>
    </row>
    <row r="450" spans="1:49">
      <c r="A450" s="124"/>
      <c r="B450" s="125"/>
      <c r="C450" s="125"/>
      <c r="D450" s="125"/>
      <c r="E450" s="125"/>
      <c r="F450" s="126" t="str">
        <f>IF(J450="OK",D450*E450,"")</f>
        <v/>
      </c>
      <c r="G450" s="126" t="str">
        <f>IF(J450="OK",F450*(C450-B450),"")</f>
        <v/>
      </c>
      <c r="H450" s="126" t="str">
        <f>IF(J450="OK",G450*(C450+B450)/2,"")</f>
        <v/>
      </c>
      <c r="I450" s="126" t="str">
        <f>IF(AND(J450="OK",ISNUMBER($B$5),$B$5&gt;0,ISNUMBER($B$3),$B$3&gt;0),F450*(4*$B$4*(C450^3-B450^3)-(C450^4-B450^4))/(24*$B$3*1000000*$B$5)*1000,"")</f>
        <v/>
      </c>
      <c r="J450" s="120" t="str">
        <f>IF(COUNTA(A450:E450)=0,"",IF(AND(COUNT(B450:E450)=4,B450&gt;=0,C450&gt;B450,C450&lt;=$B$4,D450&gt;=0,E450&gt;0),IF(COUNTIFS($B$13:$B$449,"&lt;"&amp;C450,$C$13:$C$449,"&gt;"&amp;B450)&gt;0,"OVERLAP","OK"),"CHECK INPUTS"))</f>
        <v/>
      </c>
      <c r="M450" s="124"/>
      <c r="N450" s="125"/>
      <c r="O450" s="125"/>
      <c r="P450" s="125"/>
      <c r="Q450" s="125"/>
      <c r="R450" s="126" t="str">
        <f>IF(V450="OK",P450*Q450,"")</f>
        <v/>
      </c>
      <c r="S450" s="126" t="str">
        <f>IF(V450="OK",R450*(O450-N450),"")</f>
        <v/>
      </c>
      <c r="T450" s="126" t="str">
        <f>IF(V450="OK",S450*(O450+N450)/2,"")</f>
        <v/>
      </c>
      <c r="U450" s="126" t="str">
        <f>IF(AND(V450="OK",ISNUMBER($N$5),$N$5&gt;0,ISNUMBER($N$3),$N$3&gt;0),R450*(4*$N$4*(O450^3-N450^3)-(O450^4-N450^4))/(24*$N$3*1000000*$N$5)*1000,"")</f>
        <v/>
      </c>
      <c r="V450" s="120" t="str">
        <f>IF(COUNTA(M450:Q450)=0,"",IF(AND(COUNT(N450:Q450)=4,N450&gt;=0,O450&gt;N450,O450&lt;=$N$4,P450&gt;=0,Q450&gt;0),IF(COUNTIFS($N$13:$N$449,"&lt;"&amp;O450,$O$13:$O$449,"&gt;"&amp;N450)&gt;0,"OVERLAP","OK"),"CHECK INPUTS"))</f>
        <v/>
      </c>
      <c r="AA450" s="120">
        <f>IF(AND(J450="OK",ISNUMBER($B$5),$B$5&gt;0,ISNUMBER($B$3),$B$3&gt;0),F450/(6*$B$3*1000000*$B$5)*(IF(B450&lt;($B$4*0/10),($B$4*0/10)*(MIN(C450,($B$4*0/10))^3-B450^3)-(MIN(C450,($B$4*0/10))^4-B450^4)/4,0)+IF(C450&gt;($B$4*0/10),($B$4*0/10)^2*(1.5*(C450^2-MAX(B450,($B$4*0/10))^2)-($B$4*0/10)*(C450-MAX(B450,($B$4*0/10)))),0))*1000,0)</f>
        <v>0</v>
      </c>
      <c r="AB450" s="120">
        <f>IF(AND(J450="OK",ISNUMBER($B$5),$B$5&gt;0,ISNUMBER($B$3),$B$3&gt;0),F450/(6*$B$3*1000000*$B$5)*(IF(B450&lt;($B$4*1/10),($B$4*1/10)*(MIN(C450,($B$4*1/10))^3-B450^3)-(MIN(C450,($B$4*1/10))^4-B450^4)/4,0)+IF(C450&gt;($B$4*1/10),($B$4*1/10)^2*(1.5*(C450^2-MAX(B450,($B$4*1/10))^2)-($B$4*1/10)*(C450-MAX(B450,($B$4*1/10)))),0))*1000,0)</f>
        <v>0</v>
      </c>
      <c r="AC450" s="120">
        <f>IF(AND(J450="OK",ISNUMBER($B$5),$B$5&gt;0,ISNUMBER($B$3),$B$3&gt;0),F450/(6*$B$3*1000000*$B$5)*(IF(B450&lt;($B$4*2/10),($B$4*2/10)*(MIN(C450,($B$4*2/10))^3-B450^3)-(MIN(C450,($B$4*2/10))^4-B450^4)/4,0)+IF(C450&gt;($B$4*2/10),($B$4*2/10)^2*(1.5*(C450^2-MAX(B450,($B$4*2/10))^2)-($B$4*2/10)*(C450-MAX(B450,($B$4*2/10)))),0))*1000,0)</f>
        <v>0</v>
      </c>
      <c r="AD450" s="120">
        <f>IF(AND(J450="OK",ISNUMBER($B$5),$B$5&gt;0,ISNUMBER($B$3),$B$3&gt;0),F450/(6*$B$3*1000000*$B$5)*(IF(B450&lt;($B$4*3/10),($B$4*3/10)*(MIN(C450,($B$4*3/10))^3-B450^3)-(MIN(C450,($B$4*3/10))^4-B450^4)/4,0)+IF(C450&gt;($B$4*3/10),($B$4*3/10)^2*(1.5*(C450^2-MAX(B450,($B$4*3/10))^2)-($B$4*3/10)*(C450-MAX(B450,($B$4*3/10)))),0))*1000,0)</f>
        <v>0</v>
      </c>
      <c r="AE450" s="120">
        <f>IF(AND(J450="OK",ISNUMBER($B$5),$B$5&gt;0,ISNUMBER($B$3),$B$3&gt;0),F450/(6*$B$3*1000000*$B$5)*(IF(B450&lt;($B$4*4/10),($B$4*4/10)*(MIN(C450,($B$4*4/10))^3-B450^3)-(MIN(C450,($B$4*4/10))^4-B450^4)/4,0)+IF(C450&gt;($B$4*4/10),($B$4*4/10)^2*(1.5*(C450^2-MAX(B450,($B$4*4/10))^2)-($B$4*4/10)*(C450-MAX(B450,($B$4*4/10)))),0))*1000,0)</f>
        <v>0</v>
      </c>
      <c r="AF450" s="120">
        <f>IF(AND(J450="OK",ISNUMBER($B$5),$B$5&gt;0,ISNUMBER($B$3),$B$3&gt;0),F450/(6*$B$3*1000000*$B$5)*(IF(B450&lt;($B$4*5/10),($B$4*5/10)*(MIN(C450,($B$4*5/10))^3-B450^3)-(MIN(C450,($B$4*5/10))^4-B450^4)/4,0)+IF(C450&gt;($B$4*5/10),($B$4*5/10)^2*(1.5*(C450^2-MAX(B450,($B$4*5/10))^2)-($B$4*5/10)*(C450-MAX(B450,($B$4*5/10)))),0))*1000,0)</f>
        <v>0</v>
      </c>
      <c r="AG450" s="120">
        <f>IF(AND(J450="OK",ISNUMBER($B$5),$B$5&gt;0,ISNUMBER($B$3),$B$3&gt;0),F450/(6*$B$3*1000000*$B$5)*(IF(B450&lt;($B$4*6/10),($B$4*6/10)*(MIN(C450,($B$4*6/10))^3-B450^3)-(MIN(C450,($B$4*6/10))^4-B450^4)/4,0)+IF(C450&gt;($B$4*6/10),($B$4*6/10)^2*(1.5*(C450^2-MAX(B450,($B$4*6/10))^2)-($B$4*6/10)*(C450-MAX(B450,($B$4*6/10)))),0))*1000,0)</f>
        <v>0</v>
      </c>
      <c r="AH450" s="120">
        <f>IF(AND(J450="OK",ISNUMBER($B$5),$B$5&gt;0,ISNUMBER($B$3),$B$3&gt;0),F450/(6*$B$3*1000000*$B$5)*(IF(B450&lt;($B$4*7/10),($B$4*7/10)*(MIN(C450,($B$4*7/10))^3-B450^3)-(MIN(C450,($B$4*7/10))^4-B450^4)/4,0)+IF(C450&gt;($B$4*7/10),($B$4*7/10)^2*(1.5*(C450^2-MAX(B450,($B$4*7/10))^2)-($B$4*7/10)*(C450-MAX(B450,($B$4*7/10)))),0))*1000,0)</f>
        <v>0</v>
      </c>
      <c r="AI450" s="120">
        <f>IF(AND(J450="OK",ISNUMBER($B$5),$B$5&gt;0,ISNUMBER($B$3),$B$3&gt;0),F450/(6*$B$3*1000000*$B$5)*(IF(B450&lt;($B$4*8/10),($B$4*8/10)*(MIN(C450,($B$4*8/10))^3-B450^3)-(MIN(C450,($B$4*8/10))^4-B450^4)/4,0)+IF(C450&gt;($B$4*8/10),($B$4*8/10)^2*(1.5*(C450^2-MAX(B450,($B$4*8/10))^2)-($B$4*8/10)*(C450-MAX(B450,($B$4*8/10)))),0))*1000,0)</f>
        <v>0</v>
      </c>
      <c r="AJ450" s="120">
        <f>IF(AND(J450="OK",ISNUMBER($B$5),$B$5&gt;0,ISNUMBER($B$3),$B$3&gt;0),F450/(6*$B$3*1000000*$B$5)*(IF(B450&lt;($B$4*9/10),($B$4*9/10)*(MIN(C450,($B$4*9/10))^3-B450^3)-(MIN(C450,($B$4*9/10))^4-B450^4)/4,0)+IF(C450&gt;($B$4*9/10),($B$4*9/10)^2*(1.5*(C450^2-MAX(B450,($B$4*9/10))^2)-($B$4*9/10)*(C450-MAX(B450,($B$4*9/10)))),0))*1000,0)</f>
        <v>0</v>
      </c>
      <c r="AK450" s="120">
        <f>IF(AND(J450="OK",ISNUMBER($B$5),$B$5&gt;0,ISNUMBER($B$3),$B$3&gt;0),F450/(6*$B$3*1000000*$B$5)*(IF(B450&lt;($B$4*10/10),($B$4*10/10)*(MIN(C450,($B$4*10/10))^3-B450^3)-(MIN(C450,($B$4*10/10))^4-B450^4)/4,0)+IF(C450&gt;($B$4*10/10),($B$4*10/10)^2*(1.5*(C450^2-MAX(B450,($B$4*10/10))^2)-($B$4*10/10)*(C450-MAX(B450,($B$4*10/10)))),0))*1000,0)</f>
        <v>0</v>
      </c>
      <c r="AM450" s="120">
        <f>IF(AND(V450="OK",ISNUMBER($N$5),$N$5&gt;0,ISNUMBER($N$3),$N$3&gt;0),R450/(6*$N$3*1000000*$N$5)*(IF(N450&lt;($N$4*0/10),($N$4*0/10)*(MIN(O450,($N$4*0/10))^3-N450^3)-(MIN(O450,($N$4*0/10))^4-N450^4)/4,0)+IF(O450&gt;($N$4*0/10),($N$4*0/10)^2*(1.5*(O450^2-MAX(N450,($N$4*0/10))^2)-($N$4*0/10)*(O450-MAX(N450,($N$4*0/10)))),0))*1000,0)</f>
        <v>0</v>
      </c>
      <c r="AN450" s="120">
        <f>IF(AND(V450="OK",ISNUMBER($N$5),$N$5&gt;0,ISNUMBER($N$3),$N$3&gt;0),R450/(6*$N$3*1000000*$N$5)*(IF(N450&lt;($N$4*1/10),($N$4*1/10)*(MIN(O450,($N$4*1/10))^3-N450^3)-(MIN(O450,($N$4*1/10))^4-N450^4)/4,0)+IF(O450&gt;($N$4*1/10),($N$4*1/10)^2*(1.5*(O450^2-MAX(N450,($N$4*1/10))^2)-($N$4*1/10)*(O450-MAX(N450,($N$4*1/10)))),0))*1000,0)</f>
        <v>0</v>
      </c>
      <c r="AO450" s="120">
        <f>IF(AND(V450="OK",ISNUMBER($N$5),$N$5&gt;0,ISNUMBER($N$3),$N$3&gt;0),R450/(6*$N$3*1000000*$N$5)*(IF(N450&lt;($N$4*2/10),($N$4*2/10)*(MIN(O450,($N$4*2/10))^3-N450^3)-(MIN(O450,($N$4*2/10))^4-N450^4)/4,0)+IF(O450&gt;($N$4*2/10),($N$4*2/10)^2*(1.5*(O450^2-MAX(N450,($N$4*2/10))^2)-($N$4*2/10)*(O450-MAX(N450,($N$4*2/10)))),0))*1000,0)</f>
        <v>0</v>
      </c>
      <c r="AP450" s="120">
        <f>IF(AND(V450="OK",ISNUMBER($N$5),$N$5&gt;0,ISNUMBER($N$3),$N$3&gt;0),R450/(6*$N$3*1000000*$N$5)*(IF(N450&lt;($N$4*3/10),($N$4*3/10)*(MIN(O450,($N$4*3/10))^3-N450^3)-(MIN(O450,($N$4*3/10))^4-N450^4)/4,0)+IF(O450&gt;($N$4*3/10),($N$4*3/10)^2*(1.5*(O450^2-MAX(N450,($N$4*3/10))^2)-($N$4*3/10)*(O450-MAX(N450,($N$4*3/10)))),0))*1000,0)</f>
        <v>0</v>
      </c>
      <c r="AQ450" s="120">
        <f>IF(AND(V450="OK",ISNUMBER($N$5),$N$5&gt;0,ISNUMBER($N$3),$N$3&gt;0),R450/(6*$N$3*1000000*$N$5)*(IF(N450&lt;($N$4*4/10),($N$4*4/10)*(MIN(O450,($N$4*4/10))^3-N450^3)-(MIN(O450,($N$4*4/10))^4-N450^4)/4,0)+IF(O450&gt;($N$4*4/10),($N$4*4/10)^2*(1.5*(O450^2-MAX(N450,($N$4*4/10))^2)-($N$4*4/10)*(O450-MAX(N450,($N$4*4/10)))),0))*1000,0)</f>
        <v>0</v>
      </c>
      <c r="AR450" s="120">
        <f>IF(AND(V450="OK",ISNUMBER($N$5),$N$5&gt;0,ISNUMBER($N$3),$N$3&gt;0),R450/(6*$N$3*1000000*$N$5)*(IF(N450&lt;($N$4*5/10),($N$4*5/10)*(MIN(O450,($N$4*5/10))^3-N450^3)-(MIN(O450,($N$4*5/10))^4-N450^4)/4,0)+IF(O450&gt;($N$4*5/10),($N$4*5/10)^2*(1.5*(O450^2-MAX(N450,($N$4*5/10))^2)-($N$4*5/10)*(O450-MAX(N450,($N$4*5/10)))),0))*1000,0)</f>
        <v>0</v>
      </c>
      <c r="AS450" s="120">
        <f>IF(AND(V450="OK",ISNUMBER($N$5),$N$5&gt;0,ISNUMBER($N$3),$N$3&gt;0),R450/(6*$N$3*1000000*$N$5)*(IF(N450&lt;($N$4*6/10),($N$4*6/10)*(MIN(O450,($N$4*6/10))^3-N450^3)-(MIN(O450,($N$4*6/10))^4-N450^4)/4,0)+IF(O450&gt;($N$4*6/10),($N$4*6/10)^2*(1.5*(O450^2-MAX(N450,($N$4*6/10))^2)-($N$4*6/10)*(O450-MAX(N450,($N$4*6/10)))),0))*1000,0)</f>
        <v>0</v>
      </c>
      <c r="AT450" s="120">
        <f>IF(AND(V450="OK",ISNUMBER($N$5),$N$5&gt;0,ISNUMBER($N$3),$N$3&gt;0),R450/(6*$N$3*1000000*$N$5)*(IF(N450&lt;($N$4*7/10),($N$4*7/10)*(MIN(O450,($N$4*7/10))^3-N450^3)-(MIN(O450,($N$4*7/10))^4-N450^4)/4,0)+IF(O450&gt;($N$4*7/10),($N$4*7/10)^2*(1.5*(O450^2-MAX(N450,($N$4*7/10))^2)-($N$4*7/10)*(O450-MAX(N450,($N$4*7/10)))),0))*1000,0)</f>
        <v>0</v>
      </c>
      <c r="AU450" s="120">
        <f>IF(AND(V450="OK",ISNUMBER($N$5),$N$5&gt;0,ISNUMBER($N$3),$N$3&gt;0),R450/(6*$N$3*1000000*$N$5)*(IF(N450&lt;($N$4*8/10),($N$4*8/10)*(MIN(O450,($N$4*8/10))^3-N450^3)-(MIN(O450,($N$4*8/10))^4-N450^4)/4,0)+IF(O450&gt;($N$4*8/10),($N$4*8/10)^2*(1.5*(O450^2-MAX(N450,($N$4*8/10))^2)-($N$4*8/10)*(O450-MAX(N450,($N$4*8/10)))),0))*1000,0)</f>
        <v>0</v>
      </c>
      <c r="AV450" s="120">
        <f>IF(AND(V450="OK",ISNUMBER($N$5),$N$5&gt;0,ISNUMBER($N$3),$N$3&gt;0),R450/(6*$N$3*1000000*$N$5)*(IF(N450&lt;($N$4*9/10),($N$4*9/10)*(MIN(O450,($N$4*9/10))^3-N450^3)-(MIN(O450,($N$4*9/10))^4-N450^4)/4,0)+IF(O450&gt;($N$4*9/10),($N$4*9/10)^2*(1.5*(O450^2-MAX(N450,($N$4*9/10))^2)-($N$4*9/10)*(O450-MAX(N450,($N$4*9/10)))),0))*1000,0)</f>
        <v>0</v>
      </c>
      <c r="AW450" s="120">
        <f>IF(AND(V450="OK",ISNUMBER($N$5),$N$5&gt;0,ISNUMBER($N$3),$N$3&gt;0),R450/(6*$N$3*1000000*$N$5)*(IF(N450&lt;($N$4*10/10),($N$4*10/10)*(MIN(O450,($N$4*10/10))^3-N450^3)-(MIN(O450,($N$4*10/10))^4-N450^4)/4,0)+IF(O450&gt;($N$4*10/10),($N$4*10/10)^2*(1.5*(O450^2-MAX(N450,($N$4*10/10))^2)-($N$4*10/10)*(O450-MAX(N450,($N$4*10/10)))),0))*1000,0)</f>
        <v>0</v>
      </c>
    </row>
    <row r="451" spans="1:49">
      <c r="A451" s="124"/>
      <c r="B451" s="125"/>
      <c r="C451" s="125"/>
      <c r="D451" s="125"/>
      <c r="E451" s="125"/>
      <c r="F451" s="126" t="str">
        <f>IF(J451="OK",D451*E451,"")</f>
        <v/>
      </c>
      <c r="G451" s="126" t="str">
        <f>IF(J451="OK",F451*(C451-B451),"")</f>
        <v/>
      </c>
      <c r="H451" s="126" t="str">
        <f>IF(J451="OK",G451*(C451+B451)/2,"")</f>
        <v/>
      </c>
      <c r="I451" s="126" t="str">
        <f>IF(AND(J451="OK",ISNUMBER($B$5),$B$5&gt;0,ISNUMBER($B$3),$B$3&gt;0),F451*(4*$B$4*(C451^3-B451^3)-(C451^4-B451^4))/(24*$B$3*1000000*$B$5)*1000,"")</f>
        <v/>
      </c>
      <c r="J451" s="120" t="str">
        <f>IF(COUNTA(A451:E451)=0,"",IF(AND(COUNT(B451:E451)=4,B451&gt;=0,C451&gt;B451,C451&lt;=$B$4,D451&gt;=0,E451&gt;0),IF(COUNTIFS($B$13:$B$450,"&lt;"&amp;C451,$C$13:$C$450,"&gt;"&amp;B451)&gt;0,"OVERLAP","OK"),"CHECK INPUTS"))</f>
        <v/>
      </c>
      <c r="M451" s="124"/>
      <c r="N451" s="125"/>
      <c r="O451" s="125"/>
      <c r="P451" s="125"/>
      <c r="Q451" s="125"/>
      <c r="R451" s="126" t="str">
        <f>IF(V451="OK",P451*Q451,"")</f>
        <v/>
      </c>
      <c r="S451" s="126" t="str">
        <f>IF(V451="OK",R451*(O451-N451),"")</f>
        <v/>
      </c>
      <c r="T451" s="126" t="str">
        <f>IF(V451="OK",S451*(O451+N451)/2,"")</f>
        <v/>
      </c>
      <c r="U451" s="126" t="str">
        <f>IF(AND(V451="OK",ISNUMBER($N$5),$N$5&gt;0,ISNUMBER($N$3),$N$3&gt;0),R451*(4*$N$4*(O451^3-N451^3)-(O451^4-N451^4))/(24*$N$3*1000000*$N$5)*1000,"")</f>
        <v/>
      </c>
      <c r="V451" s="120" t="str">
        <f>IF(COUNTA(M451:Q451)=0,"",IF(AND(COUNT(N451:Q451)=4,N451&gt;=0,O451&gt;N451,O451&lt;=$N$4,P451&gt;=0,Q451&gt;0),IF(COUNTIFS($N$13:$N$450,"&lt;"&amp;O451,$O$13:$O$450,"&gt;"&amp;N451)&gt;0,"OVERLAP","OK"),"CHECK INPUTS"))</f>
        <v/>
      </c>
      <c r="AA451" s="120">
        <f>IF(AND(J451="OK",ISNUMBER($B$5),$B$5&gt;0,ISNUMBER($B$3),$B$3&gt;0),F451/(6*$B$3*1000000*$B$5)*(IF(B451&lt;($B$4*0/10),($B$4*0/10)*(MIN(C451,($B$4*0/10))^3-B451^3)-(MIN(C451,($B$4*0/10))^4-B451^4)/4,0)+IF(C451&gt;($B$4*0/10),($B$4*0/10)^2*(1.5*(C451^2-MAX(B451,($B$4*0/10))^2)-($B$4*0/10)*(C451-MAX(B451,($B$4*0/10)))),0))*1000,0)</f>
        <v>0</v>
      </c>
      <c r="AB451" s="120">
        <f>IF(AND(J451="OK",ISNUMBER($B$5),$B$5&gt;0,ISNUMBER($B$3),$B$3&gt;0),F451/(6*$B$3*1000000*$B$5)*(IF(B451&lt;($B$4*1/10),($B$4*1/10)*(MIN(C451,($B$4*1/10))^3-B451^3)-(MIN(C451,($B$4*1/10))^4-B451^4)/4,0)+IF(C451&gt;($B$4*1/10),($B$4*1/10)^2*(1.5*(C451^2-MAX(B451,($B$4*1/10))^2)-($B$4*1/10)*(C451-MAX(B451,($B$4*1/10)))),0))*1000,0)</f>
        <v>0</v>
      </c>
      <c r="AC451" s="120">
        <f>IF(AND(J451="OK",ISNUMBER($B$5),$B$5&gt;0,ISNUMBER($B$3),$B$3&gt;0),F451/(6*$B$3*1000000*$B$5)*(IF(B451&lt;($B$4*2/10),($B$4*2/10)*(MIN(C451,($B$4*2/10))^3-B451^3)-(MIN(C451,($B$4*2/10))^4-B451^4)/4,0)+IF(C451&gt;($B$4*2/10),($B$4*2/10)^2*(1.5*(C451^2-MAX(B451,($B$4*2/10))^2)-($B$4*2/10)*(C451-MAX(B451,($B$4*2/10)))),0))*1000,0)</f>
        <v>0</v>
      </c>
      <c r="AD451" s="120">
        <f>IF(AND(J451="OK",ISNUMBER($B$5),$B$5&gt;0,ISNUMBER($B$3),$B$3&gt;0),F451/(6*$B$3*1000000*$B$5)*(IF(B451&lt;($B$4*3/10),($B$4*3/10)*(MIN(C451,($B$4*3/10))^3-B451^3)-(MIN(C451,($B$4*3/10))^4-B451^4)/4,0)+IF(C451&gt;($B$4*3/10),($B$4*3/10)^2*(1.5*(C451^2-MAX(B451,($B$4*3/10))^2)-($B$4*3/10)*(C451-MAX(B451,($B$4*3/10)))),0))*1000,0)</f>
        <v>0</v>
      </c>
      <c r="AE451" s="120">
        <f>IF(AND(J451="OK",ISNUMBER($B$5),$B$5&gt;0,ISNUMBER($B$3),$B$3&gt;0),F451/(6*$B$3*1000000*$B$5)*(IF(B451&lt;($B$4*4/10),($B$4*4/10)*(MIN(C451,($B$4*4/10))^3-B451^3)-(MIN(C451,($B$4*4/10))^4-B451^4)/4,0)+IF(C451&gt;($B$4*4/10),($B$4*4/10)^2*(1.5*(C451^2-MAX(B451,($B$4*4/10))^2)-($B$4*4/10)*(C451-MAX(B451,($B$4*4/10)))),0))*1000,0)</f>
        <v>0</v>
      </c>
      <c r="AF451" s="120">
        <f>IF(AND(J451="OK",ISNUMBER($B$5),$B$5&gt;0,ISNUMBER($B$3),$B$3&gt;0),F451/(6*$B$3*1000000*$B$5)*(IF(B451&lt;($B$4*5/10),($B$4*5/10)*(MIN(C451,($B$4*5/10))^3-B451^3)-(MIN(C451,($B$4*5/10))^4-B451^4)/4,0)+IF(C451&gt;($B$4*5/10),($B$4*5/10)^2*(1.5*(C451^2-MAX(B451,($B$4*5/10))^2)-($B$4*5/10)*(C451-MAX(B451,($B$4*5/10)))),0))*1000,0)</f>
        <v>0</v>
      </c>
      <c r="AG451" s="120">
        <f>IF(AND(J451="OK",ISNUMBER($B$5),$B$5&gt;0,ISNUMBER($B$3),$B$3&gt;0),F451/(6*$B$3*1000000*$B$5)*(IF(B451&lt;($B$4*6/10),($B$4*6/10)*(MIN(C451,($B$4*6/10))^3-B451^3)-(MIN(C451,($B$4*6/10))^4-B451^4)/4,0)+IF(C451&gt;($B$4*6/10),($B$4*6/10)^2*(1.5*(C451^2-MAX(B451,($B$4*6/10))^2)-($B$4*6/10)*(C451-MAX(B451,($B$4*6/10)))),0))*1000,0)</f>
        <v>0</v>
      </c>
      <c r="AH451" s="120">
        <f>IF(AND(J451="OK",ISNUMBER($B$5),$B$5&gt;0,ISNUMBER($B$3),$B$3&gt;0),F451/(6*$B$3*1000000*$B$5)*(IF(B451&lt;($B$4*7/10),($B$4*7/10)*(MIN(C451,($B$4*7/10))^3-B451^3)-(MIN(C451,($B$4*7/10))^4-B451^4)/4,0)+IF(C451&gt;($B$4*7/10),($B$4*7/10)^2*(1.5*(C451^2-MAX(B451,($B$4*7/10))^2)-($B$4*7/10)*(C451-MAX(B451,($B$4*7/10)))),0))*1000,0)</f>
        <v>0</v>
      </c>
      <c r="AI451" s="120">
        <f>IF(AND(J451="OK",ISNUMBER($B$5),$B$5&gt;0,ISNUMBER($B$3),$B$3&gt;0),F451/(6*$B$3*1000000*$B$5)*(IF(B451&lt;($B$4*8/10),($B$4*8/10)*(MIN(C451,($B$4*8/10))^3-B451^3)-(MIN(C451,($B$4*8/10))^4-B451^4)/4,0)+IF(C451&gt;($B$4*8/10),($B$4*8/10)^2*(1.5*(C451^2-MAX(B451,($B$4*8/10))^2)-($B$4*8/10)*(C451-MAX(B451,($B$4*8/10)))),0))*1000,0)</f>
        <v>0</v>
      </c>
      <c r="AJ451" s="120">
        <f>IF(AND(J451="OK",ISNUMBER($B$5),$B$5&gt;0,ISNUMBER($B$3),$B$3&gt;0),F451/(6*$B$3*1000000*$B$5)*(IF(B451&lt;($B$4*9/10),($B$4*9/10)*(MIN(C451,($B$4*9/10))^3-B451^3)-(MIN(C451,($B$4*9/10))^4-B451^4)/4,0)+IF(C451&gt;($B$4*9/10),($B$4*9/10)^2*(1.5*(C451^2-MAX(B451,($B$4*9/10))^2)-($B$4*9/10)*(C451-MAX(B451,($B$4*9/10)))),0))*1000,0)</f>
        <v>0</v>
      </c>
      <c r="AK451" s="120">
        <f>IF(AND(J451="OK",ISNUMBER($B$5),$B$5&gt;0,ISNUMBER($B$3),$B$3&gt;0),F451/(6*$B$3*1000000*$B$5)*(IF(B451&lt;($B$4*10/10),($B$4*10/10)*(MIN(C451,($B$4*10/10))^3-B451^3)-(MIN(C451,($B$4*10/10))^4-B451^4)/4,0)+IF(C451&gt;($B$4*10/10),($B$4*10/10)^2*(1.5*(C451^2-MAX(B451,($B$4*10/10))^2)-($B$4*10/10)*(C451-MAX(B451,($B$4*10/10)))),0))*1000,0)</f>
        <v>0</v>
      </c>
      <c r="AM451" s="120">
        <f>IF(AND(V451="OK",ISNUMBER($N$5),$N$5&gt;0,ISNUMBER($N$3),$N$3&gt;0),R451/(6*$N$3*1000000*$N$5)*(IF(N451&lt;($N$4*0/10),($N$4*0/10)*(MIN(O451,($N$4*0/10))^3-N451^3)-(MIN(O451,($N$4*0/10))^4-N451^4)/4,0)+IF(O451&gt;($N$4*0/10),($N$4*0/10)^2*(1.5*(O451^2-MAX(N451,($N$4*0/10))^2)-($N$4*0/10)*(O451-MAX(N451,($N$4*0/10)))),0))*1000,0)</f>
        <v>0</v>
      </c>
      <c r="AN451" s="120">
        <f>IF(AND(V451="OK",ISNUMBER($N$5),$N$5&gt;0,ISNUMBER($N$3),$N$3&gt;0),R451/(6*$N$3*1000000*$N$5)*(IF(N451&lt;($N$4*1/10),($N$4*1/10)*(MIN(O451,($N$4*1/10))^3-N451^3)-(MIN(O451,($N$4*1/10))^4-N451^4)/4,0)+IF(O451&gt;($N$4*1/10),($N$4*1/10)^2*(1.5*(O451^2-MAX(N451,($N$4*1/10))^2)-($N$4*1/10)*(O451-MAX(N451,($N$4*1/10)))),0))*1000,0)</f>
        <v>0</v>
      </c>
      <c r="AO451" s="120">
        <f>IF(AND(V451="OK",ISNUMBER($N$5),$N$5&gt;0,ISNUMBER($N$3),$N$3&gt;0),R451/(6*$N$3*1000000*$N$5)*(IF(N451&lt;($N$4*2/10),($N$4*2/10)*(MIN(O451,($N$4*2/10))^3-N451^3)-(MIN(O451,($N$4*2/10))^4-N451^4)/4,0)+IF(O451&gt;($N$4*2/10),($N$4*2/10)^2*(1.5*(O451^2-MAX(N451,($N$4*2/10))^2)-($N$4*2/10)*(O451-MAX(N451,($N$4*2/10)))),0))*1000,0)</f>
        <v>0</v>
      </c>
      <c r="AP451" s="120">
        <f>IF(AND(V451="OK",ISNUMBER($N$5),$N$5&gt;0,ISNUMBER($N$3),$N$3&gt;0),R451/(6*$N$3*1000000*$N$5)*(IF(N451&lt;($N$4*3/10),($N$4*3/10)*(MIN(O451,($N$4*3/10))^3-N451^3)-(MIN(O451,($N$4*3/10))^4-N451^4)/4,0)+IF(O451&gt;($N$4*3/10),($N$4*3/10)^2*(1.5*(O451^2-MAX(N451,($N$4*3/10))^2)-($N$4*3/10)*(O451-MAX(N451,($N$4*3/10)))),0))*1000,0)</f>
        <v>0</v>
      </c>
      <c r="AQ451" s="120">
        <f>IF(AND(V451="OK",ISNUMBER($N$5),$N$5&gt;0,ISNUMBER($N$3),$N$3&gt;0),R451/(6*$N$3*1000000*$N$5)*(IF(N451&lt;($N$4*4/10),($N$4*4/10)*(MIN(O451,($N$4*4/10))^3-N451^3)-(MIN(O451,($N$4*4/10))^4-N451^4)/4,0)+IF(O451&gt;($N$4*4/10),($N$4*4/10)^2*(1.5*(O451^2-MAX(N451,($N$4*4/10))^2)-($N$4*4/10)*(O451-MAX(N451,($N$4*4/10)))),0))*1000,0)</f>
        <v>0</v>
      </c>
      <c r="AR451" s="120">
        <f>IF(AND(V451="OK",ISNUMBER($N$5),$N$5&gt;0,ISNUMBER($N$3),$N$3&gt;0),R451/(6*$N$3*1000000*$N$5)*(IF(N451&lt;($N$4*5/10),($N$4*5/10)*(MIN(O451,($N$4*5/10))^3-N451^3)-(MIN(O451,($N$4*5/10))^4-N451^4)/4,0)+IF(O451&gt;($N$4*5/10),($N$4*5/10)^2*(1.5*(O451^2-MAX(N451,($N$4*5/10))^2)-($N$4*5/10)*(O451-MAX(N451,($N$4*5/10)))),0))*1000,0)</f>
        <v>0</v>
      </c>
      <c r="AS451" s="120">
        <f>IF(AND(V451="OK",ISNUMBER($N$5),$N$5&gt;0,ISNUMBER($N$3),$N$3&gt;0),R451/(6*$N$3*1000000*$N$5)*(IF(N451&lt;($N$4*6/10),($N$4*6/10)*(MIN(O451,($N$4*6/10))^3-N451^3)-(MIN(O451,($N$4*6/10))^4-N451^4)/4,0)+IF(O451&gt;($N$4*6/10),($N$4*6/10)^2*(1.5*(O451^2-MAX(N451,($N$4*6/10))^2)-($N$4*6/10)*(O451-MAX(N451,($N$4*6/10)))),0))*1000,0)</f>
        <v>0</v>
      </c>
      <c r="AT451" s="120">
        <f>IF(AND(V451="OK",ISNUMBER($N$5),$N$5&gt;0,ISNUMBER($N$3),$N$3&gt;0),R451/(6*$N$3*1000000*$N$5)*(IF(N451&lt;($N$4*7/10),($N$4*7/10)*(MIN(O451,($N$4*7/10))^3-N451^3)-(MIN(O451,($N$4*7/10))^4-N451^4)/4,0)+IF(O451&gt;($N$4*7/10),($N$4*7/10)^2*(1.5*(O451^2-MAX(N451,($N$4*7/10))^2)-($N$4*7/10)*(O451-MAX(N451,($N$4*7/10)))),0))*1000,0)</f>
        <v>0</v>
      </c>
      <c r="AU451" s="120">
        <f>IF(AND(V451="OK",ISNUMBER($N$5),$N$5&gt;0,ISNUMBER($N$3),$N$3&gt;0),R451/(6*$N$3*1000000*$N$5)*(IF(N451&lt;($N$4*8/10),($N$4*8/10)*(MIN(O451,($N$4*8/10))^3-N451^3)-(MIN(O451,($N$4*8/10))^4-N451^4)/4,0)+IF(O451&gt;($N$4*8/10),($N$4*8/10)^2*(1.5*(O451^2-MAX(N451,($N$4*8/10))^2)-($N$4*8/10)*(O451-MAX(N451,($N$4*8/10)))),0))*1000,0)</f>
        <v>0</v>
      </c>
      <c r="AV451" s="120">
        <f>IF(AND(V451="OK",ISNUMBER($N$5),$N$5&gt;0,ISNUMBER($N$3),$N$3&gt;0),R451/(6*$N$3*1000000*$N$5)*(IF(N451&lt;($N$4*9/10),($N$4*9/10)*(MIN(O451,($N$4*9/10))^3-N451^3)-(MIN(O451,($N$4*9/10))^4-N451^4)/4,0)+IF(O451&gt;($N$4*9/10),($N$4*9/10)^2*(1.5*(O451^2-MAX(N451,($N$4*9/10))^2)-($N$4*9/10)*(O451-MAX(N451,($N$4*9/10)))),0))*1000,0)</f>
        <v>0</v>
      </c>
      <c r="AW451" s="120">
        <f>IF(AND(V451="OK",ISNUMBER($N$5),$N$5&gt;0,ISNUMBER($N$3),$N$3&gt;0),R451/(6*$N$3*1000000*$N$5)*(IF(N451&lt;($N$4*10/10),($N$4*10/10)*(MIN(O451,($N$4*10/10))^3-N451^3)-(MIN(O451,($N$4*10/10))^4-N451^4)/4,0)+IF(O451&gt;($N$4*10/10),($N$4*10/10)^2*(1.5*(O451^2-MAX(N451,($N$4*10/10))^2)-($N$4*10/10)*(O451-MAX(N451,($N$4*10/10)))),0))*1000,0)</f>
        <v>0</v>
      </c>
    </row>
    <row r="452" spans="1:49">
      <c r="A452" s="124"/>
      <c r="B452" s="125"/>
      <c r="C452" s="125"/>
      <c r="D452" s="125"/>
      <c r="E452" s="125"/>
      <c r="F452" s="126" t="str">
        <f>IF(J452="OK",D452*E452,"")</f>
        <v/>
      </c>
      <c r="G452" s="126" t="str">
        <f>IF(J452="OK",F452*(C452-B452),"")</f>
        <v/>
      </c>
      <c r="H452" s="126" t="str">
        <f>IF(J452="OK",G452*(C452+B452)/2,"")</f>
        <v/>
      </c>
      <c r="I452" s="126" t="str">
        <f>IF(AND(J452="OK",ISNUMBER($B$5),$B$5&gt;0,ISNUMBER($B$3),$B$3&gt;0),F452*(4*$B$4*(C452^3-B452^3)-(C452^4-B452^4))/(24*$B$3*1000000*$B$5)*1000,"")</f>
        <v/>
      </c>
      <c r="J452" s="120" t="str">
        <f>IF(COUNTA(A452:E452)=0,"",IF(AND(COUNT(B452:E452)=4,B452&gt;=0,C452&gt;B452,C452&lt;=$B$4,D452&gt;=0,E452&gt;0),IF(COUNTIFS($B$13:$B$451,"&lt;"&amp;C452,$C$13:$C$451,"&gt;"&amp;B452)&gt;0,"OVERLAP","OK"),"CHECK INPUTS"))</f>
        <v/>
      </c>
      <c r="M452" s="124"/>
      <c r="N452" s="125"/>
      <c r="O452" s="125"/>
      <c r="P452" s="125"/>
      <c r="Q452" s="125"/>
      <c r="R452" s="126" t="str">
        <f>IF(V452="OK",P452*Q452,"")</f>
        <v/>
      </c>
      <c r="S452" s="126" t="str">
        <f>IF(V452="OK",R452*(O452-N452),"")</f>
        <v/>
      </c>
      <c r="T452" s="126" t="str">
        <f>IF(V452="OK",S452*(O452+N452)/2,"")</f>
        <v/>
      </c>
      <c r="U452" s="126" t="str">
        <f>IF(AND(V452="OK",ISNUMBER($N$5),$N$5&gt;0,ISNUMBER($N$3),$N$3&gt;0),R452*(4*$N$4*(O452^3-N452^3)-(O452^4-N452^4))/(24*$N$3*1000000*$N$5)*1000,"")</f>
        <v/>
      </c>
      <c r="V452" s="120" t="str">
        <f>IF(COUNTA(M452:Q452)=0,"",IF(AND(COUNT(N452:Q452)=4,N452&gt;=0,O452&gt;N452,O452&lt;=$N$4,P452&gt;=0,Q452&gt;0),IF(COUNTIFS($N$13:$N$451,"&lt;"&amp;O452,$O$13:$O$451,"&gt;"&amp;N452)&gt;0,"OVERLAP","OK"),"CHECK INPUTS"))</f>
        <v/>
      </c>
      <c r="AA452" s="120">
        <f>IF(AND(J452="OK",ISNUMBER($B$5),$B$5&gt;0,ISNUMBER($B$3),$B$3&gt;0),F452/(6*$B$3*1000000*$B$5)*(IF(B452&lt;($B$4*0/10),($B$4*0/10)*(MIN(C452,($B$4*0/10))^3-B452^3)-(MIN(C452,($B$4*0/10))^4-B452^4)/4,0)+IF(C452&gt;($B$4*0/10),($B$4*0/10)^2*(1.5*(C452^2-MAX(B452,($B$4*0/10))^2)-($B$4*0/10)*(C452-MAX(B452,($B$4*0/10)))),0))*1000,0)</f>
        <v>0</v>
      </c>
      <c r="AB452" s="120">
        <f>IF(AND(J452="OK",ISNUMBER($B$5),$B$5&gt;0,ISNUMBER($B$3),$B$3&gt;0),F452/(6*$B$3*1000000*$B$5)*(IF(B452&lt;($B$4*1/10),($B$4*1/10)*(MIN(C452,($B$4*1/10))^3-B452^3)-(MIN(C452,($B$4*1/10))^4-B452^4)/4,0)+IF(C452&gt;($B$4*1/10),($B$4*1/10)^2*(1.5*(C452^2-MAX(B452,($B$4*1/10))^2)-($B$4*1/10)*(C452-MAX(B452,($B$4*1/10)))),0))*1000,0)</f>
        <v>0</v>
      </c>
      <c r="AC452" s="120">
        <f>IF(AND(J452="OK",ISNUMBER($B$5),$B$5&gt;0,ISNUMBER($B$3),$B$3&gt;0),F452/(6*$B$3*1000000*$B$5)*(IF(B452&lt;($B$4*2/10),($B$4*2/10)*(MIN(C452,($B$4*2/10))^3-B452^3)-(MIN(C452,($B$4*2/10))^4-B452^4)/4,0)+IF(C452&gt;($B$4*2/10),($B$4*2/10)^2*(1.5*(C452^2-MAX(B452,($B$4*2/10))^2)-($B$4*2/10)*(C452-MAX(B452,($B$4*2/10)))),0))*1000,0)</f>
        <v>0</v>
      </c>
      <c r="AD452" s="120">
        <f>IF(AND(J452="OK",ISNUMBER($B$5),$B$5&gt;0,ISNUMBER($B$3),$B$3&gt;0),F452/(6*$B$3*1000000*$B$5)*(IF(B452&lt;($B$4*3/10),($B$4*3/10)*(MIN(C452,($B$4*3/10))^3-B452^3)-(MIN(C452,($B$4*3/10))^4-B452^4)/4,0)+IF(C452&gt;($B$4*3/10),($B$4*3/10)^2*(1.5*(C452^2-MAX(B452,($B$4*3/10))^2)-($B$4*3/10)*(C452-MAX(B452,($B$4*3/10)))),0))*1000,0)</f>
        <v>0</v>
      </c>
      <c r="AE452" s="120">
        <f>IF(AND(J452="OK",ISNUMBER($B$5),$B$5&gt;0,ISNUMBER($B$3),$B$3&gt;0),F452/(6*$B$3*1000000*$B$5)*(IF(B452&lt;($B$4*4/10),($B$4*4/10)*(MIN(C452,($B$4*4/10))^3-B452^3)-(MIN(C452,($B$4*4/10))^4-B452^4)/4,0)+IF(C452&gt;($B$4*4/10),($B$4*4/10)^2*(1.5*(C452^2-MAX(B452,($B$4*4/10))^2)-($B$4*4/10)*(C452-MAX(B452,($B$4*4/10)))),0))*1000,0)</f>
        <v>0</v>
      </c>
      <c r="AF452" s="120">
        <f>IF(AND(J452="OK",ISNUMBER($B$5),$B$5&gt;0,ISNUMBER($B$3),$B$3&gt;0),F452/(6*$B$3*1000000*$B$5)*(IF(B452&lt;($B$4*5/10),($B$4*5/10)*(MIN(C452,($B$4*5/10))^3-B452^3)-(MIN(C452,($B$4*5/10))^4-B452^4)/4,0)+IF(C452&gt;($B$4*5/10),($B$4*5/10)^2*(1.5*(C452^2-MAX(B452,($B$4*5/10))^2)-($B$4*5/10)*(C452-MAX(B452,($B$4*5/10)))),0))*1000,0)</f>
        <v>0</v>
      </c>
      <c r="AG452" s="120">
        <f>IF(AND(J452="OK",ISNUMBER($B$5),$B$5&gt;0,ISNUMBER($B$3),$B$3&gt;0),F452/(6*$B$3*1000000*$B$5)*(IF(B452&lt;($B$4*6/10),($B$4*6/10)*(MIN(C452,($B$4*6/10))^3-B452^3)-(MIN(C452,($B$4*6/10))^4-B452^4)/4,0)+IF(C452&gt;($B$4*6/10),($B$4*6/10)^2*(1.5*(C452^2-MAX(B452,($B$4*6/10))^2)-($B$4*6/10)*(C452-MAX(B452,($B$4*6/10)))),0))*1000,0)</f>
        <v>0</v>
      </c>
      <c r="AH452" s="120">
        <f>IF(AND(J452="OK",ISNUMBER($B$5),$B$5&gt;0,ISNUMBER($B$3),$B$3&gt;0),F452/(6*$B$3*1000000*$B$5)*(IF(B452&lt;($B$4*7/10),($B$4*7/10)*(MIN(C452,($B$4*7/10))^3-B452^3)-(MIN(C452,($B$4*7/10))^4-B452^4)/4,0)+IF(C452&gt;($B$4*7/10),($B$4*7/10)^2*(1.5*(C452^2-MAX(B452,($B$4*7/10))^2)-($B$4*7/10)*(C452-MAX(B452,($B$4*7/10)))),0))*1000,0)</f>
        <v>0</v>
      </c>
      <c r="AI452" s="120">
        <f>IF(AND(J452="OK",ISNUMBER($B$5),$B$5&gt;0,ISNUMBER($B$3),$B$3&gt;0),F452/(6*$B$3*1000000*$B$5)*(IF(B452&lt;($B$4*8/10),($B$4*8/10)*(MIN(C452,($B$4*8/10))^3-B452^3)-(MIN(C452,($B$4*8/10))^4-B452^4)/4,0)+IF(C452&gt;($B$4*8/10),($B$4*8/10)^2*(1.5*(C452^2-MAX(B452,($B$4*8/10))^2)-($B$4*8/10)*(C452-MAX(B452,($B$4*8/10)))),0))*1000,0)</f>
        <v>0</v>
      </c>
      <c r="AJ452" s="120">
        <f>IF(AND(J452="OK",ISNUMBER($B$5),$B$5&gt;0,ISNUMBER($B$3),$B$3&gt;0),F452/(6*$B$3*1000000*$B$5)*(IF(B452&lt;($B$4*9/10),($B$4*9/10)*(MIN(C452,($B$4*9/10))^3-B452^3)-(MIN(C452,($B$4*9/10))^4-B452^4)/4,0)+IF(C452&gt;($B$4*9/10),($B$4*9/10)^2*(1.5*(C452^2-MAX(B452,($B$4*9/10))^2)-($B$4*9/10)*(C452-MAX(B452,($B$4*9/10)))),0))*1000,0)</f>
        <v>0</v>
      </c>
      <c r="AK452" s="120">
        <f>IF(AND(J452="OK",ISNUMBER($B$5),$B$5&gt;0,ISNUMBER($B$3),$B$3&gt;0),F452/(6*$B$3*1000000*$B$5)*(IF(B452&lt;($B$4*10/10),($B$4*10/10)*(MIN(C452,($B$4*10/10))^3-B452^3)-(MIN(C452,($B$4*10/10))^4-B452^4)/4,0)+IF(C452&gt;($B$4*10/10),($B$4*10/10)^2*(1.5*(C452^2-MAX(B452,($B$4*10/10))^2)-($B$4*10/10)*(C452-MAX(B452,($B$4*10/10)))),0))*1000,0)</f>
        <v>0</v>
      </c>
      <c r="AM452" s="120">
        <f>IF(AND(V452="OK",ISNUMBER($N$5),$N$5&gt;0,ISNUMBER($N$3),$N$3&gt;0),R452/(6*$N$3*1000000*$N$5)*(IF(N452&lt;($N$4*0/10),($N$4*0/10)*(MIN(O452,($N$4*0/10))^3-N452^3)-(MIN(O452,($N$4*0/10))^4-N452^4)/4,0)+IF(O452&gt;($N$4*0/10),($N$4*0/10)^2*(1.5*(O452^2-MAX(N452,($N$4*0/10))^2)-($N$4*0/10)*(O452-MAX(N452,($N$4*0/10)))),0))*1000,0)</f>
        <v>0</v>
      </c>
      <c r="AN452" s="120">
        <f>IF(AND(V452="OK",ISNUMBER($N$5),$N$5&gt;0,ISNUMBER($N$3),$N$3&gt;0),R452/(6*$N$3*1000000*$N$5)*(IF(N452&lt;($N$4*1/10),($N$4*1/10)*(MIN(O452,($N$4*1/10))^3-N452^3)-(MIN(O452,($N$4*1/10))^4-N452^4)/4,0)+IF(O452&gt;($N$4*1/10),($N$4*1/10)^2*(1.5*(O452^2-MAX(N452,($N$4*1/10))^2)-($N$4*1/10)*(O452-MAX(N452,($N$4*1/10)))),0))*1000,0)</f>
        <v>0</v>
      </c>
      <c r="AO452" s="120">
        <f>IF(AND(V452="OK",ISNUMBER($N$5),$N$5&gt;0,ISNUMBER($N$3),$N$3&gt;0),R452/(6*$N$3*1000000*$N$5)*(IF(N452&lt;($N$4*2/10),($N$4*2/10)*(MIN(O452,($N$4*2/10))^3-N452^3)-(MIN(O452,($N$4*2/10))^4-N452^4)/4,0)+IF(O452&gt;($N$4*2/10),($N$4*2/10)^2*(1.5*(O452^2-MAX(N452,($N$4*2/10))^2)-($N$4*2/10)*(O452-MAX(N452,($N$4*2/10)))),0))*1000,0)</f>
        <v>0</v>
      </c>
      <c r="AP452" s="120">
        <f>IF(AND(V452="OK",ISNUMBER($N$5),$N$5&gt;0,ISNUMBER($N$3),$N$3&gt;0),R452/(6*$N$3*1000000*$N$5)*(IF(N452&lt;($N$4*3/10),($N$4*3/10)*(MIN(O452,($N$4*3/10))^3-N452^3)-(MIN(O452,($N$4*3/10))^4-N452^4)/4,0)+IF(O452&gt;($N$4*3/10),($N$4*3/10)^2*(1.5*(O452^2-MAX(N452,($N$4*3/10))^2)-($N$4*3/10)*(O452-MAX(N452,($N$4*3/10)))),0))*1000,0)</f>
        <v>0</v>
      </c>
      <c r="AQ452" s="120">
        <f>IF(AND(V452="OK",ISNUMBER($N$5),$N$5&gt;0,ISNUMBER($N$3),$N$3&gt;0),R452/(6*$N$3*1000000*$N$5)*(IF(N452&lt;($N$4*4/10),($N$4*4/10)*(MIN(O452,($N$4*4/10))^3-N452^3)-(MIN(O452,($N$4*4/10))^4-N452^4)/4,0)+IF(O452&gt;($N$4*4/10),($N$4*4/10)^2*(1.5*(O452^2-MAX(N452,($N$4*4/10))^2)-($N$4*4/10)*(O452-MAX(N452,($N$4*4/10)))),0))*1000,0)</f>
        <v>0</v>
      </c>
      <c r="AR452" s="120">
        <f>IF(AND(V452="OK",ISNUMBER($N$5),$N$5&gt;0,ISNUMBER($N$3),$N$3&gt;0),R452/(6*$N$3*1000000*$N$5)*(IF(N452&lt;($N$4*5/10),($N$4*5/10)*(MIN(O452,($N$4*5/10))^3-N452^3)-(MIN(O452,($N$4*5/10))^4-N452^4)/4,0)+IF(O452&gt;($N$4*5/10),($N$4*5/10)^2*(1.5*(O452^2-MAX(N452,($N$4*5/10))^2)-($N$4*5/10)*(O452-MAX(N452,($N$4*5/10)))),0))*1000,0)</f>
        <v>0</v>
      </c>
      <c r="AS452" s="120">
        <f>IF(AND(V452="OK",ISNUMBER($N$5),$N$5&gt;0,ISNUMBER($N$3),$N$3&gt;0),R452/(6*$N$3*1000000*$N$5)*(IF(N452&lt;($N$4*6/10),($N$4*6/10)*(MIN(O452,($N$4*6/10))^3-N452^3)-(MIN(O452,($N$4*6/10))^4-N452^4)/4,0)+IF(O452&gt;($N$4*6/10),($N$4*6/10)^2*(1.5*(O452^2-MAX(N452,($N$4*6/10))^2)-($N$4*6/10)*(O452-MAX(N452,($N$4*6/10)))),0))*1000,0)</f>
        <v>0</v>
      </c>
      <c r="AT452" s="120">
        <f>IF(AND(V452="OK",ISNUMBER($N$5),$N$5&gt;0,ISNUMBER($N$3),$N$3&gt;0),R452/(6*$N$3*1000000*$N$5)*(IF(N452&lt;($N$4*7/10),($N$4*7/10)*(MIN(O452,($N$4*7/10))^3-N452^3)-(MIN(O452,($N$4*7/10))^4-N452^4)/4,0)+IF(O452&gt;($N$4*7/10),($N$4*7/10)^2*(1.5*(O452^2-MAX(N452,($N$4*7/10))^2)-($N$4*7/10)*(O452-MAX(N452,($N$4*7/10)))),0))*1000,0)</f>
        <v>0</v>
      </c>
      <c r="AU452" s="120">
        <f>IF(AND(V452="OK",ISNUMBER($N$5),$N$5&gt;0,ISNUMBER($N$3),$N$3&gt;0),R452/(6*$N$3*1000000*$N$5)*(IF(N452&lt;($N$4*8/10),($N$4*8/10)*(MIN(O452,($N$4*8/10))^3-N452^3)-(MIN(O452,($N$4*8/10))^4-N452^4)/4,0)+IF(O452&gt;($N$4*8/10),($N$4*8/10)^2*(1.5*(O452^2-MAX(N452,($N$4*8/10))^2)-($N$4*8/10)*(O452-MAX(N452,($N$4*8/10)))),0))*1000,0)</f>
        <v>0</v>
      </c>
      <c r="AV452" s="120">
        <f>IF(AND(V452="OK",ISNUMBER($N$5),$N$5&gt;0,ISNUMBER($N$3),$N$3&gt;0),R452/(6*$N$3*1000000*$N$5)*(IF(N452&lt;($N$4*9/10),($N$4*9/10)*(MIN(O452,($N$4*9/10))^3-N452^3)-(MIN(O452,($N$4*9/10))^4-N452^4)/4,0)+IF(O452&gt;($N$4*9/10),($N$4*9/10)^2*(1.5*(O452^2-MAX(N452,($N$4*9/10))^2)-($N$4*9/10)*(O452-MAX(N452,($N$4*9/10)))),0))*1000,0)</f>
        <v>0</v>
      </c>
      <c r="AW452" s="120">
        <f>IF(AND(V452="OK",ISNUMBER($N$5),$N$5&gt;0,ISNUMBER($N$3),$N$3&gt;0),R452/(6*$N$3*1000000*$N$5)*(IF(N452&lt;($N$4*10/10),($N$4*10/10)*(MIN(O452,($N$4*10/10))^3-N452^3)-(MIN(O452,($N$4*10/10))^4-N452^4)/4,0)+IF(O452&gt;($N$4*10/10),($N$4*10/10)^2*(1.5*(O452^2-MAX(N452,($N$4*10/10))^2)-($N$4*10/10)*(O452-MAX(N452,($N$4*10/10)))),0))*1000,0)</f>
        <v>0</v>
      </c>
    </row>
    <row r="453" spans="1:49">
      <c r="A453" s="124"/>
      <c r="B453" s="125"/>
      <c r="C453" s="125"/>
      <c r="D453" s="125"/>
      <c r="E453" s="125"/>
      <c r="F453" s="126" t="str">
        <f>IF(J453="OK",D453*E453,"")</f>
        <v/>
      </c>
      <c r="G453" s="126" t="str">
        <f>IF(J453="OK",F453*(C453-B453),"")</f>
        <v/>
      </c>
      <c r="H453" s="126" t="str">
        <f>IF(J453="OK",G453*(C453+B453)/2,"")</f>
        <v/>
      </c>
      <c r="I453" s="126" t="str">
        <f>IF(AND(J453="OK",ISNUMBER($B$5),$B$5&gt;0,ISNUMBER($B$3),$B$3&gt;0),F453*(4*$B$4*(C453^3-B453^3)-(C453^4-B453^4))/(24*$B$3*1000000*$B$5)*1000,"")</f>
        <v/>
      </c>
      <c r="J453" s="120" t="str">
        <f>IF(COUNTA(A453:E453)=0,"",IF(AND(COUNT(B453:E453)=4,B453&gt;=0,C453&gt;B453,C453&lt;=$B$4,D453&gt;=0,E453&gt;0),IF(COUNTIFS($B$13:$B$452,"&lt;"&amp;C453,$C$13:$C$452,"&gt;"&amp;B453)&gt;0,"OVERLAP","OK"),"CHECK INPUTS"))</f>
        <v/>
      </c>
      <c r="M453" s="124"/>
      <c r="N453" s="125"/>
      <c r="O453" s="125"/>
      <c r="P453" s="125"/>
      <c r="Q453" s="125"/>
      <c r="R453" s="126" t="str">
        <f>IF(V453="OK",P453*Q453,"")</f>
        <v/>
      </c>
      <c r="S453" s="126" t="str">
        <f>IF(V453="OK",R453*(O453-N453),"")</f>
        <v/>
      </c>
      <c r="T453" s="126" t="str">
        <f>IF(V453="OK",S453*(O453+N453)/2,"")</f>
        <v/>
      </c>
      <c r="U453" s="126" t="str">
        <f>IF(AND(V453="OK",ISNUMBER($N$5),$N$5&gt;0,ISNUMBER($N$3),$N$3&gt;0),R453*(4*$N$4*(O453^3-N453^3)-(O453^4-N453^4))/(24*$N$3*1000000*$N$5)*1000,"")</f>
        <v/>
      </c>
      <c r="V453" s="120" t="str">
        <f>IF(COUNTA(M453:Q453)=0,"",IF(AND(COUNT(N453:Q453)=4,N453&gt;=0,O453&gt;N453,O453&lt;=$N$4,P453&gt;=0,Q453&gt;0),IF(COUNTIFS($N$13:$N$452,"&lt;"&amp;O453,$O$13:$O$452,"&gt;"&amp;N453)&gt;0,"OVERLAP","OK"),"CHECK INPUTS"))</f>
        <v/>
      </c>
      <c r="AA453" s="120">
        <f>IF(AND(J453="OK",ISNUMBER($B$5),$B$5&gt;0,ISNUMBER($B$3),$B$3&gt;0),F453/(6*$B$3*1000000*$B$5)*(IF(B453&lt;($B$4*0/10),($B$4*0/10)*(MIN(C453,($B$4*0/10))^3-B453^3)-(MIN(C453,($B$4*0/10))^4-B453^4)/4,0)+IF(C453&gt;($B$4*0/10),($B$4*0/10)^2*(1.5*(C453^2-MAX(B453,($B$4*0/10))^2)-($B$4*0/10)*(C453-MAX(B453,($B$4*0/10)))),0))*1000,0)</f>
        <v>0</v>
      </c>
      <c r="AB453" s="120">
        <f>IF(AND(J453="OK",ISNUMBER($B$5),$B$5&gt;0,ISNUMBER($B$3),$B$3&gt;0),F453/(6*$B$3*1000000*$B$5)*(IF(B453&lt;($B$4*1/10),($B$4*1/10)*(MIN(C453,($B$4*1/10))^3-B453^3)-(MIN(C453,($B$4*1/10))^4-B453^4)/4,0)+IF(C453&gt;($B$4*1/10),($B$4*1/10)^2*(1.5*(C453^2-MAX(B453,($B$4*1/10))^2)-($B$4*1/10)*(C453-MAX(B453,($B$4*1/10)))),0))*1000,0)</f>
        <v>0</v>
      </c>
      <c r="AC453" s="120">
        <f>IF(AND(J453="OK",ISNUMBER($B$5),$B$5&gt;0,ISNUMBER($B$3),$B$3&gt;0),F453/(6*$B$3*1000000*$B$5)*(IF(B453&lt;($B$4*2/10),($B$4*2/10)*(MIN(C453,($B$4*2/10))^3-B453^3)-(MIN(C453,($B$4*2/10))^4-B453^4)/4,0)+IF(C453&gt;($B$4*2/10),($B$4*2/10)^2*(1.5*(C453^2-MAX(B453,($B$4*2/10))^2)-($B$4*2/10)*(C453-MAX(B453,($B$4*2/10)))),0))*1000,0)</f>
        <v>0</v>
      </c>
      <c r="AD453" s="120">
        <f>IF(AND(J453="OK",ISNUMBER($B$5),$B$5&gt;0,ISNUMBER($B$3),$B$3&gt;0),F453/(6*$B$3*1000000*$B$5)*(IF(B453&lt;($B$4*3/10),($B$4*3/10)*(MIN(C453,($B$4*3/10))^3-B453^3)-(MIN(C453,($B$4*3/10))^4-B453^4)/4,0)+IF(C453&gt;($B$4*3/10),($B$4*3/10)^2*(1.5*(C453^2-MAX(B453,($B$4*3/10))^2)-($B$4*3/10)*(C453-MAX(B453,($B$4*3/10)))),0))*1000,0)</f>
        <v>0</v>
      </c>
      <c r="AE453" s="120">
        <f>IF(AND(J453="OK",ISNUMBER($B$5),$B$5&gt;0,ISNUMBER($B$3),$B$3&gt;0),F453/(6*$B$3*1000000*$B$5)*(IF(B453&lt;($B$4*4/10),($B$4*4/10)*(MIN(C453,($B$4*4/10))^3-B453^3)-(MIN(C453,($B$4*4/10))^4-B453^4)/4,0)+IF(C453&gt;($B$4*4/10),($B$4*4/10)^2*(1.5*(C453^2-MAX(B453,($B$4*4/10))^2)-($B$4*4/10)*(C453-MAX(B453,($B$4*4/10)))),0))*1000,0)</f>
        <v>0</v>
      </c>
      <c r="AF453" s="120">
        <f>IF(AND(J453="OK",ISNUMBER($B$5),$B$5&gt;0,ISNUMBER($B$3),$B$3&gt;0),F453/(6*$B$3*1000000*$B$5)*(IF(B453&lt;($B$4*5/10),($B$4*5/10)*(MIN(C453,($B$4*5/10))^3-B453^3)-(MIN(C453,($B$4*5/10))^4-B453^4)/4,0)+IF(C453&gt;($B$4*5/10),($B$4*5/10)^2*(1.5*(C453^2-MAX(B453,($B$4*5/10))^2)-($B$4*5/10)*(C453-MAX(B453,($B$4*5/10)))),0))*1000,0)</f>
        <v>0</v>
      </c>
      <c r="AG453" s="120">
        <f>IF(AND(J453="OK",ISNUMBER($B$5),$B$5&gt;0,ISNUMBER($B$3),$B$3&gt;0),F453/(6*$B$3*1000000*$B$5)*(IF(B453&lt;($B$4*6/10),($B$4*6/10)*(MIN(C453,($B$4*6/10))^3-B453^3)-(MIN(C453,($B$4*6/10))^4-B453^4)/4,0)+IF(C453&gt;($B$4*6/10),($B$4*6/10)^2*(1.5*(C453^2-MAX(B453,($B$4*6/10))^2)-($B$4*6/10)*(C453-MAX(B453,($B$4*6/10)))),0))*1000,0)</f>
        <v>0</v>
      </c>
      <c r="AH453" s="120">
        <f>IF(AND(J453="OK",ISNUMBER($B$5),$B$5&gt;0,ISNUMBER($B$3),$B$3&gt;0),F453/(6*$B$3*1000000*$B$5)*(IF(B453&lt;($B$4*7/10),($B$4*7/10)*(MIN(C453,($B$4*7/10))^3-B453^3)-(MIN(C453,($B$4*7/10))^4-B453^4)/4,0)+IF(C453&gt;($B$4*7/10),($B$4*7/10)^2*(1.5*(C453^2-MAX(B453,($B$4*7/10))^2)-($B$4*7/10)*(C453-MAX(B453,($B$4*7/10)))),0))*1000,0)</f>
        <v>0</v>
      </c>
      <c r="AI453" s="120">
        <f>IF(AND(J453="OK",ISNUMBER($B$5),$B$5&gt;0,ISNUMBER($B$3),$B$3&gt;0),F453/(6*$B$3*1000000*$B$5)*(IF(B453&lt;($B$4*8/10),($B$4*8/10)*(MIN(C453,($B$4*8/10))^3-B453^3)-(MIN(C453,($B$4*8/10))^4-B453^4)/4,0)+IF(C453&gt;($B$4*8/10),($B$4*8/10)^2*(1.5*(C453^2-MAX(B453,($B$4*8/10))^2)-($B$4*8/10)*(C453-MAX(B453,($B$4*8/10)))),0))*1000,0)</f>
        <v>0</v>
      </c>
      <c r="AJ453" s="120">
        <f>IF(AND(J453="OK",ISNUMBER($B$5),$B$5&gt;0,ISNUMBER($B$3),$B$3&gt;0),F453/(6*$B$3*1000000*$B$5)*(IF(B453&lt;($B$4*9/10),($B$4*9/10)*(MIN(C453,($B$4*9/10))^3-B453^3)-(MIN(C453,($B$4*9/10))^4-B453^4)/4,0)+IF(C453&gt;($B$4*9/10),($B$4*9/10)^2*(1.5*(C453^2-MAX(B453,($B$4*9/10))^2)-($B$4*9/10)*(C453-MAX(B453,($B$4*9/10)))),0))*1000,0)</f>
        <v>0</v>
      </c>
      <c r="AK453" s="120">
        <f>IF(AND(J453="OK",ISNUMBER($B$5),$B$5&gt;0,ISNUMBER($B$3),$B$3&gt;0),F453/(6*$B$3*1000000*$B$5)*(IF(B453&lt;($B$4*10/10),($B$4*10/10)*(MIN(C453,($B$4*10/10))^3-B453^3)-(MIN(C453,($B$4*10/10))^4-B453^4)/4,0)+IF(C453&gt;($B$4*10/10),($B$4*10/10)^2*(1.5*(C453^2-MAX(B453,($B$4*10/10))^2)-($B$4*10/10)*(C453-MAX(B453,($B$4*10/10)))),0))*1000,0)</f>
        <v>0</v>
      </c>
      <c r="AM453" s="120">
        <f>IF(AND(V453="OK",ISNUMBER($N$5),$N$5&gt;0,ISNUMBER($N$3),$N$3&gt;0),R453/(6*$N$3*1000000*$N$5)*(IF(N453&lt;($N$4*0/10),($N$4*0/10)*(MIN(O453,($N$4*0/10))^3-N453^3)-(MIN(O453,($N$4*0/10))^4-N453^4)/4,0)+IF(O453&gt;($N$4*0/10),($N$4*0/10)^2*(1.5*(O453^2-MAX(N453,($N$4*0/10))^2)-($N$4*0/10)*(O453-MAX(N453,($N$4*0/10)))),0))*1000,0)</f>
        <v>0</v>
      </c>
      <c r="AN453" s="120">
        <f>IF(AND(V453="OK",ISNUMBER($N$5),$N$5&gt;0,ISNUMBER($N$3),$N$3&gt;0),R453/(6*$N$3*1000000*$N$5)*(IF(N453&lt;($N$4*1/10),($N$4*1/10)*(MIN(O453,($N$4*1/10))^3-N453^3)-(MIN(O453,($N$4*1/10))^4-N453^4)/4,0)+IF(O453&gt;($N$4*1/10),($N$4*1/10)^2*(1.5*(O453^2-MAX(N453,($N$4*1/10))^2)-($N$4*1/10)*(O453-MAX(N453,($N$4*1/10)))),0))*1000,0)</f>
        <v>0</v>
      </c>
      <c r="AO453" s="120">
        <f>IF(AND(V453="OK",ISNUMBER($N$5),$N$5&gt;0,ISNUMBER($N$3),$N$3&gt;0),R453/(6*$N$3*1000000*$N$5)*(IF(N453&lt;($N$4*2/10),($N$4*2/10)*(MIN(O453,($N$4*2/10))^3-N453^3)-(MIN(O453,($N$4*2/10))^4-N453^4)/4,0)+IF(O453&gt;($N$4*2/10),($N$4*2/10)^2*(1.5*(O453^2-MAX(N453,($N$4*2/10))^2)-($N$4*2/10)*(O453-MAX(N453,($N$4*2/10)))),0))*1000,0)</f>
        <v>0</v>
      </c>
      <c r="AP453" s="120">
        <f>IF(AND(V453="OK",ISNUMBER($N$5),$N$5&gt;0,ISNUMBER($N$3),$N$3&gt;0),R453/(6*$N$3*1000000*$N$5)*(IF(N453&lt;($N$4*3/10),($N$4*3/10)*(MIN(O453,($N$4*3/10))^3-N453^3)-(MIN(O453,($N$4*3/10))^4-N453^4)/4,0)+IF(O453&gt;($N$4*3/10),($N$4*3/10)^2*(1.5*(O453^2-MAX(N453,($N$4*3/10))^2)-($N$4*3/10)*(O453-MAX(N453,($N$4*3/10)))),0))*1000,0)</f>
        <v>0</v>
      </c>
      <c r="AQ453" s="120">
        <f>IF(AND(V453="OK",ISNUMBER($N$5),$N$5&gt;0,ISNUMBER($N$3),$N$3&gt;0),R453/(6*$N$3*1000000*$N$5)*(IF(N453&lt;($N$4*4/10),($N$4*4/10)*(MIN(O453,($N$4*4/10))^3-N453^3)-(MIN(O453,($N$4*4/10))^4-N453^4)/4,0)+IF(O453&gt;($N$4*4/10),($N$4*4/10)^2*(1.5*(O453^2-MAX(N453,($N$4*4/10))^2)-($N$4*4/10)*(O453-MAX(N453,($N$4*4/10)))),0))*1000,0)</f>
        <v>0</v>
      </c>
      <c r="AR453" s="120">
        <f>IF(AND(V453="OK",ISNUMBER($N$5),$N$5&gt;0,ISNUMBER($N$3),$N$3&gt;0),R453/(6*$N$3*1000000*$N$5)*(IF(N453&lt;($N$4*5/10),($N$4*5/10)*(MIN(O453,($N$4*5/10))^3-N453^3)-(MIN(O453,($N$4*5/10))^4-N453^4)/4,0)+IF(O453&gt;($N$4*5/10),($N$4*5/10)^2*(1.5*(O453^2-MAX(N453,($N$4*5/10))^2)-($N$4*5/10)*(O453-MAX(N453,($N$4*5/10)))),0))*1000,0)</f>
        <v>0</v>
      </c>
      <c r="AS453" s="120">
        <f>IF(AND(V453="OK",ISNUMBER($N$5),$N$5&gt;0,ISNUMBER($N$3),$N$3&gt;0),R453/(6*$N$3*1000000*$N$5)*(IF(N453&lt;($N$4*6/10),($N$4*6/10)*(MIN(O453,($N$4*6/10))^3-N453^3)-(MIN(O453,($N$4*6/10))^4-N453^4)/4,0)+IF(O453&gt;($N$4*6/10),($N$4*6/10)^2*(1.5*(O453^2-MAX(N453,($N$4*6/10))^2)-($N$4*6/10)*(O453-MAX(N453,($N$4*6/10)))),0))*1000,0)</f>
        <v>0</v>
      </c>
      <c r="AT453" s="120">
        <f>IF(AND(V453="OK",ISNUMBER($N$5),$N$5&gt;0,ISNUMBER($N$3),$N$3&gt;0),R453/(6*$N$3*1000000*$N$5)*(IF(N453&lt;($N$4*7/10),($N$4*7/10)*(MIN(O453,($N$4*7/10))^3-N453^3)-(MIN(O453,($N$4*7/10))^4-N453^4)/4,0)+IF(O453&gt;($N$4*7/10),($N$4*7/10)^2*(1.5*(O453^2-MAX(N453,($N$4*7/10))^2)-($N$4*7/10)*(O453-MAX(N453,($N$4*7/10)))),0))*1000,0)</f>
        <v>0</v>
      </c>
      <c r="AU453" s="120">
        <f>IF(AND(V453="OK",ISNUMBER($N$5),$N$5&gt;0,ISNUMBER($N$3),$N$3&gt;0),R453/(6*$N$3*1000000*$N$5)*(IF(N453&lt;($N$4*8/10),($N$4*8/10)*(MIN(O453,($N$4*8/10))^3-N453^3)-(MIN(O453,($N$4*8/10))^4-N453^4)/4,0)+IF(O453&gt;($N$4*8/10),($N$4*8/10)^2*(1.5*(O453^2-MAX(N453,($N$4*8/10))^2)-($N$4*8/10)*(O453-MAX(N453,($N$4*8/10)))),0))*1000,0)</f>
        <v>0</v>
      </c>
      <c r="AV453" s="120">
        <f>IF(AND(V453="OK",ISNUMBER($N$5),$N$5&gt;0,ISNUMBER($N$3),$N$3&gt;0),R453/(6*$N$3*1000000*$N$5)*(IF(N453&lt;($N$4*9/10),($N$4*9/10)*(MIN(O453,($N$4*9/10))^3-N453^3)-(MIN(O453,($N$4*9/10))^4-N453^4)/4,0)+IF(O453&gt;($N$4*9/10),($N$4*9/10)^2*(1.5*(O453^2-MAX(N453,($N$4*9/10))^2)-($N$4*9/10)*(O453-MAX(N453,($N$4*9/10)))),0))*1000,0)</f>
        <v>0</v>
      </c>
      <c r="AW453" s="120">
        <f>IF(AND(V453="OK",ISNUMBER($N$5),$N$5&gt;0,ISNUMBER($N$3),$N$3&gt;0),R453/(6*$N$3*1000000*$N$5)*(IF(N453&lt;($N$4*10/10),($N$4*10/10)*(MIN(O453,($N$4*10/10))^3-N453^3)-(MIN(O453,($N$4*10/10))^4-N453^4)/4,0)+IF(O453&gt;($N$4*10/10),($N$4*10/10)^2*(1.5*(O453^2-MAX(N453,($N$4*10/10))^2)-($N$4*10/10)*(O453-MAX(N453,($N$4*10/10)))),0))*1000,0)</f>
        <v>0</v>
      </c>
    </row>
    <row r="454" spans="1:49">
      <c r="A454" s="124"/>
      <c r="B454" s="125"/>
      <c r="C454" s="125"/>
      <c r="D454" s="125"/>
      <c r="E454" s="125"/>
      <c r="F454" s="126" t="str">
        <f>IF(J454="OK",D454*E454,"")</f>
        <v/>
      </c>
      <c r="G454" s="126" t="str">
        <f>IF(J454="OK",F454*(C454-B454),"")</f>
        <v/>
      </c>
      <c r="H454" s="126" t="str">
        <f>IF(J454="OK",G454*(C454+B454)/2,"")</f>
        <v/>
      </c>
      <c r="I454" s="126" t="str">
        <f>IF(AND(J454="OK",ISNUMBER($B$5),$B$5&gt;0,ISNUMBER($B$3),$B$3&gt;0),F454*(4*$B$4*(C454^3-B454^3)-(C454^4-B454^4))/(24*$B$3*1000000*$B$5)*1000,"")</f>
        <v/>
      </c>
      <c r="J454" s="120" t="str">
        <f>IF(COUNTA(A454:E454)=0,"",IF(AND(COUNT(B454:E454)=4,B454&gt;=0,C454&gt;B454,C454&lt;=$B$4,D454&gt;=0,E454&gt;0),IF(COUNTIFS($B$13:$B$453,"&lt;"&amp;C454,$C$13:$C$453,"&gt;"&amp;B454)&gt;0,"OVERLAP","OK"),"CHECK INPUTS"))</f>
        <v/>
      </c>
      <c r="M454" s="124"/>
      <c r="N454" s="125"/>
      <c r="O454" s="125"/>
      <c r="P454" s="125"/>
      <c r="Q454" s="125"/>
      <c r="R454" s="126" t="str">
        <f>IF(V454="OK",P454*Q454,"")</f>
        <v/>
      </c>
      <c r="S454" s="126" t="str">
        <f>IF(V454="OK",R454*(O454-N454),"")</f>
        <v/>
      </c>
      <c r="T454" s="126" t="str">
        <f>IF(V454="OK",S454*(O454+N454)/2,"")</f>
        <v/>
      </c>
      <c r="U454" s="126" t="str">
        <f>IF(AND(V454="OK",ISNUMBER($N$5),$N$5&gt;0,ISNUMBER($N$3),$N$3&gt;0),R454*(4*$N$4*(O454^3-N454^3)-(O454^4-N454^4))/(24*$N$3*1000000*$N$5)*1000,"")</f>
        <v/>
      </c>
      <c r="V454" s="120" t="str">
        <f>IF(COUNTA(M454:Q454)=0,"",IF(AND(COUNT(N454:Q454)=4,N454&gt;=0,O454&gt;N454,O454&lt;=$N$4,P454&gt;=0,Q454&gt;0),IF(COUNTIFS($N$13:$N$453,"&lt;"&amp;O454,$O$13:$O$453,"&gt;"&amp;N454)&gt;0,"OVERLAP","OK"),"CHECK INPUTS"))</f>
        <v/>
      </c>
      <c r="AA454" s="120">
        <f>IF(AND(J454="OK",ISNUMBER($B$5),$B$5&gt;0,ISNUMBER($B$3),$B$3&gt;0),F454/(6*$B$3*1000000*$B$5)*(IF(B454&lt;($B$4*0/10),($B$4*0/10)*(MIN(C454,($B$4*0/10))^3-B454^3)-(MIN(C454,($B$4*0/10))^4-B454^4)/4,0)+IF(C454&gt;($B$4*0/10),($B$4*0/10)^2*(1.5*(C454^2-MAX(B454,($B$4*0/10))^2)-($B$4*0/10)*(C454-MAX(B454,($B$4*0/10)))),0))*1000,0)</f>
        <v>0</v>
      </c>
      <c r="AB454" s="120">
        <f>IF(AND(J454="OK",ISNUMBER($B$5),$B$5&gt;0,ISNUMBER($B$3),$B$3&gt;0),F454/(6*$B$3*1000000*$B$5)*(IF(B454&lt;($B$4*1/10),($B$4*1/10)*(MIN(C454,($B$4*1/10))^3-B454^3)-(MIN(C454,($B$4*1/10))^4-B454^4)/4,0)+IF(C454&gt;($B$4*1/10),($B$4*1/10)^2*(1.5*(C454^2-MAX(B454,($B$4*1/10))^2)-($B$4*1/10)*(C454-MAX(B454,($B$4*1/10)))),0))*1000,0)</f>
        <v>0</v>
      </c>
      <c r="AC454" s="120">
        <f>IF(AND(J454="OK",ISNUMBER($B$5),$B$5&gt;0,ISNUMBER($B$3),$B$3&gt;0),F454/(6*$B$3*1000000*$B$5)*(IF(B454&lt;($B$4*2/10),($B$4*2/10)*(MIN(C454,($B$4*2/10))^3-B454^3)-(MIN(C454,($B$4*2/10))^4-B454^4)/4,0)+IF(C454&gt;($B$4*2/10),($B$4*2/10)^2*(1.5*(C454^2-MAX(B454,($B$4*2/10))^2)-($B$4*2/10)*(C454-MAX(B454,($B$4*2/10)))),0))*1000,0)</f>
        <v>0</v>
      </c>
      <c r="AD454" s="120">
        <f>IF(AND(J454="OK",ISNUMBER($B$5),$B$5&gt;0,ISNUMBER($B$3),$B$3&gt;0),F454/(6*$B$3*1000000*$B$5)*(IF(B454&lt;($B$4*3/10),($B$4*3/10)*(MIN(C454,($B$4*3/10))^3-B454^3)-(MIN(C454,($B$4*3/10))^4-B454^4)/4,0)+IF(C454&gt;($B$4*3/10),($B$4*3/10)^2*(1.5*(C454^2-MAX(B454,($B$4*3/10))^2)-($B$4*3/10)*(C454-MAX(B454,($B$4*3/10)))),0))*1000,0)</f>
        <v>0</v>
      </c>
      <c r="AE454" s="120">
        <f>IF(AND(J454="OK",ISNUMBER($B$5),$B$5&gt;0,ISNUMBER($B$3),$B$3&gt;0),F454/(6*$B$3*1000000*$B$5)*(IF(B454&lt;($B$4*4/10),($B$4*4/10)*(MIN(C454,($B$4*4/10))^3-B454^3)-(MIN(C454,($B$4*4/10))^4-B454^4)/4,0)+IF(C454&gt;($B$4*4/10),($B$4*4/10)^2*(1.5*(C454^2-MAX(B454,($B$4*4/10))^2)-($B$4*4/10)*(C454-MAX(B454,($B$4*4/10)))),0))*1000,0)</f>
        <v>0</v>
      </c>
      <c r="AF454" s="120">
        <f>IF(AND(J454="OK",ISNUMBER($B$5),$B$5&gt;0,ISNUMBER($B$3),$B$3&gt;0),F454/(6*$B$3*1000000*$B$5)*(IF(B454&lt;($B$4*5/10),($B$4*5/10)*(MIN(C454,($B$4*5/10))^3-B454^3)-(MIN(C454,($B$4*5/10))^4-B454^4)/4,0)+IF(C454&gt;($B$4*5/10),($B$4*5/10)^2*(1.5*(C454^2-MAX(B454,($B$4*5/10))^2)-($B$4*5/10)*(C454-MAX(B454,($B$4*5/10)))),0))*1000,0)</f>
        <v>0</v>
      </c>
      <c r="AG454" s="120">
        <f>IF(AND(J454="OK",ISNUMBER($B$5),$B$5&gt;0,ISNUMBER($B$3),$B$3&gt;0),F454/(6*$B$3*1000000*$B$5)*(IF(B454&lt;($B$4*6/10),($B$4*6/10)*(MIN(C454,($B$4*6/10))^3-B454^3)-(MIN(C454,($B$4*6/10))^4-B454^4)/4,0)+IF(C454&gt;($B$4*6/10),($B$4*6/10)^2*(1.5*(C454^2-MAX(B454,($B$4*6/10))^2)-($B$4*6/10)*(C454-MAX(B454,($B$4*6/10)))),0))*1000,0)</f>
        <v>0</v>
      </c>
      <c r="AH454" s="120">
        <f>IF(AND(J454="OK",ISNUMBER($B$5),$B$5&gt;0,ISNUMBER($B$3),$B$3&gt;0),F454/(6*$B$3*1000000*$B$5)*(IF(B454&lt;($B$4*7/10),($B$4*7/10)*(MIN(C454,($B$4*7/10))^3-B454^3)-(MIN(C454,($B$4*7/10))^4-B454^4)/4,0)+IF(C454&gt;($B$4*7/10),($B$4*7/10)^2*(1.5*(C454^2-MAX(B454,($B$4*7/10))^2)-($B$4*7/10)*(C454-MAX(B454,($B$4*7/10)))),0))*1000,0)</f>
        <v>0</v>
      </c>
      <c r="AI454" s="120">
        <f>IF(AND(J454="OK",ISNUMBER($B$5),$B$5&gt;0,ISNUMBER($B$3),$B$3&gt;0),F454/(6*$B$3*1000000*$B$5)*(IF(B454&lt;($B$4*8/10),($B$4*8/10)*(MIN(C454,($B$4*8/10))^3-B454^3)-(MIN(C454,($B$4*8/10))^4-B454^4)/4,0)+IF(C454&gt;($B$4*8/10),($B$4*8/10)^2*(1.5*(C454^2-MAX(B454,($B$4*8/10))^2)-($B$4*8/10)*(C454-MAX(B454,($B$4*8/10)))),0))*1000,0)</f>
        <v>0</v>
      </c>
      <c r="AJ454" s="120">
        <f>IF(AND(J454="OK",ISNUMBER($B$5),$B$5&gt;0,ISNUMBER($B$3),$B$3&gt;0),F454/(6*$B$3*1000000*$B$5)*(IF(B454&lt;($B$4*9/10),($B$4*9/10)*(MIN(C454,($B$4*9/10))^3-B454^3)-(MIN(C454,($B$4*9/10))^4-B454^4)/4,0)+IF(C454&gt;($B$4*9/10),($B$4*9/10)^2*(1.5*(C454^2-MAX(B454,($B$4*9/10))^2)-($B$4*9/10)*(C454-MAX(B454,($B$4*9/10)))),0))*1000,0)</f>
        <v>0</v>
      </c>
      <c r="AK454" s="120">
        <f>IF(AND(J454="OK",ISNUMBER($B$5),$B$5&gt;0,ISNUMBER($B$3),$B$3&gt;0),F454/(6*$B$3*1000000*$B$5)*(IF(B454&lt;($B$4*10/10),($B$4*10/10)*(MIN(C454,($B$4*10/10))^3-B454^3)-(MIN(C454,($B$4*10/10))^4-B454^4)/4,0)+IF(C454&gt;($B$4*10/10),($B$4*10/10)^2*(1.5*(C454^2-MAX(B454,($B$4*10/10))^2)-($B$4*10/10)*(C454-MAX(B454,($B$4*10/10)))),0))*1000,0)</f>
        <v>0</v>
      </c>
      <c r="AM454" s="120">
        <f>IF(AND(V454="OK",ISNUMBER($N$5),$N$5&gt;0,ISNUMBER($N$3),$N$3&gt;0),R454/(6*$N$3*1000000*$N$5)*(IF(N454&lt;($N$4*0/10),($N$4*0/10)*(MIN(O454,($N$4*0/10))^3-N454^3)-(MIN(O454,($N$4*0/10))^4-N454^4)/4,0)+IF(O454&gt;($N$4*0/10),($N$4*0/10)^2*(1.5*(O454^2-MAX(N454,($N$4*0/10))^2)-($N$4*0/10)*(O454-MAX(N454,($N$4*0/10)))),0))*1000,0)</f>
        <v>0</v>
      </c>
      <c r="AN454" s="120">
        <f>IF(AND(V454="OK",ISNUMBER($N$5),$N$5&gt;0,ISNUMBER($N$3),$N$3&gt;0),R454/(6*$N$3*1000000*$N$5)*(IF(N454&lt;($N$4*1/10),($N$4*1/10)*(MIN(O454,($N$4*1/10))^3-N454^3)-(MIN(O454,($N$4*1/10))^4-N454^4)/4,0)+IF(O454&gt;($N$4*1/10),($N$4*1/10)^2*(1.5*(O454^2-MAX(N454,($N$4*1/10))^2)-($N$4*1/10)*(O454-MAX(N454,($N$4*1/10)))),0))*1000,0)</f>
        <v>0</v>
      </c>
      <c r="AO454" s="120">
        <f>IF(AND(V454="OK",ISNUMBER($N$5),$N$5&gt;0,ISNUMBER($N$3),$N$3&gt;0),R454/(6*$N$3*1000000*$N$5)*(IF(N454&lt;($N$4*2/10),($N$4*2/10)*(MIN(O454,($N$4*2/10))^3-N454^3)-(MIN(O454,($N$4*2/10))^4-N454^4)/4,0)+IF(O454&gt;($N$4*2/10),($N$4*2/10)^2*(1.5*(O454^2-MAX(N454,($N$4*2/10))^2)-($N$4*2/10)*(O454-MAX(N454,($N$4*2/10)))),0))*1000,0)</f>
        <v>0</v>
      </c>
      <c r="AP454" s="120">
        <f>IF(AND(V454="OK",ISNUMBER($N$5),$N$5&gt;0,ISNUMBER($N$3),$N$3&gt;0),R454/(6*$N$3*1000000*$N$5)*(IF(N454&lt;($N$4*3/10),($N$4*3/10)*(MIN(O454,($N$4*3/10))^3-N454^3)-(MIN(O454,($N$4*3/10))^4-N454^4)/4,0)+IF(O454&gt;($N$4*3/10),($N$4*3/10)^2*(1.5*(O454^2-MAX(N454,($N$4*3/10))^2)-($N$4*3/10)*(O454-MAX(N454,($N$4*3/10)))),0))*1000,0)</f>
        <v>0</v>
      </c>
      <c r="AQ454" s="120">
        <f>IF(AND(V454="OK",ISNUMBER($N$5),$N$5&gt;0,ISNUMBER($N$3),$N$3&gt;0),R454/(6*$N$3*1000000*$N$5)*(IF(N454&lt;($N$4*4/10),($N$4*4/10)*(MIN(O454,($N$4*4/10))^3-N454^3)-(MIN(O454,($N$4*4/10))^4-N454^4)/4,0)+IF(O454&gt;($N$4*4/10),($N$4*4/10)^2*(1.5*(O454^2-MAX(N454,($N$4*4/10))^2)-($N$4*4/10)*(O454-MAX(N454,($N$4*4/10)))),0))*1000,0)</f>
        <v>0</v>
      </c>
      <c r="AR454" s="120">
        <f>IF(AND(V454="OK",ISNUMBER($N$5),$N$5&gt;0,ISNUMBER($N$3),$N$3&gt;0),R454/(6*$N$3*1000000*$N$5)*(IF(N454&lt;($N$4*5/10),($N$4*5/10)*(MIN(O454,($N$4*5/10))^3-N454^3)-(MIN(O454,($N$4*5/10))^4-N454^4)/4,0)+IF(O454&gt;($N$4*5/10),($N$4*5/10)^2*(1.5*(O454^2-MAX(N454,($N$4*5/10))^2)-($N$4*5/10)*(O454-MAX(N454,($N$4*5/10)))),0))*1000,0)</f>
        <v>0</v>
      </c>
      <c r="AS454" s="120">
        <f>IF(AND(V454="OK",ISNUMBER($N$5),$N$5&gt;0,ISNUMBER($N$3),$N$3&gt;0),R454/(6*$N$3*1000000*$N$5)*(IF(N454&lt;($N$4*6/10),($N$4*6/10)*(MIN(O454,($N$4*6/10))^3-N454^3)-(MIN(O454,($N$4*6/10))^4-N454^4)/4,0)+IF(O454&gt;($N$4*6/10),($N$4*6/10)^2*(1.5*(O454^2-MAX(N454,($N$4*6/10))^2)-($N$4*6/10)*(O454-MAX(N454,($N$4*6/10)))),0))*1000,0)</f>
        <v>0</v>
      </c>
      <c r="AT454" s="120">
        <f>IF(AND(V454="OK",ISNUMBER($N$5),$N$5&gt;0,ISNUMBER($N$3),$N$3&gt;0),R454/(6*$N$3*1000000*$N$5)*(IF(N454&lt;($N$4*7/10),($N$4*7/10)*(MIN(O454,($N$4*7/10))^3-N454^3)-(MIN(O454,($N$4*7/10))^4-N454^4)/4,0)+IF(O454&gt;($N$4*7/10),($N$4*7/10)^2*(1.5*(O454^2-MAX(N454,($N$4*7/10))^2)-($N$4*7/10)*(O454-MAX(N454,($N$4*7/10)))),0))*1000,0)</f>
        <v>0</v>
      </c>
      <c r="AU454" s="120">
        <f>IF(AND(V454="OK",ISNUMBER($N$5),$N$5&gt;0,ISNUMBER($N$3),$N$3&gt;0),R454/(6*$N$3*1000000*$N$5)*(IF(N454&lt;($N$4*8/10),($N$4*8/10)*(MIN(O454,($N$4*8/10))^3-N454^3)-(MIN(O454,($N$4*8/10))^4-N454^4)/4,0)+IF(O454&gt;($N$4*8/10),($N$4*8/10)^2*(1.5*(O454^2-MAX(N454,($N$4*8/10))^2)-($N$4*8/10)*(O454-MAX(N454,($N$4*8/10)))),0))*1000,0)</f>
        <v>0</v>
      </c>
      <c r="AV454" s="120">
        <f>IF(AND(V454="OK",ISNUMBER($N$5),$N$5&gt;0,ISNUMBER($N$3),$N$3&gt;0),R454/(6*$N$3*1000000*$N$5)*(IF(N454&lt;($N$4*9/10),($N$4*9/10)*(MIN(O454,($N$4*9/10))^3-N454^3)-(MIN(O454,($N$4*9/10))^4-N454^4)/4,0)+IF(O454&gt;($N$4*9/10),($N$4*9/10)^2*(1.5*(O454^2-MAX(N454,($N$4*9/10))^2)-($N$4*9/10)*(O454-MAX(N454,($N$4*9/10)))),0))*1000,0)</f>
        <v>0</v>
      </c>
      <c r="AW454" s="120">
        <f>IF(AND(V454="OK",ISNUMBER($N$5),$N$5&gt;0,ISNUMBER($N$3),$N$3&gt;0),R454/(6*$N$3*1000000*$N$5)*(IF(N454&lt;($N$4*10/10),($N$4*10/10)*(MIN(O454,($N$4*10/10))^3-N454^3)-(MIN(O454,($N$4*10/10))^4-N454^4)/4,0)+IF(O454&gt;($N$4*10/10),($N$4*10/10)^2*(1.5*(O454^2-MAX(N454,($N$4*10/10))^2)-($N$4*10/10)*(O454-MAX(N454,($N$4*10/10)))),0))*1000,0)</f>
        <v>0</v>
      </c>
    </row>
    <row r="455" spans="1:49">
      <c r="A455" s="124"/>
      <c r="B455" s="125"/>
      <c r="C455" s="125"/>
      <c r="D455" s="125"/>
      <c r="E455" s="125"/>
      <c r="F455" s="126" t="str">
        <f>IF(J455="OK",D455*E455,"")</f>
        <v/>
      </c>
      <c r="G455" s="126" t="str">
        <f>IF(J455="OK",F455*(C455-B455),"")</f>
        <v/>
      </c>
      <c r="H455" s="126" t="str">
        <f>IF(J455="OK",G455*(C455+B455)/2,"")</f>
        <v/>
      </c>
      <c r="I455" s="126" t="str">
        <f>IF(AND(J455="OK",ISNUMBER($B$5),$B$5&gt;0,ISNUMBER($B$3),$B$3&gt;0),F455*(4*$B$4*(C455^3-B455^3)-(C455^4-B455^4))/(24*$B$3*1000000*$B$5)*1000,"")</f>
        <v/>
      </c>
      <c r="J455" s="120" t="str">
        <f>IF(COUNTA(A455:E455)=0,"",IF(AND(COUNT(B455:E455)=4,B455&gt;=0,C455&gt;B455,C455&lt;=$B$4,D455&gt;=0,E455&gt;0),IF(COUNTIFS($B$13:$B$454,"&lt;"&amp;C455,$C$13:$C$454,"&gt;"&amp;B455)&gt;0,"OVERLAP","OK"),"CHECK INPUTS"))</f>
        <v/>
      </c>
      <c r="M455" s="124"/>
      <c r="N455" s="125"/>
      <c r="O455" s="125"/>
      <c r="P455" s="125"/>
      <c r="Q455" s="125"/>
      <c r="R455" s="126" t="str">
        <f>IF(V455="OK",P455*Q455,"")</f>
        <v/>
      </c>
      <c r="S455" s="126" t="str">
        <f>IF(V455="OK",R455*(O455-N455),"")</f>
        <v/>
      </c>
      <c r="T455" s="126" t="str">
        <f>IF(V455="OK",S455*(O455+N455)/2,"")</f>
        <v/>
      </c>
      <c r="U455" s="126" t="str">
        <f>IF(AND(V455="OK",ISNUMBER($N$5),$N$5&gt;0,ISNUMBER($N$3),$N$3&gt;0),R455*(4*$N$4*(O455^3-N455^3)-(O455^4-N455^4))/(24*$N$3*1000000*$N$5)*1000,"")</f>
        <v/>
      </c>
      <c r="V455" s="120" t="str">
        <f>IF(COUNTA(M455:Q455)=0,"",IF(AND(COUNT(N455:Q455)=4,N455&gt;=0,O455&gt;N455,O455&lt;=$N$4,P455&gt;=0,Q455&gt;0),IF(COUNTIFS($N$13:$N$454,"&lt;"&amp;O455,$O$13:$O$454,"&gt;"&amp;N455)&gt;0,"OVERLAP","OK"),"CHECK INPUTS"))</f>
        <v/>
      </c>
      <c r="AA455" s="120">
        <f>IF(AND(J455="OK",ISNUMBER($B$5),$B$5&gt;0,ISNUMBER($B$3),$B$3&gt;0),F455/(6*$B$3*1000000*$B$5)*(IF(B455&lt;($B$4*0/10),($B$4*0/10)*(MIN(C455,($B$4*0/10))^3-B455^3)-(MIN(C455,($B$4*0/10))^4-B455^4)/4,0)+IF(C455&gt;($B$4*0/10),($B$4*0/10)^2*(1.5*(C455^2-MAX(B455,($B$4*0/10))^2)-($B$4*0/10)*(C455-MAX(B455,($B$4*0/10)))),0))*1000,0)</f>
        <v>0</v>
      </c>
      <c r="AB455" s="120">
        <f>IF(AND(J455="OK",ISNUMBER($B$5),$B$5&gt;0,ISNUMBER($B$3),$B$3&gt;0),F455/(6*$B$3*1000000*$B$5)*(IF(B455&lt;($B$4*1/10),($B$4*1/10)*(MIN(C455,($B$4*1/10))^3-B455^3)-(MIN(C455,($B$4*1/10))^4-B455^4)/4,0)+IF(C455&gt;($B$4*1/10),($B$4*1/10)^2*(1.5*(C455^2-MAX(B455,($B$4*1/10))^2)-($B$4*1/10)*(C455-MAX(B455,($B$4*1/10)))),0))*1000,0)</f>
        <v>0</v>
      </c>
      <c r="AC455" s="120">
        <f>IF(AND(J455="OK",ISNUMBER($B$5),$B$5&gt;0,ISNUMBER($B$3),$B$3&gt;0),F455/(6*$B$3*1000000*$B$5)*(IF(B455&lt;($B$4*2/10),($B$4*2/10)*(MIN(C455,($B$4*2/10))^3-B455^3)-(MIN(C455,($B$4*2/10))^4-B455^4)/4,0)+IF(C455&gt;($B$4*2/10),($B$4*2/10)^2*(1.5*(C455^2-MAX(B455,($B$4*2/10))^2)-($B$4*2/10)*(C455-MAX(B455,($B$4*2/10)))),0))*1000,0)</f>
        <v>0</v>
      </c>
      <c r="AD455" s="120">
        <f>IF(AND(J455="OK",ISNUMBER($B$5),$B$5&gt;0,ISNUMBER($B$3),$B$3&gt;0),F455/(6*$B$3*1000000*$B$5)*(IF(B455&lt;($B$4*3/10),($B$4*3/10)*(MIN(C455,($B$4*3/10))^3-B455^3)-(MIN(C455,($B$4*3/10))^4-B455^4)/4,0)+IF(C455&gt;($B$4*3/10),($B$4*3/10)^2*(1.5*(C455^2-MAX(B455,($B$4*3/10))^2)-($B$4*3/10)*(C455-MAX(B455,($B$4*3/10)))),0))*1000,0)</f>
        <v>0</v>
      </c>
      <c r="AE455" s="120">
        <f>IF(AND(J455="OK",ISNUMBER($B$5),$B$5&gt;0,ISNUMBER($B$3),$B$3&gt;0),F455/(6*$B$3*1000000*$B$5)*(IF(B455&lt;($B$4*4/10),($B$4*4/10)*(MIN(C455,($B$4*4/10))^3-B455^3)-(MIN(C455,($B$4*4/10))^4-B455^4)/4,0)+IF(C455&gt;($B$4*4/10),($B$4*4/10)^2*(1.5*(C455^2-MAX(B455,($B$4*4/10))^2)-($B$4*4/10)*(C455-MAX(B455,($B$4*4/10)))),0))*1000,0)</f>
        <v>0</v>
      </c>
      <c r="AF455" s="120">
        <f>IF(AND(J455="OK",ISNUMBER($B$5),$B$5&gt;0,ISNUMBER($B$3),$B$3&gt;0),F455/(6*$B$3*1000000*$B$5)*(IF(B455&lt;($B$4*5/10),($B$4*5/10)*(MIN(C455,($B$4*5/10))^3-B455^3)-(MIN(C455,($B$4*5/10))^4-B455^4)/4,0)+IF(C455&gt;($B$4*5/10),($B$4*5/10)^2*(1.5*(C455^2-MAX(B455,($B$4*5/10))^2)-($B$4*5/10)*(C455-MAX(B455,($B$4*5/10)))),0))*1000,0)</f>
        <v>0</v>
      </c>
      <c r="AG455" s="120">
        <f>IF(AND(J455="OK",ISNUMBER($B$5),$B$5&gt;0,ISNUMBER($B$3),$B$3&gt;0),F455/(6*$B$3*1000000*$B$5)*(IF(B455&lt;($B$4*6/10),($B$4*6/10)*(MIN(C455,($B$4*6/10))^3-B455^3)-(MIN(C455,($B$4*6/10))^4-B455^4)/4,0)+IF(C455&gt;($B$4*6/10),($B$4*6/10)^2*(1.5*(C455^2-MAX(B455,($B$4*6/10))^2)-($B$4*6/10)*(C455-MAX(B455,($B$4*6/10)))),0))*1000,0)</f>
        <v>0</v>
      </c>
      <c r="AH455" s="120">
        <f>IF(AND(J455="OK",ISNUMBER($B$5),$B$5&gt;0,ISNUMBER($B$3),$B$3&gt;0),F455/(6*$B$3*1000000*$B$5)*(IF(B455&lt;($B$4*7/10),($B$4*7/10)*(MIN(C455,($B$4*7/10))^3-B455^3)-(MIN(C455,($B$4*7/10))^4-B455^4)/4,0)+IF(C455&gt;($B$4*7/10),($B$4*7/10)^2*(1.5*(C455^2-MAX(B455,($B$4*7/10))^2)-($B$4*7/10)*(C455-MAX(B455,($B$4*7/10)))),0))*1000,0)</f>
        <v>0</v>
      </c>
      <c r="AI455" s="120">
        <f>IF(AND(J455="OK",ISNUMBER($B$5),$B$5&gt;0,ISNUMBER($B$3),$B$3&gt;0),F455/(6*$B$3*1000000*$B$5)*(IF(B455&lt;($B$4*8/10),($B$4*8/10)*(MIN(C455,($B$4*8/10))^3-B455^3)-(MIN(C455,($B$4*8/10))^4-B455^4)/4,0)+IF(C455&gt;($B$4*8/10),($B$4*8/10)^2*(1.5*(C455^2-MAX(B455,($B$4*8/10))^2)-($B$4*8/10)*(C455-MAX(B455,($B$4*8/10)))),0))*1000,0)</f>
        <v>0</v>
      </c>
      <c r="AJ455" s="120">
        <f>IF(AND(J455="OK",ISNUMBER($B$5),$B$5&gt;0,ISNUMBER($B$3),$B$3&gt;0),F455/(6*$B$3*1000000*$B$5)*(IF(B455&lt;($B$4*9/10),($B$4*9/10)*(MIN(C455,($B$4*9/10))^3-B455^3)-(MIN(C455,($B$4*9/10))^4-B455^4)/4,0)+IF(C455&gt;($B$4*9/10),($B$4*9/10)^2*(1.5*(C455^2-MAX(B455,($B$4*9/10))^2)-($B$4*9/10)*(C455-MAX(B455,($B$4*9/10)))),0))*1000,0)</f>
        <v>0</v>
      </c>
      <c r="AK455" s="120">
        <f>IF(AND(J455="OK",ISNUMBER($B$5),$B$5&gt;0,ISNUMBER($B$3),$B$3&gt;0),F455/(6*$B$3*1000000*$B$5)*(IF(B455&lt;($B$4*10/10),($B$4*10/10)*(MIN(C455,($B$4*10/10))^3-B455^3)-(MIN(C455,($B$4*10/10))^4-B455^4)/4,0)+IF(C455&gt;($B$4*10/10),($B$4*10/10)^2*(1.5*(C455^2-MAX(B455,($B$4*10/10))^2)-($B$4*10/10)*(C455-MAX(B455,($B$4*10/10)))),0))*1000,0)</f>
        <v>0</v>
      </c>
      <c r="AM455" s="120">
        <f>IF(AND(V455="OK",ISNUMBER($N$5),$N$5&gt;0,ISNUMBER($N$3),$N$3&gt;0),R455/(6*$N$3*1000000*$N$5)*(IF(N455&lt;($N$4*0/10),($N$4*0/10)*(MIN(O455,($N$4*0/10))^3-N455^3)-(MIN(O455,($N$4*0/10))^4-N455^4)/4,0)+IF(O455&gt;($N$4*0/10),($N$4*0/10)^2*(1.5*(O455^2-MAX(N455,($N$4*0/10))^2)-($N$4*0/10)*(O455-MAX(N455,($N$4*0/10)))),0))*1000,0)</f>
        <v>0</v>
      </c>
      <c r="AN455" s="120">
        <f>IF(AND(V455="OK",ISNUMBER($N$5),$N$5&gt;0,ISNUMBER($N$3),$N$3&gt;0),R455/(6*$N$3*1000000*$N$5)*(IF(N455&lt;($N$4*1/10),($N$4*1/10)*(MIN(O455,($N$4*1/10))^3-N455^3)-(MIN(O455,($N$4*1/10))^4-N455^4)/4,0)+IF(O455&gt;($N$4*1/10),($N$4*1/10)^2*(1.5*(O455^2-MAX(N455,($N$4*1/10))^2)-($N$4*1/10)*(O455-MAX(N455,($N$4*1/10)))),0))*1000,0)</f>
        <v>0</v>
      </c>
      <c r="AO455" s="120">
        <f>IF(AND(V455="OK",ISNUMBER($N$5),$N$5&gt;0,ISNUMBER($N$3),$N$3&gt;0),R455/(6*$N$3*1000000*$N$5)*(IF(N455&lt;($N$4*2/10),($N$4*2/10)*(MIN(O455,($N$4*2/10))^3-N455^3)-(MIN(O455,($N$4*2/10))^4-N455^4)/4,0)+IF(O455&gt;($N$4*2/10),($N$4*2/10)^2*(1.5*(O455^2-MAX(N455,($N$4*2/10))^2)-($N$4*2/10)*(O455-MAX(N455,($N$4*2/10)))),0))*1000,0)</f>
        <v>0</v>
      </c>
      <c r="AP455" s="120">
        <f>IF(AND(V455="OK",ISNUMBER($N$5),$N$5&gt;0,ISNUMBER($N$3),$N$3&gt;0),R455/(6*$N$3*1000000*$N$5)*(IF(N455&lt;($N$4*3/10),($N$4*3/10)*(MIN(O455,($N$4*3/10))^3-N455^3)-(MIN(O455,($N$4*3/10))^4-N455^4)/4,0)+IF(O455&gt;($N$4*3/10),($N$4*3/10)^2*(1.5*(O455^2-MAX(N455,($N$4*3/10))^2)-($N$4*3/10)*(O455-MAX(N455,($N$4*3/10)))),0))*1000,0)</f>
        <v>0</v>
      </c>
      <c r="AQ455" s="120">
        <f>IF(AND(V455="OK",ISNUMBER($N$5),$N$5&gt;0,ISNUMBER($N$3),$N$3&gt;0),R455/(6*$N$3*1000000*$N$5)*(IF(N455&lt;($N$4*4/10),($N$4*4/10)*(MIN(O455,($N$4*4/10))^3-N455^3)-(MIN(O455,($N$4*4/10))^4-N455^4)/4,0)+IF(O455&gt;($N$4*4/10),($N$4*4/10)^2*(1.5*(O455^2-MAX(N455,($N$4*4/10))^2)-($N$4*4/10)*(O455-MAX(N455,($N$4*4/10)))),0))*1000,0)</f>
        <v>0</v>
      </c>
      <c r="AR455" s="120">
        <f>IF(AND(V455="OK",ISNUMBER($N$5),$N$5&gt;0,ISNUMBER($N$3),$N$3&gt;0),R455/(6*$N$3*1000000*$N$5)*(IF(N455&lt;($N$4*5/10),($N$4*5/10)*(MIN(O455,($N$4*5/10))^3-N455^3)-(MIN(O455,($N$4*5/10))^4-N455^4)/4,0)+IF(O455&gt;($N$4*5/10),($N$4*5/10)^2*(1.5*(O455^2-MAX(N455,($N$4*5/10))^2)-($N$4*5/10)*(O455-MAX(N455,($N$4*5/10)))),0))*1000,0)</f>
        <v>0</v>
      </c>
      <c r="AS455" s="120">
        <f>IF(AND(V455="OK",ISNUMBER($N$5),$N$5&gt;0,ISNUMBER($N$3),$N$3&gt;0),R455/(6*$N$3*1000000*$N$5)*(IF(N455&lt;($N$4*6/10),($N$4*6/10)*(MIN(O455,($N$4*6/10))^3-N455^3)-(MIN(O455,($N$4*6/10))^4-N455^4)/4,0)+IF(O455&gt;($N$4*6/10),($N$4*6/10)^2*(1.5*(O455^2-MAX(N455,($N$4*6/10))^2)-($N$4*6/10)*(O455-MAX(N455,($N$4*6/10)))),0))*1000,0)</f>
        <v>0</v>
      </c>
      <c r="AT455" s="120">
        <f>IF(AND(V455="OK",ISNUMBER($N$5),$N$5&gt;0,ISNUMBER($N$3),$N$3&gt;0),R455/(6*$N$3*1000000*$N$5)*(IF(N455&lt;($N$4*7/10),($N$4*7/10)*(MIN(O455,($N$4*7/10))^3-N455^3)-(MIN(O455,($N$4*7/10))^4-N455^4)/4,0)+IF(O455&gt;($N$4*7/10),($N$4*7/10)^2*(1.5*(O455^2-MAX(N455,($N$4*7/10))^2)-($N$4*7/10)*(O455-MAX(N455,($N$4*7/10)))),0))*1000,0)</f>
        <v>0</v>
      </c>
      <c r="AU455" s="120">
        <f>IF(AND(V455="OK",ISNUMBER($N$5),$N$5&gt;0,ISNUMBER($N$3),$N$3&gt;0),R455/(6*$N$3*1000000*$N$5)*(IF(N455&lt;($N$4*8/10),($N$4*8/10)*(MIN(O455,($N$4*8/10))^3-N455^3)-(MIN(O455,($N$4*8/10))^4-N455^4)/4,0)+IF(O455&gt;($N$4*8/10),($N$4*8/10)^2*(1.5*(O455^2-MAX(N455,($N$4*8/10))^2)-($N$4*8/10)*(O455-MAX(N455,($N$4*8/10)))),0))*1000,0)</f>
        <v>0</v>
      </c>
      <c r="AV455" s="120">
        <f>IF(AND(V455="OK",ISNUMBER($N$5),$N$5&gt;0,ISNUMBER($N$3),$N$3&gt;0),R455/(6*$N$3*1000000*$N$5)*(IF(N455&lt;($N$4*9/10),($N$4*9/10)*(MIN(O455,($N$4*9/10))^3-N455^3)-(MIN(O455,($N$4*9/10))^4-N455^4)/4,0)+IF(O455&gt;($N$4*9/10),($N$4*9/10)^2*(1.5*(O455^2-MAX(N455,($N$4*9/10))^2)-($N$4*9/10)*(O455-MAX(N455,($N$4*9/10)))),0))*1000,0)</f>
        <v>0</v>
      </c>
      <c r="AW455" s="120">
        <f>IF(AND(V455="OK",ISNUMBER($N$5),$N$5&gt;0,ISNUMBER($N$3),$N$3&gt;0),R455/(6*$N$3*1000000*$N$5)*(IF(N455&lt;($N$4*10/10),($N$4*10/10)*(MIN(O455,($N$4*10/10))^3-N455^3)-(MIN(O455,($N$4*10/10))^4-N455^4)/4,0)+IF(O455&gt;($N$4*10/10),($N$4*10/10)^2*(1.5*(O455^2-MAX(N455,($N$4*10/10))^2)-($N$4*10/10)*(O455-MAX(N455,($N$4*10/10)))),0))*1000,0)</f>
        <v>0</v>
      </c>
    </row>
    <row r="456" spans="1:49">
      <c r="A456" s="124"/>
      <c r="B456" s="125"/>
      <c r="C456" s="125"/>
      <c r="D456" s="125"/>
      <c r="E456" s="125"/>
      <c r="F456" s="126" t="str">
        <f>IF(J456="OK",D456*E456,"")</f>
        <v/>
      </c>
      <c r="G456" s="126" t="str">
        <f>IF(J456="OK",F456*(C456-B456),"")</f>
        <v/>
      </c>
      <c r="H456" s="126" t="str">
        <f>IF(J456="OK",G456*(C456+B456)/2,"")</f>
        <v/>
      </c>
      <c r="I456" s="126" t="str">
        <f>IF(AND(J456="OK",ISNUMBER($B$5),$B$5&gt;0,ISNUMBER($B$3),$B$3&gt;0),F456*(4*$B$4*(C456^3-B456^3)-(C456^4-B456^4))/(24*$B$3*1000000*$B$5)*1000,"")</f>
        <v/>
      </c>
      <c r="J456" s="120" t="str">
        <f>IF(COUNTA(A456:E456)=0,"",IF(AND(COUNT(B456:E456)=4,B456&gt;=0,C456&gt;B456,C456&lt;=$B$4,D456&gt;=0,E456&gt;0),IF(COUNTIFS($B$13:$B$455,"&lt;"&amp;C456,$C$13:$C$455,"&gt;"&amp;B456)&gt;0,"OVERLAP","OK"),"CHECK INPUTS"))</f>
        <v/>
      </c>
      <c r="M456" s="124"/>
      <c r="N456" s="125"/>
      <c r="O456" s="125"/>
      <c r="P456" s="125"/>
      <c r="Q456" s="125"/>
      <c r="R456" s="126" t="str">
        <f>IF(V456="OK",P456*Q456,"")</f>
        <v/>
      </c>
      <c r="S456" s="126" t="str">
        <f>IF(V456="OK",R456*(O456-N456),"")</f>
        <v/>
      </c>
      <c r="T456" s="126" t="str">
        <f>IF(V456="OK",S456*(O456+N456)/2,"")</f>
        <v/>
      </c>
      <c r="U456" s="126" t="str">
        <f>IF(AND(V456="OK",ISNUMBER($N$5),$N$5&gt;0,ISNUMBER($N$3),$N$3&gt;0),R456*(4*$N$4*(O456^3-N456^3)-(O456^4-N456^4))/(24*$N$3*1000000*$N$5)*1000,"")</f>
        <v/>
      </c>
      <c r="V456" s="120" t="str">
        <f>IF(COUNTA(M456:Q456)=0,"",IF(AND(COUNT(N456:Q456)=4,N456&gt;=0,O456&gt;N456,O456&lt;=$N$4,P456&gt;=0,Q456&gt;0),IF(COUNTIFS($N$13:$N$455,"&lt;"&amp;O456,$O$13:$O$455,"&gt;"&amp;N456)&gt;0,"OVERLAP","OK"),"CHECK INPUTS"))</f>
        <v/>
      </c>
      <c r="AA456" s="120">
        <f>IF(AND(J456="OK",ISNUMBER($B$5),$B$5&gt;0,ISNUMBER($B$3),$B$3&gt;0),F456/(6*$B$3*1000000*$B$5)*(IF(B456&lt;($B$4*0/10),($B$4*0/10)*(MIN(C456,($B$4*0/10))^3-B456^3)-(MIN(C456,($B$4*0/10))^4-B456^4)/4,0)+IF(C456&gt;($B$4*0/10),($B$4*0/10)^2*(1.5*(C456^2-MAX(B456,($B$4*0/10))^2)-($B$4*0/10)*(C456-MAX(B456,($B$4*0/10)))),0))*1000,0)</f>
        <v>0</v>
      </c>
      <c r="AB456" s="120">
        <f>IF(AND(J456="OK",ISNUMBER($B$5),$B$5&gt;0,ISNUMBER($B$3),$B$3&gt;0),F456/(6*$B$3*1000000*$B$5)*(IF(B456&lt;($B$4*1/10),($B$4*1/10)*(MIN(C456,($B$4*1/10))^3-B456^3)-(MIN(C456,($B$4*1/10))^4-B456^4)/4,0)+IF(C456&gt;($B$4*1/10),($B$4*1/10)^2*(1.5*(C456^2-MAX(B456,($B$4*1/10))^2)-($B$4*1/10)*(C456-MAX(B456,($B$4*1/10)))),0))*1000,0)</f>
        <v>0</v>
      </c>
      <c r="AC456" s="120">
        <f>IF(AND(J456="OK",ISNUMBER($B$5),$B$5&gt;0,ISNUMBER($B$3),$B$3&gt;0),F456/(6*$B$3*1000000*$B$5)*(IF(B456&lt;($B$4*2/10),($B$4*2/10)*(MIN(C456,($B$4*2/10))^3-B456^3)-(MIN(C456,($B$4*2/10))^4-B456^4)/4,0)+IF(C456&gt;($B$4*2/10),($B$4*2/10)^2*(1.5*(C456^2-MAX(B456,($B$4*2/10))^2)-($B$4*2/10)*(C456-MAX(B456,($B$4*2/10)))),0))*1000,0)</f>
        <v>0</v>
      </c>
      <c r="AD456" s="120">
        <f>IF(AND(J456="OK",ISNUMBER($B$5),$B$5&gt;0,ISNUMBER($B$3),$B$3&gt;0),F456/(6*$B$3*1000000*$B$5)*(IF(B456&lt;($B$4*3/10),($B$4*3/10)*(MIN(C456,($B$4*3/10))^3-B456^3)-(MIN(C456,($B$4*3/10))^4-B456^4)/4,0)+IF(C456&gt;($B$4*3/10),($B$4*3/10)^2*(1.5*(C456^2-MAX(B456,($B$4*3/10))^2)-($B$4*3/10)*(C456-MAX(B456,($B$4*3/10)))),0))*1000,0)</f>
        <v>0</v>
      </c>
      <c r="AE456" s="120">
        <f>IF(AND(J456="OK",ISNUMBER($B$5),$B$5&gt;0,ISNUMBER($B$3),$B$3&gt;0),F456/(6*$B$3*1000000*$B$5)*(IF(B456&lt;($B$4*4/10),($B$4*4/10)*(MIN(C456,($B$4*4/10))^3-B456^3)-(MIN(C456,($B$4*4/10))^4-B456^4)/4,0)+IF(C456&gt;($B$4*4/10),($B$4*4/10)^2*(1.5*(C456^2-MAX(B456,($B$4*4/10))^2)-($B$4*4/10)*(C456-MAX(B456,($B$4*4/10)))),0))*1000,0)</f>
        <v>0</v>
      </c>
      <c r="AF456" s="120">
        <f>IF(AND(J456="OK",ISNUMBER($B$5),$B$5&gt;0,ISNUMBER($B$3),$B$3&gt;0),F456/(6*$B$3*1000000*$B$5)*(IF(B456&lt;($B$4*5/10),($B$4*5/10)*(MIN(C456,($B$4*5/10))^3-B456^3)-(MIN(C456,($B$4*5/10))^4-B456^4)/4,0)+IF(C456&gt;($B$4*5/10),($B$4*5/10)^2*(1.5*(C456^2-MAX(B456,($B$4*5/10))^2)-($B$4*5/10)*(C456-MAX(B456,($B$4*5/10)))),0))*1000,0)</f>
        <v>0</v>
      </c>
      <c r="AG456" s="120">
        <f>IF(AND(J456="OK",ISNUMBER($B$5),$B$5&gt;0,ISNUMBER($B$3),$B$3&gt;0),F456/(6*$B$3*1000000*$B$5)*(IF(B456&lt;($B$4*6/10),($B$4*6/10)*(MIN(C456,($B$4*6/10))^3-B456^3)-(MIN(C456,($B$4*6/10))^4-B456^4)/4,0)+IF(C456&gt;($B$4*6/10),($B$4*6/10)^2*(1.5*(C456^2-MAX(B456,($B$4*6/10))^2)-($B$4*6/10)*(C456-MAX(B456,($B$4*6/10)))),0))*1000,0)</f>
        <v>0</v>
      </c>
      <c r="AH456" s="120">
        <f>IF(AND(J456="OK",ISNUMBER($B$5),$B$5&gt;0,ISNUMBER($B$3),$B$3&gt;0),F456/(6*$B$3*1000000*$B$5)*(IF(B456&lt;($B$4*7/10),($B$4*7/10)*(MIN(C456,($B$4*7/10))^3-B456^3)-(MIN(C456,($B$4*7/10))^4-B456^4)/4,0)+IF(C456&gt;($B$4*7/10),($B$4*7/10)^2*(1.5*(C456^2-MAX(B456,($B$4*7/10))^2)-($B$4*7/10)*(C456-MAX(B456,($B$4*7/10)))),0))*1000,0)</f>
        <v>0</v>
      </c>
      <c r="AI456" s="120">
        <f>IF(AND(J456="OK",ISNUMBER($B$5),$B$5&gt;0,ISNUMBER($B$3),$B$3&gt;0),F456/(6*$B$3*1000000*$B$5)*(IF(B456&lt;($B$4*8/10),($B$4*8/10)*(MIN(C456,($B$4*8/10))^3-B456^3)-(MIN(C456,($B$4*8/10))^4-B456^4)/4,0)+IF(C456&gt;($B$4*8/10),($B$4*8/10)^2*(1.5*(C456^2-MAX(B456,($B$4*8/10))^2)-($B$4*8/10)*(C456-MAX(B456,($B$4*8/10)))),0))*1000,0)</f>
        <v>0</v>
      </c>
      <c r="AJ456" s="120">
        <f>IF(AND(J456="OK",ISNUMBER($B$5),$B$5&gt;0,ISNUMBER($B$3),$B$3&gt;0),F456/(6*$B$3*1000000*$B$5)*(IF(B456&lt;($B$4*9/10),($B$4*9/10)*(MIN(C456,($B$4*9/10))^3-B456^3)-(MIN(C456,($B$4*9/10))^4-B456^4)/4,0)+IF(C456&gt;($B$4*9/10),($B$4*9/10)^2*(1.5*(C456^2-MAX(B456,($B$4*9/10))^2)-($B$4*9/10)*(C456-MAX(B456,($B$4*9/10)))),0))*1000,0)</f>
        <v>0</v>
      </c>
      <c r="AK456" s="120">
        <f>IF(AND(J456="OK",ISNUMBER($B$5),$B$5&gt;0,ISNUMBER($B$3),$B$3&gt;0),F456/(6*$B$3*1000000*$B$5)*(IF(B456&lt;($B$4*10/10),($B$4*10/10)*(MIN(C456,($B$4*10/10))^3-B456^3)-(MIN(C456,($B$4*10/10))^4-B456^4)/4,0)+IF(C456&gt;($B$4*10/10),($B$4*10/10)^2*(1.5*(C456^2-MAX(B456,($B$4*10/10))^2)-($B$4*10/10)*(C456-MAX(B456,($B$4*10/10)))),0))*1000,0)</f>
        <v>0</v>
      </c>
      <c r="AM456" s="120">
        <f>IF(AND(V456="OK",ISNUMBER($N$5),$N$5&gt;0,ISNUMBER($N$3),$N$3&gt;0),R456/(6*$N$3*1000000*$N$5)*(IF(N456&lt;($N$4*0/10),($N$4*0/10)*(MIN(O456,($N$4*0/10))^3-N456^3)-(MIN(O456,($N$4*0/10))^4-N456^4)/4,0)+IF(O456&gt;($N$4*0/10),($N$4*0/10)^2*(1.5*(O456^2-MAX(N456,($N$4*0/10))^2)-($N$4*0/10)*(O456-MAX(N456,($N$4*0/10)))),0))*1000,0)</f>
        <v>0</v>
      </c>
      <c r="AN456" s="120">
        <f>IF(AND(V456="OK",ISNUMBER($N$5),$N$5&gt;0,ISNUMBER($N$3),$N$3&gt;0),R456/(6*$N$3*1000000*$N$5)*(IF(N456&lt;($N$4*1/10),($N$4*1/10)*(MIN(O456,($N$4*1/10))^3-N456^3)-(MIN(O456,($N$4*1/10))^4-N456^4)/4,0)+IF(O456&gt;($N$4*1/10),($N$4*1/10)^2*(1.5*(O456^2-MAX(N456,($N$4*1/10))^2)-($N$4*1/10)*(O456-MAX(N456,($N$4*1/10)))),0))*1000,0)</f>
        <v>0</v>
      </c>
      <c r="AO456" s="120">
        <f>IF(AND(V456="OK",ISNUMBER($N$5),$N$5&gt;0,ISNUMBER($N$3),$N$3&gt;0),R456/(6*$N$3*1000000*$N$5)*(IF(N456&lt;($N$4*2/10),($N$4*2/10)*(MIN(O456,($N$4*2/10))^3-N456^3)-(MIN(O456,($N$4*2/10))^4-N456^4)/4,0)+IF(O456&gt;($N$4*2/10),($N$4*2/10)^2*(1.5*(O456^2-MAX(N456,($N$4*2/10))^2)-($N$4*2/10)*(O456-MAX(N456,($N$4*2/10)))),0))*1000,0)</f>
        <v>0</v>
      </c>
      <c r="AP456" s="120">
        <f>IF(AND(V456="OK",ISNUMBER($N$5),$N$5&gt;0,ISNUMBER($N$3),$N$3&gt;0),R456/(6*$N$3*1000000*$N$5)*(IF(N456&lt;($N$4*3/10),($N$4*3/10)*(MIN(O456,($N$4*3/10))^3-N456^3)-(MIN(O456,($N$4*3/10))^4-N456^4)/4,0)+IF(O456&gt;($N$4*3/10),($N$4*3/10)^2*(1.5*(O456^2-MAX(N456,($N$4*3/10))^2)-($N$4*3/10)*(O456-MAX(N456,($N$4*3/10)))),0))*1000,0)</f>
        <v>0</v>
      </c>
      <c r="AQ456" s="120">
        <f>IF(AND(V456="OK",ISNUMBER($N$5),$N$5&gt;0,ISNUMBER($N$3),$N$3&gt;0),R456/(6*$N$3*1000000*$N$5)*(IF(N456&lt;($N$4*4/10),($N$4*4/10)*(MIN(O456,($N$4*4/10))^3-N456^3)-(MIN(O456,($N$4*4/10))^4-N456^4)/4,0)+IF(O456&gt;($N$4*4/10),($N$4*4/10)^2*(1.5*(O456^2-MAX(N456,($N$4*4/10))^2)-($N$4*4/10)*(O456-MAX(N456,($N$4*4/10)))),0))*1000,0)</f>
        <v>0</v>
      </c>
      <c r="AR456" s="120">
        <f>IF(AND(V456="OK",ISNUMBER($N$5),$N$5&gt;0,ISNUMBER($N$3),$N$3&gt;0),R456/(6*$N$3*1000000*$N$5)*(IF(N456&lt;($N$4*5/10),($N$4*5/10)*(MIN(O456,($N$4*5/10))^3-N456^3)-(MIN(O456,($N$4*5/10))^4-N456^4)/4,0)+IF(O456&gt;($N$4*5/10),($N$4*5/10)^2*(1.5*(O456^2-MAX(N456,($N$4*5/10))^2)-($N$4*5/10)*(O456-MAX(N456,($N$4*5/10)))),0))*1000,0)</f>
        <v>0</v>
      </c>
      <c r="AS456" s="120">
        <f>IF(AND(V456="OK",ISNUMBER($N$5),$N$5&gt;0,ISNUMBER($N$3),$N$3&gt;0),R456/(6*$N$3*1000000*$N$5)*(IF(N456&lt;($N$4*6/10),($N$4*6/10)*(MIN(O456,($N$4*6/10))^3-N456^3)-(MIN(O456,($N$4*6/10))^4-N456^4)/4,0)+IF(O456&gt;($N$4*6/10),($N$4*6/10)^2*(1.5*(O456^2-MAX(N456,($N$4*6/10))^2)-($N$4*6/10)*(O456-MAX(N456,($N$4*6/10)))),0))*1000,0)</f>
        <v>0</v>
      </c>
      <c r="AT456" s="120">
        <f>IF(AND(V456="OK",ISNUMBER($N$5),$N$5&gt;0,ISNUMBER($N$3),$N$3&gt;0),R456/(6*$N$3*1000000*$N$5)*(IF(N456&lt;($N$4*7/10),($N$4*7/10)*(MIN(O456,($N$4*7/10))^3-N456^3)-(MIN(O456,($N$4*7/10))^4-N456^4)/4,0)+IF(O456&gt;($N$4*7/10),($N$4*7/10)^2*(1.5*(O456^2-MAX(N456,($N$4*7/10))^2)-($N$4*7/10)*(O456-MAX(N456,($N$4*7/10)))),0))*1000,0)</f>
        <v>0</v>
      </c>
      <c r="AU456" s="120">
        <f>IF(AND(V456="OK",ISNUMBER($N$5),$N$5&gt;0,ISNUMBER($N$3),$N$3&gt;0),R456/(6*$N$3*1000000*$N$5)*(IF(N456&lt;($N$4*8/10),($N$4*8/10)*(MIN(O456,($N$4*8/10))^3-N456^3)-(MIN(O456,($N$4*8/10))^4-N456^4)/4,0)+IF(O456&gt;($N$4*8/10),($N$4*8/10)^2*(1.5*(O456^2-MAX(N456,($N$4*8/10))^2)-($N$4*8/10)*(O456-MAX(N456,($N$4*8/10)))),0))*1000,0)</f>
        <v>0</v>
      </c>
      <c r="AV456" s="120">
        <f>IF(AND(V456="OK",ISNUMBER($N$5),$N$5&gt;0,ISNUMBER($N$3),$N$3&gt;0),R456/(6*$N$3*1000000*$N$5)*(IF(N456&lt;($N$4*9/10),($N$4*9/10)*(MIN(O456,($N$4*9/10))^3-N456^3)-(MIN(O456,($N$4*9/10))^4-N456^4)/4,0)+IF(O456&gt;($N$4*9/10),($N$4*9/10)^2*(1.5*(O456^2-MAX(N456,($N$4*9/10))^2)-($N$4*9/10)*(O456-MAX(N456,($N$4*9/10)))),0))*1000,0)</f>
        <v>0</v>
      </c>
      <c r="AW456" s="120">
        <f>IF(AND(V456="OK",ISNUMBER($N$5),$N$5&gt;0,ISNUMBER($N$3),$N$3&gt;0),R456/(6*$N$3*1000000*$N$5)*(IF(N456&lt;($N$4*10/10),($N$4*10/10)*(MIN(O456,($N$4*10/10))^3-N456^3)-(MIN(O456,($N$4*10/10))^4-N456^4)/4,0)+IF(O456&gt;($N$4*10/10),($N$4*10/10)^2*(1.5*(O456^2-MAX(N456,($N$4*10/10))^2)-($N$4*10/10)*(O456-MAX(N456,($N$4*10/10)))),0))*1000,0)</f>
        <v>0</v>
      </c>
    </row>
    <row r="457" spans="1:49">
      <c r="A457" s="124"/>
      <c r="B457" s="125"/>
      <c r="C457" s="125"/>
      <c r="D457" s="125"/>
      <c r="E457" s="125"/>
      <c r="F457" s="126" t="str">
        <f>IF(J457="OK",D457*E457,"")</f>
        <v/>
      </c>
      <c r="G457" s="126" t="str">
        <f>IF(J457="OK",F457*(C457-B457),"")</f>
        <v/>
      </c>
      <c r="H457" s="126" t="str">
        <f>IF(J457="OK",G457*(C457+B457)/2,"")</f>
        <v/>
      </c>
      <c r="I457" s="126" t="str">
        <f>IF(AND(J457="OK",ISNUMBER($B$5),$B$5&gt;0,ISNUMBER($B$3),$B$3&gt;0),F457*(4*$B$4*(C457^3-B457^3)-(C457^4-B457^4))/(24*$B$3*1000000*$B$5)*1000,"")</f>
        <v/>
      </c>
      <c r="J457" s="120" t="str">
        <f>IF(COUNTA(A457:E457)=0,"",IF(AND(COUNT(B457:E457)=4,B457&gt;=0,C457&gt;B457,C457&lt;=$B$4,D457&gt;=0,E457&gt;0),IF(COUNTIFS($B$13:$B$456,"&lt;"&amp;C457,$C$13:$C$456,"&gt;"&amp;B457)&gt;0,"OVERLAP","OK"),"CHECK INPUTS"))</f>
        <v/>
      </c>
      <c r="M457" s="124"/>
      <c r="N457" s="125"/>
      <c r="O457" s="125"/>
      <c r="P457" s="125"/>
      <c r="Q457" s="125"/>
      <c r="R457" s="126" t="str">
        <f>IF(V457="OK",P457*Q457,"")</f>
        <v/>
      </c>
      <c r="S457" s="126" t="str">
        <f>IF(V457="OK",R457*(O457-N457),"")</f>
        <v/>
      </c>
      <c r="T457" s="126" t="str">
        <f>IF(V457="OK",S457*(O457+N457)/2,"")</f>
        <v/>
      </c>
      <c r="U457" s="126" t="str">
        <f>IF(AND(V457="OK",ISNUMBER($N$5),$N$5&gt;0,ISNUMBER($N$3),$N$3&gt;0),R457*(4*$N$4*(O457^3-N457^3)-(O457^4-N457^4))/(24*$N$3*1000000*$N$5)*1000,"")</f>
        <v/>
      </c>
      <c r="V457" s="120" t="str">
        <f>IF(COUNTA(M457:Q457)=0,"",IF(AND(COUNT(N457:Q457)=4,N457&gt;=0,O457&gt;N457,O457&lt;=$N$4,P457&gt;=0,Q457&gt;0),IF(COUNTIFS($N$13:$N$456,"&lt;"&amp;O457,$O$13:$O$456,"&gt;"&amp;N457)&gt;0,"OVERLAP","OK"),"CHECK INPUTS"))</f>
        <v/>
      </c>
      <c r="AA457" s="120">
        <f>IF(AND(J457="OK",ISNUMBER($B$5),$B$5&gt;0,ISNUMBER($B$3),$B$3&gt;0),F457/(6*$B$3*1000000*$B$5)*(IF(B457&lt;($B$4*0/10),($B$4*0/10)*(MIN(C457,($B$4*0/10))^3-B457^3)-(MIN(C457,($B$4*0/10))^4-B457^4)/4,0)+IF(C457&gt;($B$4*0/10),($B$4*0/10)^2*(1.5*(C457^2-MAX(B457,($B$4*0/10))^2)-($B$4*0/10)*(C457-MAX(B457,($B$4*0/10)))),0))*1000,0)</f>
        <v>0</v>
      </c>
      <c r="AB457" s="120">
        <f>IF(AND(J457="OK",ISNUMBER($B$5),$B$5&gt;0,ISNUMBER($B$3),$B$3&gt;0),F457/(6*$B$3*1000000*$B$5)*(IF(B457&lt;($B$4*1/10),($B$4*1/10)*(MIN(C457,($B$4*1/10))^3-B457^3)-(MIN(C457,($B$4*1/10))^4-B457^4)/4,0)+IF(C457&gt;($B$4*1/10),($B$4*1/10)^2*(1.5*(C457^2-MAX(B457,($B$4*1/10))^2)-($B$4*1/10)*(C457-MAX(B457,($B$4*1/10)))),0))*1000,0)</f>
        <v>0</v>
      </c>
      <c r="AC457" s="120">
        <f>IF(AND(J457="OK",ISNUMBER($B$5),$B$5&gt;0,ISNUMBER($B$3),$B$3&gt;0),F457/(6*$B$3*1000000*$B$5)*(IF(B457&lt;($B$4*2/10),($B$4*2/10)*(MIN(C457,($B$4*2/10))^3-B457^3)-(MIN(C457,($B$4*2/10))^4-B457^4)/4,0)+IF(C457&gt;($B$4*2/10),($B$4*2/10)^2*(1.5*(C457^2-MAX(B457,($B$4*2/10))^2)-($B$4*2/10)*(C457-MAX(B457,($B$4*2/10)))),0))*1000,0)</f>
        <v>0</v>
      </c>
      <c r="AD457" s="120">
        <f>IF(AND(J457="OK",ISNUMBER($B$5),$B$5&gt;0,ISNUMBER($B$3),$B$3&gt;0),F457/(6*$B$3*1000000*$B$5)*(IF(B457&lt;($B$4*3/10),($B$4*3/10)*(MIN(C457,($B$4*3/10))^3-B457^3)-(MIN(C457,($B$4*3/10))^4-B457^4)/4,0)+IF(C457&gt;($B$4*3/10),($B$4*3/10)^2*(1.5*(C457^2-MAX(B457,($B$4*3/10))^2)-($B$4*3/10)*(C457-MAX(B457,($B$4*3/10)))),0))*1000,0)</f>
        <v>0</v>
      </c>
      <c r="AE457" s="120">
        <f>IF(AND(J457="OK",ISNUMBER($B$5),$B$5&gt;0,ISNUMBER($B$3),$B$3&gt;0),F457/(6*$B$3*1000000*$B$5)*(IF(B457&lt;($B$4*4/10),($B$4*4/10)*(MIN(C457,($B$4*4/10))^3-B457^3)-(MIN(C457,($B$4*4/10))^4-B457^4)/4,0)+IF(C457&gt;($B$4*4/10),($B$4*4/10)^2*(1.5*(C457^2-MAX(B457,($B$4*4/10))^2)-($B$4*4/10)*(C457-MAX(B457,($B$4*4/10)))),0))*1000,0)</f>
        <v>0</v>
      </c>
      <c r="AF457" s="120">
        <f>IF(AND(J457="OK",ISNUMBER($B$5),$B$5&gt;0,ISNUMBER($B$3),$B$3&gt;0),F457/(6*$B$3*1000000*$B$5)*(IF(B457&lt;($B$4*5/10),($B$4*5/10)*(MIN(C457,($B$4*5/10))^3-B457^3)-(MIN(C457,($B$4*5/10))^4-B457^4)/4,0)+IF(C457&gt;($B$4*5/10),($B$4*5/10)^2*(1.5*(C457^2-MAX(B457,($B$4*5/10))^2)-($B$4*5/10)*(C457-MAX(B457,($B$4*5/10)))),0))*1000,0)</f>
        <v>0</v>
      </c>
      <c r="AG457" s="120">
        <f>IF(AND(J457="OK",ISNUMBER($B$5),$B$5&gt;0,ISNUMBER($B$3),$B$3&gt;0),F457/(6*$B$3*1000000*$B$5)*(IF(B457&lt;($B$4*6/10),($B$4*6/10)*(MIN(C457,($B$4*6/10))^3-B457^3)-(MIN(C457,($B$4*6/10))^4-B457^4)/4,0)+IF(C457&gt;($B$4*6/10),($B$4*6/10)^2*(1.5*(C457^2-MAX(B457,($B$4*6/10))^2)-($B$4*6/10)*(C457-MAX(B457,($B$4*6/10)))),0))*1000,0)</f>
        <v>0</v>
      </c>
      <c r="AH457" s="120">
        <f>IF(AND(J457="OK",ISNUMBER($B$5),$B$5&gt;0,ISNUMBER($B$3),$B$3&gt;0),F457/(6*$B$3*1000000*$B$5)*(IF(B457&lt;($B$4*7/10),($B$4*7/10)*(MIN(C457,($B$4*7/10))^3-B457^3)-(MIN(C457,($B$4*7/10))^4-B457^4)/4,0)+IF(C457&gt;($B$4*7/10),($B$4*7/10)^2*(1.5*(C457^2-MAX(B457,($B$4*7/10))^2)-($B$4*7/10)*(C457-MAX(B457,($B$4*7/10)))),0))*1000,0)</f>
        <v>0</v>
      </c>
      <c r="AI457" s="120">
        <f>IF(AND(J457="OK",ISNUMBER($B$5),$B$5&gt;0,ISNUMBER($B$3),$B$3&gt;0),F457/(6*$B$3*1000000*$B$5)*(IF(B457&lt;($B$4*8/10),($B$4*8/10)*(MIN(C457,($B$4*8/10))^3-B457^3)-(MIN(C457,($B$4*8/10))^4-B457^4)/4,0)+IF(C457&gt;($B$4*8/10),($B$4*8/10)^2*(1.5*(C457^2-MAX(B457,($B$4*8/10))^2)-($B$4*8/10)*(C457-MAX(B457,($B$4*8/10)))),0))*1000,0)</f>
        <v>0</v>
      </c>
      <c r="AJ457" s="120">
        <f>IF(AND(J457="OK",ISNUMBER($B$5),$B$5&gt;0,ISNUMBER($B$3),$B$3&gt;0),F457/(6*$B$3*1000000*$B$5)*(IF(B457&lt;($B$4*9/10),($B$4*9/10)*(MIN(C457,($B$4*9/10))^3-B457^3)-(MIN(C457,($B$4*9/10))^4-B457^4)/4,0)+IF(C457&gt;($B$4*9/10),($B$4*9/10)^2*(1.5*(C457^2-MAX(B457,($B$4*9/10))^2)-($B$4*9/10)*(C457-MAX(B457,($B$4*9/10)))),0))*1000,0)</f>
        <v>0</v>
      </c>
      <c r="AK457" s="120">
        <f>IF(AND(J457="OK",ISNUMBER($B$5),$B$5&gt;0,ISNUMBER($B$3),$B$3&gt;0),F457/(6*$B$3*1000000*$B$5)*(IF(B457&lt;($B$4*10/10),($B$4*10/10)*(MIN(C457,($B$4*10/10))^3-B457^3)-(MIN(C457,($B$4*10/10))^4-B457^4)/4,0)+IF(C457&gt;($B$4*10/10),($B$4*10/10)^2*(1.5*(C457^2-MAX(B457,($B$4*10/10))^2)-($B$4*10/10)*(C457-MAX(B457,($B$4*10/10)))),0))*1000,0)</f>
        <v>0</v>
      </c>
      <c r="AM457" s="120">
        <f>IF(AND(V457="OK",ISNUMBER($N$5),$N$5&gt;0,ISNUMBER($N$3),$N$3&gt;0),R457/(6*$N$3*1000000*$N$5)*(IF(N457&lt;($N$4*0/10),($N$4*0/10)*(MIN(O457,($N$4*0/10))^3-N457^3)-(MIN(O457,($N$4*0/10))^4-N457^4)/4,0)+IF(O457&gt;($N$4*0/10),($N$4*0/10)^2*(1.5*(O457^2-MAX(N457,($N$4*0/10))^2)-($N$4*0/10)*(O457-MAX(N457,($N$4*0/10)))),0))*1000,0)</f>
        <v>0</v>
      </c>
      <c r="AN457" s="120">
        <f>IF(AND(V457="OK",ISNUMBER($N$5),$N$5&gt;0,ISNUMBER($N$3),$N$3&gt;0),R457/(6*$N$3*1000000*$N$5)*(IF(N457&lt;($N$4*1/10),($N$4*1/10)*(MIN(O457,($N$4*1/10))^3-N457^3)-(MIN(O457,($N$4*1/10))^4-N457^4)/4,0)+IF(O457&gt;($N$4*1/10),($N$4*1/10)^2*(1.5*(O457^2-MAX(N457,($N$4*1/10))^2)-($N$4*1/10)*(O457-MAX(N457,($N$4*1/10)))),0))*1000,0)</f>
        <v>0</v>
      </c>
      <c r="AO457" s="120">
        <f>IF(AND(V457="OK",ISNUMBER($N$5),$N$5&gt;0,ISNUMBER($N$3),$N$3&gt;0),R457/(6*$N$3*1000000*$N$5)*(IF(N457&lt;($N$4*2/10),($N$4*2/10)*(MIN(O457,($N$4*2/10))^3-N457^3)-(MIN(O457,($N$4*2/10))^4-N457^4)/4,0)+IF(O457&gt;($N$4*2/10),($N$4*2/10)^2*(1.5*(O457^2-MAX(N457,($N$4*2/10))^2)-($N$4*2/10)*(O457-MAX(N457,($N$4*2/10)))),0))*1000,0)</f>
        <v>0</v>
      </c>
      <c r="AP457" s="120">
        <f>IF(AND(V457="OK",ISNUMBER($N$5),$N$5&gt;0,ISNUMBER($N$3),$N$3&gt;0),R457/(6*$N$3*1000000*$N$5)*(IF(N457&lt;($N$4*3/10),($N$4*3/10)*(MIN(O457,($N$4*3/10))^3-N457^3)-(MIN(O457,($N$4*3/10))^4-N457^4)/4,0)+IF(O457&gt;($N$4*3/10),($N$4*3/10)^2*(1.5*(O457^2-MAX(N457,($N$4*3/10))^2)-($N$4*3/10)*(O457-MAX(N457,($N$4*3/10)))),0))*1000,0)</f>
        <v>0</v>
      </c>
      <c r="AQ457" s="120">
        <f>IF(AND(V457="OK",ISNUMBER($N$5),$N$5&gt;0,ISNUMBER($N$3),$N$3&gt;0),R457/(6*$N$3*1000000*$N$5)*(IF(N457&lt;($N$4*4/10),($N$4*4/10)*(MIN(O457,($N$4*4/10))^3-N457^3)-(MIN(O457,($N$4*4/10))^4-N457^4)/4,0)+IF(O457&gt;($N$4*4/10),($N$4*4/10)^2*(1.5*(O457^2-MAX(N457,($N$4*4/10))^2)-($N$4*4/10)*(O457-MAX(N457,($N$4*4/10)))),0))*1000,0)</f>
        <v>0</v>
      </c>
      <c r="AR457" s="120">
        <f>IF(AND(V457="OK",ISNUMBER($N$5),$N$5&gt;0,ISNUMBER($N$3),$N$3&gt;0),R457/(6*$N$3*1000000*$N$5)*(IF(N457&lt;($N$4*5/10),($N$4*5/10)*(MIN(O457,($N$4*5/10))^3-N457^3)-(MIN(O457,($N$4*5/10))^4-N457^4)/4,0)+IF(O457&gt;($N$4*5/10),($N$4*5/10)^2*(1.5*(O457^2-MAX(N457,($N$4*5/10))^2)-($N$4*5/10)*(O457-MAX(N457,($N$4*5/10)))),0))*1000,0)</f>
        <v>0</v>
      </c>
      <c r="AS457" s="120">
        <f>IF(AND(V457="OK",ISNUMBER($N$5),$N$5&gt;0,ISNUMBER($N$3),$N$3&gt;0),R457/(6*$N$3*1000000*$N$5)*(IF(N457&lt;($N$4*6/10),($N$4*6/10)*(MIN(O457,($N$4*6/10))^3-N457^3)-(MIN(O457,($N$4*6/10))^4-N457^4)/4,0)+IF(O457&gt;($N$4*6/10),($N$4*6/10)^2*(1.5*(O457^2-MAX(N457,($N$4*6/10))^2)-($N$4*6/10)*(O457-MAX(N457,($N$4*6/10)))),0))*1000,0)</f>
        <v>0</v>
      </c>
      <c r="AT457" s="120">
        <f>IF(AND(V457="OK",ISNUMBER($N$5),$N$5&gt;0,ISNUMBER($N$3),$N$3&gt;0),R457/(6*$N$3*1000000*$N$5)*(IF(N457&lt;($N$4*7/10),($N$4*7/10)*(MIN(O457,($N$4*7/10))^3-N457^3)-(MIN(O457,($N$4*7/10))^4-N457^4)/4,0)+IF(O457&gt;($N$4*7/10),($N$4*7/10)^2*(1.5*(O457^2-MAX(N457,($N$4*7/10))^2)-($N$4*7/10)*(O457-MAX(N457,($N$4*7/10)))),0))*1000,0)</f>
        <v>0</v>
      </c>
      <c r="AU457" s="120">
        <f>IF(AND(V457="OK",ISNUMBER($N$5),$N$5&gt;0,ISNUMBER($N$3),$N$3&gt;0),R457/(6*$N$3*1000000*$N$5)*(IF(N457&lt;($N$4*8/10),($N$4*8/10)*(MIN(O457,($N$4*8/10))^3-N457^3)-(MIN(O457,($N$4*8/10))^4-N457^4)/4,0)+IF(O457&gt;($N$4*8/10),($N$4*8/10)^2*(1.5*(O457^2-MAX(N457,($N$4*8/10))^2)-($N$4*8/10)*(O457-MAX(N457,($N$4*8/10)))),0))*1000,0)</f>
        <v>0</v>
      </c>
      <c r="AV457" s="120">
        <f>IF(AND(V457="OK",ISNUMBER($N$5),$N$5&gt;0,ISNUMBER($N$3),$N$3&gt;0),R457/(6*$N$3*1000000*$N$5)*(IF(N457&lt;($N$4*9/10),($N$4*9/10)*(MIN(O457,($N$4*9/10))^3-N457^3)-(MIN(O457,($N$4*9/10))^4-N457^4)/4,0)+IF(O457&gt;($N$4*9/10),($N$4*9/10)^2*(1.5*(O457^2-MAX(N457,($N$4*9/10))^2)-($N$4*9/10)*(O457-MAX(N457,($N$4*9/10)))),0))*1000,0)</f>
        <v>0</v>
      </c>
      <c r="AW457" s="120">
        <f>IF(AND(V457="OK",ISNUMBER($N$5),$N$5&gt;0,ISNUMBER($N$3),$N$3&gt;0),R457/(6*$N$3*1000000*$N$5)*(IF(N457&lt;($N$4*10/10),($N$4*10/10)*(MIN(O457,($N$4*10/10))^3-N457^3)-(MIN(O457,($N$4*10/10))^4-N457^4)/4,0)+IF(O457&gt;($N$4*10/10),($N$4*10/10)^2*(1.5*(O457^2-MAX(N457,($N$4*10/10))^2)-($N$4*10/10)*(O457-MAX(N457,($N$4*10/10)))),0))*1000,0)</f>
        <v>0</v>
      </c>
    </row>
    <row r="458" spans="1:49">
      <c r="A458" s="124"/>
      <c r="B458" s="125"/>
      <c r="C458" s="125"/>
      <c r="D458" s="125"/>
      <c r="E458" s="125"/>
      <c r="F458" s="126" t="str">
        <f>IF(J458="OK",D458*E458,"")</f>
        <v/>
      </c>
      <c r="G458" s="126" t="str">
        <f>IF(J458="OK",F458*(C458-B458),"")</f>
        <v/>
      </c>
      <c r="H458" s="126" t="str">
        <f>IF(J458="OK",G458*(C458+B458)/2,"")</f>
        <v/>
      </c>
      <c r="I458" s="126" t="str">
        <f>IF(AND(J458="OK",ISNUMBER($B$5),$B$5&gt;0,ISNUMBER($B$3),$B$3&gt;0),F458*(4*$B$4*(C458^3-B458^3)-(C458^4-B458^4))/(24*$B$3*1000000*$B$5)*1000,"")</f>
        <v/>
      </c>
      <c r="J458" s="120" t="str">
        <f>IF(COUNTA(A458:E458)=0,"",IF(AND(COUNT(B458:E458)=4,B458&gt;=0,C458&gt;B458,C458&lt;=$B$4,D458&gt;=0,E458&gt;0),IF(COUNTIFS($B$13:$B$457,"&lt;"&amp;C458,$C$13:$C$457,"&gt;"&amp;B458)&gt;0,"OVERLAP","OK"),"CHECK INPUTS"))</f>
        <v/>
      </c>
      <c r="M458" s="124"/>
      <c r="N458" s="125"/>
      <c r="O458" s="125"/>
      <c r="P458" s="125"/>
      <c r="Q458" s="125"/>
      <c r="R458" s="126" t="str">
        <f>IF(V458="OK",P458*Q458,"")</f>
        <v/>
      </c>
      <c r="S458" s="126" t="str">
        <f>IF(V458="OK",R458*(O458-N458),"")</f>
        <v/>
      </c>
      <c r="T458" s="126" t="str">
        <f>IF(V458="OK",S458*(O458+N458)/2,"")</f>
        <v/>
      </c>
      <c r="U458" s="126" t="str">
        <f>IF(AND(V458="OK",ISNUMBER($N$5),$N$5&gt;0,ISNUMBER($N$3),$N$3&gt;0),R458*(4*$N$4*(O458^3-N458^3)-(O458^4-N458^4))/(24*$N$3*1000000*$N$5)*1000,"")</f>
        <v/>
      </c>
      <c r="V458" s="120" t="str">
        <f>IF(COUNTA(M458:Q458)=0,"",IF(AND(COUNT(N458:Q458)=4,N458&gt;=0,O458&gt;N458,O458&lt;=$N$4,P458&gt;=0,Q458&gt;0),IF(COUNTIFS($N$13:$N$457,"&lt;"&amp;O458,$O$13:$O$457,"&gt;"&amp;N458)&gt;0,"OVERLAP","OK"),"CHECK INPUTS"))</f>
        <v/>
      </c>
      <c r="AA458" s="120">
        <f>IF(AND(J458="OK",ISNUMBER($B$5),$B$5&gt;0,ISNUMBER($B$3),$B$3&gt;0),F458/(6*$B$3*1000000*$B$5)*(IF(B458&lt;($B$4*0/10),($B$4*0/10)*(MIN(C458,($B$4*0/10))^3-B458^3)-(MIN(C458,($B$4*0/10))^4-B458^4)/4,0)+IF(C458&gt;($B$4*0/10),($B$4*0/10)^2*(1.5*(C458^2-MAX(B458,($B$4*0/10))^2)-($B$4*0/10)*(C458-MAX(B458,($B$4*0/10)))),0))*1000,0)</f>
        <v>0</v>
      </c>
      <c r="AB458" s="120">
        <f>IF(AND(J458="OK",ISNUMBER($B$5),$B$5&gt;0,ISNUMBER($B$3),$B$3&gt;0),F458/(6*$B$3*1000000*$B$5)*(IF(B458&lt;($B$4*1/10),($B$4*1/10)*(MIN(C458,($B$4*1/10))^3-B458^3)-(MIN(C458,($B$4*1/10))^4-B458^4)/4,0)+IF(C458&gt;($B$4*1/10),($B$4*1/10)^2*(1.5*(C458^2-MAX(B458,($B$4*1/10))^2)-($B$4*1/10)*(C458-MAX(B458,($B$4*1/10)))),0))*1000,0)</f>
        <v>0</v>
      </c>
      <c r="AC458" s="120">
        <f>IF(AND(J458="OK",ISNUMBER($B$5),$B$5&gt;0,ISNUMBER($B$3),$B$3&gt;0),F458/(6*$B$3*1000000*$B$5)*(IF(B458&lt;($B$4*2/10),($B$4*2/10)*(MIN(C458,($B$4*2/10))^3-B458^3)-(MIN(C458,($B$4*2/10))^4-B458^4)/4,0)+IF(C458&gt;($B$4*2/10),($B$4*2/10)^2*(1.5*(C458^2-MAX(B458,($B$4*2/10))^2)-($B$4*2/10)*(C458-MAX(B458,($B$4*2/10)))),0))*1000,0)</f>
        <v>0</v>
      </c>
      <c r="AD458" s="120">
        <f>IF(AND(J458="OK",ISNUMBER($B$5),$B$5&gt;0,ISNUMBER($B$3),$B$3&gt;0),F458/(6*$B$3*1000000*$B$5)*(IF(B458&lt;($B$4*3/10),($B$4*3/10)*(MIN(C458,($B$4*3/10))^3-B458^3)-(MIN(C458,($B$4*3/10))^4-B458^4)/4,0)+IF(C458&gt;($B$4*3/10),($B$4*3/10)^2*(1.5*(C458^2-MAX(B458,($B$4*3/10))^2)-($B$4*3/10)*(C458-MAX(B458,($B$4*3/10)))),0))*1000,0)</f>
        <v>0</v>
      </c>
      <c r="AE458" s="120">
        <f>IF(AND(J458="OK",ISNUMBER($B$5),$B$5&gt;0,ISNUMBER($B$3),$B$3&gt;0),F458/(6*$B$3*1000000*$B$5)*(IF(B458&lt;($B$4*4/10),($B$4*4/10)*(MIN(C458,($B$4*4/10))^3-B458^3)-(MIN(C458,($B$4*4/10))^4-B458^4)/4,0)+IF(C458&gt;($B$4*4/10),($B$4*4/10)^2*(1.5*(C458^2-MAX(B458,($B$4*4/10))^2)-($B$4*4/10)*(C458-MAX(B458,($B$4*4/10)))),0))*1000,0)</f>
        <v>0</v>
      </c>
      <c r="AF458" s="120">
        <f>IF(AND(J458="OK",ISNUMBER($B$5),$B$5&gt;0,ISNUMBER($B$3),$B$3&gt;0),F458/(6*$B$3*1000000*$B$5)*(IF(B458&lt;($B$4*5/10),($B$4*5/10)*(MIN(C458,($B$4*5/10))^3-B458^3)-(MIN(C458,($B$4*5/10))^4-B458^4)/4,0)+IF(C458&gt;($B$4*5/10),($B$4*5/10)^2*(1.5*(C458^2-MAX(B458,($B$4*5/10))^2)-($B$4*5/10)*(C458-MAX(B458,($B$4*5/10)))),0))*1000,0)</f>
        <v>0</v>
      </c>
      <c r="AG458" s="120">
        <f>IF(AND(J458="OK",ISNUMBER($B$5),$B$5&gt;0,ISNUMBER($B$3),$B$3&gt;0),F458/(6*$B$3*1000000*$B$5)*(IF(B458&lt;($B$4*6/10),($B$4*6/10)*(MIN(C458,($B$4*6/10))^3-B458^3)-(MIN(C458,($B$4*6/10))^4-B458^4)/4,0)+IF(C458&gt;($B$4*6/10),($B$4*6/10)^2*(1.5*(C458^2-MAX(B458,($B$4*6/10))^2)-($B$4*6/10)*(C458-MAX(B458,($B$4*6/10)))),0))*1000,0)</f>
        <v>0</v>
      </c>
      <c r="AH458" s="120">
        <f>IF(AND(J458="OK",ISNUMBER($B$5),$B$5&gt;0,ISNUMBER($B$3),$B$3&gt;0),F458/(6*$B$3*1000000*$B$5)*(IF(B458&lt;($B$4*7/10),($B$4*7/10)*(MIN(C458,($B$4*7/10))^3-B458^3)-(MIN(C458,($B$4*7/10))^4-B458^4)/4,0)+IF(C458&gt;($B$4*7/10),($B$4*7/10)^2*(1.5*(C458^2-MAX(B458,($B$4*7/10))^2)-($B$4*7/10)*(C458-MAX(B458,($B$4*7/10)))),0))*1000,0)</f>
        <v>0</v>
      </c>
      <c r="AI458" s="120">
        <f>IF(AND(J458="OK",ISNUMBER($B$5),$B$5&gt;0,ISNUMBER($B$3),$B$3&gt;0),F458/(6*$B$3*1000000*$B$5)*(IF(B458&lt;($B$4*8/10),($B$4*8/10)*(MIN(C458,($B$4*8/10))^3-B458^3)-(MIN(C458,($B$4*8/10))^4-B458^4)/4,0)+IF(C458&gt;($B$4*8/10),($B$4*8/10)^2*(1.5*(C458^2-MAX(B458,($B$4*8/10))^2)-($B$4*8/10)*(C458-MAX(B458,($B$4*8/10)))),0))*1000,0)</f>
        <v>0</v>
      </c>
      <c r="AJ458" s="120">
        <f>IF(AND(J458="OK",ISNUMBER($B$5),$B$5&gt;0,ISNUMBER($B$3),$B$3&gt;0),F458/(6*$B$3*1000000*$B$5)*(IF(B458&lt;($B$4*9/10),($B$4*9/10)*(MIN(C458,($B$4*9/10))^3-B458^3)-(MIN(C458,($B$4*9/10))^4-B458^4)/4,0)+IF(C458&gt;($B$4*9/10),($B$4*9/10)^2*(1.5*(C458^2-MAX(B458,($B$4*9/10))^2)-($B$4*9/10)*(C458-MAX(B458,($B$4*9/10)))),0))*1000,0)</f>
        <v>0</v>
      </c>
      <c r="AK458" s="120">
        <f>IF(AND(J458="OK",ISNUMBER($B$5),$B$5&gt;0,ISNUMBER($B$3),$B$3&gt;0),F458/(6*$B$3*1000000*$B$5)*(IF(B458&lt;($B$4*10/10),($B$4*10/10)*(MIN(C458,($B$4*10/10))^3-B458^3)-(MIN(C458,($B$4*10/10))^4-B458^4)/4,0)+IF(C458&gt;($B$4*10/10),($B$4*10/10)^2*(1.5*(C458^2-MAX(B458,($B$4*10/10))^2)-($B$4*10/10)*(C458-MAX(B458,($B$4*10/10)))),0))*1000,0)</f>
        <v>0</v>
      </c>
      <c r="AM458" s="120">
        <f>IF(AND(V458="OK",ISNUMBER($N$5),$N$5&gt;0,ISNUMBER($N$3),$N$3&gt;0),R458/(6*$N$3*1000000*$N$5)*(IF(N458&lt;($N$4*0/10),($N$4*0/10)*(MIN(O458,($N$4*0/10))^3-N458^3)-(MIN(O458,($N$4*0/10))^4-N458^4)/4,0)+IF(O458&gt;($N$4*0/10),($N$4*0/10)^2*(1.5*(O458^2-MAX(N458,($N$4*0/10))^2)-($N$4*0/10)*(O458-MAX(N458,($N$4*0/10)))),0))*1000,0)</f>
        <v>0</v>
      </c>
      <c r="AN458" s="120">
        <f>IF(AND(V458="OK",ISNUMBER($N$5),$N$5&gt;0,ISNUMBER($N$3),$N$3&gt;0),R458/(6*$N$3*1000000*$N$5)*(IF(N458&lt;($N$4*1/10),($N$4*1/10)*(MIN(O458,($N$4*1/10))^3-N458^3)-(MIN(O458,($N$4*1/10))^4-N458^4)/4,0)+IF(O458&gt;($N$4*1/10),($N$4*1/10)^2*(1.5*(O458^2-MAX(N458,($N$4*1/10))^2)-($N$4*1/10)*(O458-MAX(N458,($N$4*1/10)))),0))*1000,0)</f>
        <v>0</v>
      </c>
      <c r="AO458" s="120">
        <f>IF(AND(V458="OK",ISNUMBER($N$5),$N$5&gt;0,ISNUMBER($N$3),$N$3&gt;0),R458/(6*$N$3*1000000*$N$5)*(IF(N458&lt;($N$4*2/10),($N$4*2/10)*(MIN(O458,($N$4*2/10))^3-N458^3)-(MIN(O458,($N$4*2/10))^4-N458^4)/4,0)+IF(O458&gt;($N$4*2/10),($N$4*2/10)^2*(1.5*(O458^2-MAX(N458,($N$4*2/10))^2)-($N$4*2/10)*(O458-MAX(N458,($N$4*2/10)))),0))*1000,0)</f>
        <v>0</v>
      </c>
      <c r="AP458" s="120">
        <f>IF(AND(V458="OK",ISNUMBER($N$5),$N$5&gt;0,ISNUMBER($N$3),$N$3&gt;0),R458/(6*$N$3*1000000*$N$5)*(IF(N458&lt;($N$4*3/10),($N$4*3/10)*(MIN(O458,($N$4*3/10))^3-N458^3)-(MIN(O458,($N$4*3/10))^4-N458^4)/4,0)+IF(O458&gt;($N$4*3/10),($N$4*3/10)^2*(1.5*(O458^2-MAX(N458,($N$4*3/10))^2)-($N$4*3/10)*(O458-MAX(N458,($N$4*3/10)))),0))*1000,0)</f>
        <v>0</v>
      </c>
      <c r="AQ458" s="120">
        <f>IF(AND(V458="OK",ISNUMBER($N$5),$N$5&gt;0,ISNUMBER($N$3),$N$3&gt;0),R458/(6*$N$3*1000000*$N$5)*(IF(N458&lt;($N$4*4/10),($N$4*4/10)*(MIN(O458,($N$4*4/10))^3-N458^3)-(MIN(O458,($N$4*4/10))^4-N458^4)/4,0)+IF(O458&gt;($N$4*4/10),($N$4*4/10)^2*(1.5*(O458^2-MAX(N458,($N$4*4/10))^2)-($N$4*4/10)*(O458-MAX(N458,($N$4*4/10)))),0))*1000,0)</f>
        <v>0</v>
      </c>
      <c r="AR458" s="120">
        <f>IF(AND(V458="OK",ISNUMBER($N$5),$N$5&gt;0,ISNUMBER($N$3),$N$3&gt;0),R458/(6*$N$3*1000000*$N$5)*(IF(N458&lt;($N$4*5/10),($N$4*5/10)*(MIN(O458,($N$4*5/10))^3-N458^3)-(MIN(O458,($N$4*5/10))^4-N458^4)/4,0)+IF(O458&gt;($N$4*5/10),($N$4*5/10)^2*(1.5*(O458^2-MAX(N458,($N$4*5/10))^2)-($N$4*5/10)*(O458-MAX(N458,($N$4*5/10)))),0))*1000,0)</f>
        <v>0</v>
      </c>
      <c r="AS458" s="120">
        <f>IF(AND(V458="OK",ISNUMBER($N$5),$N$5&gt;0,ISNUMBER($N$3),$N$3&gt;0),R458/(6*$N$3*1000000*$N$5)*(IF(N458&lt;($N$4*6/10),($N$4*6/10)*(MIN(O458,($N$4*6/10))^3-N458^3)-(MIN(O458,($N$4*6/10))^4-N458^4)/4,0)+IF(O458&gt;($N$4*6/10),($N$4*6/10)^2*(1.5*(O458^2-MAX(N458,($N$4*6/10))^2)-($N$4*6/10)*(O458-MAX(N458,($N$4*6/10)))),0))*1000,0)</f>
        <v>0</v>
      </c>
      <c r="AT458" s="120">
        <f>IF(AND(V458="OK",ISNUMBER($N$5),$N$5&gt;0,ISNUMBER($N$3),$N$3&gt;0),R458/(6*$N$3*1000000*$N$5)*(IF(N458&lt;($N$4*7/10),($N$4*7/10)*(MIN(O458,($N$4*7/10))^3-N458^3)-(MIN(O458,($N$4*7/10))^4-N458^4)/4,0)+IF(O458&gt;($N$4*7/10),($N$4*7/10)^2*(1.5*(O458^2-MAX(N458,($N$4*7/10))^2)-($N$4*7/10)*(O458-MAX(N458,($N$4*7/10)))),0))*1000,0)</f>
        <v>0</v>
      </c>
      <c r="AU458" s="120">
        <f>IF(AND(V458="OK",ISNUMBER($N$5),$N$5&gt;0,ISNUMBER($N$3),$N$3&gt;0),R458/(6*$N$3*1000000*$N$5)*(IF(N458&lt;($N$4*8/10),($N$4*8/10)*(MIN(O458,($N$4*8/10))^3-N458^3)-(MIN(O458,($N$4*8/10))^4-N458^4)/4,0)+IF(O458&gt;($N$4*8/10),($N$4*8/10)^2*(1.5*(O458^2-MAX(N458,($N$4*8/10))^2)-($N$4*8/10)*(O458-MAX(N458,($N$4*8/10)))),0))*1000,0)</f>
        <v>0</v>
      </c>
      <c r="AV458" s="120">
        <f>IF(AND(V458="OK",ISNUMBER($N$5),$N$5&gt;0,ISNUMBER($N$3),$N$3&gt;0),R458/(6*$N$3*1000000*$N$5)*(IF(N458&lt;($N$4*9/10),($N$4*9/10)*(MIN(O458,($N$4*9/10))^3-N458^3)-(MIN(O458,($N$4*9/10))^4-N458^4)/4,0)+IF(O458&gt;($N$4*9/10),($N$4*9/10)^2*(1.5*(O458^2-MAX(N458,($N$4*9/10))^2)-($N$4*9/10)*(O458-MAX(N458,($N$4*9/10)))),0))*1000,0)</f>
        <v>0</v>
      </c>
      <c r="AW458" s="120">
        <f>IF(AND(V458="OK",ISNUMBER($N$5),$N$5&gt;0,ISNUMBER($N$3),$N$3&gt;0),R458/(6*$N$3*1000000*$N$5)*(IF(N458&lt;($N$4*10/10),($N$4*10/10)*(MIN(O458,($N$4*10/10))^3-N458^3)-(MIN(O458,($N$4*10/10))^4-N458^4)/4,0)+IF(O458&gt;($N$4*10/10),($N$4*10/10)^2*(1.5*(O458^2-MAX(N458,($N$4*10/10))^2)-($N$4*10/10)*(O458-MAX(N458,($N$4*10/10)))),0))*1000,0)</f>
        <v>0</v>
      </c>
    </row>
    <row r="459" spans="1:49">
      <c r="A459" s="124"/>
      <c r="B459" s="125"/>
      <c r="C459" s="125"/>
      <c r="D459" s="125"/>
      <c r="E459" s="125"/>
      <c r="F459" s="126" t="str">
        <f>IF(J459="OK",D459*E459,"")</f>
        <v/>
      </c>
      <c r="G459" s="126" t="str">
        <f>IF(J459="OK",F459*(C459-B459),"")</f>
        <v/>
      </c>
      <c r="H459" s="126" t="str">
        <f>IF(J459="OK",G459*(C459+B459)/2,"")</f>
        <v/>
      </c>
      <c r="I459" s="126" t="str">
        <f>IF(AND(J459="OK",ISNUMBER($B$5),$B$5&gt;0,ISNUMBER($B$3),$B$3&gt;0),F459*(4*$B$4*(C459^3-B459^3)-(C459^4-B459^4))/(24*$B$3*1000000*$B$5)*1000,"")</f>
        <v/>
      </c>
      <c r="J459" s="120" t="str">
        <f>IF(COUNTA(A459:E459)=0,"",IF(AND(COUNT(B459:E459)=4,B459&gt;=0,C459&gt;B459,C459&lt;=$B$4,D459&gt;=0,E459&gt;0),IF(COUNTIFS($B$13:$B$458,"&lt;"&amp;C459,$C$13:$C$458,"&gt;"&amp;B459)&gt;0,"OVERLAP","OK"),"CHECK INPUTS"))</f>
        <v/>
      </c>
      <c r="M459" s="124"/>
      <c r="N459" s="125"/>
      <c r="O459" s="125"/>
      <c r="P459" s="125"/>
      <c r="Q459" s="125"/>
      <c r="R459" s="126" t="str">
        <f>IF(V459="OK",P459*Q459,"")</f>
        <v/>
      </c>
      <c r="S459" s="126" t="str">
        <f>IF(V459="OK",R459*(O459-N459),"")</f>
        <v/>
      </c>
      <c r="T459" s="126" t="str">
        <f>IF(V459="OK",S459*(O459+N459)/2,"")</f>
        <v/>
      </c>
      <c r="U459" s="126" t="str">
        <f>IF(AND(V459="OK",ISNUMBER($N$5),$N$5&gt;0,ISNUMBER($N$3),$N$3&gt;0),R459*(4*$N$4*(O459^3-N459^3)-(O459^4-N459^4))/(24*$N$3*1000000*$N$5)*1000,"")</f>
        <v/>
      </c>
      <c r="V459" s="120" t="str">
        <f>IF(COUNTA(M459:Q459)=0,"",IF(AND(COUNT(N459:Q459)=4,N459&gt;=0,O459&gt;N459,O459&lt;=$N$4,P459&gt;=0,Q459&gt;0),IF(COUNTIFS($N$13:$N$458,"&lt;"&amp;O459,$O$13:$O$458,"&gt;"&amp;N459)&gt;0,"OVERLAP","OK"),"CHECK INPUTS"))</f>
        <v/>
      </c>
      <c r="AA459" s="120">
        <f>IF(AND(J459="OK",ISNUMBER($B$5),$B$5&gt;0,ISNUMBER($B$3),$B$3&gt;0),F459/(6*$B$3*1000000*$B$5)*(IF(B459&lt;($B$4*0/10),($B$4*0/10)*(MIN(C459,($B$4*0/10))^3-B459^3)-(MIN(C459,($B$4*0/10))^4-B459^4)/4,0)+IF(C459&gt;($B$4*0/10),($B$4*0/10)^2*(1.5*(C459^2-MAX(B459,($B$4*0/10))^2)-($B$4*0/10)*(C459-MAX(B459,($B$4*0/10)))),0))*1000,0)</f>
        <v>0</v>
      </c>
      <c r="AB459" s="120">
        <f>IF(AND(J459="OK",ISNUMBER($B$5),$B$5&gt;0,ISNUMBER($B$3),$B$3&gt;0),F459/(6*$B$3*1000000*$B$5)*(IF(B459&lt;($B$4*1/10),($B$4*1/10)*(MIN(C459,($B$4*1/10))^3-B459^3)-(MIN(C459,($B$4*1/10))^4-B459^4)/4,0)+IF(C459&gt;($B$4*1/10),($B$4*1/10)^2*(1.5*(C459^2-MAX(B459,($B$4*1/10))^2)-($B$4*1/10)*(C459-MAX(B459,($B$4*1/10)))),0))*1000,0)</f>
        <v>0</v>
      </c>
      <c r="AC459" s="120">
        <f>IF(AND(J459="OK",ISNUMBER($B$5),$B$5&gt;0,ISNUMBER($B$3),$B$3&gt;0),F459/(6*$B$3*1000000*$B$5)*(IF(B459&lt;($B$4*2/10),($B$4*2/10)*(MIN(C459,($B$4*2/10))^3-B459^3)-(MIN(C459,($B$4*2/10))^4-B459^4)/4,0)+IF(C459&gt;($B$4*2/10),($B$4*2/10)^2*(1.5*(C459^2-MAX(B459,($B$4*2/10))^2)-($B$4*2/10)*(C459-MAX(B459,($B$4*2/10)))),0))*1000,0)</f>
        <v>0</v>
      </c>
      <c r="AD459" s="120">
        <f>IF(AND(J459="OK",ISNUMBER($B$5),$B$5&gt;0,ISNUMBER($B$3),$B$3&gt;0),F459/(6*$B$3*1000000*$B$5)*(IF(B459&lt;($B$4*3/10),($B$4*3/10)*(MIN(C459,($B$4*3/10))^3-B459^3)-(MIN(C459,($B$4*3/10))^4-B459^4)/4,0)+IF(C459&gt;($B$4*3/10),($B$4*3/10)^2*(1.5*(C459^2-MAX(B459,($B$4*3/10))^2)-($B$4*3/10)*(C459-MAX(B459,($B$4*3/10)))),0))*1000,0)</f>
        <v>0</v>
      </c>
      <c r="AE459" s="120">
        <f>IF(AND(J459="OK",ISNUMBER($B$5),$B$5&gt;0,ISNUMBER($B$3),$B$3&gt;0),F459/(6*$B$3*1000000*$B$5)*(IF(B459&lt;($B$4*4/10),($B$4*4/10)*(MIN(C459,($B$4*4/10))^3-B459^3)-(MIN(C459,($B$4*4/10))^4-B459^4)/4,0)+IF(C459&gt;($B$4*4/10),($B$4*4/10)^2*(1.5*(C459^2-MAX(B459,($B$4*4/10))^2)-($B$4*4/10)*(C459-MAX(B459,($B$4*4/10)))),0))*1000,0)</f>
        <v>0</v>
      </c>
      <c r="AF459" s="120">
        <f>IF(AND(J459="OK",ISNUMBER($B$5),$B$5&gt;0,ISNUMBER($B$3),$B$3&gt;0),F459/(6*$B$3*1000000*$B$5)*(IF(B459&lt;($B$4*5/10),($B$4*5/10)*(MIN(C459,($B$4*5/10))^3-B459^3)-(MIN(C459,($B$4*5/10))^4-B459^4)/4,0)+IF(C459&gt;($B$4*5/10),($B$4*5/10)^2*(1.5*(C459^2-MAX(B459,($B$4*5/10))^2)-($B$4*5/10)*(C459-MAX(B459,($B$4*5/10)))),0))*1000,0)</f>
        <v>0</v>
      </c>
      <c r="AG459" s="120">
        <f>IF(AND(J459="OK",ISNUMBER($B$5),$B$5&gt;0,ISNUMBER($B$3),$B$3&gt;0),F459/(6*$B$3*1000000*$B$5)*(IF(B459&lt;($B$4*6/10),($B$4*6/10)*(MIN(C459,($B$4*6/10))^3-B459^3)-(MIN(C459,($B$4*6/10))^4-B459^4)/4,0)+IF(C459&gt;($B$4*6/10),($B$4*6/10)^2*(1.5*(C459^2-MAX(B459,($B$4*6/10))^2)-($B$4*6/10)*(C459-MAX(B459,($B$4*6/10)))),0))*1000,0)</f>
        <v>0</v>
      </c>
      <c r="AH459" s="120">
        <f>IF(AND(J459="OK",ISNUMBER($B$5),$B$5&gt;0,ISNUMBER($B$3),$B$3&gt;0),F459/(6*$B$3*1000000*$B$5)*(IF(B459&lt;($B$4*7/10),($B$4*7/10)*(MIN(C459,($B$4*7/10))^3-B459^3)-(MIN(C459,($B$4*7/10))^4-B459^4)/4,0)+IF(C459&gt;($B$4*7/10),($B$4*7/10)^2*(1.5*(C459^2-MAX(B459,($B$4*7/10))^2)-($B$4*7/10)*(C459-MAX(B459,($B$4*7/10)))),0))*1000,0)</f>
        <v>0</v>
      </c>
      <c r="AI459" s="120">
        <f>IF(AND(J459="OK",ISNUMBER($B$5),$B$5&gt;0,ISNUMBER($B$3),$B$3&gt;0),F459/(6*$B$3*1000000*$B$5)*(IF(B459&lt;($B$4*8/10),($B$4*8/10)*(MIN(C459,($B$4*8/10))^3-B459^3)-(MIN(C459,($B$4*8/10))^4-B459^4)/4,0)+IF(C459&gt;($B$4*8/10),($B$4*8/10)^2*(1.5*(C459^2-MAX(B459,($B$4*8/10))^2)-($B$4*8/10)*(C459-MAX(B459,($B$4*8/10)))),0))*1000,0)</f>
        <v>0</v>
      </c>
      <c r="AJ459" s="120">
        <f>IF(AND(J459="OK",ISNUMBER($B$5),$B$5&gt;0,ISNUMBER($B$3),$B$3&gt;0),F459/(6*$B$3*1000000*$B$5)*(IF(B459&lt;($B$4*9/10),($B$4*9/10)*(MIN(C459,($B$4*9/10))^3-B459^3)-(MIN(C459,($B$4*9/10))^4-B459^4)/4,0)+IF(C459&gt;($B$4*9/10),($B$4*9/10)^2*(1.5*(C459^2-MAX(B459,($B$4*9/10))^2)-($B$4*9/10)*(C459-MAX(B459,($B$4*9/10)))),0))*1000,0)</f>
        <v>0</v>
      </c>
      <c r="AK459" s="120">
        <f>IF(AND(J459="OK",ISNUMBER($B$5),$B$5&gt;0,ISNUMBER($B$3),$B$3&gt;0),F459/(6*$B$3*1000000*$B$5)*(IF(B459&lt;($B$4*10/10),($B$4*10/10)*(MIN(C459,($B$4*10/10))^3-B459^3)-(MIN(C459,($B$4*10/10))^4-B459^4)/4,0)+IF(C459&gt;($B$4*10/10),($B$4*10/10)^2*(1.5*(C459^2-MAX(B459,($B$4*10/10))^2)-($B$4*10/10)*(C459-MAX(B459,($B$4*10/10)))),0))*1000,0)</f>
        <v>0</v>
      </c>
      <c r="AM459" s="120">
        <f>IF(AND(V459="OK",ISNUMBER($N$5),$N$5&gt;0,ISNUMBER($N$3),$N$3&gt;0),R459/(6*$N$3*1000000*$N$5)*(IF(N459&lt;($N$4*0/10),($N$4*0/10)*(MIN(O459,($N$4*0/10))^3-N459^3)-(MIN(O459,($N$4*0/10))^4-N459^4)/4,0)+IF(O459&gt;($N$4*0/10),($N$4*0/10)^2*(1.5*(O459^2-MAX(N459,($N$4*0/10))^2)-($N$4*0/10)*(O459-MAX(N459,($N$4*0/10)))),0))*1000,0)</f>
        <v>0</v>
      </c>
      <c r="AN459" s="120">
        <f>IF(AND(V459="OK",ISNUMBER($N$5),$N$5&gt;0,ISNUMBER($N$3),$N$3&gt;0),R459/(6*$N$3*1000000*$N$5)*(IF(N459&lt;($N$4*1/10),($N$4*1/10)*(MIN(O459,($N$4*1/10))^3-N459^3)-(MIN(O459,($N$4*1/10))^4-N459^4)/4,0)+IF(O459&gt;($N$4*1/10),($N$4*1/10)^2*(1.5*(O459^2-MAX(N459,($N$4*1/10))^2)-($N$4*1/10)*(O459-MAX(N459,($N$4*1/10)))),0))*1000,0)</f>
        <v>0</v>
      </c>
      <c r="AO459" s="120">
        <f>IF(AND(V459="OK",ISNUMBER($N$5),$N$5&gt;0,ISNUMBER($N$3),$N$3&gt;0),R459/(6*$N$3*1000000*$N$5)*(IF(N459&lt;($N$4*2/10),($N$4*2/10)*(MIN(O459,($N$4*2/10))^3-N459^3)-(MIN(O459,($N$4*2/10))^4-N459^4)/4,0)+IF(O459&gt;($N$4*2/10),($N$4*2/10)^2*(1.5*(O459^2-MAX(N459,($N$4*2/10))^2)-($N$4*2/10)*(O459-MAX(N459,($N$4*2/10)))),0))*1000,0)</f>
        <v>0</v>
      </c>
      <c r="AP459" s="120">
        <f>IF(AND(V459="OK",ISNUMBER($N$5),$N$5&gt;0,ISNUMBER($N$3),$N$3&gt;0),R459/(6*$N$3*1000000*$N$5)*(IF(N459&lt;($N$4*3/10),($N$4*3/10)*(MIN(O459,($N$4*3/10))^3-N459^3)-(MIN(O459,($N$4*3/10))^4-N459^4)/4,0)+IF(O459&gt;($N$4*3/10),($N$4*3/10)^2*(1.5*(O459^2-MAX(N459,($N$4*3/10))^2)-($N$4*3/10)*(O459-MAX(N459,($N$4*3/10)))),0))*1000,0)</f>
        <v>0</v>
      </c>
      <c r="AQ459" s="120">
        <f>IF(AND(V459="OK",ISNUMBER($N$5),$N$5&gt;0,ISNUMBER($N$3),$N$3&gt;0),R459/(6*$N$3*1000000*$N$5)*(IF(N459&lt;($N$4*4/10),($N$4*4/10)*(MIN(O459,($N$4*4/10))^3-N459^3)-(MIN(O459,($N$4*4/10))^4-N459^4)/4,0)+IF(O459&gt;($N$4*4/10),($N$4*4/10)^2*(1.5*(O459^2-MAX(N459,($N$4*4/10))^2)-($N$4*4/10)*(O459-MAX(N459,($N$4*4/10)))),0))*1000,0)</f>
        <v>0</v>
      </c>
      <c r="AR459" s="120">
        <f>IF(AND(V459="OK",ISNUMBER($N$5),$N$5&gt;0,ISNUMBER($N$3),$N$3&gt;0),R459/(6*$N$3*1000000*$N$5)*(IF(N459&lt;($N$4*5/10),($N$4*5/10)*(MIN(O459,($N$4*5/10))^3-N459^3)-(MIN(O459,($N$4*5/10))^4-N459^4)/4,0)+IF(O459&gt;($N$4*5/10),($N$4*5/10)^2*(1.5*(O459^2-MAX(N459,($N$4*5/10))^2)-($N$4*5/10)*(O459-MAX(N459,($N$4*5/10)))),0))*1000,0)</f>
        <v>0</v>
      </c>
      <c r="AS459" s="120">
        <f>IF(AND(V459="OK",ISNUMBER($N$5),$N$5&gt;0,ISNUMBER($N$3),$N$3&gt;0),R459/(6*$N$3*1000000*$N$5)*(IF(N459&lt;($N$4*6/10),($N$4*6/10)*(MIN(O459,($N$4*6/10))^3-N459^3)-(MIN(O459,($N$4*6/10))^4-N459^4)/4,0)+IF(O459&gt;($N$4*6/10),($N$4*6/10)^2*(1.5*(O459^2-MAX(N459,($N$4*6/10))^2)-($N$4*6/10)*(O459-MAX(N459,($N$4*6/10)))),0))*1000,0)</f>
        <v>0</v>
      </c>
      <c r="AT459" s="120">
        <f>IF(AND(V459="OK",ISNUMBER($N$5),$N$5&gt;0,ISNUMBER($N$3),$N$3&gt;0),R459/(6*$N$3*1000000*$N$5)*(IF(N459&lt;($N$4*7/10),($N$4*7/10)*(MIN(O459,($N$4*7/10))^3-N459^3)-(MIN(O459,($N$4*7/10))^4-N459^4)/4,0)+IF(O459&gt;($N$4*7/10),($N$4*7/10)^2*(1.5*(O459^2-MAX(N459,($N$4*7/10))^2)-($N$4*7/10)*(O459-MAX(N459,($N$4*7/10)))),0))*1000,0)</f>
        <v>0</v>
      </c>
      <c r="AU459" s="120">
        <f>IF(AND(V459="OK",ISNUMBER($N$5),$N$5&gt;0,ISNUMBER($N$3),$N$3&gt;0),R459/(6*$N$3*1000000*$N$5)*(IF(N459&lt;($N$4*8/10),($N$4*8/10)*(MIN(O459,($N$4*8/10))^3-N459^3)-(MIN(O459,($N$4*8/10))^4-N459^4)/4,0)+IF(O459&gt;($N$4*8/10),($N$4*8/10)^2*(1.5*(O459^2-MAX(N459,($N$4*8/10))^2)-($N$4*8/10)*(O459-MAX(N459,($N$4*8/10)))),0))*1000,0)</f>
        <v>0</v>
      </c>
      <c r="AV459" s="120">
        <f>IF(AND(V459="OK",ISNUMBER($N$5),$N$5&gt;0,ISNUMBER($N$3),$N$3&gt;0),R459/(6*$N$3*1000000*$N$5)*(IF(N459&lt;($N$4*9/10),($N$4*9/10)*(MIN(O459,($N$4*9/10))^3-N459^3)-(MIN(O459,($N$4*9/10))^4-N459^4)/4,0)+IF(O459&gt;($N$4*9/10),($N$4*9/10)^2*(1.5*(O459^2-MAX(N459,($N$4*9/10))^2)-($N$4*9/10)*(O459-MAX(N459,($N$4*9/10)))),0))*1000,0)</f>
        <v>0</v>
      </c>
      <c r="AW459" s="120">
        <f>IF(AND(V459="OK",ISNUMBER($N$5),$N$5&gt;0,ISNUMBER($N$3),$N$3&gt;0),R459/(6*$N$3*1000000*$N$5)*(IF(N459&lt;($N$4*10/10),($N$4*10/10)*(MIN(O459,($N$4*10/10))^3-N459^3)-(MIN(O459,($N$4*10/10))^4-N459^4)/4,0)+IF(O459&gt;($N$4*10/10),($N$4*10/10)^2*(1.5*(O459^2-MAX(N459,($N$4*10/10))^2)-($N$4*10/10)*(O459-MAX(N459,($N$4*10/10)))),0))*1000,0)</f>
        <v>0</v>
      </c>
    </row>
    <row r="460" spans="1:49">
      <c r="A460" s="124"/>
      <c r="B460" s="125"/>
      <c r="C460" s="125"/>
      <c r="D460" s="125"/>
      <c r="E460" s="125"/>
      <c r="F460" s="126" t="str">
        <f>IF(J460="OK",D460*E460,"")</f>
        <v/>
      </c>
      <c r="G460" s="126" t="str">
        <f>IF(J460="OK",F460*(C460-B460),"")</f>
        <v/>
      </c>
      <c r="H460" s="126" t="str">
        <f>IF(J460="OK",G460*(C460+B460)/2,"")</f>
        <v/>
      </c>
      <c r="I460" s="126" t="str">
        <f>IF(AND(J460="OK",ISNUMBER($B$5),$B$5&gt;0,ISNUMBER($B$3),$B$3&gt;0),F460*(4*$B$4*(C460^3-B460^3)-(C460^4-B460^4))/(24*$B$3*1000000*$B$5)*1000,"")</f>
        <v/>
      </c>
      <c r="J460" s="120" t="str">
        <f>IF(COUNTA(A460:E460)=0,"",IF(AND(COUNT(B460:E460)=4,B460&gt;=0,C460&gt;B460,C460&lt;=$B$4,D460&gt;=0,E460&gt;0),IF(COUNTIFS($B$13:$B$459,"&lt;"&amp;C460,$C$13:$C$459,"&gt;"&amp;B460)&gt;0,"OVERLAP","OK"),"CHECK INPUTS"))</f>
        <v/>
      </c>
      <c r="M460" s="124"/>
      <c r="N460" s="125"/>
      <c r="O460" s="125"/>
      <c r="P460" s="125"/>
      <c r="Q460" s="125"/>
      <c r="R460" s="126" t="str">
        <f>IF(V460="OK",P460*Q460,"")</f>
        <v/>
      </c>
      <c r="S460" s="126" t="str">
        <f>IF(V460="OK",R460*(O460-N460),"")</f>
        <v/>
      </c>
      <c r="T460" s="126" t="str">
        <f>IF(V460="OK",S460*(O460+N460)/2,"")</f>
        <v/>
      </c>
      <c r="U460" s="126" t="str">
        <f>IF(AND(V460="OK",ISNUMBER($N$5),$N$5&gt;0,ISNUMBER($N$3),$N$3&gt;0),R460*(4*$N$4*(O460^3-N460^3)-(O460^4-N460^4))/(24*$N$3*1000000*$N$5)*1000,"")</f>
        <v/>
      </c>
      <c r="V460" s="120" t="str">
        <f>IF(COUNTA(M460:Q460)=0,"",IF(AND(COUNT(N460:Q460)=4,N460&gt;=0,O460&gt;N460,O460&lt;=$N$4,P460&gt;=0,Q460&gt;0),IF(COUNTIFS($N$13:$N$459,"&lt;"&amp;O460,$O$13:$O$459,"&gt;"&amp;N460)&gt;0,"OVERLAP","OK"),"CHECK INPUTS"))</f>
        <v/>
      </c>
      <c r="AA460" s="120">
        <f>IF(AND(J460="OK",ISNUMBER($B$5),$B$5&gt;0,ISNUMBER($B$3),$B$3&gt;0),F460/(6*$B$3*1000000*$B$5)*(IF(B460&lt;($B$4*0/10),($B$4*0/10)*(MIN(C460,($B$4*0/10))^3-B460^3)-(MIN(C460,($B$4*0/10))^4-B460^4)/4,0)+IF(C460&gt;($B$4*0/10),($B$4*0/10)^2*(1.5*(C460^2-MAX(B460,($B$4*0/10))^2)-($B$4*0/10)*(C460-MAX(B460,($B$4*0/10)))),0))*1000,0)</f>
        <v>0</v>
      </c>
      <c r="AB460" s="120">
        <f>IF(AND(J460="OK",ISNUMBER($B$5),$B$5&gt;0,ISNUMBER($B$3),$B$3&gt;0),F460/(6*$B$3*1000000*$B$5)*(IF(B460&lt;($B$4*1/10),($B$4*1/10)*(MIN(C460,($B$4*1/10))^3-B460^3)-(MIN(C460,($B$4*1/10))^4-B460^4)/4,0)+IF(C460&gt;($B$4*1/10),($B$4*1/10)^2*(1.5*(C460^2-MAX(B460,($B$4*1/10))^2)-($B$4*1/10)*(C460-MAX(B460,($B$4*1/10)))),0))*1000,0)</f>
        <v>0</v>
      </c>
      <c r="AC460" s="120">
        <f>IF(AND(J460="OK",ISNUMBER($B$5),$B$5&gt;0,ISNUMBER($B$3),$B$3&gt;0),F460/(6*$B$3*1000000*$B$5)*(IF(B460&lt;($B$4*2/10),($B$4*2/10)*(MIN(C460,($B$4*2/10))^3-B460^3)-(MIN(C460,($B$4*2/10))^4-B460^4)/4,0)+IF(C460&gt;($B$4*2/10),($B$4*2/10)^2*(1.5*(C460^2-MAX(B460,($B$4*2/10))^2)-($B$4*2/10)*(C460-MAX(B460,($B$4*2/10)))),0))*1000,0)</f>
        <v>0</v>
      </c>
      <c r="AD460" s="120">
        <f>IF(AND(J460="OK",ISNUMBER($B$5),$B$5&gt;0,ISNUMBER($B$3),$B$3&gt;0),F460/(6*$B$3*1000000*$B$5)*(IF(B460&lt;($B$4*3/10),($B$4*3/10)*(MIN(C460,($B$4*3/10))^3-B460^3)-(MIN(C460,($B$4*3/10))^4-B460^4)/4,0)+IF(C460&gt;($B$4*3/10),($B$4*3/10)^2*(1.5*(C460^2-MAX(B460,($B$4*3/10))^2)-($B$4*3/10)*(C460-MAX(B460,($B$4*3/10)))),0))*1000,0)</f>
        <v>0</v>
      </c>
      <c r="AE460" s="120">
        <f>IF(AND(J460="OK",ISNUMBER($B$5),$B$5&gt;0,ISNUMBER($B$3),$B$3&gt;0),F460/(6*$B$3*1000000*$B$5)*(IF(B460&lt;($B$4*4/10),($B$4*4/10)*(MIN(C460,($B$4*4/10))^3-B460^3)-(MIN(C460,($B$4*4/10))^4-B460^4)/4,0)+IF(C460&gt;($B$4*4/10),($B$4*4/10)^2*(1.5*(C460^2-MAX(B460,($B$4*4/10))^2)-($B$4*4/10)*(C460-MAX(B460,($B$4*4/10)))),0))*1000,0)</f>
        <v>0</v>
      </c>
      <c r="AF460" s="120">
        <f>IF(AND(J460="OK",ISNUMBER($B$5),$B$5&gt;0,ISNUMBER($B$3),$B$3&gt;0),F460/(6*$B$3*1000000*$B$5)*(IF(B460&lt;($B$4*5/10),($B$4*5/10)*(MIN(C460,($B$4*5/10))^3-B460^3)-(MIN(C460,($B$4*5/10))^4-B460^4)/4,0)+IF(C460&gt;($B$4*5/10),($B$4*5/10)^2*(1.5*(C460^2-MAX(B460,($B$4*5/10))^2)-($B$4*5/10)*(C460-MAX(B460,($B$4*5/10)))),0))*1000,0)</f>
        <v>0</v>
      </c>
      <c r="AG460" s="120">
        <f>IF(AND(J460="OK",ISNUMBER($B$5),$B$5&gt;0,ISNUMBER($B$3),$B$3&gt;0),F460/(6*$B$3*1000000*$B$5)*(IF(B460&lt;($B$4*6/10),($B$4*6/10)*(MIN(C460,($B$4*6/10))^3-B460^3)-(MIN(C460,($B$4*6/10))^4-B460^4)/4,0)+IF(C460&gt;($B$4*6/10),($B$4*6/10)^2*(1.5*(C460^2-MAX(B460,($B$4*6/10))^2)-($B$4*6/10)*(C460-MAX(B460,($B$4*6/10)))),0))*1000,0)</f>
        <v>0</v>
      </c>
      <c r="AH460" s="120">
        <f>IF(AND(J460="OK",ISNUMBER($B$5),$B$5&gt;0,ISNUMBER($B$3),$B$3&gt;0),F460/(6*$B$3*1000000*$B$5)*(IF(B460&lt;($B$4*7/10),($B$4*7/10)*(MIN(C460,($B$4*7/10))^3-B460^3)-(MIN(C460,($B$4*7/10))^4-B460^4)/4,0)+IF(C460&gt;($B$4*7/10),($B$4*7/10)^2*(1.5*(C460^2-MAX(B460,($B$4*7/10))^2)-($B$4*7/10)*(C460-MAX(B460,($B$4*7/10)))),0))*1000,0)</f>
        <v>0</v>
      </c>
      <c r="AI460" s="120">
        <f>IF(AND(J460="OK",ISNUMBER($B$5),$B$5&gt;0,ISNUMBER($B$3),$B$3&gt;0),F460/(6*$B$3*1000000*$B$5)*(IF(B460&lt;($B$4*8/10),($B$4*8/10)*(MIN(C460,($B$4*8/10))^3-B460^3)-(MIN(C460,($B$4*8/10))^4-B460^4)/4,0)+IF(C460&gt;($B$4*8/10),($B$4*8/10)^2*(1.5*(C460^2-MAX(B460,($B$4*8/10))^2)-($B$4*8/10)*(C460-MAX(B460,($B$4*8/10)))),0))*1000,0)</f>
        <v>0</v>
      </c>
      <c r="AJ460" s="120">
        <f>IF(AND(J460="OK",ISNUMBER($B$5),$B$5&gt;0,ISNUMBER($B$3),$B$3&gt;0),F460/(6*$B$3*1000000*$B$5)*(IF(B460&lt;($B$4*9/10),($B$4*9/10)*(MIN(C460,($B$4*9/10))^3-B460^3)-(MIN(C460,($B$4*9/10))^4-B460^4)/4,0)+IF(C460&gt;($B$4*9/10),($B$4*9/10)^2*(1.5*(C460^2-MAX(B460,($B$4*9/10))^2)-($B$4*9/10)*(C460-MAX(B460,($B$4*9/10)))),0))*1000,0)</f>
        <v>0</v>
      </c>
      <c r="AK460" s="120">
        <f>IF(AND(J460="OK",ISNUMBER($B$5),$B$5&gt;0,ISNUMBER($B$3),$B$3&gt;0),F460/(6*$B$3*1000000*$B$5)*(IF(B460&lt;($B$4*10/10),($B$4*10/10)*(MIN(C460,($B$4*10/10))^3-B460^3)-(MIN(C460,($B$4*10/10))^4-B460^4)/4,0)+IF(C460&gt;($B$4*10/10),($B$4*10/10)^2*(1.5*(C460^2-MAX(B460,($B$4*10/10))^2)-($B$4*10/10)*(C460-MAX(B460,($B$4*10/10)))),0))*1000,0)</f>
        <v>0</v>
      </c>
      <c r="AM460" s="120">
        <f>IF(AND(V460="OK",ISNUMBER($N$5),$N$5&gt;0,ISNUMBER($N$3),$N$3&gt;0),R460/(6*$N$3*1000000*$N$5)*(IF(N460&lt;($N$4*0/10),($N$4*0/10)*(MIN(O460,($N$4*0/10))^3-N460^3)-(MIN(O460,($N$4*0/10))^4-N460^4)/4,0)+IF(O460&gt;($N$4*0/10),($N$4*0/10)^2*(1.5*(O460^2-MAX(N460,($N$4*0/10))^2)-($N$4*0/10)*(O460-MAX(N460,($N$4*0/10)))),0))*1000,0)</f>
        <v>0</v>
      </c>
      <c r="AN460" s="120">
        <f>IF(AND(V460="OK",ISNUMBER($N$5),$N$5&gt;0,ISNUMBER($N$3),$N$3&gt;0),R460/(6*$N$3*1000000*$N$5)*(IF(N460&lt;($N$4*1/10),($N$4*1/10)*(MIN(O460,($N$4*1/10))^3-N460^3)-(MIN(O460,($N$4*1/10))^4-N460^4)/4,0)+IF(O460&gt;($N$4*1/10),($N$4*1/10)^2*(1.5*(O460^2-MAX(N460,($N$4*1/10))^2)-($N$4*1/10)*(O460-MAX(N460,($N$4*1/10)))),0))*1000,0)</f>
        <v>0</v>
      </c>
      <c r="AO460" s="120">
        <f>IF(AND(V460="OK",ISNUMBER($N$5),$N$5&gt;0,ISNUMBER($N$3),$N$3&gt;0),R460/(6*$N$3*1000000*$N$5)*(IF(N460&lt;($N$4*2/10),($N$4*2/10)*(MIN(O460,($N$4*2/10))^3-N460^3)-(MIN(O460,($N$4*2/10))^4-N460^4)/4,0)+IF(O460&gt;($N$4*2/10),($N$4*2/10)^2*(1.5*(O460^2-MAX(N460,($N$4*2/10))^2)-($N$4*2/10)*(O460-MAX(N460,($N$4*2/10)))),0))*1000,0)</f>
        <v>0</v>
      </c>
      <c r="AP460" s="120">
        <f>IF(AND(V460="OK",ISNUMBER($N$5),$N$5&gt;0,ISNUMBER($N$3),$N$3&gt;0),R460/(6*$N$3*1000000*$N$5)*(IF(N460&lt;($N$4*3/10),($N$4*3/10)*(MIN(O460,($N$4*3/10))^3-N460^3)-(MIN(O460,($N$4*3/10))^4-N460^4)/4,0)+IF(O460&gt;($N$4*3/10),($N$4*3/10)^2*(1.5*(O460^2-MAX(N460,($N$4*3/10))^2)-($N$4*3/10)*(O460-MAX(N460,($N$4*3/10)))),0))*1000,0)</f>
        <v>0</v>
      </c>
      <c r="AQ460" s="120">
        <f>IF(AND(V460="OK",ISNUMBER($N$5),$N$5&gt;0,ISNUMBER($N$3),$N$3&gt;0),R460/(6*$N$3*1000000*$N$5)*(IF(N460&lt;($N$4*4/10),($N$4*4/10)*(MIN(O460,($N$4*4/10))^3-N460^3)-(MIN(O460,($N$4*4/10))^4-N460^4)/4,0)+IF(O460&gt;($N$4*4/10),($N$4*4/10)^2*(1.5*(O460^2-MAX(N460,($N$4*4/10))^2)-($N$4*4/10)*(O460-MAX(N460,($N$4*4/10)))),0))*1000,0)</f>
        <v>0</v>
      </c>
      <c r="AR460" s="120">
        <f>IF(AND(V460="OK",ISNUMBER($N$5),$N$5&gt;0,ISNUMBER($N$3),$N$3&gt;0),R460/(6*$N$3*1000000*$N$5)*(IF(N460&lt;($N$4*5/10),($N$4*5/10)*(MIN(O460,($N$4*5/10))^3-N460^3)-(MIN(O460,($N$4*5/10))^4-N460^4)/4,0)+IF(O460&gt;($N$4*5/10),($N$4*5/10)^2*(1.5*(O460^2-MAX(N460,($N$4*5/10))^2)-($N$4*5/10)*(O460-MAX(N460,($N$4*5/10)))),0))*1000,0)</f>
        <v>0</v>
      </c>
      <c r="AS460" s="120">
        <f>IF(AND(V460="OK",ISNUMBER($N$5),$N$5&gt;0,ISNUMBER($N$3),$N$3&gt;0),R460/(6*$N$3*1000000*$N$5)*(IF(N460&lt;($N$4*6/10),($N$4*6/10)*(MIN(O460,($N$4*6/10))^3-N460^3)-(MIN(O460,($N$4*6/10))^4-N460^4)/4,0)+IF(O460&gt;($N$4*6/10),($N$4*6/10)^2*(1.5*(O460^2-MAX(N460,($N$4*6/10))^2)-($N$4*6/10)*(O460-MAX(N460,($N$4*6/10)))),0))*1000,0)</f>
        <v>0</v>
      </c>
      <c r="AT460" s="120">
        <f>IF(AND(V460="OK",ISNUMBER($N$5),$N$5&gt;0,ISNUMBER($N$3),$N$3&gt;0),R460/(6*$N$3*1000000*$N$5)*(IF(N460&lt;($N$4*7/10),($N$4*7/10)*(MIN(O460,($N$4*7/10))^3-N460^3)-(MIN(O460,($N$4*7/10))^4-N460^4)/4,0)+IF(O460&gt;($N$4*7/10),($N$4*7/10)^2*(1.5*(O460^2-MAX(N460,($N$4*7/10))^2)-($N$4*7/10)*(O460-MAX(N460,($N$4*7/10)))),0))*1000,0)</f>
        <v>0</v>
      </c>
      <c r="AU460" s="120">
        <f>IF(AND(V460="OK",ISNUMBER($N$5),$N$5&gt;0,ISNUMBER($N$3),$N$3&gt;0),R460/(6*$N$3*1000000*$N$5)*(IF(N460&lt;($N$4*8/10),($N$4*8/10)*(MIN(O460,($N$4*8/10))^3-N460^3)-(MIN(O460,($N$4*8/10))^4-N460^4)/4,0)+IF(O460&gt;($N$4*8/10),($N$4*8/10)^2*(1.5*(O460^2-MAX(N460,($N$4*8/10))^2)-($N$4*8/10)*(O460-MAX(N460,($N$4*8/10)))),0))*1000,0)</f>
        <v>0</v>
      </c>
      <c r="AV460" s="120">
        <f>IF(AND(V460="OK",ISNUMBER($N$5),$N$5&gt;0,ISNUMBER($N$3),$N$3&gt;0),R460/(6*$N$3*1000000*$N$5)*(IF(N460&lt;($N$4*9/10),($N$4*9/10)*(MIN(O460,($N$4*9/10))^3-N460^3)-(MIN(O460,($N$4*9/10))^4-N460^4)/4,0)+IF(O460&gt;($N$4*9/10),($N$4*9/10)^2*(1.5*(O460^2-MAX(N460,($N$4*9/10))^2)-($N$4*9/10)*(O460-MAX(N460,($N$4*9/10)))),0))*1000,0)</f>
        <v>0</v>
      </c>
      <c r="AW460" s="120">
        <f>IF(AND(V460="OK",ISNUMBER($N$5),$N$5&gt;0,ISNUMBER($N$3),$N$3&gt;0),R460/(6*$N$3*1000000*$N$5)*(IF(N460&lt;($N$4*10/10),($N$4*10/10)*(MIN(O460,($N$4*10/10))^3-N460^3)-(MIN(O460,($N$4*10/10))^4-N460^4)/4,0)+IF(O460&gt;($N$4*10/10),($N$4*10/10)^2*(1.5*(O460^2-MAX(N460,($N$4*10/10))^2)-($N$4*10/10)*(O460-MAX(N460,($N$4*10/10)))),0))*1000,0)</f>
        <v>0</v>
      </c>
    </row>
    <row r="461" spans="1:49">
      <c r="A461" s="124"/>
      <c r="B461" s="125"/>
      <c r="C461" s="125"/>
      <c r="D461" s="125"/>
      <c r="E461" s="125"/>
      <c r="F461" s="126" t="str">
        <f>IF(J461="OK",D461*E461,"")</f>
        <v/>
      </c>
      <c r="G461" s="126" t="str">
        <f>IF(J461="OK",F461*(C461-B461),"")</f>
        <v/>
      </c>
      <c r="H461" s="126" t="str">
        <f>IF(J461="OK",G461*(C461+B461)/2,"")</f>
        <v/>
      </c>
      <c r="I461" s="126" t="str">
        <f>IF(AND(J461="OK",ISNUMBER($B$5),$B$5&gt;0,ISNUMBER($B$3),$B$3&gt;0),F461*(4*$B$4*(C461^3-B461^3)-(C461^4-B461^4))/(24*$B$3*1000000*$B$5)*1000,"")</f>
        <v/>
      </c>
      <c r="J461" s="120" t="str">
        <f>IF(COUNTA(A461:E461)=0,"",IF(AND(COUNT(B461:E461)=4,B461&gt;=0,C461&gt;B461,C461&lt;=$B$4,D461&gt;=0,E461&gt;0),IF(COUNTIFS($B$13:$B$460,"&lt;"&amp;C461,$C$13:$C$460,"&gt;"&amp;B461)&gt;0,"OVERLAP","OK"),"CHECK INPUTS"))</f>
        <v/>
      </c>
      <c r="M461" s="124"/>
      <c r="N461" s="125"/>
      <c r="O461" s="125"/>
      <c r="P461" s="125"/>
      <c r="Q461" s="125"/>
      <c r="R461" s="126" t="str">
        <f>IF(V461="OK",P461*Q461,"")</f>
        <v/>
      </c>
      <c r="S461" s="126" t="str">
        <f>IF(V461="OK",R461*(O461-N461),"")</f>
        <v/>
      </c>
      <c r="T461" s="126" t="str">
        <f>IF(V461="OK",S461*(O461+N461)/2,"")</f>
        <v/>
      </c>
      <c r="U461" s="126" t="str">
        <f>IF(AND(V461="OK",ISNUMBER($N$5),$N$5&gt;0,ISNUMBER($N$3),$N$3&gt;0),R461*(4*$N$4*(O461^3-N461^3)-(O461^4-N461^4))/(24*$N$3*1000000*$N$5)*1000,"")</f>
        <v/>
      </c>
      <c r="V461" s="120" t="str">
        <f>IF(COUNTA(M461:Q461)=0,"",IF(AND(COUNT(N461:Q461)=4,N461&gt;=0,O461&gt;N461,O461&lt;=$N$4,P461&gt;=0,Q461&gt;0),IF(COUNTIFS($N$13:$N$460,"&lt;"&amp;O461,$O$13:$O$460,"&gt;"&amp;N461)&gt;0,"OVERLAP","OK"),"CHECK INPUTS"))</f>
        <v/>
      </c>
      <c r="AA461" s="120">
        <f>IF(AND(J461="OK",ISNUMBER($B$5),$B$5&gt;0,ISNUMBER($B$3),$B$3&gt;0),F461/(6*$B$3*1000000*$B$5)*(IF(B461&lt;($B$4*0/10),($B$4*0/10)*(MIN(C461,($B$4*0/10))^3-B461^3)-(MIN(C461,($B$4*0/10))^4-B461^4)/4,0)+IF(C461&gt;($B$4*0/10),($B$4*0/10)^2*(1.5*(C461^2-MAX(B461,($B$4*0/10))^2)-($B$4*0/10)*(C461-MAX(B461,($B$4*0/10)))),0))*1000,0)</f>
        <v>0</v>
      </c>
      <c r="AB461" s="120">
        <f>IF(AND(J461="OK",ISNUMBER($B$5),$B$5&gt;0,ISNUMBER($B$3),$B$3&gt;0),F461/(6*$B$3*1000000*$B$5)*(IF(B461&lt;($B$4*1/10),($B$4*1/10)*(MIN(C461,($B$4*1/10))^3-B461^3)-(MIN(C461,($B$4*1/10))^4-B461^4)/4,0)+IF(C461&gt;($B$4*1/10),($B$4*1/10)^2*(1.5*(C461^2-MAX(B461,($B$4*1/10))^2)-($B$4*1/10)*(C461-MAX(B461,($B$4*1/10)))),0))*1000,0)</f>
        <v>0</v>
      </c>
      <c r="AC461" s="120">
        <f>IF(AND(J461="OK",ISNUMBER($B$5),$B$5&gt;0,ISNUMBER($B$3),$B$3&gt;0),F461/(6*$B$3*1000000*$B$5)*(IF(B461&lt;($B$4*2/10),($B$4*2/10)*(MIN(C461,($B$4*2/10))^3-B461^3)-(MIN(C461,($B$4*2/10))^4-B461^4)/4,0)+IF(C461&gt;($B$4*2/10),($B$4*2/10)^2*(1.5*(C461^2-MAX(B461,($B$4*2/10))^2)-($B$4*2/10)*(C461-MAX(B461,($B$4*2/10)))),0))*1000,0)</f>
        <v>0</v>
      </c>
      <c r="AD461" s="120">
        <f>IF(AND(J461="OK",ISNUMBER($B$5),$B$5&gt;0,ISNUMBER($B$3),$B$3&gt;0),F461/(6*$B$3*1000000*$B$5)*(IF(B461&lt;($B$4*3/10),($B$4*3/10)*(MIN(C461,($B$4*3/10))^3-B461^3)-(MIN(C461,($B$4*3/10))^4-B461^4)/4,0)+IF(C461&gt;($B$4*3/10),($B$4*3/10)^2*(1.5*(C461^2-MAX(B461,($B$4*3/10))^2)-($B$4*3/10)*(C461-MAX(B461,($B$4*3/10)))),0))*1000,0)</f>
        <v>0</v>
      </c>
      <c r="AE461" s="120">
        <f>IF(AND(J461="OK",ISNUMBER($B$5),$B$5&gt;0,ISNUMBER($B$3),$B$3&gt;0),F461/(6*$B$3*1000000*$B$5)*(IF(B461&lt;($B$4*4/10),($B$4*4/10)*(MIN(C461,($B$4*4/10))^3-B461^3)-(MIN(C461,($B$4*4/10))^4-B461^4)/4,0)+IF(C461&gt;($B$4*4/10),($B$4*4/10)^2*(1.5*(C461^2-MAX(B461,($B$4*4/10))^2)-($B$4*4/10)*(C461-MAX(B461,($B$4*4/10)))),0))*1000,0)</f>
        <v>0</v>
      </c>
      <c r="AF461" s="120">
        <f>IF(AND(J461="OK",ISNUMBER($B$5),$B$5&gt;0,ISNUMBER($B$3),$B$3&gt;0),F461/(6*$B$3*1000000*$B$5)*(IF(B461&lt;($B$4*5/10),($B$4*5/10)*(MIN(C461,($B$4*5/10))^3-B461^3)-(MIN(C461,($B$4*5/10))^4-B461^4)/4,0)+IF(C461&gt;($B$4*5/10),($B$4*5/10)^2*(1.5*(C461^2-MAX(B461,($B$4*5/10))^2)-($B$4*5/10)*(C461-MAX(B461,($B$4*5/10)))),0))*1000,0)</f>
        <v>0</v>
      </c>
      <c r="AG461" s="120">
        <f>IF(AND(J461="OK",ISNUMBER($B$5),$B$5&gt;0,ISNUMBER($B$3),$B$3&gt;0),F461/(6*$B$3*1000000*$B$5)*(IF(B461&lt;($B$4*6/10),($B$4*6/10)*(MIN(C461,($B$4*6/10))^3-B461^3)-(MIN(C461,($B$4*6/10))^4-B461^4)/4,0)+IF(C461&gt;($B$4*6/10),($B$4*6/10)^2*(1.5*(C461^2-MAX(B461,($B$4*6/10))^2)-($B$4*6/10)*(C461-MAX(B461,($B$4*6/10)))),0))*1000,0)</f>
        <v>0</v>
      </c>
      <c r="AH461" s="120">
        <f>IF(AND(J461="OK",ISNUMBER($B$5),$B$5&gt;0,ISNUMBER($B$3),$B$3&gt;0),F461/(6*$B$3*1000000*$B$5)*(IF(B461&lt;($B$4*7/10),($B$4*7/10)*(MIN(C461,($B$4*7/10))^3-B461^3)-(MIN(C461,($B$4*7/10))^4-B461^4)/4,0)+IF(C461&gt;($B$4*7/10),($B$4*7/10)^2*(1.5*(C461^2-MAX(B461,($B$4*7/10))^2)-($B$4*7/10)*(C461-MAX(B461,($B$4*7/10)))),0))*1000,0)</f>
        <v>0</v>
      </c>
      <c r="AI461" s="120">
        <f>IF(AND(J461="OK",ISNUMBER($B$5),$B$5&gt;0,ISNUMBER($B$3),$B$3&gt;0),F461/(6*$B$3*1000000*$B$5)*(IF(B461&lt;($B$4*8/10),($B$4*8/10)*(MIN(C461,($B$4*8/10))^3-B461^3)-(MIN(C461,($B$4*8/10))^4-B461^4)/4,0)+IF(C461&gt;($B$4*8/10),($B$4*8/10)^2*(1.5*(C461^2-MAX(B461,($B$4*8/10))^2)-($B$4*8/10)*(C461-MAX(B461,($B$4*8/10)))),0))*1000,0)</f>
        <v>0</v>
      </c>
      <c r="AJ461" s="120">
        <f>IF(AND(J461="OK",ISNUMBER($B$5),$B$5&gt;0,ISNUMBER($B$3),$B$3&gt;0),F461/(6*$B$3*1000000*$B$5)*(IF(B461&lt;($B$4*9/10),($B$4*9/10)*(MIN(C461,($B$4*9/10))^3-B461^3)-(MIN(C461,($B$4*9/10))^4-B461^4)/4,0)+IF(C461&gt;($B$4*9/10),($B$4*9/10)^2*(1.5*(C461^2-MAX(B461,($B$4*9/10))^2)-($B$4*9/10)*(C461-MAX(B461,($B$4*9/10)))),0))*1000,0)</f>
        <v>0</v>
      </c>
      <c r="AK461" s="120">
        <f>IF(AND(J461="OK",ISNUMBER($B$5),$B$5&gt;0,ISNUMBER($B$3),$B$3&gt;0),F461/(6*$B$3*1000000*$B$5)*(IF(B461&lt;($B$4*10/10),($B$4*10/10)*(MIN(C461,($B$4*10/10))^3-B461^3)-(MIN(C461,($B$4*10/10))^4-B461^4)/4,0)+IF(C461&gt;($B$4*10/10),($B$4*10/10)^2*(1.5*(C461^2-MAX(B461,($B$4*10/10))^2)-($B$4*10/10)*(C461-MAX(B461,($B$4*10/10)))),0))*1000,0)</f>
        <v>0</v>
      </c>
      <c r="AM461" s="120">
        <f>IF(AND(V461="OK",ISNUMBER($N$5),$N$5&gt;0,ISNUMBER($N$3),$N$3&gt;0),R461/(6*$N$3*1000000*$N$5)*(IF(N461&lt;($N$4*0/10),($N$4*0/10)*(MIN(O461,($N$4*0/10))^3-N461^3)-(MIN(O461,($N$4*0/10))^4-N461^4)/4,0)+IF(O461&gt;($N$4*0/10),($N$4*0/10)^2*(1.5*(O461^2-MAX(N461,($N$4*0/10))^2)-($N$4*0/10)*(O461-MAX(N461,($N$4*0/10)))),0))*1000,0)</f>
        <v>0</v>
      </c>
      <c r="AN461" s="120">
        <f>IF(AND(V461="OK",ISNUMBER($N$5),$N$5&gt;0,ISNUMBER($N$3),$N$3&gt;0),R461/(6*$N$3*1000000*$N$5)*(IF(N461&lt;($N$4*1/10),($N$4*1/10)*(MIN(O461,($N$4*1/10))^3-N461^3)-(MIN(O461,($N$4*1/10))^4-N461^4)/4,0)+IF(O461&gt;($N$4*1/10),($N$4*1/10)^2*(1.5*(O461^2-MAX(N461,($N$4*1/10))^2)-($N$4*1/10)*(O461-MAX(N461,($N$4*1/10)))),0))*1000,0)</f>
        <v>0</v>
      </c>
      <c r="AO461" s="120">
        <f>IF(AND(V461="OK",ISNUMBER($N$5),$N$5&gt;0,ISNUMBER($N$3),$N$3&gt;0),R461/(6*$N$3*1000000*$N$5)*(IF(N461&lt;($N$4*2/10),($N$4*2/10)*(MIN(O461,($N$4*2/10))^3-N461^3)-(MIN(O461,($N$4*2/10))^4-N461^4)/4,0)+IF(O461&gt;($N$4*2/10),($N$4*2/10)^2*(1.5*(O461^2-MAX(N461,($N$4*2/10))^2)-($N$4*2/10)*(O461-MAX(N461,($N$4*2/10)))),0))*1000,0)</f>
        <v>0</v>
      </c>
      <c r="AP461" s="120">
        <f>IF(AND(V461="OK",ISNUMBER($N$5),$N$5&gt;0,ISNUMBER($N$3),$N$3&gt;0),R461/(6*$N$3*1000000*$N$5)*(IF(N461&lt;($N$4*3/10),($N$4*3/10)*(MIN(O461,($N$4*3/10))^3-N461^3)-(MIN(O461,($N$4*3/10))^4-N461^4)/4,0)+IF(O461&gt;($N$4*3/10),($N$4*3/10)^2*(1.5*(O461^2-MAX(N461,($N$4*3/10))^2)-($N$4*3/10)*(O461-MAX(N461,($N$4*3/10)))),0))*1000,0)</f>
        <v>0</v>
      </c>
      <c r="AQ461" s="120">
        <f>IF(AND(V461="OK",ISNUMBER($N$5),$N$5&gt;0,ISNUMBER($N$3),$N$3&gt;0),R461/(6*$N$3*1000000*$N$5)*(IF(N461&lt;($N$4*4/10),($N$4*4/10)*(MIN(O461,($N$4*4/10))^3-N461^3)-(MIN(O461,($N$4*4/10))^4-N461^4)/4,0)+IF(O461&gt;($N$4*4/10),($N$4*4/10)^2*(1.5*(O461^2-MAX(N461,($N$4*4/10))^2)-($N$4*4/10)*(O461-MAX(N461,($N$4*4/10)))),0))*1000,0)</f>
        <v>0</v>
      </c>
      <c r="AR461" s="120">
        <f>IF(AND(V461="OK",ISNUMBER($N$5),$N$5&gt;0,ISNUMBER($N$3),$N$3&gt;0),R461/(6*$N$3*1000000*$N$5)*(IF(N461&lt;($N$4*5/10),($N$4*5/10)*(MIN(O461,($N$4*5/10))^3-N461^3)-(MIN(O461,($N$4*5/10))^4-N461^4)/4,0)+IF(O461&gt;($N$4*5/10),($N$4*5/10)^2*(1.5*(O461^2-MAX(N461,($N$4*5/10))^2)-($N$4*5/10)*(O461-MAX(N461,($N$4*5/10)))),0))*1000,0)</f>
        <v>0</v>
      </c>
      <c r="AS461" s="120">
        <f>IF(AND(V461="OK",ISNUMBER($N$5),$N$5&gt;0,ISNUMBER($N$3),$N$3&gt;0),R461/(6*$N$3*1000000*$N$5)*(IF(N461&lt;($N$4*6/10),($N$4*6/10)*(MIN(O461,($N$4*6/10))^3-N461^3)-(MIN(O461,($N$4*6/10))^4-N461^4)/4,0)+IF(O461&gt;($N$4*6/10),($N$4*6/10)^2*(1.5*(O461^2-MAX(N461,($N$4*6/10))^2)-($N$4*6/10)*(O461-MAX(N461,($N$4*6/10)))),0))*1000,0)</f>
        <v>0</v>
      </c>
      <c r="AT461" s="120">
        <f>IF(AND(V461="OK",ISNUMBER($N$5),$N$5&gt;0,ISNUMBER($N$3),$N$3&gt;0),R461/(6*$N$3*1000000*$N$5)*(IF(N461&lt;($N$4*7/10),($N$4*7/10)*(MIN(O461,($N$4*7/10))^3-N461^3)-(MIN(O461,($N$4*7/10))^4-N461^4)/4,0)+IF(O461&gt;($N$4*7/10),($N$4*7/10)^2*(1.5*(O461^2-MAX(N461,($N$4*7/10))^2)-($N$4*7/10)*(O461-MAX(N461,($N$4*7/10)))),0))*1000,0)</f>
        <v>0</v>
      </c>
      <c r="AU461" s="120">
        <f>IF(AND(V461="OK",ISNUMBER($N$5),$N$5&gt;0,ISNUMBER($N$3),$N$3&gt;0),R461/(6*$N$3*1000000*$N$5)*(IF(N461&lt;($N$4*8/10),($N$4*8/10)*(MIN(O461,($N$4*8/10))^3-N461^3)-(MIN(O461,($N$4*8/10))^4-N461^4)/4,0)+IF(O461&gt;($N$4*8/10),($N$4*8/10)^2*(1.5*(O461^2-MAX(N461,($N$4*8/10))^2)-($N$4*8/10)*(O461-MAX(N461,($N$4*8/10)))),0))*1000,0)</f>
        <v>0</v>
      </c>
      <c r="AV461" s="120">
        <f>IF(AND(V461="OK",ISNUMBER($N$5),$N$5&gt;0,ISNUMBER($N$3),$N$3&gt;0),R461/(6*$N$3*1000000*$N$5)*(IF(N461&lt;($N$4*9/10),($N$4*9/10)*(MIN(O461,($N$4*9/10))^3-N461^3)-(MIN(O461,($N$4*9/10))^4-N461^4)/4,0)+IF(O461&gt;($N$4*9/10),($N$4*9/10)^2*(1.5*(O461^2-MAX(N461,($N$4*9/10))^2)-($N$4*9/10)*(O461-MAX(N461,($N$4*9/10)))),0))*1000,0)</f>
        <v>0</v>
      </c>
      <c r="AW461" s="120">
        <f>IF(AND(V461="OK",ISNUMBER($N$5),$N$5&gt;0,ISNUMBER($N$3),$N$3&gt;0),R461/(6*$N$3*1000000*$N$5)*(IF(N461&lt;($N$4*10/10),($N$4*10/10)*(MIN(O461,($N$4*10/10))^3-N461^3)-(MIN(O461,($N$4*10/10))^4-N461^4)/4,0)+IF(O461&gt;($N$4*10/10),($N$4*10/10)^2*(1.5*(O461^2-MAX(N461,($N$4*10/10))^2)-($N$4*10/10)*(O461-MAX(N461,($N$4*10/10)))),0))*1000,0)</f>
        <v>0</v>
      </c>
    </row>
    <row r="462" spans="1:49">
      <c r="A462" s="124"/>
      <c r="B462" s="125"/>
      <c r="C462" s="125"/>
      <c r="D462" s="125"/>
      <c r="E462" s="125"/>
      <c r="F462" s="126" t="str">
        <f>IF(J462="OK",D462*E462,"")</f>
        <v/>
      </c>
      <c r="G462" s="126" t="str">
        <f>IF(J462="OK",F462*(C462-B462),"")</f>
        <v/>
      </c>
      <c r="H462" s="126" t="str">
        <f>IF(J462="OK",G462*(C462+B462)/2,"")</f>
        <v/>
      </c>
      <c r="I462" s="126" t="str">
        <f>IF(AND(J462="OK",ISNUMBER($B$5),$B$5&gt;0,ISNUMBER($B$3),$B$3&gt;0),F462*(4*$B$4*(C462^3-B462^3)-(C462^4-B462^4))/(24*$B$3*1000000*$B$5)*1000,"")</f>
        <v/>
      </c>
      <c r="J462" s="120" t="str">
        <f>IF(COUNTA(A462:E462)=0,"",IF(AND(COUNT(B462:E462)=4,B462&gt;=0,C462&gt;B462,C462&lt;=$B$4,D462&gt;=0,E462&gt;0),IF(COUNTIFS($B$13:$B$461,"&lt;"&amp;C462,$C$13:$C$461,"&gt;"&amp;B462)&gt;0,"OVERLAP","OK"),"CHECK INPUTS"))</f>
        <v/>
      </c>
      <c r="M462" s="124"/>
      <c r="N462" s="125"/>
      <c r="O462" s="125"/>
      <c r="P462" s="125"/>
      <c r="Q462" s="125"/>
      <c r="R462" s="126" t="str">
        <f>IF(V462="OK",P462*Q462,"")</f>
        <v/>
      </c>
      <c r="S462" s="126" t="str">
        <f>IF(V462="OK",R462*(O462-N462),"")</f>
        <v/>
      </c>
      <c r="T462" s="126" t="str">
        <f>IF(V462="OK",S462*(O462+N462)/2,"")</f>
        <v/>
      </c>
      <c r="U462" s="126" t="str">
        <f>IF(AND(V462="OK",ISNUMBER($N$5),$N$5&gt;0,ISNUMBER($N$3),$N$3&gt;0),R462*(4*$N$4*(O462^3-N462^3)-(O462^4-N462^4))/(24*$N$3*1000000*$N$5)*1000,"")</f>
        <v/>
      </c>
      <c r="V462" s="120" t="str">
        <f>IF(COUNTA(M462:Q462)=0,"",IF(AND(COUNT(N462:Q462)=4,N462&gt;=0,O462&gt;N462,O462&lt;=$N$4,P462&gt;=0,Q462&gt;0),IF(COUNTIFS($N$13:$N$461,"&lt;"&amp;O462,$O$13:$O$461,"&gt;"&amp;N462)&gt;0,"OVERLAP","OK"),"CHECK INPUTS"))</f>
        <v/>
      </c>
      <c r="AA462" s="120">
        <f>IF(AND(J462="OK",ISNUMBER($B$5),$B$5&gt;0,ISNUMBER($B$3),$B$3&gt;0),F462/(6*$B$3*1000000*$B$5)*(IF(B462&lt;($B$4*0/10),($B$4*0/10)*(MIN(C462,($B$4*0/10))^3-B462^3)-(MIN(C462,($B$4*0/10))^4-B462^4)/4,0)+IF(C462&gt;($B$4*0/10),($B$4*0/10)^2*(1.5*(C462^2-MAX(B462,($B$4*0/10))^2)-($B$4*0/10)*(C462-MAX(B462,($B$4*0/10)))),0))*1000,0)</f>
        <v>0</v>
      </c>
      <c r="AB462" s="120">
        <f>IF(AND(J462="OK",ISNUMBER($B$5),$B$5&gt;0,ISNUMBER($B$3),$B$3&gt;0),F462/(6*$B$3*1000000*$B$5)*(IF(B462&lt;($B$4*1/10),($B$4*1/10)*(MIN(C462,($B$4*1/10))^3-B462^3)-(MIN(C462,($B$4*1/10))^4-B462^4)/4,0)+IF(C462&gt;($B$4*1/10),($B$4*1/10)^2*(1.5*(C462^2-MAX(B462,($B$4*1/10))^2)-($B$4*1/10)*(C462-MAX(B462,($B$4*1/10)))),0))*1000,0)</f>
        <v>0</v>
      </c>
      <c r="AC462" s="120">
        <f>IF(AND(J462="OK",ISNUMBER($B$5),$B$5&gt;0,ISNUMBER($B$3),$B$3&gt;0),F462/(6*$B$3*1000000*$B$5)*(IF(B462&lt;($B$4*2/10),($B$4*2/10)*(MIN(C462,($B$4*2/10))^3-B462^3)-(MIN(C462,($B$4*2/10))^4-B462^4)/4,0)+IF(C462&gt;($B$4*2/10),($B$4*2/10)^2*(1.5*(C462^2-MAX(B462,($B$4*2/10))^2)-($B$4*2/10)*(C462-MAX(B462,($B$4*2/10)))),0))*1000,0)</f>
        <v>0</v>
      </c>
      <c r="AD462" s="120">
        <f>IF(AND(J462="OK",ISNUMBER($B$5),$B$5&gt;0,ISNUMBER($B$3),$B$3&gt;0),F462/(6*$B$3*1000000*$B$5)*(IF(B462&lt;($B$4*3/10),($B$4*3/10)*(MIN(C462,($B$4*3/10))^3-B462^3)-(MIN(C462,($B$4*3/10))^4-B462^4)/4,0)+IF(C462&gt;($B$4*3/10),($B$4*3/10)^2*(1.5*(C462^2-MAX(B462,($B$4*3/10))^2)-($B$4*3/10)*(C462-MAX(B462,($B$4*3/10)))),0))*1000,0)</f>
        <v>0</v>
      </c>
      <c r="AE462" s="120">
        <f>IF(AND(J462="OK",ISNUMBER($B$5),$B$5&gt;0,ISNUMBER($B$3),$B$3&gt;0),F462/(6*$B$3*1000000*$B$5)*(IF(B462&lt;($B$4*4/10),($B$4*4/10)*(MIN(C462,($B$4*4/10))^3-B462^3)-(MIN(C462,($B$4*4/10))^4-B462^4)/4,0)+IF(C462&gt;($B$4*4/10),($B$4*4/10)^2*(1.5*(C462^2-MAX(B462,($B$4*4/10))^2)-($B$4*4/10)*(C462-MAX(B462,($B$4*4/10)))),0))*1000,0)</f>
        <v>0</v>
      </c>
      <c r="AF462" s="120">
        <f>IF(AND(J462="OK",ISNUMBER($B$5),$B$5&gt;0,ISNUMBER($B$3),$B$3&gt;0),F462/(6*$B$3*1000000*$B$5)*(IF(B462&lt;($B$4*5/10),($B$4*5/10)*(MIN(C462,($B$4*5/10))^3-B462^3)-(MIN(C462,($B$4*5/10))^4-B462^4)/4,0)+IF(C462&gt;($B$4*5/10),($B$4*5/10)^2*(1.5*(C462^2-MAX(B462,($B$4*5/10))^2)-($B$4*5/10)*(C462-MAX(B462,($B$4*5/10)))),0))*1000,0)</f>
        <v>0</v>
      </c>
      <c r="AG462" s="120">
        <f>IF(AND(J462="OK",ISNUMBER($B$5),$B$5&gt;0,ISNUMBER($B$3),$B$3&gt;0),F462/(6*$B$3*1000000*$B$5)*(IF(B462&lt;($B$4*6/10),($B$4*6/10)*(MIN(C462,($B$4*6/10))^3-B462^3)-(MIN(C462,($B$4*6/10))^4-B462^4)/4,0)+IF(C462&gt;($B$4*6/10),($B$4*6/10)^2*(1.5*(C462^2-MAX(B462,($B$4*6/10))^2)-($B$4*6/10)*(C462-MAX(B462,($B$4*6/10)))),0))*1000,0)</f>
        <v>0</v>
      </c>
      <c r="AH462" s="120">
        <f>IF(AND(J462="OK",ISNUMBER($B$5),$B$5&gt;0,ISNUMBER($B$3),$B$3&gt;0),F462/(6*$B$3*1000000*$B$5)*(IF(B462&lt;($B$4*7/10),($B$4*7/10)*(MIN(C462,($B$4*7/10))^3-B462^3)-(MIN(C462,($B$4*7/10))^4-B462^4)/4,0)+IF(C462&gt;($B$4*7/10),($B$4*7/10)^2*(1.5*(C462^2-MAX(B462,($B$4*7/10))^2)-($B$4*7/10)*(C462-MAX(B462,($B$4*7/10)))),0))*1000,0)</f>
        <v>0</v>
      </c>
      <c r="AI462" s="120">
        <f>IF(AND(J462="OK",ISNUMBER($B$5),$B$5&gt;0,ISNUMBER($B$3),$B$3&gt;0),F462/(6*$B$3*1000000*$B$5)*(IF(B462&lt;($B$4*8/10),($B$4*8/10)*(MIN(C462,($B$4*8/10))^3-B462^3)-(MIN(C462,($B$4*8/10))^4-B462^4)/4,0)+IF(C462&gt;($B$4*8/10),($B$4*8/10)^2*(1.5*(C462^2-MAX(B462,($B$4*8/10))^2)-($B$4*8/10)*(C462-MAX(B462,($B$4*8/10)))),0))*1000,0)</f>
        <v>0</v>
      </c>
      <c r="AJ462" s="120">
        <f>IF(AND(J462="OK",ISNUMBER($B$5),$B$5&gt;0,ISNUMBER($B$3),$B$3&gt;0),F462/(6*$B$3*1000000*$B$5)*(IF(B462&lt;($B$4*9/10),($B$4*9/10)*(MIN(C462,($B$4*9/10))^3-B462^3)-(MIN(C462,($B$4*9/10))^4-B462^4)/4,0)+IF(C462&gt;($B$4*9/10),($B$4*9/10)^2*(1.5*(C462^2-MAX(B462,($B$4*9/10))^2)-($B$4*9/10)*(C462-MAX(B462,($B$4*9/10)))),0))*1000,0)</f>
        <v>0</v>
      </c>
      <c r="AK462" s="120">
        <f>IF(AND(J462="OK",ISNUMBER($B$5),$B$5&gt;0,ISNUMBER($B$3),$B$3&gt;0),F462/(6*$B$3*1000000*$B$5)*(IF(B462&lt;($B$4*10/10),($B$4*10/10)*(MIN(C462,($B$4*10/10))^3-B462^3)-(MIN(C462,($B$4*10/10))^4-B462^4)/4,0)+IF(C462&gt;($B$4*10/10),($B$4*10/10)^2*(1.5*(C462^2-MAX(B462,($B$4*10/10))^2)-($B$4*10/10)*(C462-MAX(B462,($B$4*10/10)))),0))*1000,0)</f>
        <v>0</v>
      </c>
      <c r="AM462" s="120">
        <f>IF(AND(V462="OK",ISNUMBER($N$5),$N$5&gt;0,ISNUMBER($N$3),$N$3&gt;0),R462/(6*$N$3*1000000*$N$5)*(IF(N462&lt;($N$4*0/10),($N$4*0/10)*(MIN(O462,($N$4*0/10))^3-N462^3)-(MIN(O462,($N$4*0/10))^4-N462^4)/4,0)+IF(O462&gt;($N$4*0/10),($N$4*0/10)^2*(1.5*(O462^2-MAX(N462,($N$4*0/10))^2)-($N$4*0/10)*(O462-MAX(N462,($N$4*0/10)))),0))*1000,0)</f>
        <v>0</v>
      </c>
      <c r="AN462" s="120">
        <f>IF(AND(V462="OK",ISNUMBER($N$5),$N$5&gt;0,ISNUMBER($N$3),$N$3&gt;0),R462/(6*$N$3*1000000*$N$5)*(IF(N462&lt;($N$4*1/10),($N$4*1/10)*(MIN(O462,($N$4*1/10))^3-N462^3)-(MIN(O462,($N$4*1/10))^4-N462^4)/4,0)+IF(O462&gt;($N$4*1/10),($N$4*1/10)^2*(1.5*(O462^2-MAX(N462,($N$4*1/10))^2)-($N$4*1/10)*(O462-MAX(N462,($N$4*1/10)))),0))*1000,0)</f>
        <v>0</v>
      </c>
      <c r="AO462" s="120">
        <f>IF(AND(V462="OK",ISNUMBER($N$5),$N$5&gt;0,ISNUMBER($N$3),$N$3&gt;0),R462/(6*$N$3*1000000*$N$5)*(IF(N462&lt;($N$4*2/10),($N$4*2/10)*(MIN(O462,($N$4*2/10))^3-N462^3)-(MIN(O462,($N$4*2/10))^4-N462^4)/4,0)+IF(O462&gt;($N$4*2/10),($N$4*2/10)^2*(1.5*(O462^2-MAX(N462,($N$4*2/10))^2)-($N$4*2/10)*(O462-MAX(N462,($N$4*2/10)))),0))*1000,0)</f>
        <v>0</v>
      </c>
      <c r="AP462" s="120">
        <f>IF(AND(V462="OK",ISNUMBER($N$5),$N$5&gt;0,ISNUMBER($N$3),$N$3&gt;0),R462/(6*$N$3*1000000*$N$5)*(IF(N462&lt;($N$4*3/10),($N$4*3/10)*(MIN(O462,($N$4*3/10))^3-N462^3)-(MIN(O462,($N$4*3/10))^4-N462^4)/4,0)+IF(O462&gt;($N$4*3/10),($N$4*3/10)^2*(1.5*(O462^2-MAX(N462,($N$4*3/10))^2)-($N$4*3/10)*(O462-MAX(N462,($N$4*3/10)))),0))*1000,0)</f>
        <v>0</v>
      </c>
      <c r="AQ462" s="120">
        <f>IF(AND(V462="OK",ISNUMBER($N$5),$N$5&gt;0,ISNUMBER($N$3),$N$3&gt;0),R462/(6*$N$3*1000000*$N$5)*(IF(N462&lt;($N$4*4/10),($N$4*4/10)*(MIN(O462,($N$4*4/10))^3-N462^3)-(MIN(O462,($N$4*4/10))^4-N462^4)/4,0)+IF(O462&gt;($N$4*4/10),($N$4*4/10)^2*(1.5*(O462^2-MAX(N462,($N$4*4/10))^2)-($N$4*4/10)*(O462-MAX(N462,($N$4*4/10)))),0))*1000,0)</f>
        <v>0</v>
      </c>
      <c r="AR462" s="120">
        <f>IF(AND(V462="OK",ISNUMBER($N$5),$N$5&gt;0,ISNUMBER($N$3),$N$3&gt;0),R462/(6*$N$3*1000000*$N$5)*(IF(N462&lt;($N$4*5/10),($N$4*5/10)*(MIN(O462,($N$4*5/10))^3-N462^3)-(MIN(O462,($N$4*5/10))^4-N462^4)/4,0)+IF(O462&gt;($N$4*5/10),($N$4*5/10)^2*(1.5*(O462^2-MAX(N462,($N$4*5/10))^2)-($N$4*5/10)*(O462-MAX(N462,($N$4*5/10)))),0))*1000,0)</f>
        <v>0</v>
      </c>
      <c r="AS462" s="120">
        <f>IF(AND(V462="OK",ISNUMBER($N$5),$N$5&gt;0,ISNUMBER($N$3),$N$3&gt;0),R462/(6*$N$3*1000000*$N$5)*(IF(N462&lt;($N$4*6/10),($N$4*6/10)*(MIN(O462,($N$4*6/10))^3-N462^3)-(MIN(O462,($N$4*6/10))^4-N462^4)/4,0)+IF(O462&gt;($N$4*6/10),($N$4*6/10)^2*(1.5*(O462^2-MAX(N462,($N$4*6/10))^2)-($N$4*6/10)*(O462-MAX(N462,($N$4*6/10)))),0))*1000,0)</f>
        <v>0</v>
      </c>
      <c r="AT462" s="120">
        <f>IF(AND(V462="OK",ISNUMBER($N$5),$N$5&gt;0,ISNUMBER($N$3),$N$3&gt;0),R462/(6*$N$3*1000000*$N$5)*(IF(N462&lt;($N$4*7/10),($N$4*7/10)*(MIN(O462,($N$4*7/10))^3-N462^3)-(MIN(O462,($N$4*7/10))^4-N462^4)/4,0)+IF(O462&gt;($N$4*7/10),($N$4*7/10)^2*(1.5*(O462^2-MAX(N462,($N$4*7/10))^2)-($N$4*7/10)*(O462-MAX(N462,($N$4*7/10)))),0))*1000,0)</f>
        <v>0</v>
      </c>
      <c r="AU462" s="120">
        <f>IF(AND(V462="OK",ISNUMBER($N$5),$N$5&gt;0,ISNUMBER($N$3),$N$3&gt;0),R462/(6*$N$3*1000000*$N$5)*(IF(N462&lt;($N$4*8/10),($N$4*8/10)*(MIN(O462,($N$4*8/10))^3-N462^3)-(MIN(O462,($N$4*8/10))^4-N462^4)/4,0)+IF(O462&gt;($N$4*8/10),($N$4*8/10)^2*(1.5*(O462^2-MAX(N462,($N$4*8/10))^2)-($N$4*8/10)*(O462-MAX(N462,($N$4*8/10)))),0))*1000,0)</f>
        <v>0</v>
      </c>
      <c r="AV462" s="120">
        <f>IF(AND(V462="OK",ISNUMBER($N$5),$N$5&gt;0,ISNUMBER($N$3),$N$3&gt;0),R462/(6*$N$3*1000000*$N$5)*(IF(N462&lt;($N$4*9/10),($N$4*9/10)*(MIN(O462,($N$4*9/10))^3-N462^3)-(MIN(O462,($N$4*9/10))^4-N462^4)/4,0)+IF(O462&gt;($N$4*9/10),($N$4*9/10)^2*(1.5*(O462^2-MAX(N462,($N$4*9/10))^2)-($N$4*9/10)*(O462-MAX(N462,($N$4*9/10)))),0))*1000,0)</f>
        <v>0</v>
      </c>
      <c r="AW462" s="120">
        <f>IF(AND(V462="OK",ISNUMBER($N$5),$N$5&gt;0,ISNUMBER($N$3),$N$3&gt;0),R462/(6*$N$3*1000000*$N$5)*(IF(N462&lt;($N$4*10/10),($N$4*10/10)*(MIN(O462,($N$4*10/10))^3-N462^3)-(MIN(O462,($N$4*10/10))^4-N462^4)/4,0)+IF(O462&gt;($N$4*10/10),($N$4*10/10)^2*(1.5*(O462^2-MAX(N462,($N$4*10/10))^2)-($N$4*10/10)*(O462-MAX(N462,($N$4*10/10)))),0))*1000,0)</f>
        <v>0</v>
      </c>
    </row>
    <row r="463" spans="1:49">
      <c r="A463" s="124"/>
      <c r="B463" s="125"/>
      <c r="C463" s="125"/>
      <c r="D463" s="125"/>
      <c r="E463" s="125"/>
      <c r="F463" s="126" t="str">
        <f>IF(J463="OK",D463*E463,"")</f>
        <v/>
      </c>
      <c r="G463" s="126" t="str">
        <f>IF(J463="OK",F463*(C463-B463),"")</f>
        <v/>
      </c>
      <c r="H463" s="126" t="str">
        <f>IF(J463="OK",G463*(C463+B463)/2,"")</f>
        <v/>
      </c>
      <c r="I463" s="126" t="str">
        <f>IF(AND(J463="OK",ISNUMBER($B$5),$B$5&gt;0,ISNUMBER($B$3),$B$3&gt;0),F463*(4*$B$4*(C463^3-B463^3)-(C463^4-B463^4))/(24*$B$3*1000000*$B$5)*1000,"")</f>
        <v/>
      </c>
      <c r="J463" s="120" t="str">
        <f>IF(COUNTA(A463:E463)=0,"",IF(AND(COUNT(B463:E463)=4,B463&gt;=0,C463&gt;B463,C463&lt;=$B$4,D463&gt;=0,E463&gt;0),IF(COUNTIFS($B$13:$B$462,"&lt;"&amp;C463,$C$13:$C$462,"&gt;"&amp;B463)&gt;0,"OVERLAP","OK"),"CHECK INPUTS"))</f>
        <v/>
      </c>
      <c r="M463" s="124"/>
      <c r="N463" s="125"/>
      <c r="O463" s="125"/>
      <c r="P463" s="125"/>
      <c r="Q463" s="125"/>
      <c r="R463" s="126" t="str">
        <f>IF(V463="OK",P463*Q463,"")</f>
        <v/>
      </c>
      <c r="S463" s="126" t="str">
        <f>IF(V463="OK",R463*(O463-N463),"")</f>
        <v/>
      </c>
      <c r="T463" s="126" t="str">
        <f>IF(V463="OK",S463*(O463+N463)/2,"")</f>
        <v/>
      </c>
      <c r="U463" s="126" t="str">
        <f>IF(AND(V463="OK",ISNUMBER($N$5),$N$5&gt;0,ISNUMBER($N$3),$N$3&gt;0),R463*(4*$N$4*(O463^3-N463^3)-(O463^4-N463^4))/(24*$N$3*1000000*$N$5)*1000,"")</f>
        <v/>
      </c>
      <c r="V463" s="120" t="str">
        <f>IF(COUNTA(M463:Q463)=0,"",IF(AND(COUNT(N463:Q463)=4,N463&gt;=0,O463&gt;N463,O463&lt;=$N$4,P463&gt;=0,Q463&gt;0),IF(COUNTIFS($N$13:$N$462,"&lt;"&amp;O463,$O$13:$O$462,"&gt;"&amp;N463)&gt;0,"OVERLAP","OK"),"CHECK INPUTS"))</f>
        <v/>
      </c>
      <c r="AA463" s="120">
        <f>IF(AND(J463="OK",ISNUMBER($B$5),$B$5&gt;0,ISNUMBER($B$3),$B$3&gt;0),F463/(6*$B$3*1000000*$B$5)*(IF(B463&lt;($B$4*0/10),($B$4*0/10)*(MIN(C463,($B$4*0/10))^3-B463^3)-(MIN(C463,($B$4*0/10))^4-B463^4)/4,0)+IF(C463&gt;($B$4*0/10),($B$4*0/10)^2*(1.5*(C463^2-MAX(B463,($B$4*0/10))^2)-($B$4*0/10)*(C463-MAX(B463,($B$4*0/10)))),0))*1000,0)</f>
        <v>0</v>
      </c>
      <c r="AB463" s="120">
        <f>IF(AND(J463="OK",ISNUMBER($B$5),$B$5&gt;0,ISNUMBER($B$3),$B$3&gt;0),F463/(6*$B$3*1000000*$B$5)*(IF(B463&lt;($B$4*1/10),($B$4*1/10)*(MIN(C463,($B$4*1/10))^3-B463^3)-(MIN(C463,($B$4*1/10))^4-B463^4)/4,0)+IF(C463&gt;($B$4*1/10),($B$4*1/10)^2*(1.5*(C463^2-MAX(B463,($B$4*1/10))^2)-($B$4*1/10)*(C463-MAX(B463,($B$4*1/10)))),0))*1000,0)</f>
        <v>0</v>
      </c>
      <c r="AC463" s="120">
        <f>IF(AND(J463="OK",ISNUMBER($B$5),$B$5&gt;0,ISNUMBER($B$3),$B$3&gt;0),F463/(6*$B$3*1000000*$B$5)*(IF(B463&lt;($B$4*2/10),($B$4*2/10)*(MIN(C463,($B$4*2/10))^3-B463^3)-(MIN(C463,($B$4*2/10))^4-B463^4)/4,0)+IF(C463&gt;($B$4*2/10),($B$4*2/10)^2*(1.5*(C463^2-MAX(B463,($B$4*2/10))^2)-($B$4*2/10)*(C463-MAX(B463,($B$4*2/10)))),0))*1000,0)</f>
        <v>0</v>
      </c>
      <c r="AD463" s="120">
        <f>IF(AND(J463="OK",ISNUMBER($B$5),$B$5&gt;0,ISNUMBER($B$3),$B$3&gt;0),F463/(6*$B$3*1000000*$B$5)*(IF(B463&lt;($B$4*3/10),($B$4*3/10)*(MIN(C463,($B$4*3/10))^3-B463^3)-(MIN(C463,($B$4*3/10))^4-B463^4)/4,0)+IF(C463&gt;($B$4*3/10),($B$4*3/10)^2*(1.5*(C463^2-MAX(B463,($B$4*3/10))^2)-($B$4*3/10)*(C463-MAX(B463,($B$4*3/10)))),0))*1000,0)</f>
        <v>0</v>
      </c>
      <c r="AE463" s="120">
        <f>IF(AND(J463="OK",ISNUMBER($B$5),$B$5&gt;0,ISNUMBER($B$3),$B$3&gt;0),F463/(6*$B$3*1000000*$B$5)*(IF(B463&lt;($B$4*4/10),($B$4*4/10)*(MIN(C463,($B$4*4/10))^3-B463^3)-(MIN(C463,($B$4*4/10))^4-B463^4)/4,0)+IF(C463&gt;($B$4*4/10),($B$4*4/10)^2*(1.5*(C463^2-MAX(B463,($B$4*4/10))^2)-($B$4*4/10)*(C463-MAX(B463,($B$4*4/10)))),0))*1000,0)</f>
        <v>0</v>
      </c>
      <c r="AF463" s="120">
        <f>IF(AND(J463="OK",ISNUMBER($B$5),$B$5&gt;0,ISNUMBER($B$3),$B$3&gt;0),F463/(6*$B$3*1000000*$B$5)*(IF(B463&lt;($B$4*5/10),($B$4*5/10)*(MIN(C463,($B$4*5/10))^3-B463^3)-(MIN(C463,($B$4*5/10))^4-B463^4)/4,0)+IF(C463&gt;($B$4*5/10),($B$4*5/10)^2*(1.5*(C463^2-MAX(B463,($B$4*5/10))^2)-($B$4*5/10)*(C463-MAX(B463,($B$4*5/10)))),0))*1000,0)</f>
        <v>0</v>
      </c>
      <c r="AG463" s="120">
        <f>IF(AND(J463="OK",ISNUMBER($B$5),$B$5&gt;0,ISNUMBER($B$3),$B$3&gt;0),F463/(6*$B$3*1000000*$B$5)*(IF(B463&lt;($B$4*6/10),($B$4*6/10)*(MIN(C463,($B$4*6/10))^3-B463^3)-(MIN(C463,($B$4*6/10))^4-B463^4)/4,0)+IF(C463&gt;($B$4*6/10),($B$4*6/10)^2*(1.5*(C463^2-MAX(B463,($B$4*6/10))^2)-($B$4*6/10)*(C463-MAX(B463,($B$4*6/10)))),0))*1000,0)</f>
        <v>0</v>
      </c>
      <c r="AH463" s="120">
        <f>IF(AND(J463="OK",ISNUMBER($B$5),$B$5&gt;0,ISNUMBER($B$3),$B$3&gt;0),F463/(6*$B$3*1000000*$B$5)*(IF(B463&lt;($B$4*7/10),($B$4*7/10)*(MIN(C463,($B$4*7/10))^3-B463^3)-(MIN(C463,($B$4*7/10))^4-B463^4)/4,0)+IF(C463&gt;($B$4*7/10),($B$4*7/10)^2*(1.5*(C463^2-MAX(B463,($B$4*7/10))^2)-($B$4*7/10)*(C463-MAX(B463,($B$4*7/10)))),0))*1000,0)</f>
        <v>0</v>
      </c>
      <c r="AI463" s="120">
        <f>IF(AND(J463="OK",ISNUMBER($B$5),$B$5&gt;0,ISNUMBER($B$3),$B$3&gt;0),F463/(6*$B$3*1000000*$B$5)*(IF(B463&lt;($B$4*8/10),($B$4*8/10)*(MIN(C463,($B$4*8/10))^3-B463^3)-(MIN(C463,($B$4*8/10))^4-B463^4)/4,0)+IF(C463&gt;($B$4*8/10),($B$4*8/10)^2*(1.5*(C463^2-MAX(B463,($B$4*8/10))^2)-($B$4*8/10)*(C463-MAX(B463,($B$4*8/10)))),0))*1000,0)</f>
        <v>0</v>
      </c>
      <c r="AJ463" s="120">
        <f>IF(AND(J463="OK",ISNUMBER($B$5),$B$5&gt;0,ISNUMBER($B$3),$B$3&gt;0),F463/(6*$B$3*1000000*$B$5)*(IF(B463&lt;($B$4*9/10),($B$4*9/10)*(MIN(C463,($B$4*9/10))^3-B463^3)-(MIN(C463,($B$4*9/10))^4-B463^4)/4,0)+IF(C463&gt;($B$4*9/10),($B$4*9/10)^2*(1.5*(C463^2-MAX(B463,($B$4*9/10))^2)-($B$4*9/10)*(C463-MAX(B463,($B$4*9/10)))),0))*1000,0)</f>
        <v>0</v>
      </c>
      <c r="AK463" s="120">
        <f>IF(AND(J463="OK",ISNUMBER($B$5),$B$5&gt;0,ISNUMBER($B$3),$B$3&gt;0),F463/(6*$B$3*1000000*$B$5)*(IF(B463&lt;($B$4*10/10),($B$4*10/10)*(MIN(C463,($B$4*10/10))^3-B463^3)-(MIN(C463,($B$4*10/10))^4-B463^4)/4,0)+IF(C463&gt;($B$4*10/10),($B$4*10/10)^2*(1.5*(C463^2-MAX(B463,($B$4*10/10))^2)-($B$4*10/10)*(C463-MAX(B463,($B$4*10/10)))),0))*1000,0)</f>
        <v>0</v>
      </c>
      <c r="AM463" s="120">
        <f>IF(AND(V463="OK",ISNUMBER($N$5),$N$5&gt;0,ISNUMBER($N$3),$N$3&gt;0),R463/(6*$N$3*1000000*$N$5)*(IF(N463&lt;($N$4*0/10),($N$4*0/10)*(MIN(O463,($N$4*0/10))^3-N463^3)-(MIN(O463,($N$4*0/10))^4-N463^4)/4,0)+IF(O463&gt;($N$4*0/10),($N$4*0/10)^2*(1.5*(O463^2-MAX(N463,($N$4*0/10))^2)-($N$4*0/10)*(O463-MAX(N463,($N$4*0/10)))),0))*1000,0)</f>
        <v>0</v>
      </c>
      <c r="AN463" s="120">
        <f>IF(AND(V463="OK",ISNUMBER($N$5),$N$5&gt;0,ISNUMBER($N$3),$N$3&gt;0),R463/(6*$N$3*1000000*$N$5)*(IF(N463&lt;($N$4*1/10),($N$4*1/10)*(MIN(O463,($N$4*1/10))^3-N463^3)-(MIN(O463,($N$4*1/10))^4-N463^4)/4,0)+IF(O463&gt;($N$4*1/10),($N$4*1/10)^2*(1.5*(O463^2-MAX(N463,($N$4*1/10))^2)-($N$4*1/10)*(O463-MAX(N463,($N$4*1/10)))),0))*1000,0)</f>
        <v>0</v>
      </c>
      <c r="AO463" s="120">
        <f>IF(AND(V463="OK",ISNUMBER($N$5),$N$5&gt;0,ISNUMBER($N$3),$N$3&gt;0),R463/(6*$N$3*1000000*$N$5)*(IF(N463&lt;($N$4*2/10),($N$4*2/10)*(MIN(O463,($N$4*2/10))^3-N463^3)-(MIN(O463,($N$4*2/10))^4-N463^4)/4,0)+IF(O463&gt;($N$4*2/10),($N$4*2/10)^2*(1.5*(O463^2-MAX(N463,($N$4*2/10))^2)-($N$4*2/10)*(O463-MAX(N463,($N$4*2/10)))),0))*1000,0)</f>
        <v>0</v>
      </c>
      <c r="AP463" s="120">
        <f>IF(AND(V463="OK",ISNUMBER($N$5),$N$5&gt;0,ISNUMBER($N$3),$N$3&gt;0),R463/(6*$N$3*1000000*$N$5)*(IF(N463&lt;($N$4*3/10),($N$4*3/10)*(MIN(O463,($N$4*3/10))^3-N463^3)-(MIN(O463,($N$4*3/10))^4-N463^4)/4,0)+IF(O463&gt;($N$4*3/10),($N$4*3/10)^2*(1.5*(O463^2-MAX(N463,($N$4*3/10))^2)-($N$4*3/10)*(O463-MAX(N463,($N$4*3/10)))),0))*1000,0)</f>
        <v>0</v>
      </c>
      <c r="AQ463" s="120">
        <f>IF(AND(V463="OK",ISNUMBER($N$5),$N$5&gt;0,ISNUMBER($N$3),$N$3&gt;0),R463/(6*$N$3*1000000*$N$5)*(IF(N463&lt;($N$4*4/10),($N$4*4/10)*(MIN(O463,($N$4*4/10))^3-N463^3)-(MIN(O463,($N$4*4/10))^4-N463^4)/4,0)+IF(O463&gt;($N$4*4/10),($N$4*4/10)^2*(1.5*(O463^2-MAX(N463,($N$4*4/10))^2)-($N$4*4/10)*(O463-MAX(N463,($N$4*4/10)))),0))*1000,0)</f>
        <v>0</v>
      </c>
      <c r="AR463" s="120">
        <f>IF(AND(V463="OK",ISNUMBER($N$5),$N$5&gt;0,ISNUMBER($N$3),$N$3&gt;0),R463/(6*$N$3*1000000*$N$5)*(IF(N463&lt;($N$4*5/10),($N$4*5/10)*(MIN(O463,($N$4*5/10))^3-N463^3)-(MIN(O463,($N$4*5/10))^4-N463^4)/4,0)+IF(O463&gt;($N$4*5/10),($N$4*5/10)^2*(1.5*(O463^2-MAX(N463,($N$4*5/10))^2)-($N$4*5/10)*(O463-MAX(N463,($N$4*5/10)))),0))*1000,0)</f>
        <v>0</v>
      </c>
      <c r="AS463" s="120">
        <f>IF(AND(V463="OK",ISNUMBER($N$5),$N$5&gt;0,ISNUMBER($N$3),$N$3&gt;0),R463/(6*$N$3*1000000*$N$5)*(IF(N463&lt;($N$4*6/10),($N$4*6/10)*(MIN(O463,($N$4*6/10))^3-N463^3)-(MIN(O463,($N$4*6/10))^4-N463^4)/4,0)+IF(O463&gt;($N$4*6/10),($N$4*6/10)^2*(1.5*(O463^2-MAX(N463,($N$4*6/10))^2)-($N$4*6/10)*(O463-MAX(N463,($N$4*6/10)))),0))*1000,0)</f>
        <v>0</v>
      </c>
      <c r="AT463" s="120">
        <f>IF(AND(V463="OK",ISNUMBER($N$5),$N$5&gt;0,ISNUMBER($N$3),$N$3&gt;0),R463/(6*$N$3*1000000*$N$5)*(IF(N463&lt;($N$4*7/10),($N$4*7/10)*(MIN(O463,($N$4*7/10))^3-N463^3)-(MIN(O463,($N$4*7/10))^4-N463^4)/4,0)+IF(O463&gt;($N$4*7/10),($N$4*7/10)^2*(1.5*(O463^2-MAX(N463,($N$4*7/10))^2)-($N$4*7/10)*(O463-MAX(N463,($N$4*7/10)))),0))*1000,0)</f>
        <v>0</v>
      </c>
      <c r="AU463" s="120">
        <f>IF(AND(V463="OK",ISNUMBER($N$5),$N$5&gt;0,ISNUMBER($N$3),$N$3&gt;0),R463/(6*$N$3*1000000*$N$5)*(IF(N463&lt;($N$4*8/10),($N$4*8/10)*(MIN(O463,($N$4*8/10))^3-N463^3)-(MIN(O463,($N$4*8/10))^4-N463^4)/4,0)+IF(O463&gt;($N$4*8/10),($N$4*8/10)^2*(1.5*(O463^2-MAX(N463,($N$4*8/10))^2)-($N$4*8/10)*(O463-MAX(N463,($N$4*8/10)))),0))*1000,0)</f>
        <v>0</v>
      </c>
      <c r="AV463" s="120">
        <f>IF(AND(V463="OK",ISNUMBER($N$5),$N$5&gt;0,ISNUMBER($N$3),$N$3&gt;0),R463/(6*$N$3*1000000*$N$5)*(IF(N463&lt;($N$4*9/10),($N$4*9/10)*(MIN(O463,($N$4*9/10))^3-N463^3)-(MIN(O463,($N$4*9/10))^4-N463^4)/4,0)+IF(O463&gt;($N$4*9/10),($N$4*9/10)^2*(1.5*(O463^2-MAX(N463,($N$4*9/10))^2)-($N$4*9/10)*(O463-MAX(N463,($N$4*9/10)))),0))*1000,0)</f>
        <v>0</v>
      </c>
      <c r="AW463" s="120">
        <f>IF(AND(V463="OK",ISNUMBER($N$5),$N$5&gt;0,ISNUMBER($N$3),$N$3&gt;0),R463/(6*$N$3*1000000*$N$5)*(IF(N463&lt;($N$4*10/10),($N$4*10/10)*(MIN(O463,($N$4*10/10))^3-N463^3)-(MIN(O463,($N$4*10/10))^4-N463^4)/4,0)+IF(O463&gt;($N$4*10/10),($N$4*10/10)^2*(1.5*(O463^2-MAX(N463,($N$4*10/10))^2)-($N$4*10/10)*(O463-MAX(N463,($N$4*10/10)))),0))*1000,0)</f>
        <v>0</v>
      </c>
    </row>
    <row r="464" spans="1:49">
      <c r="A464" s="124"/>
      <c r="B464" s="125"/>
      <c r="C464" s="125"/>
      <c r="D464" s="125"/>
      <c r="E464" s="125"/>
      <c r="F464" s="126" t="str">
        <f>IF(J464="OK",D464*E464,"")</f>
        <v/>
      </c>
      <c r="G464" s="126" t="str">
        <f>IF(J464="OK",F464*(C464-B464),"")</f>
        <v/>
      </c>
      <c r="H464" s="126" t="str">
        <f>IF(J464="OK",G464*(C464+B464)/2,"")</f>
        <v/>
      </c>
      <c r="I464" s="126" t="str">
        <f>IF(AND(J464="OK",ISNUMBER($B$5),$B$5&gt;0,ISNUMBER($B$3),$B$3&gt;0),F464*(4*$B$4*(C464^3-B464^3)-(C464^4-B464^4))/(24*$B$3*1000000*$B$5)*1000,"")</f>
        <v/>
      </c>
      <c r="J464" s="120" t="str">
        <f>IF(COUNTA(A464:E464)=0,"",IF(AND(COUNT(B464:E464)=4,B464&gt;=0,C464&gt;B464,C464&lt;=$B$4,D464&gt;=0,E464&gt;0),IF(COUNTIFS($B$13:$B$463,"&lt;"&amp;C464,$C$13:$C$463,"&gt;"&amp;B464)&gt;0,"OVERLAP","OK"),"CHECK INPUTS"))</f>
        <v/>
      </c>
      <c r="M464" s="124"/>
      <c r="N464" s="125"/>
      <c r="O464" s="125"/>
      <c r="P464" s="125"/>
      <c r="Q464" s="125"/>
      <c r="R464" s="126" t="str">
        <f>IF(V464="OK",P464*Q464,"")</f>
        <v/>
      </c>
      <c r="S464" s="126" t="str">
        <f>IF(V464="OK",R464*(O464-N464),"")</f>
        <v/>
      </c>
      <c r="T464" s="126" t="str">
        <f>IF(V464="OK",S464*(O464+N464)/2,"")</f>
        <v/>
      </c>
      <c r="U464" s="126" t="str">
        <f>IF(AND(V464="OK",ISNUMBER($N$5),$N$5&gt;0,ISNUMBER($N$3),$N$3&gt;0),R464*(4*$N$4*(O464^3-N464^3)-(O464^4-N464^4))/(24*$N$3*1000000*$N$5)*1000,"")</f>
        <v/>
      </c>
      <c r="V464" s="120" t="str">
        <f>IF(COUNTA(M464:Q464)=0,"",IF(AND(COUNT(N464:Q464)=4,N464&gt;=0,O464&gt;N464,O464&lt;=$N$4,P464&gt;=0,Q464&gt;0),IF(COUNTIFS($N$13:$N$463,"&lt;"&amp;O464,$O$13:$O$463,"&gt;"&amp;N464)&gt;0,"OVERLAP","OK"),"CHECK INPUTS"))</f>
        <v/>
      </c>
      <c r="AA464" s="120">
        <f>IF(AND(J464="OK",ISNUMBER($B$5),$B$5&gt;0,ISNUMBER($B$3),$B$3&gt;0),F464/(6*$B$3*1000000*$B$5)*(IF(B464&lt;($B$4*0/10),($B$4*0/10)*(MIN(C464,($B$4*0/10))^3-B464^3)-(MIN(C464,($B$4*0/10))^4-B464^4)/4,0)+IF(C464&gt;($B$4*0/10),($B$4*0/10)^2*(1.5*(C464^2-MAX(B464,($B$4*0/10))^2)-($B$4*0/10)*(C464-MAX(B464,($B$4*0/10)))),0))*1000,0)</f>
        <v>0</v>
      </c>
      <c r="AB464" s="120">
        <f>IF(AND(J464="OK",ISNUMBER($B$5),$B$5&gt;0,ISNUMBER($B$3),$B$3&gt;0),F464/(6*$B$3*1000000*$B$5)*(IF(B464&lt;($B$4*1/10),($B$4*1/10)*(MIN(C464,($B$4*1/10))^3-B464^3)-(MIN(C464,($B$4*1/10))^4-B464^4)/4,0)+IF(C464&gt;($B$4*1/10),($B$4*1/10)^2*(1.5*(C464^2-MAX(B464,($B$4*1/10))^2)-($B$4*1/10)*(C464-MAX(B464,($B$4*1/10)))),0))*1000,0)</f>
        <v>0</v>
      </c>
      <c r="AC464" s="120">
        <f>IF(AND(J464="OK",ISNUMBER($B$5),$B$5&gt;0,ISNUMBER($B$3),$B$3&gt;0),F464/(6*$B$3*1000000*$B$5)*(IF(B464&lt;($B$4*2/10),($B$4*2/10)*(MIN(C464,($B$4*2/10))^3-B464^3)-(MIN(C464,($B$4*2/10))^4-B464^4)/4,0)+IF(C464&gt;($B$4*2/10),($B$4*2/10)^2*(1.5*(C464^2-MAX(B464,($B$4*2/10))^2)-($B$4*2/10)*(C464-MAX(B464,($B$4*2/10)))),0))*1000,0)</f>
        <v>0</v>
      </c>
      <c r="AD464" s="120">
        <f>IF(AND(J464="OK",ISNUMBER($B$5),$B$5&gt;0,ISNUMBER($B$3),$B$3&gt;0),F464/(6*$B$3*1000000*$B$5)*(IF(B464&lt;($B$4*3/10),($B$4*3/10)*(MIN(C464,($B$4*3/10))^3-B464^3)-(MIN(C464,($B$4*3/10))^4-B464^4)/4,0)+IF(C464&gt;($B$4*3/10),($B$4*3/10)^2*(1.5*(C464^2-MAX(B464,($B$4*3/10))^2)-($B$4*3/10)*(C464-MAX(B464,($B$4*3/10)))),0))*1000,0)</f>
        <v>0</v>
      </c>
      <c r="AE464" s="120">
        <f>IF(AND(J464="OK",ISNUMBER($B$5),$B$5&gt;0,ISNUMBER($B$3),$B$3&gt;0),F464/(6*$B$3*1000000*$B$5)*(IF(B464&lt;($B$4*4/10),($B$4*4/10)*(MIN(C464,($B$4*4/10))^3-B464^3)-(MIN(C464,($B$4*4/10))^4-B464^4)/4,0)+IF(C464&gt;($B$4*4/10),($B$4*4/10)^2*(1.5*(C464^2-MAX(B464,($B$4*4/10))^2)-($B$4*4/10)*(C464-MAX(B464,($B$4*4/10)))),0))*1000,0)</f>
        <v>0</v>
      </c>
      <c r="AF464" s="120">
        <f>IF(AND(J464="OK",ISNUMBER($B$5),$B$5&gt;0,ISNUMBER($B$3),$B$3&gt;0),F464/(6*$B$3*1000000*$B$5)*(IF(B464&lt;($B$4*5/10),($B$4*5/10)*(MIN(C464,($B$4*5/10))^3-B464^3)-(MIN(C464,($B$4*5/10))^4-B464^4)/4,0)+IF(C464&gt;($B$4*5/10),($B$4*5/10)^2*(1.5*(C464^2-MAX(B464,($B$4*5/10))^2)-($B$4*5/10)*(C464-MAX(B464,($B$4*5/10)))),0))*1000,0)</f>
        <v>0</v>
      </c>
      <c r="AG464" s="120">
        <f>IF(AND(J464="OK",ISNUMBER($B$5),$B$5&gt;0,ISNUMBER($B$3),$B$3&gt;0),F464/(6*$B$3*1000000*$B$5)*(IF(B464&lt;($B$4*6/10),($B$4*6/10)*(MIN(C464,($B$4*6/10))^3-B464^3)-(MIN(C464,($B$4*6/10))^4-B464^4)/4,0)+IF(C464&gt;($B$4*6/10),($B$4*6/10)^2*(1.5*(C464^2-MAX(B464,($B$4*6/10))^2)-($B$4*6/10)*(C464-MAX(B464,($B$4*6/10)))),0))*1000,0)</f>
        <v>0</v>
      </c>
      <c r="AH464" s="120">
        <f>IF(AND(J464="OK",ISNUMBER($B$5),$B$5&gt;0,ISNUMBER($B$3),$B$3&gt;0),F464/(6*$B$3*1000000*$B$5)*(IF(B464&lt;($B$4*7/10),($B$4*7/10)*(MIN(C464,($B$4*7/10))^3-B464^3)-(MIN(C464,($B$4*7/10))^4-B464^4)/4,0)+IF(C464&gt;($B$4*7/10),($B$4*7/10)^2*(1.5*(C464^2-MAX(B464,($B$4*7/10))^2)-($B$4*7/10)*(C464-MAX(B464,($B$4*7/10)))),0))*1000,0)</f>
        <v>0</v>
      </c>
      <c r="AI464" s="120">
        <f>IF(AND(J464="OK",ISNUMBER($B$5),$B$5&gt;0,ISNUMBER($B$3),$B$3&gt;0),F464/(6*$B$3*1000000*$B$5)*(IF(B464&lt;($B$4*8/10),($B$4*8/10)*(MIN(C464,($B$4*8/10))^3-B464^3)-(MIN(C464,($B$4*8/10))^4-B464^4)/4,0)+IF(C464&gt;($B$4*8/10),($B$4*8/10)^2*(1.5*(C464^2-MAX(B464,($B$4*8/10))^2)-($B$4*8/10)*(C464-MAX(B464,($B$4*8/10)))),0))*1000,0)</f>
        <v>0</v>
      </c>
      <c r="AJ464" s="120">
        <f>IF(AND(J464="OK",ISNUMBER($B$5),$B$5&gt;0,ISNUMBER($B$3),$B$3&gt;0),F464/(6*$B$3*1000000*$B$5)*(IF(B464&lt;($B$4*9/10),($B$4*9/10)*(MIN(C464,($B$4*9/10))^3-B464^3)-(MIN(C464,($B$4*9/10))^4-B464^4)/4,0)+IF(C464&gt;($B$4*9/10),($B$4*9/10)^2*(1.5*(C464^2-MAX(B464,($B$4*9/10))^2)-($B$4*9/10)*(C464-MAX(B464,($B$4*9/10)))),0))*1000,0)</f>
        <v>0</v>
      </c>
      <c r="AK464" s="120">
        <f>IF(AND(J464="OK",ISNUMBER($B$5),$B$5&gt;0,ISNUMBER($B$3),$B$3&gt;0),F464/(6*$B$3*1000000*$B$5)*(IF(B464&lt;($B$4*10/10),($B$4*10/10)*(MIN(C464,($B$4*10/10))^3-B464^3)-(MIN(C464,($B$4*10/10))^4-B464^4)/4,0)+IF(C464&gt;($B$4*10/10),($B$4*10/10)^2*(1.5*(C464^2-MAX(B464,($B$4*10/10))^2)-($B$4*10/10)*(C464-MAX(B464,($B$4*10/10)))),0))*1000,0)</f>
        <v>0</v>
      </c>
      <c r="AM464" s="120">
        <f>IF(AND(V464="OK",ISNUMBER($N$5),$N$5&gt;0,ISNUMBER($N$3),$N$3&gt;0),R464/(6*$N$3*1000000*$N$5)*(IF(N464&lt;($N$4*0/10),($N$4*0/10)*(MIN(O464,($N$4*0/10))^3-N464^3)-(MIN(O464,($N$4*0/10))^4-N464^4)/4,0)+IF(O464&gt;($N$4*0/10),($N$4*0/10)^2*(1.5*(O464^2-MAX(N464,($N$4*0/10))^2)-($N$4*0/10)*(O464-MAX(N464,($N$4*0/10)))),0))*1000,0)</f>
        <v>0</v>
      </c>
      <c r="AN464" s="120">
        <f>IF(AND(V464="OK",ISNUMBER($N$5),$N$5&gt;0,ISNUMBER($N$3),$N$3&gt;0),R464/(6*$N$3*1000000*$N$5)*(IF(N464&lt;($N$4*1/10),($N$4*1/10)*(MIN(O464,($N$4*1/10))^3-N464^3)-(MIN(O464,($N$4*1/10))^4-N464^4)/4,0)+IF(O464&gt;($N$4*1/10),($N$4*1/10)^2*(1.5*(O464^2-MAX(N464,($N$4*1/10))^2)-($N$4*1/10)*(O464-MAX(N464,($N$4*1/10)))),0))*1000,0)</f>
        <v>0</v>
      </c>
      <c r="AO464" s="120">
        <f>IF(AND(V464="OK",ISNUMBER($N$5),$N$5&gt;0,ISNUMBER($N$3),$N$3&gt;0),R464/(6*$N$3*1000000*$N$5)*(IF(N464&lt;($N$4*2/10),($N$4*2/10)*(MIN(O464,($N$4*2/10))^3-N464^3)-(MIN(O464,($N$4*2/10))^4-N464^4)/4,0)+IF(O464&gt;($N$4*2/10),($N$4*2/10)^2*(1.5*(O464^2-MAX(N464,($N$4*2/10))^2)-($N$4*2/10)*(O464-MAX(N464,($N$4*2/10)))),0))*1000,0)</f>
        <v>0</v>
      </c>
      <c r="AP464" s="120">
        <f>IF(AND(V464="OK",ISNUMBER($N$5),$N$5&gt;0,ISNUMBER($N$3),$N$3&gt;0),R464/(6*$N$3*1000000*$N$5)*(IF(N464&lt;($N$4*3/10),($N$4*3/10)*(MIN(O464,($N$4*3/10))^3-N464^3)-(MIN(O464,($N$4*3/10))^4-N464^4)/4,0)+IF(O464&gt;($N$4*3/10),($N$4*3/10)^2*(1.5*(O464^2-MAX(N464,($N$4*3/10))^2)-($N$4*3/10)*(O464-MAX(N464,($N$4*3/10)))),0))*1000,0)</f>
        <v>0</v>
      </c>
      <c r="AQ464" s="120">
        <f>IF(AND(V464="OK",ISNUMBER($N$5),$N$5&gt;0,ISNUMBER($N$3),$N$3&gt;0),R464/(6*$N$3*1000000*$N$5)*(IF(N464&lt;($N$4*4/10),($N$4*4/10)*(MIN(O464,($N$4*4/10))^3-N464^3)-(MIN(O464,($N$4*4/10))^4-N464^4)/4,0)+IF(O464&gt;($N$4*4/10),($N$4*4/10)^2*(1.5*(O464^2-MAX(N464,($N$4*4/10))^2)-($N$4*4/10)*(O464-MAX(N464,($N$4*4/10)))),0))*1000,0)</f>
        <v>0</v>
      </c>
      <c r="AR464" s="120">
        <f>IF(AND(V464="OK",ISNUMBER($N$5),$N$5&gt;0,ISNUMBER($N$3),$N$3&gt;0),R464/(6*$N$3*1000000*$N$5)*(IF(N464&lt;($N$4*5/10),($N$4*5/10)*(MIN(O464,($N$4*5/10))^3-N464^3)-(MIN(O464,($N$4*5/10))^4-N464^4)/4,0)+IF(O464&gt;($N$4*5/10),($N$4*5/10)^2*(1.5*(O464^2-MAX(N464,($N$4*5/10))^2)-($N$4*5/10)*(O464-MAX(N464,($N$4*5/10)))),0))*1000,0)</f>
        <v>0</v>
      </c>
      <c r="AS464" s="120">
        <f>IF(AND(V464="OK",ISNUMBER($N$5),$N$5&gt;0,ISNUMBER($N$3),$N$3&gt;0),R464/(6*$N$3*1000000*$N$5)*(IF(N464&lt;($N$4*6/10),($N$4*6/10)*(MIN(O464,($N$4*6/10))^3-N464^3)-(MIN(O464,($N$4*6/10))^4-N464^4)/4,0)+IF(O464&gt;($N$4*6/10),($N$4*6/10)^2*(1.5*(O464^2-MAX(N464,($N$4*6/10))^2)-($N$4*6/10)*(O464-MAX(N464,($N$4*6/10)))),0))*1000,0)</f>
        <v>0</v>
      </c>
      <c r="AT464" s="120">
        <f>IF(AND(V464="OK",ISNUMBER($N$5),$N$5&gt;0,ISNUMBER($N$3),$N$3&gt;0),R464/(6*$N$3*1000000*$N$5)*(IF(N464&lt;($N$4*7/10),($N$4*7/10)*(MIN(O464,($N$4*7/10))^3-N464^3)-(MIN(O464,($N$4*7/10))^4-N464^4)/4,0)+IF(O464&gt;($N$4*7/10),($N$4*7/10)^2*(1.5*(O464^2-MAX(N464,($N$4*7/10))^2)-($N$4*7/10)*(O464-MAX(N464,($N$4*7/10)))),0))*1000,0)</f>
        <v>0</v>
      </c>
      <c r="AU464" s="120">
        <f>IF(AND(V464="OK",ISNUMBER($N$5),$N$5&gt;0,ISNUMBER($N$3),$N$3&gt;0),R464/(6*$N$3*1000000*$N$5)*(IF(N464&lt;($N$4*8/10),($N$4*8/10)*(MIN(O464,($N$4*8/10))^3-N464^3)-(MIN(O464,($N$4*8/10))^4-N464^4)/4,0)+IF(O464&gt;($N$4*8/10),($N$4*8/10)^2*(1.5*(O464^2-MAX(N464,($N$4*8/10))^2)-($N$4*8/10)*(O464-MAX(N464,($N$4*8/10)))),0))*1000,0)</f>
        <v>0</v>
      </c>
      <c r="AV464" s="120">
        <f>IF(AND(V464="OK",ISNUMBER($N$5),$N$5&gt;0,ISNUMBER($N$3),$N$3&gt;0),R464/(6*$N$3*1000000*$N$5)*(IF(N464&lt;($N$4*9/10),($N$4*9/10)*(MIN(O464,($N$4*9/10))^3-N464^3)-(MIN(O464,($N$4*9/10))^4-N464^4)/4,0)+IF(O464&gt;($N$4*9/10),($N$4*9/10)^2*(1.5*(O464^2-MAX(N464,($N$4*9/10))^2)-($N$4*9/10)*(O464-MAX(N464,($N$4*9/10)))),0))*1000,0)</f>
        <v>0</v>
      </c>
      <c r="AW464" s="120">
        <f>IF(AND(V464="OK",ISNUMBER($N$5),$N$5&gt;0,ISNUMBER($N$3),$N$3&gt;0),R464/(6*$N$3*1000000*$N$5)*(IF(N464&lt;($N$4*10/10),($N$4*10/10)*(MIN(O464,($N$4*10/10))^3-N464^3)-(MIN(O464,($N$4*10/10))^4-N464^4)/4,0)+IF(O464&gt;($N$4*10/10),($N$4*10/10)^2*(1.5*(O464^2-MAX(N464,($N$4*10/10))^2)-($N$4*10/10)*(O464-MAX(N464,($N$4*10/10)))),0))*1000,0)</f>
        <v>0</v>
      </c>
    </row>
    <row r="465" spans="1:49">
      <c r="A465" s="124"/>
      <c r="B465" s="125"/>
      <c r="C465" s="125"/>
      <c r="D465" s="125"/>
      <c r="E465" s="125"/>
      <c r="F465" s="126" t="str">
        <f>IF(J465="OK",D465*E465,"")</f>
        <v/>
      </c>
      <c r="G465" s="126" t="str">
        <f>IF(J465="OK",F465*(C465-B465),"")</f>
        <v/>
      </c>
      <c r="H465" s="126" t="str">
        <f>IF(J465="OK",G465*(C465+B465)/2,"")</f>
        <v/>
      </c>
      <c r="I465" s="126" t="str">
        <f>IF(AND(J465="OK",ISNUMBER($B$5),$B$5&gt;0,ISNUMBER($B$3),$B$3&gt;0),F465*(4*$B$4*(C465^3-B465^3)-(C465^4-B465^4))/(24*$B$3*1000000*$B$5)*1000,"")</f>
        <v/>
      </c>
      <c r="J465" s="120" t="str">
        <f>IF(COUNTA(A465:E465)=0,"",IF(AND(COUNT(B465:E465)=4,B465&gt;=0,C465&gt;B465,C465&lt;=$B$4,D465&gt;=0,E465&gt;0),IF(COUNTIFS($B$13:$B$464,"&lt;"&amp;C465,$C$13:$C$464,"&gt;"&amp;B465)&gt;0,"OVERLAP","OK"),"CHECK INPUTS"))</f>
        <v/>
      </c>
      <c r="M465" s="124"/>
      <c r="N465" s="125"/>
      <c r="O465" s="125"/>
      <c r="P465" s="125"/>
      <c r="Q465" s="125"/>
      <c r="R465" s="126" t="str">
        <f>IF(V465="OK",P465*Q465,"")</f>
        <v/>
      </c>
      <c r="S465" s="126" t="str">
        <f>IF(V465="OK",R465*(O465-N465),"")</f>
        <v/>
      </c>
      <c r="T465" s="126" t="str">
        <f>IF(V465="OK",S465*(O465+N465)/2,"")</f>
        <v/>
      </c>
      <c r="U465" s="126" t="str">
        <f>IF(AND(V465="OK",ISNUMBER($N$5),$N$5&gt;0,ISNUMBER($N$3),$N$3&gt;0),R465*(4*$N$4*(O465^3-N465^3)-(O465^4-N465^4))/(24*$N$3*1000000*$N$5)*1000,"")</f>
        <v/>
      </c>
      <c r="V465" s="120" t="str">
        <f>IF(COUNTA(M465:Q465)=0,"",IF(AND(COUNT(N465:Q465)=4,N465&gt;=0,O465&gt;N465,O465&lt;=$N$4,P465&gt;=0,Q465&gt;0),IF(COUNTIFS($N$13:$N$464,"&lt;"&amp;O465,$O$13:$O$464,"&gt;"&amp;N465)&gt;0,"OVERLAP","OK"),"CHECK INPUTS"))</f>
        <v/>
      </c>
      <c r="AA465" s="120">
        <f>IF(AND(J465="OK",ISNUMBER($B$5),$B$5&gt;0,ISNUMBER($B$3),$B$3&gt;0),F465/(6*$B$3*1000000*$B$5)*(IF(B465&lt;($B$4*0/10),($B$4*0/10)*(MIN(C465,($B$4*0/10))^3-B465^3)-(MIN(C465,($B$4*0/10))^4-B465^4)/4,0)+IF(C465&gt;($B$4*0/10),($B$4*0/10)^2*(1.5*(C465^2-MAX(B465,($B$4*0/10))^2)-($B$4*0/10)*(C465-MAX(B465,($B$4*0/10)))),0))*1000,0)</f>
        <v>0</v>
      </c>
      <c r="AB465" s="120">
        <f>IF(AND(J465="OK",ISNUMBER($B$5),$B$5&gt;0,ISNUMBER($B$3),$B$3&gt;0),F465/(6*$B$3*1000000*$B$5)*(IF(B465&lt;($B$4*1/10),($B$4*1/10)*(MIN(C465,($B$4*1/10))^3-B465^3)-(MIN(C465,($B$4*1/10))^4-B465^4)/4,0)+IF(C465&gt;($B$4*1/10),($B$4*1/10)^2*(1.5*(C465^2-MAX(B465,($B$4*1/10))^2)-($B$4*1/10)*(C465-MAX(B465,($B$4*1/10)))),0))*1000,0)</f>
        <v>0</v>
      </c>
      <c r="AC465" s="120">
        <f>IF(AND(J465="OK",ISNUMBER($B$5),$B$5&gt;0,ISNUMBER($B$3),$B$3&gt;0),F465/(6*$B$3*1000000*$B$5)*(IF(B465&lt;($B$4*2/10),($B$4*2/10)*(MIN(C465,($B$4*2/10))^3-B465^3)-(MIN(C465,($B$4*2/10))^4-B465^4)/4,0)+IF(C465&gt;($B$4*2/10),($B$4*2/10)^2*(1.5*(C465^2-MAX(B465,($B$4*2/10))^2)-($B$4*2/10)*(C465-MAX(B465,($B$4*2/10)))),0))*1000,0)</f>
        <v>0</v>
      </c>
      <c r="AD465" s="120">
        <f>IF(AND(J465="OK",ISNUMBER($B$5),$B$5&gt;0,ISNUMBER($B$3),$B$3&gt;0),F465/(6*$B$3*1000000*$B$5)*(IF(B465&lt;($B$4*3/10),($B$4*3/10)*(MIN(C465,($B$4*3/10))^3-B465^3)-(MIN(C465,($B$4*3/10))^4-B465^4)/4,0)+IF(C465&gt;($B$4*3/10),($B$4*3/10)^2*(1.5*(C465^2-MAX(B465,($B$4*3/10))^2)-($B$4*3/10)*(C465-MAX(B465,($B$4*3/10)))),0))*1000,0)</f>
        <v>0</v>
      </c>
      <c r="AE465" s="120">
        <f>IF(AND(J465="OK",ISNUMBER($B$5),$B$5&gt;0,ISNUMBER($B$3),$B$3&gt;0),F465/(6*$B$3*1000000*$B$5)*(IF(B465&lt;($B$4*4/10),($B$4*4/10)*(MIN(C465,($B$4*4/10))^3-B465^3)-(MIN(C465,($B$4*4/10))^4-B465^4)/4,0)+IF(C465&gt;($B$4*4/10),($B$4*4/10)^2*(1.5*(C465^2-MAX(B465,($B$4*4/10))^2)-($B$4*4/10)*(C465-MAX(B465,($B$4*4/10)))),0))*1000,0)</f>
        <v>0</v>
      </c>
      <c r="AF465" s="120">
        <f>IF(AND(J465="OK",ISNUMBER($B$5),$B$5&gt;0,ISNUMBER($B$3),$B$3&gt;0),F465/(6*$B$3*1000000*$B$5)*(IF(B465&lt;($B$4*5/10),($B$4*5/10)*(MIN(C465,($B$4*5/10))^3-B465^3)-(MIN(C465,($B$4*5/10))^4-B465^4)/4,0)+IF(C465&gt;($B$4*5/10),($B$4*5/10)^2*(1.5*(C465^2-MAX(B465,($B$4*5/10))^2)-($B$4*5/10)*(C465-MAX(B465,($B$4*5/10)))),0))*1000,0)</f>
        <v>0</v>
      </c>
      <c r="AG465" s="120">
        <f>IF(AND(J465="OK",ISNUMBER($B$5),$B$5&gt;0,ISNUMBER($B$3),$B$3&gt;0),F465/(6*$B$3*1000000*$B$5)*(IF(B465&lt;($B$4*6/10),($B$4*6/10)*(MIN(C465,($B$4*6/10))^3-B465^3)-(MIN(C465,($B$4*6/10))^4-B465^4)/4,0)+IF(C465&gt;($B$4*6/10),($B$4*6/10)^2*(1.5*(C465^2-MAX(B465,($B$4*6/10))^2)-($B$4*6/10)*(C465-MAX(B465,($B$4*6/10)))),0))*1000,0)</f>
        <v>0</v>
      </c>
      <c r="AH465" s="120">
        <f>IF(AND(J465="OK",ISNUMBER($B$5),$B$5&gt;0,ISNUMBER($B$3),$B$3&gt;0),F465/(6*$B$3*1000000*$B$5)*(IF(B465&lt;($B$4*7/10),($B$4*7/10)*(MIN(C465,($B$4*7/10))^3-B465^3)-(MIN(C465,($B$4*7/10))^4-B465^4)/4,0)+IF(C465&gt;($B$4*7/10),($B$4*7/10)^2*(1.5*(C465^2-MAX(B465,($B$4*7/10))^2)-($B$4*7/10)*(C465-MAX(B465,($B$4*7/10)))),0))*1000,0)</f>
        <v>0</v>
      </c>
      <c r="AI465" s="120">
        <f>IF(AND(J465="OK",ISNUMBER($B$5),$B$5&gt;0,ISNUMBER($B$3),$B$3&gt;0),F465/(6*$B$3*1000000*$B$5)*(IF(B465&lt;($B$4*8/10),($B$4*8/10)*(MIN(C465,($B$4*8/10))^3-B465^3)-(MIN(C465,($B$4*8/10))^4-B465^4)/4,0)+IF(C465&gt;($B$4*8/10),($B$4*8/10)^2*(1.5*(C465^2-MAX(B465,($B$4*8/10))^2)-($B$4*8/10)*(C465-MAX(B465,($B$4*8/10)))),0))*1000,0)</f>
        <v>0</v>
      </c>
      <c r="AJ465" s="120">
        <f>IF(AND(J465="OK",ISNUMBER($B$5),$B$5&gt;0,ISNUMBER($B$3),$B$3&gt;0),F465/(6*$B$3*1000000*$B$5)*(IF(B465&lt;($B$4*9/10),($B$4*9/10)*(MIN(C465,($B$4*9/10))^3-B465^3)-(MIN(C465,($B$4*9/10))^4-B465^4)/4,0)+IF(C465&gt;($B$4*9/10),($B$4*9/10)^2*(1.5*(C465^2-MAX(B465,($B$4*9/10))^2)-($B$4*9/10)*(C465-MAX(B465,($B$4*9/10)))),0))*1000,0)</f>
        <v>0</v>
      </c>
      <c r="AK465" s="120">
        <f>IF(AND(J465="OK",ISNUMBER($B$5),$B$5&gt;0,ISNUMBER($B$3),$B$3&gt;0),F465/(6*$B$3*1000000*$B$5)*(IF(B465&lt;($B$4*10/10),($B$4*10/10)*(MIN(C465,($B$4*10/10))^3-B465^3)-(MIN(C465,($B$4*10/10))^4-B465^4)/4,0)+IF(C465&gt;($B$4*10/10),($B$4*10/10)^2*(1.5*(C465^2-MAX(B465,($B$4*10/10))^2)-($B$4*10/10)*(C465-MAX(B465,($B$4*10/10)))),0))*1000,0)</f>
        <v>0</v>
      </c>
      <c r="AM465" s="120">
        <f>IF(AND(V465="OK",ISNUMBER($N$5),$N$5&gt;0,ISNUMBER($N$3),$N$3&gt;0),R465/(6*$N$3*1000000*$N$5)*(IF(N465&lt;($N$4*0/10),($N$4*0/10)*(MIN(O465,($N$4*0/10))^3-N465^3)-(MIN(O465,($N$4*0/10))^4-N465^4)/4,0)+IF(O465&gt;($N$4*0/10),($N$4*0/10)^2*(1.5*(O465^2-MAX(N465,($N$4*0/10))^2)-($N$4*0/10)*(O465-MAX(N465,($N$4*0/10)))),0))*1000,0)</f>
        <v>0</v>
      </c>
      <c r="AN465" s="120">
        <f>IF(AND(V465="OK",ISNUMBER($N$5),$N$5&gt;0,ISNUMBER($N$3),$N$3&gt;0),R465/(6*$N$3*1000000*$N$5)*(IF(N465&lt;($N$4*1/10),($N$4*1/10)*(MIN(O465,($N$4*1/10))^3-N465^3)-(MIN(O465,($N$4*1/10))^4-N465^4)/4,0)+IF(O465&gt;($N$4*1/10),($N$4*1/10)^2*(1.5*(O465^2-MAX(N465,($N$4*1/10))^2)-($N$4*1/10)*(O465-MAX(N465,($N$4*1/10)))),0))*1000,0)</f>
        <v>0</v>
      </c>
      <c r="AO465" s="120">
        <f>IF(AND(V465="OK",ISNUMBER($N$5),$N$5&gt;0,ISNUMBER($N$3),$N$3&gt;0),R465/(6*$N$3*1000000*$N$5)*(IF(N465&lt;($N$4*2/10),($N$4*2/10)*(MIN(O465,($N$4*2/10))^3-N465^3)-(MIN(O465,($N$4*2/10))^4-N465^4)/4,0)+IF(O465&gt;($N$4*2/10),($N$4*2/10)^2*(1.5*(O465^2-MAX(N465,($N$4*2/10))^2)-($N$4*2/10)*(O465-MAX(N465,($N$4*2/10)))),0))*1000,0)</f>
        <v>0</v>
      </c>
      <c r="AP465" s="120">
        <f>IF(AND(V465="OK",ISNUMBER($N$5),$N$5&gt;0,ISNUMBER($N$3),$N$3&gt;0),R465/(6*$N$3*1000000*$N$5)*(IF(N465&lt;($N$4*3/10),($N$4*3/10)*(MIN(O465,($N$4*3/10))^3-N465^3)-(MIN(O465,($N$4*3/10))^4-N465^4)/4,0)+IF(O465&gt;($N$4*3/10),($N$4*3/10)^2*(1.5*(O465^2-MAX(N465,($N$4*3/10))^2)-($N$4*3/10)*(O465-MAX(N465,($N$4*3/10)))),0))*1000,0)</f>
        <v>0</v>
      </c>
      <c r="AQ465" s="120">
        <f>IF(AND(V465="OK",ISNUMBER($N$5),$N$5&gt;0,ISNUMBER($N$3),$N$3&gt;0),R465/(6*$N$3*1000000*$N$5)*(IF(N465&lt;($N$4*4/10),($N$4*4/10)*(MIN(O465,($N$4*4/10))^3-N465^3)-(MIN(O465,($N$4*4/10))^4-N465^4)/4,0)+IF(O465&gt;($N$4*4/10),($N$4*4/10)^2*(1.5*(O465^2-MAX(N465,($N$4*4/10))^2)-($N$4*4/10)*(O465-MAX(N465,($N$4*4/10)))),0))*1000,0)</f>
        <v>0</v>
      </c>
      <c r="AR465" s="120">
        <f>IF(AND(V465="OK",ISNUMBER($N$5),$N$5&gt;0,ISNUMBER($N$3),$N$3&gt;0),R465/(6*$N$3*1000000*$N$5)*(IF(N465&lt;($N$4*5/10),($N$4*5/10)*(MIN(O465,($N$4*5/10))^3-N465^3)-(MIN(O465,($N$4*5/10))^4-N465^4)/4,0)+IF(O465&gt;($N$4*5/10),($N$4*5/10)^2*(1.5*(O465^2-MAX(N465,($N$4*5/10))^2)-($N$4*5/10)*(O465-MAX(N465,($N$4*5/10)))),0))*1000,0)</f>
        <v>0</v>
      </c>
      <c r="AS465" s="120">
        <f>IF(AND(V465="OK",ISNUMBER($N$5),$N$5&gt;0,ISNUMBER($N$3),$N$3&gt;0),R465/(6*$N$3*1000000*$N$5)*(IF(N465&lt;($N$4*6/10),($N$4*6/10)*(MIN(O465,($N$4*6/10))^3-N465^3)-(MIN(O465,($N$4*6/10))^4-N465^4)/4,0)+IF(O465&gt;($N$4*6/10),($N$4*6/10)^2*(1.5*(O465^2-MAX(N465,($N$4*6/10))^2)-($N$4*6/10)*(O465-MAX(N465,($N$4*6/10)))),0))*1000,0)</f>
        <v>0</v>
      </c>
      <c r="AT465" s="120">
        <f>IF(AND(V465="OK",ISNUMBER($N$5),$N$5&gt;0,ISNUMBER($N$3),$N$3&gt;0),R465/(6*$N$3*1000000*$N$5)*(IF(N465&lt;($N$4*7/10),($N$4*7/10)*(MIN(O465,($N$4*7/10))^3-N465^3)-(MIN(O465,($N$4*7/10))^4-N465^4)/4,0)+IF(O465&gt;($N$4*7/10),($N$4*7/10)^2*(1.5*(O465^2-MAX(N465,($N$4*7/10))^2)-($N$4*7/10)*(O465-MAX(N465,($N$4*7/10)))),0))*1000,0)</f>
        <v>0</v>
      </c>
      <c r="AU465" s="120">
        <f>IF(AND(V465="OK",ISNUMBER($N$5),$N$5&gt;0,ISNUMBER($N$3),$N$3&gt;0),R465/(6*$N$3*1000000*$N$5)*(IF(N465&lt;($N$4*8/10),($N$4*8/10)*(MIN(O465,($N$4*8/10))^3-N465^3)-(MIN(O465,($N$4*8/10))^4-N465^4)/4,0)+IF(O465&gt;($N$4*8/10),($N$4*8/10)^2*(1.5*(O465^2-MAX(N465,($N$4*8/10))^2)-($N$4*8/10)*(O465-MAX(N465,($N$4*8/10)))),0))*1000,0)</f>
        <v>0</v>
      </c>
      <c r="AV465" s="120">
        <f>IF(AND(V465="OK",ISNUMBER($N$5),$N$5&gt;0,ISNUMBER($N$3),$N$3&gt;0),R465/(6*$N$3*1000000*$N$5)*(IF(N465&lt;($N$4*9/10),($N$4*9/10)*(MIN(O465,($N$4*9/10))^3-N465^3)-(MIN(O465,($N$4*9/10))^4-N465^4)/4,0)+IF(O465&gt;($N$4*9/10),($N$4*9/10)^2*(1.5*(O465^2-MAX(N465,($N$4*9/10))^2)-($N$4*9/10)*(O465-MAX(N465,($N$4*9/10)))),0))*1000,0)</f>
        <v>0</v>
      </c>
      <c r="AW465" s="120">
        <f>IF(AND(V465="OK",ISNUMBER($N$5),$N$5&gt;0,ISNUMBER($N$3),$N$3&gt;0),R465/(6*$N$3*1000000*$N$5)*(IF(N465&lt;($N$4*10/10),($N$4*10/10)*(MIN(O465,($N$4*10/10))^3-N465^3)-(MIN(O465,($N$4*10/10))^4-N465^4)/4,0)+IF(O465&gt;($N$4*10/10),($N$4*10/10)^2*(1.5*(O465^2-MAX(N465,($N$4*10/10))^2)-($N$4*10/10)*(O465-MAX(N465,($N$4*10/10)))),0))*1000,0)</f>
        <v>0</v>
      </c>
    </row>
    <row r="466" spans="1:49">
      <c r="A466" s="124"/>
      <c r="B466" s="125"/>
      <c r="C466" s="125"/>
      <c r="D466" s="125"/>
      <c r="E466" s="125"/>
      <c r="F466" s="126" t="str">
        <f>IF(J466="OK",D466*E466,"")</f>
        <v/>
      </c>
      <c r="G466" s="126" t="str">
        <f>IF(J466="OK",F466*(C466-B466),"")</f>
        <v/>
      </c>
      <c r="H466" s="126" t="str">
        <f>IF(J466="OK",G466*(C466+B466)/2,"")</f>
        <v/>
      </c>
      <c r="I466" s="126" t="str">
        <f>IF(AND(J466="OK",ISNUMBER($B$5),$B$5&gt;0,ISNUMBER($B$3),$B$3&gt;0),F466*(4*$B$4*(C466^3-B466^3)-(C466^4-B466^4))/(24*$B$3*1000000*$B$5)*1000,"")</f>
        <v/>
      </c>
      <c r="J466" s="120" t="str">
        <f>IF(COUNTA(A466:E466)=0,"",IF(AND(COUNT(B466:E466)=4,B466&gt;=0,C466&gt;B466,C466&lt;=$B$4,D466&gt;=0,E466&gt;0),IF(COUNTIFS($B$13:$B$465,"&lt;"&amp;C466,$C$13:$C$465,"&gt;"&amp;B466)&gt;0,"OVERLAP","OK"),"CHECK INPUTS"))</f>
        <v/>
      </c>
      <c r="M466" s="124"/>
      <c r="N466" s="125"/>
      <c r="O466" s="125"/>
      <c r="P466" s="125"/>
      <c r="Q466" s="125"/>
      <c r="R466" s="126" t="str">
        <f>IF(V466="OK",P466*Q466,"")</f>
        <v/>
      </c>
      <c r="S466" s="126" t="str">
        <f>IF(V466="OK",R466*(O466-N466),"")</f>
        <v/>
      </c>
      <c r="T466" s="126" t="str">
        <f>IF(V466="OK",S466*(O466+N466)/2,"")</f>
        <v/>
      </c>
      <c r="U466" s="126" t="str">
        <f>IF(AND(V466="OK",ISNUMBER($N$5),$N$5&gt;0,ISNUMBER($N$3),$N$3&gt;0),R466*(4*$N$4*(O466^3-N466^3)-(O466^4-N466^4))/(24*$N$3*1000000*$N$5)*1000,"")</f>
        <v/>
      </c>
      <c r="V466" s="120" t="str">
        <f>IF(COUNTA(M466:Q466)=0,"",IF(AND(COUNT(N466:Q466)=4,N466&gt;=0,O466&gt;N466,O466&lt;=$N$4,P466&gt;=0,Q466&gt;0),IF(COUNTIFS($N$13:$N$465,"&lt;"&amp;O466,$O$13:$O$465,"&gt;"&amp;N466)&gt;0,"OVERLAP","OK"),"CHECK INPUTS"))</f>
        <v/>
      </c>
      <c r="AA466" s="120">
        <f>IF(AND(J466="OK",ISNUMBER($B$5),$B$5&gt;0,ISNUMBER($B$3),$B$3&gt;0),F466/(6*$B$3*1000000*$B$5)*(IF(B466&lt;($B$4*0/10),($B$4*0/10)*(MIN(C466,($B$4*0/10))^3-B466^3)-(MIN(C466,($B$4*0/10))^4-B466^4)/4,0)+IF(C466&gt;($B$4*0/10),($B$4*0/10)^2*(1.5*(C466^2-MAX(B466,($B$4*0/10))^2)-($B$4*0/10)*(C466-MAX(B466,($B$4*0/10)))),0))*1000,0)</f>
        <v>0</v>
      </c>
      <c r="AB466" s="120">
        <f>IF(AND(J466="OK",ISNUMBER($B$5),$B$5&gt;0,ISNUMBER($B$3),$B$3&gt;0),F466/(6*$B$3*1000000*$B$5)*(IF(B466&lt;($B$4*1/10),($B$4*1/10)*(MIN(C466,($B$4*1/10))^3-B466^3)-(MIN(C466,($B$4*1/10))^4-B466^4)/4,0)+IF(C466&gt;($B$4*1/10),($B$4*1/10)^2*(1.5*(C466^2-MAX(B466,($B$4*1/10))^2)-($B$4*1/10)*(C466-MAX(B466,($B$4*1/10)))),0))*1000,0)</f>
        <v>0</v>
      </c>
      <c r="AC466" s="120">
        <f>IF(AND(J466="OK",ISNUMBER($B$5),$B$5&gt;0,ISNUMBER($B$3),$B$3&gt;0),F466/(6*$B$3*1000000*$B$5)*(IF(B466&lt;($B$4*2/10),($B$4*2/10)*(MIN(C466,($B$4*2/10))^3-B466^3)-(MIN(C466,($B$4*2/10))^4-B466^4)/4,0)+IF(C466&gt;($B$4*2/10),($B$4*2/10)^2*(1.5*(C466^2-MAX(B466,($B$4*2/10))^2)-($B$4*2/10)*(C466-MAX(B466,($B$4*2/10)))),0))*1000,0)</f>
        <v>0</v>
      </c>
      <c r="AD466" s="120">
        <f>IF(AND(J466="OK",ISNUMBER($B$5),$B$5&gt;0,ISNUMBER($B$3),$B$3&gt;0),F466/(6*$B$3*1000000*$B$5)*(IF(B466&lt;($B$4*3/10),($B$4*3/10)*(MIN(C466,($B$4*3/10))^3-B466^3)-(MIN(C466,($B$4*3/10))^4-B466^4)/4,0)+IF(C466&gt;($B$4*3/10),($B$4*3/10)^2*(1.5*(C466^2-MAX(B466,($B$4*3/10))^2)-($B$4*3/10)*(C466-MAX(B466,($B$4*3/10)))),0))*1000,0)</f>
        <v>0</v>
      </c>
      <c r="AE466" s="120">
        <f>IF(AND(J466="OK",ISNUMBER($B$5),$B$5&gt;0,ISNUMBER($B$3),$B$3&gt;0),F466/(6*$B$3*1000000*$B$5)*(IF(B466&lt;($B$4*4/10),($B$4*4/10)*(MIN(C466,($B$4*4/10))^3-B466^3)-(MIN(C466,($B$4*4/10))^4-B466^4)/4,0)+IF(C466&gt;($B$4*4/10),($B$4*4/10)^2*(1.5*(C466^2-MAX(B466,($B$4*4/10))^2)-($B$4*4/10)*(C466-MAX(B466,($B$4*4/10)))),0))*1000,0)</f>
        <v>0</v>
      </c>
      <c r="AF466" s="120">
        <f>IF(AND(J466="OK",ISNUMBER($B$5),$B$5&gt;0,ISNUMBER($B$3),$B$3&gt;0),F466/(6*$B$3*1000000*$B$5)*(IF(B466&lt;($B$4*5/10),($B$4*5/10)*(MIN(C466,($B$4*5/10))^3-B466^3)-(MIN(C466,($B$4*5/10))^4-B466^4)/4,0)+IF(C466&gt;($B$4*5/10),($B$4*5/10)^2*(1.5*(C466^2-MAX(B466,($B$4*5/10))^2)-($B$4*5/10)*(C466-MAX(B466,($B$4*5/10)))),0))*1000,0)</f>
        <v>0</v>
      </c>
      <c r="AG466" s="120">
        <f>IF(AND(J466="OK",ISNUMBER($B$5),$B$5&gt;0,ISNUMBER($B$3),$B$3&gt;0),F466/(6*$B$3*1000000*$B$5)*(IF(B466&lt;($B$4*6/10),($B$4*6/10)*(MIN(C466,($B$4*6/10))^3-B466^3)-(MIN(C466,($B$4*6/10))^4-B466^4)/4,0)+IF(C466&gt;($B$4*6/10),($B$4*6/10)^2*(1.5*(C466^2-MAX(B466,($B$4*6/10))^2)-($B$4*6/10)*(C466-MAX(B466,($B$4*6/10)))),0))*1000,0)</f>
        <v>0</v>
      </c>
      <c r="AH466" s="120">
        <f>IF(AND(J466="OK",ISNUMBER($B$5),$B$5&gt;0,ISNUMBER($B$3),$B$3&gt;0),F466/(6*$B$3*1000000*$B$5)*(IF(B466&lt;($B$4*7/10),($B$4*7/10)*(MIN(C466,($B$4*7/10))^3-B466^3)-(MIN(C466,($B$4*7/10))^4-B466^4)/4,0)+IF(C466&gt;($B$4*7/10),($B$4*7/10)^2*(1.5*(C466^2-MAX(B466,($B$4*7/10))^2)-($B$4*7/10)*(C466-MAX(B466,($B$4*7/10)))),0))*1000,0)</f>
        <v>0</v>
      </c>
      <c r="AI466" s="120">
        <f>IF(AND(J466="OK",ISNUMBER($B$5),$B$5&gt;0,ISNUMBER($B$3),$B$3&gt;0),F466/(6*$B$3*1000000*$B$5)*(IF(B466&lt;($B$4*8/10),($B$4*8/10)*(MIN(C466,($B$4*8/10))^3-B466^3)-(MIN(C466,($B$4*8/10))^4-B466^4)/4,0)+IF(C466&gt;($B$4*8/10),($B$4*8/10)^2*(1.5*(C466^2-MAX(B466,($B$4*8/10))^2)-($B$4*8/10)*(C466-MAX(B466,($B$4*8/10)))),0))*1000,0)</f>
        <v>0</v>
      </c>
      <c r="AJ466" s="120">
        <f>IF(AND(J466="OK",ISNUMBER($B$5),$B$5&gt;0,ISNUMBER($B$3),$B$3&gt;0),F466/(6*$B$3*1000000*$B$5)*(IF(B466&lt;($B$4*9/10),($B$4*9/10)*(MIN(C466,($B$4*9/10))^3-B466^3)-(MIN(C466,($B$4*9/10))^4-B466^4)/4,0)+IF(C466&gt;($B$4*9/10),($B$4*9/10)^2*(1.5*(C466^2-MAX(B466,($B$4*9/10))^2)-($B$4*9/10)*(C466-MAX(B466,($B$4*9/10)))),0))*1000,0)</f>
        <v>0</v>
      </c>
      <c r="AK466" s="120">
        <f>IF(AND(J466="OK",ISNUMBER($B$5),$B$5&gt;0,ISNUMBER($B$3),$B$3&gt;0),F466/(6*$B$3*1000000*$B$5)*(IF(B466&lt;($B$4*10/10),($B$4*10/10)*(MIN(C466,($B$4*10/10))^3-B466^3)-(MIN(C466,($B$4*10/10))^4-B466^4)/4,0)+IF(C466&gt;($B$4*10/10),($B$4*10/10)^2*(1.5*(C466^2-MAX(B466,($B$4*10/10))^2)-($B$4*10/10)*(C466-MAX(B466,($B$4*10/10)))),0))*1000,0)</f>
        <v>0</v>
      </c>
      <c r="AM466" s="120">
        <f>IF(AND(V466="OK",ISNUMBER($N$5),$N$5&gt;0,ISNUMBER($N$3),$N$3&gt;0),R466/(6*$N$3*1000000*$N$5)*(IF(N466&lt;($N$4*0/10),($N$4*0/10)*(MIN(O466,($N$4*0/10))^3-N466^3)-(MIN(O466,($N$4*0/10))^4-N466^4)/4,0)+IF(O466&gt;($N$4*0/10),($N$4*0/10)^2*(1.5*(O466^2-MAX(N466,($N$4*0/10))^2)-($N$4*0/10)*(O466-MAX(N466,($N$4*0/10)))),0))*1000,0)</f>
        <v>0</v>
      </c>
      <c r="AN466" s="120">
        <f>IF(AND(V466="OK",ISNUMBER($N$5),$N$5&gt;0,ISNUMBER($N$3),$N$3&gt;0),R466/(6*$N$3*1000000*$N$5)*(IF(N466&lt;($N$4*1/10),($N$4*1/10)*(MIN(O466,($N$4*1/10))^3-N466^3)-(MIN(O466,($N$4*1/10))^4-N466^4)/4,0)+IF(O466&gt;($N$4*1/10),($N$4*1/10)^2*(1.5*(O466^2-MAX(N466,($N$4*1/10))^2)-($N$4*1/10)*(O466-MAX(N466,($N$4*1/10)))),0))*1000,0)</f>
        <v>0</v>
      </c>
      <c r="AO466" s="120">
        <f>IF(AND(V466="OK",ISNUMBER($N$5),$N$5&gt;0,ISNUMBER($N$3),$N$3&gt;0),R466/(6*$N$3*1000000*$N$5)*(IF(N466&lt;($N$4*2/10),($N$4*2/10)*(MIN(O466,($N$4*2/10))^3-N466^3)-(MIN(O466,($N$4*2/10))^4-N466^4)/4,0)+IF(O466&gt;($N$4*2/10),($N$4*2/10)^2*(1.5*(O466^2-MAX(N466,($N$4*2/10))^2)-($N$4*2/10)*(O466-MAX(N466,($N$4*2/10)))),0))*1000,0)</f>
        <v>0</v>
      </c>
      <c r="AP466" s="120">
        <f>IF(AND(V466="OK",ISNUMBER($N$5),$N$5&gt;0,ISNUMBER($N$3),$N$3&gt;0),R466/(6*$N$3*1000000*$N$5)*(IF(N466&lt;($N$4*3/10),($N$4*3/10)*(MIN(O466,($N$4*3/10))^3-N466^3)-(MIN(O466,($N$4*3/10))^4-N466^4)/4,0)+IF(O466&gt;($N$4*3/10),($N$4*3/10)^2*(1.5*(O466^2-MAX(N466,($N$4*3/10))^2)-($N$4*3/10)*(O466-MAX(N466,($N$4*3/10)))),0))*1000,0)</f>
        <v>0</v>
      </c>
      <c r="AQ466" s="120">
        <f>IF(AND(V466="OK",ISNUMBER($N$5),$N$5&gt;0,ISNUMBER($N$3),$N$3&gt;0),R466/(6*$N$3*1000000*$N$5)*(IF(N466&lt;($N$4*4/10),($N$4*4/10)*(MIN(O466,($N$4*4/10))^3-N466^3)-(MIN(O466,($N$4*4/10))^4-N466^4)/4,0)+IF(O466&gt;($N$4*4/10),($N$4*4/10)^2*(1.5*(O466^2-MAX(N466,($N$4*4/10))^2)-($N$4*4/10)*(O466-MAX(N466,($N$4*4/10)))),0))*1000,0)</f>
        <v>0</v>
      </c>
      <c r="AR466" s="120">
        <f>IF(AND(V466="OK",ISNUMBER($N$5),$N$5&gt;0,ISNUMBER($N$3),$N$3&gt;0),R466/(6*$N$3*1000000*$N$5)*(IF(N466&lt;($N$4*5/10),($N$4*5/10)*(MIN(O466,($N$4*5/10))^3-N466^3)-(MIN(O466,($N$4*5/10))^4-N466^4)/4,0)+IF(O466&gt;($N$4*5/10),($N$4*5/10)^2*(1.5*(O466^2-MAX(N466,($N$4*5/10))^2)-($N$4*5/10)*(O466-MAX(N466,($N$4*5/10)))),0))*1000,0)</f>
        <v>0</v>
      </c>
      <c r="AS466" s="120">
        <f>IF(AND(V466="OK",ISNUMBER($N$5),$N$5&gt;0,ISNUMBER($N$3),$N$3&gt;0),R466/(6*$N$3*1000000*$N$5)*(IF(N466&lt;($N$4*6/10),($N$4*6/10)*(MIN(O466,($N$4*6/10))^3-N466^3)-(MIN(O466,($N$4*6/10))^4-N466^4)/4,0)+IF(O466&gt;($N$4*6/10),($N$4*6/10)^2*(1.5*(O466^2-MAX(N466,($N$4*6/10))^2)-($N$4*6/10)*(O466-MAX(N466,($N$4*6/10)))),0))*1000,0)</f>
        <v>0</v>
      </c>
      <c r="AT466" s="120">
        <f>IF(AND(V466="OK",ISNUMBER($N$5),$N$5&gt;0,ISNUMBER($N$3),$N$3&gt;0),R466/(6*$N$3*1000000*$N$5)*(IF(N466&lt;($N$4*7/10),($N$4*7/10)*(MIN(O466,($N$4*7/10))^3-N466^3)-(MIN(O466,($N$4*7/10))^4-N466^4)/4,0)+IF(O466&gt;($N$4*7/10),($N$4*7/10)^2*(1.5*(O466^2-MAX(N466,($N$4*7/10))^2)-($N$4*7/10)*(O466-MAX(N466,($N$4*7/10)))),0))*1000,0)</f>
        <v>0</v>
      </c>
      <c r="AU466" s="120">
        <f>IF(AND(V466="OK",ISNUMBER($N$5),$N$5&gt;0,ISNUMBER($N$3),$N$3&gt;0),R466/(6*$N$3*1000000*$N$5)*(IF(N466&lt;($N$4*8/10),($N$4*8/10)*(MIN(O466,($N$4*8/10))^3-N466^3)-(MIN(O466,($N$4*8/10))^4-N466^4)/4,0)+IF(O466&gt;($N$4*8/10),($N$4*8/10)^2*(1.5*(O466^2-MAX(N466,($N$4*8/10))^2)-($N$4*8/10)*(O466-MAX(N466,($N$4*8/10)))),0))*1000,0)</f>
        <v>0</v>
      </c>
      <c r="AV466" s="120">
        <f>IF(AND(V466="OK",ISNUMBER($N$5),$N$5&gt;0,ISNUMBER($N$3),$N$3&gt;0),R466/(6*$N$3*1000000*$N$5)*(IF(N466&lt;($N$4*9/10),($N$4*9/10)*(MIN(O466,($N$4*9/10))^3-N466^3)-(MIN(O466,($N$4*9/10))^4-N466^4)/4,0)+IF(O466&gt;($N$4*9/10),($N$4*9/10)^2*(1.5*(O466^2-MAX(N466,($N$4*9/10))^2)-($N$4*9/10)*(O466-MAX(N466,($N$4*9/10)))),0))*1000,0)</f>
        <v>0</v>
      </c>
      <c r="AW466" s="120">
        <f>IF(AND(V466="OK",ISNUMBER($N$5),$N$5&gt;0,ISNUMBER($N$3),$N$3&gt;0),R466/(6*$N$3*1000000*$N$5)*(IF(N466&lt;($N$4*10/10),($N$4*10/10)*(MIN(O466,($N$4*10/10))^3-N466^3)-(MIN(O466,($N$4*10/10))^4-N466^4)/4,0)+IF(O466&gt;($N$4*10/10),($N$4*10/10)^2*(1.5*(O466^2-MAX(N466,($N$4*10/10))^2)-($N$4*10/10)*(O466-MAX(N466,($N$4*10/10)))),0))*1000,0)</f>
        <v>0</v>
      </c>
    </row>
    <row r="467" spans="1:49">
      <c r="A467" s="124"/>
      <c r="B467" s="125"/>
      <c r="C467" s="125"/>
      <c r="D467" s="125"/>
      <c r="E467" s="125"/>
      <c r="F467" s="126" t="str">
        <f>IF(J467="OK",D467*E467,"")</f>
        <v/>
      </c>
      <c r="G467" s="126" t="str">
        <f>IF(J467="OK",F467*(C467-B467),"")</f>
        <v/>
      </c>
      <c r="H467" s="126" t="str">
        <f>IF(J467="OK",G467*(C467+B467)/2,"")</f>
        <v/>
      </c>
      <c r="I467" s="126" t="str">
        <f>IF(AND(J467="OK",ISNUMBER($B$5),$B$5&gt;0,ISNUMBER($B$3),$B$3&gt;0),F467*(4*$B$4*(C467^3-B467^3)-(C467^4-B467^4))/(24*$B$3*1000000*$B$5)*1000,"")</f>
        <v/>
      </c>
      <c r="J467" s="120" t="str">
        <f>IF(COUNTA(A467:E467)=0,"",IF(AND(COUNT(B467:E467)=4,B467&gt;=0,C467&gt;B467,C467&lt;=$B$4,D467&gt;=0,E467&gt;0),IF(COUNTIFS($B$13:$B$466,"&lt;"&amp;C467,$C$13:$C$466,"&gt;"&amp;B467)&gt;0,"OVERLAP","OK"),"CHECK INPUTS"))</f>
        <v/>
      </c>
      <c r="M467" s="124"/>
      <c r="N467" s="125"/>
      <c r="O467" s="125"/>
      <c r="P467" s="125"/>
      <c r="Q467" s="125"/>
      <c r="R467" s="126" t="str">
        <f>IF(V467="OK",P467*Q467,"")</f>
        <v/>
      </c>
      <c r="S467" s="126" t="str">
        <f>IF(V467="OK",R467*(O467-N467),"")</f>
        <v/>
      </c>
      <c r="T467" s="126" t="str">
        <f>IF(V467="OK",S467*(O467+N467)/2,"")</f>
        <v/>
      </c>
      <c r="U467" s="126" t="str">
        <f>IF(AND(V467="OK",ISNUMBER($N$5),$N$5&gt;0,ISNUMBER($N$3),$N$3&gt;0),R467*(4*$N$4*(O467^3-N467^3)-(O467^4-N467^4))/(24*$N$3*1000000*$N$5)*1000,"")</f>
        <v/>
      </c>
      <c r="V467" s="120" t="str">
        <f>IF(COUNTA(M467:Q467)=0,"",IF(AND(COUNT(N467:Q467)=4,N467&gt;=0,O467&gt;N467,O467&lt;=$N$4,P467&gt;=0,Q467&gt;0),IF(COUNTIFS($N$13:$N$466,"&lt;"&amp;O467,$O$13:$O$466,"&gt;"&amp;N467)&gt;0,"OVERLAP","OK"),"CHECK INPUTS"))</f>
        <v/>
      </c>
      <c r="AA467" s="120">
        <f>IF(AND(J467="OK",ISNUMBER($B$5),$B$5&gt;0,ISNUMBER($B$3),$B$3&gt;0),F467/(6*$B$3*1000000*$B$5)*(IF(B467&lt;($B$4*0/10),($B$4*0/10)*(MIN(C467,($B$4*0/10))^3-B467^3)-(MIN(C467,($B$4*0/10))^4-B467^4)/4,0)+IF(C467&gt;($B$4*0/10),($B$4*0/10)^2*(1.5*(C467^2-MAX(B467,($B$4*0/10))^2)-($B$4*0/10)*(C467-MAX(B467,($B$4*0/10)))),0))*1000,0)</f>
        <v>0</v>
      </c>
      <c r="AB467" s="120">
        <f>IF(AND(J467="OK",ISNUMBER($B$5),$B$5&gt;0,ISNUMBER($B$3),$B$3&gt;0),F467/(6*$B$3*1000000*$B$5)*(IF(B467&lt;($B$4*1/10),($B$4*1/10)*(MIN(C467,($B$4*1/10))^3-B467^3)-(MIN(C467,($B$4*1/10))^4-B467^4)/4,0)+IF(C467&gt;($B$4*1/10),($B$4*1/10)^2*(1.5*(C467^2-MAX(B467,($B$4*1/10))^2)-($B$4*1/10)*(C467-MAX(B467,($B$4*1/10)))),0))*1000,0)</f>
        <v>0</v>
      </c>
      <c r="AC467" s="120">
        <f>IF(AND(J467="OK",ISNUMBER($B$5),$B$5&gt;0,ISNUMBER($B$3),$B$3&gt;0),F467/(6*$B$3*1000000*$B$5)*(IF(B467&lt;($B$4*2/10),($B$4*2/10)*(MIN(C467,($B$4*2/10))^3-B467^3)-(MIN(C467,($B$4*2/10))^4-B467^4)/4,0)+IF(C467&gt;($B$4*2/10),($B$4*2/10)^2*(1.5*(C467^2-MAX(B467,($B$4*2/10))^2)-($B$4*2/10)*(C467-MAX(B467,($B$4*2/10)))),0))*1000,0)</f>
        <v>0</v>
      </c>
      <c r="AD467" s="120">
        <f>IF(AND(J467="OK",ISNUMBER($B$5),$B$5&gt;0,ISNUMBER($B$3),$B$3&gt;0),F467/(6*$B$3*1000000*$B$5)*(IF(B467&lt;($B$4*3/10),($B$4*3/10)*(MIN(C467,($B$4*3/10))^3-B467^3)-(MIN(C467,($B$4*3/10))^4-B467^4)/4,0)+IF(C467&gt;($B$4*3/10),($B$4*3/10)^2*(1.5*(C467^2-MAX(B467,($B$4*3/10))^2)-($B$4*3/10)*(C467-MAX(B467,($B$4*3/10)))),0))*1000,0)</f>
        <v>0</v>
      </c>
      <c r="AE467" s="120">
        <f>IF(AND(J467="OK",ISNUMBER($B$5),$B$5&gt;0,ISNUMBER($B$3),$B$3&gt;0),F467/(6*$B$3*1000000*$B$5)*(IF(B467&lt;($B$4*4/10),($B$4*4/10)*(MIN(C467,($B$4*4/10))^3-B467^3)-(MIN(C467,($B$4*4/10))^4-B467^4)/4,0)+IF(C467&gt;($B$4*4/10),($B$4*4/10)^2*(1.5*(C467^2-MAX(B467,($B$4*4/10))^2)-($B$4*4/10)*(C467-MAX(B467,($B$4*4/10)))),0))*1000,0)</f>
        <v>0</v>
      </c>
      <c r="AF467" s="120">
        <f>IF(AND(J467="OK",ISNUMBER($B$5),$B$5&gt;0,ISNUMBER($B$3),$B$3&gt;0),F467/(6*$B$3*1000000*$B$5)*(IF(B467&lt;($B$4*5/10),($B$4*5/10)*(MIN(C467,($B$4*5/10))^3-B467^3)-(MIN(C467,($B$4*5/10))^4-B467^4)/4,0)+IF(C467&gt;($B$4*5/10),($B$4*5/10)^2*(1.5*(C467^2-MAX(B467,($B$4*5/10))^2)-($B$4*5/10)*(C467-MAX(B467,($B$4*5/10)))),0))*1000,0)</f>
        <v>0</v>
      </c>
      <c r="AG467" s="120">
        <f>IF(AND(J467="OK",ISNUMBER($B$5),$B$5&gt;0,ISNUMBER($B$3),$B$3&gt;0),F467/(6*$B$3*1000000*$B$5)*(IF(B467&lt;($B$4*6/10),($B$4*6/10)*(MIN(C467,($B$4*6/10))^3-B467^3)-(MIN(C467,($B$4*6/10))^4-B467^4)/4,0)+IF(C467&gt;($B$4*6/10),($B$4*6/10)^2*(1.5*(C467^2-MAX(B467,($B$4*6/10))^2)-($B$4*6/10)*(C467-MAX(B467,($B$4*6/10)))),0))*1000,0)</f>
        <v>0</v>
      </c>
      <c r="AH467" s="120">
        <f>IF(AND(J467="OK",ISNUMBER($B$5),$B$5&gt;0,ISNUMBER($B$3),$B$3&gt;0),F467/(6*$B$3*1000000*$B$5)*(IF(B467&lt;($B$4*7/10),($B$4*7/10)*(MIN(C467,($B$4*7/10))^3-B467^3)-(MIN(C467,($B$4*7/10))^4-B467^4)/4,0)+IF(C467&gt;($B$4*7/10),($B$4*7/10)^2*(1.5*(C467^2-MAX(B467,($B$4*7/10))^2)-($B$4*7/10)*(C467-MAX(B467,($B$4*7/10)))),0))*1000,0)</f>
        <v>0</v>
      </c>
      <c r="AI467" s="120">
        <f>IF(AND(J467="OK",ISNUMBER($B$5),$B$5&gt;0,ISNUMBER($B$3),$B$3&gt;0),F467/(6*$B$3*1000000*$B$5)*(IF(B467&lt;($B$4*8/10),($B$4*8/10)*(MIN(C467,($B$4*8/10))^3-B467^3)-(MIN(C467,($B$4*8/10))^4-B467^4)/4,0)+IF(C467&gt;($B$4*8/10),($B$4*8/10)^2*(1.5*(C467^2-MAX(B467,($B$4*8/10))^2)-($B$4*8/10)*(C467-MAX(B467,($B$4*8/10)))),0))*1000,0)</f>
        <v>0</v>
      </c>
      <c r="AJ467" s="120">
        <f>IF(AND(J467="OK",ISNUMBER($B$5),$B$5&gt;0,ISNUMBER($B$3),$B$3&gt;0),F467/(6*$B$3*1000000*$B$5)*(IF(B467&lt;($B$4*9/10),($B$4*9/10)*(MIN(C467,($B$4*9/10))^3-B467^3)-(MIN(C467,($B$4*9/10))^4-B467^4)/4,0)+IF(C467&gt;($B$4*9/10),($B$4*9/10)^2*(1.5*(C467^2-MAX(B467,($B$4*9/10))^2)-($B$4*9/10)*(C467-MAX(B467,($B$4*9/10)))),0))*1000,0)</f>
        <v>0</v>
      </c>
      <c r="AK467" s="120">
        <f>IF(AND(J467="OK",ISNUMBER($B$5),$B$5&gt;0,ISNUMBER($B$3),$B$3&gt;0),F467/(6*$B$3*1000000*$B$5)*(IF(B467&lt;($B$4*10/10),($B$4*10/10)*(MIN(C467,($B$4*10/10))^3-B467^3)-(MIN(C467,($B$4*10/10))^4-B467^4)/4,0)+IF(C467&gt;($B$4*10/10),($B$4*10/10)^2*(1.5*(C467^2-MAX(B467,($B$4*10/10))^2)-($B$4*10/10)*(C467-MAX(B467,($B$4*10/10)))),0))*1000,0)</f>
        <v>0</v>
      </c>
      <c r="AM467" s="120">
        <f>IF(AND(V467="OK",ISNUMBER($N$5),$N$5&gt;0,ISNUMBER($N$3),$N$3&gt;0),R467/(6*$N$3*1000000*$N$5)*(IF(N467&lt;($N$4*0/10),($N$4*0/10)*(MIN(O467,($N$4*0/10))^3-N467^3)-(MIN(O467,($N$4*0/10))^4-N467^4)/4,0)+IF(O467&gt;($N$4*0/10),($N$4*0/10)^2*(1.5*(O467^2-MAX(N467,($N$4*0/10))^2)-($N$4*0/10)*(O467-MAX(N467,($N$4*0/10)))),0))*1000,0)</f>
        <v>0</v>
      </c>
      <c r="AN467" s="120">
        <f>IF(AND(V467="OK",ISNUMBER($N$5),$N$5&gt;0,ISNUMBER($N$3),$N$3&gt;0),R467/(6*$N$3*1000000*$N$5)*(IF(N467&lt;($N$4*1/10),($N$4*1/10)*(MIN(O467,($N$4*1/10))^3-N467^3)-(MIN(O467,($N$4*1/10))^4-N467^4)/4,0)+IF(O467&gt;($N$4*1/10),($N$4*1/10)^2*(1.5*(O467^2-MAX(N467,($N$4*1/10))^2)-($N$4*1/10)*(O467-MAX(N467,($N$4*1/10)))),0))*1000,0)</f>
        <v>0</v>
      </c>
      <c r="AO467" s="120">
        <f>IF(AND(V467="OK",ISNUMBER($N$5),$N$5&gt;0,ISNUMBER($N$3),$N$3&gt;0),R467/(6*$N$3*1000000*$N$5)*(IF(N467&lt;($N$4*2/10),($N$4*2/10)*(MIN(O467,($N$4*2/10))^3-N467^3)-(MIN(O467,($N$4*2/10))^4-N467^4)/4,0)+IF(O467&gt;($N$4*2/10),($N$4*2/10)^2*(1.5*(O467^2-MAX(N467,($N$4*2/10))^2)-($N$4*2/10)*(O467-MAX(N467,($N$4*2/10)))),0))*1000,0)</f>
        <v>0</v>
      </c>
      <c r="AP467" s="120">
        <f>IF(AND(V467="OK",ISNUMBER($N$5),$N$5&gt;0,ISNUMBER($N$3),$N$3&gt;0),R467/(6*$N$3*1000000*$N$5)*(IF(N467&lt;($N$4*3/10),($N$4*3/10)*(MIN(O467,($N$4*3/10))^3-N467^3)-(MIN(O467,($N$4*3/10))^4-N467^4)/4,0)+IF(O467&gt;($N$4*3/10),($N$4*3/10)^2*(1.5*(O467^2-MAX(N467,($N$4*3/10))^2)-($N$4*3/10)*(O467-MAX(N467,($N$4*3/10)))),0))*1000,0)</f>
        <v>0</v>
      </c>
      <c r="AQ467" s="120">
        <f>IF(AND(V467="OK",ISNUMBER($N$5),$N$5&gt;0,ISNUMBER($N$3),$N$3&gt;0),R467/(6*$N$3*1000000*$N$5)*(IF(N467&lt;($N$4*4/10),($N$4*4/10)*(MIN(O467,($N$4*4/10))^3-N467^3)-(MIN(O467,($N$4*4/10))^4-N467^4)/4,0)+IF(O467&gt;($N$4*4/10),($N$4*4/10)^2*(1.5*(O467^2-MAX(N467,($N$4*4/10))^2)-($N$4*4/10)*(O467-MAX(N467,($N$4*4/10)))),0))*1000,0)</f>
        <v>0</v>
      </c>
      <c r="AR467" s="120">
        <f>IF(AND(V467="OK",ISNUMBER($N$5),$N$5&gt;0,ISNUMBER($N$3),$N$3&gt;0),R467/(6*$N$3*1000000*$N$5)*(IF(N467&lt;($N$4*5/10),($N$4*5/10)*(MIN(O467,($N$4*5/10))^3-N467^3)-(MIN(O467,($N$4*5/10))^4-N467^4)/4,0)+IF(O467&gt;($N$4*5/10),($N$4*5/10)^2*(1.5*(O467^2-MAX(N467,($N$4*5/10))^2)-($N$4*5/10)*(O467-MAX(N467,($N$4*5/10)))),0))*1000,0)</f>
        <v>0</v>
      </c>
      <c r="AS467" s="120">
        <f>IF(AND(V467="OK",ISNUMBER($N$5),$N$5&gt;0,ISNUMBER($N$3),$N$3&gt;0),R467/(6*$N$3*1000000*$N$5)*(IF(N467&lt;($N$4*6/10),($N$4*6/10)*(MIN(O467,($N$4*6/10))^3-N467^3)-(MIN(O467,($N$4*6/10))^4-N467^4)/4,0)+IF(O467&gt;($N$4*6/10),($N$4*6/10)^2*(1.5*(O467^2-MAX(N467,($N$4*6/10))^2)-($N$4*6/10)*(O467-MAX(N467,($N$4*6/10)))),0))*1000,0)</f>
        <v>0</v>
      </c>
      <c r="AT467" s="120">
        <f>IF(AND(V467="OK",ISNUMBER($N$5),$N$5&gt;0,ISNUMBER($N$3),$N$3&gt;0),R467/(6*$N$3*1000000*$N$5)*(IF(N467&lt;($N$4*7/10),($N$4*7/10)*(MIN(O467,($N$4*7/10))^3-N467^3)-(MIN(O467,($N$4*7/10))^4-N467^4)/4,0)+IF(O467&gt;($N$4*7/10),($N$4*7/10)^2*(1.5*(O467^2-MAX(N467,($N$4*7/10))^2)-($N$4*7/10)*(O467-MAX(N467,($N$4*7/10)))),0))*1000,0)</f>
        <v>0</v>
      </c>
      <c r="AU467" s="120">
        <f>IF(AND(V467="OK",ISNUMBER($N$5),$N$5&gt;0,ISNUMBER($N$3),$N$3&gt;0),R467/(6*$N$3*1000000*$N$5)*(IF(N467&lt;($N$4*8/10),($N$4*8/10)*(MIN(O467,($N$4*8/10))^3-N467^3)-(MIN(O467,($N$4*8/10))^4-N467^4)/4,0)+IF(O467&gt;($N$4*8/10),($N$4*8/10)^2*(1.5*(O467^2-MAX(N467,($N$4*8/10))^2)-($N$4*8/10)*(O467-MAX(N467,($N$4*8/10)))),0))*1000,0)</f>
        <v>0</v>
      </c>
      <c r="AV467" s="120">
        <f>IF(AND(V467="OK",ISNUMBER($N$5),$N$5&gt;0,ISNUMBER($N$3),$N$3&gt;0),R467/(6*$N$3*1000000*$N$5)*(IF(N467&lt;($N$4*9/10),($N$4*9/10)*(MIN(O467,($N$4*9/10))^3-N467^3)-(MIN(O467,($N$4*9/10))^4-N467^4)/4,0)+IF(O467&gt;($N$4*9/10),($N$4*9/10)^2*(1.5*(O467^2-MAX(N467,($N$4*9/10))^2)-($N$4*9/10)*(O467-MAX(N467,($N$4*9/10)))),0))*1000,0)</f>
        <v>0</v>
      </c>
      <c r="AW467" s="120">
        <f>IF(AND(V467="OK",ISNUMBER($N$5),$N$5&gt;0,ISNUMBER($N$3),$N$3&gt;0),R467/(6*$N$3*1000000*$N$5)*(IF(N467&lt;($N$4*10/10),($N$4*10/10)*(MIN(O467,($N$4*10/10))^3-N467^3)-(MIN(O467,($N$4*10/10))^4-N467^4)/4,0)+IF(O467&gt;($N$4*10/10),($N$4*10/10)^2*(1.5*(O467^2-MAX(N467,($N$4*10/10))^2)-($N$4*10/10)*(O467-MAX(N467,($N$4*10/10)))),0))*1000,0)</f>
        <v>0</v>
      </c>
    </row>
    <row r="468" spans="1:49">
      <c r="A468" s="124"/>
      <c r="B468" s="125"/>
      <c r="C468" s="125"/>
      <c r="D468" s="125"/>
      <c r="E468" s="125"/>
      <c r="F468" s="126" t="str">
        <f>IF(J468="OK",D468*E468,"")</f>
        <v/>
      </c>
      <c r="G468" s="126" t="str">
        <f>IF(J468="OK",F468*(C468-B468),"")</f>
        <v/>
      </c>
      <c r="H468" s="126" t="str">
        <f>IF(J468="OK",G468*(C468+B468)/2,"")</f>
        <v/>
      </c>
      <c r="I468" s="126" t="str">
        <f>IF(AND(J468="OK",ISNUMBER($B$5),$B$5&gt;0,ISNUMBER($B$3),$B$3&gt;0),F468*(4*$B$4*(C468^3-B468^3)-(C468^4-B468^4))/(24*$B$3*1000000*$B$5)*1000,"")</f>
        <v/>
      </c>
      <c r="J468" s="120" t="str">
        <f>IF(COUNTA(A468:E468)=0,"",IF(AND(COUNT(B468:E468)=4,B468&gt;=0,C468&gt;B468,C468&lt;=$B$4,D468&gt;=0,E468&gt;0),IF(COUNTIFS($B$13:$B$467,"&lt;"&amp;C468,$C$13:$C$467,"&gt;"&amp;B468)&gt;0,"OVERLAP","OK"),"CHECK INPUTS"))</f>
        <v/>
      </c>
      <c r="M468" s="124"/>
      <c r="N468" s="125"/>
      <c r="O468" s="125"/>
      <c r="P468" s="125"/>
      <c r="Q468" s="125"/>
      <c r="R468" s="126" t="str">
        <f>IF(V468="OK",P468*Q468,"")</f>
        <v/>
      </c>
      <c r="S468" s="126" t="str">
        <f>IF(V468="OK",R468*(O468-N468),"")</f>
        <v/>
      </c>
      <c r="T468" s="126" t="str">
        <f>IF(V468="OK",S468*(O468+N468)/2,"")</f>
        <v/>
      </c>
      <c r="U468" s="126" t="str">
        <f>IF(AND(V468="OK",ISNUMBER($N$5),$N$5&gt;0,ISNUMBER($N$3),$N$3&gt;0),R468*(4*$N$4*(O468^3-N468^3)-(O468^4-N468^4))/(24*$N$3*1000000*$N$5)*1000,"")</f>
        <v/>
      </c>
      <c r="V468" s="120" t="str">
        <f>IF(COUNTA(M468:Q468)=0,"",IF(AND(COUNT(N468:Q468)=4,N468&gt;=0,O468&gt;N468,O468&lt;=$N$4,P468&gt;=0,Q468&gt;0),IF(COUNTIFS($N$13:$N$467,"&lt;"&amp;O468,$O$13:$O$467,"&gt;"&amp;N468)&gt;0,"OVERLAP","OK"),"CHECK INPUTS"))</f>
        <v/>
      </c>
      <c r="AA468" s="120">
        <f>IF(AND(J468="OK",ISNUMBER($B$5),$B$5&gt;0,ISNUMBER($B$3),$B$3&gt;0),F468/(6*$B$3*1000000*$B$5)*(IF(B468&lt;($B$4*0/10),($B$4*0/10)*(MIN(C468,($B$4*0/10))^3-B468^3)-(MIN(C468,($B$4*0/10))^4-B468^4)/4,0)+IF(C468&gt;($B$4*0/10),($B$4*0/10)^2*(1.5*(C468^2-MAX(B468,($B$4*0/10))^2)-($B$4*0/10)*(C468-MAX(B468,($B$4*0/10)))),0))*1000,0)</f>
        <v>0</v>
      </c>
      <c r="AB468" s="120">
        <f>IF(AND(J468="OK",ISNUMBER($B$5),$B$5&gt;0,ISNUMBER($B$3),$B$3&gt;0),F468/(6*$B$3*1000000*$B$5)*(IF(B468&lt;($B$4*1/10),($B$4*1/10)*(MIN(C468,($B$4*1/10))^3-B468^3)-(MIN(C468,($B$4*1/10))^4-B468^4)/4,0)+IF(C468&gt;($B$4*1/10),($B$4*1/10)^2*(1.5*(C468^2-MAX(B468,($B$4*1/10))^2)-($B$4*1/10)*(C468-MAX(B468,($B$4*1/10)))),0))*1000,0)</f>
        <v>0</v>
      </c>
      <c r="AC468" s="120">
        <f>IF(AND(J468="OK",ISNUMBER($B$5),$B$5&gt;0,ISNUMBER($B$3),$B$3&gt;0),F468/(6*$B$3*1000000*$B$5)*(IF(B468&lt;($B$4*2/10),($B$4*2/10)*(MIN(C468,($B$4*2/10))^3-B468^3)-(MIN(C468,($B$4*2/10))^4-B468^4)/4,0)+IF(C468&gt;($B$4*2/10),($B$4*2/10)^2*(1.5*(C468^2-MAX(B468,($B$4*2/10))^2)-($B$4*2/10)*(C468-MAX(B468,($B$4*2/10)))),0))*1000,0)</f>
        <v>0</v>
      </c>
      <c r="AD468" s="120">
        <f>IF(AND(J468="OK",ISNUMBER($B$5),$B$5&gt;0,ISNUMBER($B$3),$B$3&gt;0),F468/(6*$B$3*1000000*$B$5)*(IF(B468&lt;($B$4*3/10),($B$4*3/10)*(MIN(C468,($B$4*3/10))^3-B468^3)-(MIN(C468,($B$4*3/10))^4-B468^4)/4,0)+IF(C468&gt;($B$4*3/10),($B$4*3/10)^2*(1.5*(C468^2-MAX(B468,($B$4*3/10))^2)-($B$4*3/10)*(C468-MAX(B468,($B$4*3/10)))),0))*1000,0)</f>
        <v>0</v>
      </c>
      <c r="AE468" s="120">
        <f>IF(AND(J468="OK",ISNUMBER($B$5),$B$5&gt;0,ISNUMBER($B$3),$B$3&gt;0),F468/(6*$B$3*1000000*$B$5)*(IF(B468&lt;($B$4*4/10),($B$4*4/10)*(MIN(C468,($B$4*4/10))^3-B468^3)-(MIN(C468,($B$4*4/10))^4-B468^4)/4,0)+IF(C468&gt;($B$4*4/10),($B$4*4/10)^2*(1.5*(C468^2-MAX(B468,($B$4*4/10))^2)-($B$4*4/10)*(C468-MAX(B468,($B$4*4/10)))),0))*1000,0)</f>
        <v>0</v>
      </c>
      <c r="AF468" s="120">
        <f>IF(AND(J468="OK",ISNUMBER($B$5),$B$5&gt;0,ISNUMBER($B$3),$B$3&gt;0),F468/(6*$B$3*1000000*$B$5)*(IF(B468&lt;($B$4*5/10),($B$4*5/10)*(MIN(C468,($B$4*5/10))^3-B468^3)-(MIN(C468,($B$4*5/10))^4-B468^4)/4,0)+IF(C468&gt;($B$4*5/10),($B$4*5/10)^2*(1.5*(C468^2-MAX(B468,($B$4*5/10))^2)-($B$4*5/10)*(C468-MAX(B468,($B$4*5/10)))),0))*1000,0)</f>
        <v>0</v>
      </c>
      <c r="AG468" s="120">
        <f>IF(AND(J468="OK",ISNUMBER($B$5),$B$5&gt;0,ISNUMBER($B$3),$B$3&gt;0),F468/(6*$B$3*1000000*$B$5)*(IF(B468&lt;($B$4*6/10),($B$4*6/10)*(MIN(C468,($B$4*6/10))^3-B468^3)-(MIN(C468,($B$4*6/10))^4-B468^4)/4,0)+IF(C468&gt;($B$4*6/10),($B$4*6/10)^2*(1.5*(C468^2-MAX(B468,($B$4*6/10))^2)-($B$4*6/10)*(C468-MAX(B468,($B$4*6/10)))),0))*1000,0)</f>
        <v>0</v>
      </c>
      <c r="AH468" s="120">
        <f>IF(AND(J468="OK",ISNUMBER($B$5),$B$5&gt;0,ISNUMBER($B$3),$B$3&gt;0),F468/(6*$B$3*1000000*$B$5)*(IF(B468&lt;($B$4*7/10),($B$4*7/10)*(MIN(C468,($B$4*7/10))^3-B468^3)-(MIN(C468,($B$4*7/10))^4-B468^4)/4,0)+IF(C468&gt;($B$4*7/10),($B$4*7/10)^2*(1.5*(C468^2-MAX(B468,($B$4*7/10))^2)-($B$4*7/10)*(C468-MAX(B468,($B$4*7/10)))),0))*1000,0)</f>
        <v>0</v>
      </c>
      <c r="AI468" s="120">
        <f>IF(AND(J468="OK",ISNUMBER($B$5),$B$5&gt;0,ISNUMBER($B$3),$B$3&gt;0),F468/(6*$B$3*1000000*$B$5)*(IF(B468&lt;($B$4*8/10),($B$4*8/10)*(MIN(C468,($B$4*8/10))^3-B468^3)-(MIN(C468,($B$4*8/10))^4-B468^4)/4,0)+IF(C468&gt;($B$4*8/10),($B$4*8/10)^2*(1.5*(C468^2-MAX(B468,($B$4*8/10))^2)-($B$4*8/10)*(C468-MAX(B468,($B$4*8/10)))),0))*1000,0)</f>
        <v>0</v>
      </c>
      <c r="AJ468" s="120">
        <f>IF(AND(J468="OK",ISNUMBER($B$5),$B$5&gt;0,ISNUMBER($B$3),$B$3&gt;0),F468/(6*$B$3*1000000*$B$5)*(IF(B468&lt;($B$4*9/10),($B$4*9/10)*(MIN(C468,($B$4*9/10))^3-B468^3)-(MIN(C468,($B$4*9/10))^4-B468^4)/4,0)+IF(C468&gt;($B$4*9/10),($B$4*9/10)^2*(1.5*(C468^2-MAX(B468,($B$4*9/10))^2)-($B$4*9/10)*(C468-MAX(B468,($B$4*9/10)))),0))*1000,0)</f>
        <v>0</v>
      </c>
      <c r="AK468" s="120">
        <f>IF(AND(J468="OK",ISNUMBER($B$5),$B$5&gt;0,ISNUMBER($B$3),$B$3&gt;0),F468/(6*$B$3*1000000*$B$5)*(IF(B468&lt;($B$4*10/10),($B$4*10/10)*(MIN(C468,($B$4*10/10))^3-B468^3)-(MIN(C468,($B$4*10/10))^4-B468^4)/4,0)+IF(C468&gt;($B$4*10/10),($B$4*10/10)^2*(1.5*(C468^2-MAX(B468,($B$4*10/10))^2)-($B$4*10/10)*(C468-MAX(B468,($B$4*10/10)))),0))*1000,0)</f>
        <v>0</v>
      </c>
      <c r="AM468" s="120">
        <f>IF(AND(V468="OK",ISNUMBER($N$5),$N$5&gt;0,ISNUMBER($N$3),$N$3&gt;0),R468/(6*$N$3*1000000*$N$5)*(IF(N468&lt;($N$4*0/10),($N$4*0/10)*(MIN(O468,($N$4*0/10))^3-N468^3)-(MIN(O468,($N$4*0/10))^4-N468^4)/4,0)+IF(O468&gt;($N$4*0/10),($N$4*0/10)^2*(1.5*(O468^2-MAX(N468,($N$4*0/10))^2)-($N$4*0/10)*(O468-MAX(N468,($N$4*0/10)))),0))*1000,0)</f>
        <v>0</v>
      </c>
      <c r="AN468" s="120">
        <f>IF(AND(V468="OK",ISNUMBER($N$5),$N$5&gt;0,ISNUMBER($N$3),$N$3&gt;0),R468/(6*$N$3*1000000*$N$5)*(IF(N468&lt;($N$4*1/10),($N$4*1/10)*(MIN(O468,($N$4*1/10))^3-N468^3)-(MIN(O468,($N$4*1/10))^4-N468^4)/4,0)+IF(O468&gt;($N$4*1/10),($N$4*1/10)^2*(1.5*(O468^2-MAX(N468,($N$4*1/10))^2)-($N$4*1/10)*(O468-MAX(N468,($N$4*1/10)))),0))*1000,0)</f>
        <v>0</v>
      </c>
      <c r="AO468" s="120">
        <f>IF(AND(V468="OK",ISNUMBER($N$5),$N$5&gt;0,ISNUMBER($N$3),$N$3&gt;0),R468/(6*$N$3*1000000*$N$5)*(IF(N468&lt;($N$4*2/10),($N$4*2/10)*(MIN(O468,($N$4*2/10))^3-N468^3)-(MIN(O468,($N$4*2/10))^4-N468^4)/4,0)+IF(O468&gt;($N$4*2/10),($N$4*2/10)^2*(1.5*(O468^2-MAX(N468,($N$4*2/10))^2)-($N$4*2/10)*(O468-MAX(N468,($N$4*2/10)))),0))*1000,0)</f>
        <v>0</v>
      </c>
      <c r="AP468" s="120">
        <f>IF(AND(V468="OK",ISNUMBER($N$5),$N$5&gt;0,ISNUMBER($N$3),$N$3&gt;0),R468/(6*$N$3*1000000*$N$5)*(IF(N468&lt;($N$4*3/10),($N$4*3/10)*(MIN(O468,($N$4*3/10))^3-N468^3)-(MIN(O468,($N$4*3/10))^4-N468^4)/4,0)+IF(O468&gt;($N$4*3/10),($N$4*3/10)^2*(1.5*(O468^2-MAX(N468,($N$4*3/10))^2)-($N$4*3/10)*(O468-MAX(N468,($N$4*3/10)))),0))*1000,0)</f>
        <v>0</v>
      </c>
      <c r="AQ468" s="120">
        <f>IF(AND(V468="OK",ISNUMBER($N$5),$N$5&gt;0,ISNUMBER($N$3),$N$3&gt;0),R468/(6*$N$3*1000000*$N$5)*(IF(N468&lt;($N$4*4/10),($N$4*4/10)*(MIN(O468,($N$4*4/10))^3-N468^3)-(MIN(O468,($N$4*4/10))^4-N468^4)/4,0)+IF(O468&gt;($N$4*4/10),($N$4*4/10)^2*(1.5*(O468^2-MAX(N468,($N$4*4/10))^2)-($N$4*4/10)*(O468-MAX(N468,($N$4*4/10)))),0))*1000,0)</f>
        <v>0</v>
      </c>
      <c r="AR468" s="120">
        <f>IF(AND(V468="OK",ISNUMBER($N$5),$N$5&gt;0,ISNUMBER($N$3),$N$3&gt;0),R468/(6*$N$3*1000000*$N$5)*(IF(N468&lt;($N$4*5/10),($N$4*5/10)*(MIN(O468,($N$4*5/10))^3-N468^3)-(MIN(O468,($N$4*5/10))^4-N468^4)/4,0)+IF(O468&gt;($N$4*5/10),($N$4*5/10)^2*(1.5*(O468^2-MAX(N468,($N$4*5/10))^2)-($N$4*5/10)*(O468-MAX(N468,($N$4*5/10)))),0))*1000,0)</f>
        <v>0</v>
      </c>
      <c r="AS468" s="120">
        <f>IF(AND(V468="OK",ISNUMBER($N$5),$N$5&gt;0,ISNUMBER($N$3),$N$3&gt;0),R468/(6*$N$3*1000000*$N$5)*(IF(N468&lt;($N$4*6/10),($N$4*6/10)*(MIN(O468,($N$4*6/10))^3-N468^3)-(MIN(O468,($N$4*6/10))^4-N468^4)/4,0)+IF(O468&gt;($N$4*6/10),($N$4*6/10)^2*(1.5*(O468^2-MAX(N468,($N$4*6/10))^2)-($N$4*6/10)*(O468-MAX(N468,($N$4*6/10)))),0))*1000,0)</f>
        <v>0</v>
      </c>
      <c r="AT468" s="120">
        <f>IF(AND(V468="OK",ISNUMBER($N$5),$N$5&gt;0,ISNUMBER($N$3),$N$3&gt;0),R468/(6*$N$3*1000000*$N$5)*(IF(N468&lt;($N$4*7/10),($N$4*7/10)*(MIN(O468,($N$4*7/10))^3-N468^3)-(MIN(O468,($N$4*7/10))^4-N468^4)/4,0)+IF(O468&gt;($N$4*7/10),($N$4*7/10)^2*(1.5*(O468^2-MAX(N468,($N$4*7/10))^2)-($N$4*7/10)*(O468-MAX(N468,($N$4*7/10)))),0))*1000,0)</f>
        <v>0</v>
      </c>
      <c r="AU468" s="120">
        <f>IF(AND(V468="OK",ISNUMBER($N$5),$N$5&gt;0,ISNUMBER($N$3),$N$3&gt;0),R468/(6*$N$3*1000000*$N$5)*(IF(N468&lt;($N$4*8/10),($N$4*8/10)*(MIN(O468,($N$4*8/10))^3-N468^3)-(MIN(O468,($N$4*8/10))^4-N468^4)/4,0)+IF(O468&gt;($N$4*8/10),($N$4*8/10)^2*(1.5*(O468^2-MAX(N468,($N$4*8/10))^2)-($N$4*8/10)*(O468-MAX(N468,($N$4*8/10)))),0))*1000,0)</f>
        <v>0</v>
      </c>
      <c r="AV468" s="120">
        <f>IF(AND(V468="OK",ISNUMBER($N$5),$N$5&gt;0,ISNUMBER($N$3),$N$3&gt;0),R468/(6*$N$3*1000000*$N$5)*(IF(N468&lt;($N$4*9/10),($N$4*9/10)*(MIN(O468,($N$4*9/10))^3-N468^3)-(MIN(O468,($N$4*9/10))^4-N468^4)/4,0)+IF(O468&gt;($N$4*9/10),($N$4*9/10)^2*(1.5*(O468^2-MAX(N468,($N$4*9/10))^2)-($N$4*9/10)*(O468-MAX(N468,($N$4*9/10)))),0))*1000,0)</f>
        <v>0</v>
      </c>
      <c r="AW468" s="120">
        <f>IF(AND(V468="OK",ISNUMBER($N$5),$N$5&gt;0,ISNUMBER($N$3),$N$3&gt;0),R468/(6*$N$3*1000000*$N$5)*(IF(N468&lt;($N$4*10/10),($N$4*10/10)*(MIN(O468,($N$4*10/10))^3-N468^3)-(MIN(O468,($N$4*10/10))^4-N468^4)/4,0)+IF(O468&gt;($N$4*10/10),($N$4*10/10)^2*(1.5*(O468^2-MAX(N468,($N$4*10/10))^2)-($N$4*10/10)*(O468-MAX(N468,($N$4*10/10)))),0))*1000,0)</f>
        <v>0</v>
      </c>
    </row>
    <row r="469" spans="1:49">
      <c r="A469" s="124"/>
      <c r="B469" s="125"/>
      <c r="C469" s="125"/>
      <c r="D469" s="125"/>
      <c r="E469" s="125"/>
      <c r="F469" s="126" t="str">
        <f>IF(J469="OK",D469*E469,"")</f>
        <v/>
      </c>
      <c r="G469" s="126" t="str">
        <f>IF(J469="OK",F469*(C469-B469),"")</f>
        <v/>
      </c>
      <c r="H469" s="126" t="str">
        <f>IF(J469="OK",G469*(C469+B469)/2,"")</f>
        <v/>
      </c>
      <c r="I469" s="126" t="str">
        <f>IF(AND(J469="OK",ISNUMBER($B$5),$B$5&gt;0,ISNUMBER($B$3),$B$3&gt;0),F469*(4*$B$4*(C469^3-B469^3)-(C469^4-B469^4))/(24*$B$3*1000000*$B$5)*1000,"")</f>
        <v/>
      </c>
      <c r="J469" s="120" t="str">
        <f>IF(COUNTA(A469:E469)=0,"",IF(AND(COUNT(B469:E469)=4,B469&gt;=0,C469&gt;B469,C469&lt;=$B$4,D469&gt;=0,E469&gt;0),IF(COUNTIFS($B$13:$B$468,"&lt;"&amp;C469,$C$13:$C$468,"&gt;"&amp;B469)&gt;0,"OVERLAP","OK"),"CHECK INPUTS"))</f>
        <v/>
      </c>
      <c r="M469" s="124"/>
      <c r="N469" s="125"/>
      <c r="O469" s="125"/>
      <c r="P469" s="125"/>
      <c r="Q469" s="125"/>
      <c r="R469" s="126" t="str">
        <f>IF(V469="OK",P469*Q469,"")</f>
        <v/>
      </c>
      <c r="S469" s="126" t="str">
        <f>IF(V469="OK",R469*(O469-N469),"")</f>
        <v/>
      </c>
      <c r="T469" s="126" t="str">
        <f>IF(V469="OK",S469*(O469+N469)/2,"")</f>
        <v/>
      </c>
      <c r="U469" s="126" t="str">
        <f>IF(AND(V469="OK",ISNUMBER($N$5),$N$5&gt;0,ISNUMBER($N$3),$N$3&gt;0),R469*(4*$N$4*(O469^3-N469^3)-(O469^4-N469^4))/(24*$N$3*1000000*$N$5)*1000,"")</f>
        <v/>
      </c>
      <c r="V469" s="120" t="str">
        <f>IF(COUNTA(M469:Q469)=0,"",IF(AND(COUNT(N469:Q469)=4,N469&gt;=0,O469&gt;N469,O469&lt;=$N$4,P469&gt;=0,Q469&gt;0),IF(COUNTIFS($N$13:$N$468,"&lt;"&amp;O469,$O$13:$O$468,"&gt;"&amp;N469)&gt;0,"OVERLAP","OK"),"CHECK INPUTS"))</f>
        <v/>
      </c>
      <c r="AA469" s="120">
        <f>IF(AND(J469="OK",ISNUMBER($B$5),$B$5&gt;0,ISNUMBER($B$3),$B$3&gt;0),F469/(6*$B$3*1000000*$B$5)*(IF(B469&lt;($B$4*0/10),($B$4*0/10)*(MIN(C469,($B$4*0/10))^3-B469^3)-(MIN(C469,($B$4*0/10))^4-B469^4)/4,0)+IF(C469&gt;($B$4*0/10),($B$4*0/10)^2*(1.5*(C469^2-MAX(B469,($B$4*0/10))^2)-($B$4*0/10)*(C469-MAX(B469,($B$4*0/10)))),0))*1000,0)</f>
        <v>0</v>
      </c>
      <c r="AB469" s="120">
        <f>IF(AND(J469="OK",ISNUMBER($B$5),$B$5&gt;0,ISNUMBER($B$3),$B$3&gt;0),F469/(6*$B$3*1000000*$B$5)*(IF(B469&lt;($B$4*1/10),($B$4*1/10)*(MIN(C469,($B$4*1/10))^3-B469^3)-(MIN(C469,($B$4*1/10))^4-B469^4)/4,0)+IF(C469&gt;($B$4*1/10),($B$4*1/10)^2*(1.5*(C469^2-MAX(B469,($B$4*1/10))^2)-($B$4*1/10)*(C469-MAX(B469,($B$4*1/10)))),0))*1000,0)</f>
        <v>0</v>
      </c>
      <c r="AC469" s="120">
        <f>IF(AND(J469="OK",ISNUMBER($B$5),$B$5&gt;0,ISNUMBER($B$3),$B$3&gt;0),F469/(6*$B$3*1000000*$B$5)*(IF(B469&lt;($B$4*2/10),($B$4*2/10)*(MIN(C469,($B$4*2/10))^3-B469^3)-(MIN(C469,($B$4*2/10))^4-B469^4)/4,0)+IF(C469&gt;($B$4*2/10),($B$4*2/10)^2*(1.5*(C469^2-MAX(B469,($B$4*2/10))^2)-($B$4*2/10)*(C469-MAX(B469,($B$4*2/10)))),0))*1000,0)</f>
        <v>0</v>
      </c>
      <c r="AD469" s="120">
        <f>IF(AND(J469="OK",ISNUMBER($B$5),$B$5&gt;0,ISNUMBER($B$3),$B$3&gt;0),F469/(6*$B$3*1000000*$B$5)*(IF(B469&lt;($B$4*3/10),($B$4*3/10)*(MIN(C469,($B$4*3/10))^3-B469^3)-(MIN(C469,($B$4*3/10))^4-B469^4)/4,0)+IF(C469&gt;($B$4*3/10),($B$4*3/10)^2*(1.5*(C469^2-MAX(B469,($B$4*3/10))^2)-($B$4*3/10)*(C469-MAX(B469,($B$4*3/10)))),0))*1000,0)</f>
        <v>0</v>
      </c>
      <c r="AE469" s="120">
        <f>IF(AND(J469="OK",ISNUMBER($B$5),$B$5&gt;0,ISNUMBER($B$3),$B$3&gt;0),F469/(6*$B$3*1000000*$B$5)*(IF(B469&lt;($B$4*4/10),($B$4*4/10)*(MIN(C469,($B$4*4/10))^3-B469^3)-(MIN(C469,($B$4*4/10))^4-B469^4)/4,0)+IF(C469&gt;($B$4*4/10),($B$4*4/10)^2*(1.5*(C469^2-MAX(B469,($B$4*4/10))^2)-($B$4*4/10)*(C469-MAX(B469,($B$4*4/10)))),0))*1000,0)</f>
        <v>0</v>
      </c>
      <c r="AF469" s="120">
        <f>IF(AND(J469="OK",ISNUMBER($B$5),$B$5&gt;0,ISNUMBER($B$3),$B$3&gt;0),F469/(6*$B$3*1000000*$B$5)*(IF(B469&lt;($B$4*5/10),($B$4*5/10)*(MIN(C469,($B$4*5/10))^3-B469^3)-(MIN(C469,($B$4*5/10))^4-B469^4)/4,0)+IF(C469&gt;($B$4*5/10),($B$4*5/10)^2*(1.5*(C469^2-MAX(B469,($B$4*5/10))^2)-($B$4*5/10)*(C469-MAX(B469,($B$4*5/10)))),0))*1000,0)</f>
        <v>0</v>
      </c>
      <c r="AG469" s="120">
        <f>IF(AND(J469="OK",ISNUMBER($B$5),$B$5&gt;0,ISNUMBER($B$3),$B$3&gt;0),F469/(6*$B$3*1000000*$B$5)*(IF(B469&lt;($B$4*6/10),($B$4*6/10)*(MIN(C469,($B$4*6/10))^3-B469^3)-(MIN(C469,($B$4*6/10))^4-B469^4)/4,0)+IF(C469&gt;($B$4*6/10),($B$4*6/10)^2*(1.5*(C469^2-MAX(B469,($B$4*6/10))^2)-($B$4*6/10)*(C469-MAX(B469,($B$4*6/10)))),0))*1000,0)</f>
        <v>0</v>
      </c>
      <c r="AH469" s="120">
        <f>IF(AND(J469="OK",ISNUMBER($B$5),$B$5&gt;0,ISNUMBER($B$3),$B$3&gt;0),F469/(6*$B$3*1000000*$B$5)*(IF(B469&lt;($B$4*7/10),($B$4*7/10)*(MIN(C469,($B$4*7/10))^3-B469^3)-(MIN(C469,($B$4*7/10))^4-B469^4)/4,0)+IF(C469&gt;($B$4*7/10),($B$4*7/10)^2*(1.5*(C469^2-MAX(B469,($B$4*7/10))^2)-($B$4*7/10)*(C469-MAX(B469,($B$4*7/10)))),0))*1000,0)</f>
        <v>0</v>
      </c>
      <c r="AI469" s="120">
        <f>IF(AND(J469="OK",ISNUMBER($B$5),$B$5&gt;0,ISNUMBER($B$3),$B$3&gt;0),F469/(6*$B$3*1000000*$B$5)*(IF(B469&lt;($B$4*8/10),($B$4*8/10)*(MIN(C469,($B$4*8/10))^3-B469^3)-(MIN(C469,($B$4*8/10))^4-B469^4)/4,0)+IF(C469&gt;($B$4*8/10),($B$4*8/10)^2*(1.5*(C469^2-MAX(B469,($B$4*8/10))^2)-($B$4*8/10)*(C469-MAX(B469,($B$4*8/10)))),0))*1000,0)</f>
        <v>0</v>
      </c>
      <c r="AJ469" s="120">
        <f>IF(AND(J469="OK",ISNUMBER($B$5),$B$5&gt;0,ISNUMBER($B$3),$B$3&gt;0),F469/(6*$B$3*1000000*$B$5)*(IF(B469&lt;($B$4*9/10),($B$4*9/10)*(MIN(C469,($B$4*9/10))^3-B469^3)-(MIN(C469,($B$4*9/10))^4-B469^4)/4,0)+IF(C469&gt;($B$4*9/10),($B$4*9/10)^2*(1.5*(C469^2-MAX(B469,($B$4*9/10))^2)-($B$4*9/10)*(C469-MAX(B469,($B$4*9/10)))),0))*1000,0)</f>
        <v>0</v>
      </c>
      <c r="AK469" s="120">
        <f>IF(AND(J469="OK",ISNUMBER($B$5),$B$5&gt;0,ISNUMBER($B$3),$B$3&gt;0),F469/(6*$B$3*1000000*$B$5)*(IF(B469&lt;($B$4*10/10),($B$4*10/10)*(MIN(C469,($B$4*10/10))^3-B469^3)-(MIN(C469,($B$4*10/10))^4-B469^4)/4,0)+IF(C469&gt;($B$4*10/10),($B$4*10/10)^2*(1.5*(C469^2-MAX(B469,($B$4*10/10))^2)-($B$4*10/10)*(C469-MAX(B469,($B$4*10/10)))),0))*1000,0)</f>
        <v>0</v>
      </c>
      <c r="AM469" s="120">
        <f>IF(AND(V469="OK",ISNUMBER($N$5),$N$5&gt;0,ISNUMBER($N$3),$N$3&gt;0),R469/(6*$N$3*1000000*$N$5)*(IF(N469&lt;($N$4*0/10),($N$4*0/10)*(MIN(O469,($N$4*0/10))^3-N469^3)-(MIN(O469,($N$4*0/10))^4-N469^4)/4,0)+IF(O469&gt;($N$4*0/10),($N$4*0/10)^2*(1.5*(O469^2-MAX(N469,($N$4*0/10))^2)-($N$4*0/10)*(O469-MAX(N469,($N$4*0/10)))),0))*1000,0)</f>
        <v>0</v>
      </c>
      <c r="AN469" s="120">
        <f>IF(AND(V469="OK",ISNUMBER($N$5),$N$5&gt;0,ISNUMBER($N$3),$N$3&gt;0),R469/(6*$N$3*1000000*$N$5)*(IF(N469&lt;($N$4*1/10),($N$4*1/10)*(MIN(O469,($N$4*1/10))^3-N469^3)-(MIN(O469,($N$4*1/10))^4-N469^4)/4,0)+IF(O469&gt;($N$4*1/10),($N$4*1/10)^2*(1.5*(O469^2-MAX(N469,($N$4*1/10))^2)-($N$4*1/10)*(O469-MAX(N469,($N$4*1/10)))),0))*1000,0)</f>
        <v>0</v>
      </c>
      <c r="AO469" s="120">
        <f>IF(AND(V469="OK",ISNUMBER($N$5),$N$5&gt;0,ISNUMBER($N$3),$N$3&gt;0),R469/(6*$N$3*1000000*$N$5)*(IF(N469&lt;($N$4*2/10),($N$4*2/10)*(MIN(O469,($N$4*2/10))^3-N469^3)-(MIN(O469,($N$4*2/10))^4-N469^4)/4,0)+IF(O469&gt;($N$4*2/10),($N$4*2/10)^2*(1.5*(O469^2-MAX(N469,($N$4*2/10))^2)-($N$4*2/10)*(O469-MAX(N469,($N$4*2/10)))),0))*1000,0)</f>
        <v>0</v>
      </c>
      <c r="AP469" s="120">
        <f>IF(AND(V469="OK",ISNUMBER($N$5),$N$5&gt;0,ISNUMBER($N$3),$N$3&gt;0),R469/(6*$N$3*1000000*$N$5)*(IF(N469&lt;($N$4*3/10),($N$4*3/10)*(MIN(O469,($N$4*3/10))^3-N469^3)-(MIN(O469,($N$4*3/10))^4-N469^4)/4,0)+IF(O469&gt;($N$4*3/10),($N$4*3/10)^2*(1.5*(O469^2-MAX(N469,($N$4*3/10))^2)-($N$4*3/10)*(O469-MAX(N469,($N$4*3/10)))),0))*1000,0)</f>
        <v>0</v>
      </c>
      <c r="AQ469" s="120">
        <f>IF(AND(V469="OK",ISNUMBER($N$5),$N$5&gt;0,ISNUMBER($N$3),$N$3&gt;0),R469/(6*$N$3*1000000*$N$5)*(IF(N469&lt;($N$4*4/10),($N$4*4/10)*(MIN(O469,($N$4*4/10))^3-N469^3)-(MIN(O469,($N$4*4/10))^4-N469^4)/4,0)+IF(O469&gt;($N$4*4/10),($N$4*4/10)^2*(1.5*(O469^2-MAX(N469,($N$4*4/10))^2)-($N$4*4/10)*(O469-MAX(N469,($N$4*4/10)))),0))*1000,0)</f>
        <v>0</v>
      </c>
      <c r="AR469" s="120">
        <f>IF(AND(V469="OK",ISNUMBER($N$5),$N$5&gt;0,ISNUMBER($N$3),$N$3&gt;0),R469/(6*$N$3*1000000*$N$5)*(IF(N469&lt;($N$4*5/10),($N$4*5/10)*(MIN(O469,($N$4*5/10))^3-N469^3)-(MIN(O469,($N$4*5/10))^4-N469^4)/4,0)+IF(O469&gt;($N$4*5/10),($N$4*5/10)^2*(1.5*(O469^2-MAX(N469,($N$4*5/10))^2)-($N$4*5/10)*(O469-MAX(N469,($N$4*5/10)))),0))*1000,0)</f>
        <v>0</v>
      </c>
      <c r="AS469" s="120">
        <f>IF(AND(V469="OK",ISNUMBER($N$5),$N$5&gt;0,ISNUMBER($N$3),$N$3&gt;0),R469/(6*$N$3*1000000*$N$5)*(IF(N469&lt;($N$4*6/10),($N$4*6/10)*(MIN(O469,($N$4*6/10))^3-N469^3)-(MIN(O469,($N$4*6/10))^4-N469^4)/4,0)+IF(O469&gt;($N$4*6/10),($N$4*6/10)^2*(1.5*(O469^2-MAX(N469,($N$4*6/10))^2)-($N$4*6/10)*(O469-MAX(N469,($N$4*6/10)))),0))*1000,0)</f>
        <v>0</v>
      </c>
      <c r="AT469" s="120">
        <f>IF(AND(V469="OK",ISNUMBER($N$5),$N$5&gt;0,ISNUMBER($N$3),$N$3&gt;0),R469/(6*$N$3*1000000*$N$5)*(IF(N469&lt;($N$4*7/10),($N$4*7/10)*(MIN(O469,($N$4*7/10))^3-N469^3)-(MIN(O469,($N$4*7/10))^4-N469^4)/4,0)+IF(O469&gt;($N$4*7/10),($N$4*7/10)^2*(1.5*(O469^2-MAX(N469,($N$4*7/10))^2)-($N$4*7/10)*(O469-MAX(N469,($N$4*7/10)))),0))*1000,0)</f>
        <v>0</v>
      </c>
      <c r="AU469" s="120">
        <f>IF(AND(V469="OK",ISNUMBER($N$5),$N$5&gt;0,ISNUMBER($N$3),$N$3&gt;0),R469/(6*$N$3*1000000*$N$5)*(IF(N469&lt;($N$4*8/10),($N$4*8/10)*(MIN(O469,($N$4*8/10))^3-N469^3)-(MIN(O469,($N$4*8/10))^4-N469^4)/4,0)+IF(O469&gt;($N$4*8/10),($N$4*8/10)^2*(1.5*(O469^2-MAX(N469,($N$4*8/10))^2)-($N$4*8/10)*(O469-MAX(N469,($N$4*8/10)))),0))*1000,0)</f>
        <v>0</v>
      </c>
      <c r="AV469" s="120">
        <f>IF(AND(V469="OK",ISNUMBER($N$5),$N$5&gt;0,ISNUMBER($N$3),$N$3&gt;0),R469/(6*$N$3*1000000*$N$5)*(IF(N469&lt;($N$4*9/10),($N$4*9/10)*(MIN(O469,($N$4*9/10))^3-N469^3)-(MIN(O469,($N$4*9/10))^4-N469^4)/4,0)+IF(O469&gt;($N$4*9/10),($N$4*9/10)^2*(1.5*(O469^2-MAX(N469,($N$4*9/10))^2)-($N$4*9/10)*(O469-MAX(N469,($N$4*9/10)))),0))*1000,0)</f>
        <v>0</v>
      </c>
      <c r="AW469" s="120">
        <f>IF(AND(V469="OK",ISNUMBER($N$5),$N$5&gt;0,ISNUMBER($N$3),$N$3&gt;0),R469/(6*$N$3*1000000*$N$5)*(IF(N469&lt;($N$4*10/10),($N$4*10/10)*(MIN(O469,($N$4*10/10))^3-N469^3)-(MIN(O469,($N$4*10/10))^4-N469^4)/4,0)+IF(O469&gt;($N$4*10/10),($N$4*10/10)^2*(1.5*(O469^2-MAX(N469,($N$4*10/10))^2)-($N$4*10/10)*(O469-MAX(N469,($N$4*10/10)))),0))*1000,0)</f>
        <v>0</v>
      </c>
    </row>
    <row r="470" spans="1:49">
      <c r="A470" s="124"/>
      <c r="B470" s="125"/>
      <c r="C470" s="125"/>
      <c r="D470" s="125"/>
      <c r="E470" s="125"/>
      <c r="F470" s="126" t="str">
        <f>IF(J470="OK",D470*E470,"")</f>
        <v/>
      </c>
      <c r="G470" s="126" t="str">
        <f>IF(J470="OK",F470*(C470-B470),"")</f>
        <v/>
      </c>
      <c r="H470" s="126" t="str">
        <f>IF(J470="OK",G470*(C470+B470)/2,"")</f>
        <v/>
      </c>
      <c r="I470" s="126" t="str">
        <f>IF(AND(J470="OK",ISNUMBER($B$5),$B$5&gt;0,ISNUMBER($B$3),$B$3&gt;0),F470*(4*$B$4*(C470^3-B470^3)-(C470^4-B470^4))/(24*$B$3*1000000*$B$5)*1000,"")</f>
        <v/>
      </c>
      <c r="J470" s="120" t="str">
        <f>IF(COUNTA(A470:E470)=0,"",IF(AND(COUNT(B470:E470)=4,B470&gt;=0,C470&gt;B470,C470&lt;=$B$4,D470&gt;=0,E470&gt;0),IF(COUNTIFS($B$13:$B$469,"&lt;"&amp;C470,$C$13:$C$469,"&gt;"&amp;B470)&gt;0,"OVERLAP","OK"),"CHECK INPUTS"))</f>
        <v/>
      </c>
      <c r="M470" s="124"/>
      <c r="N470" s="125"/>
      <c r="O470" s="125"/>
      <c r="P470" s="125"/>
      <c r="Q470" s="125"/>
      <c r="R470" s="126" t="str">
        <f>IF(V470="OK",P470*Q470,"")</f>
        <v/>
      </c>
      <c r="S470" s="126" t="str">
        <f>IF(V470="OK",R470*(O470-N470),"")</f>
        <v/>
      </c>
      <c r="T470" s="126" t="str">
        <f>IF(V470="OK",S470*(O470+N470)/2,"")</f>
        <v/>
      </c>
      <c r="U470" s="126" t="str">
        <f>IF(AND(V470="OK",ISNUMBER($N$5),$N$5&gt;0,ISNUMBER($N$3),$N$3&gt;0),R470*(4*$N$4*(O470^3-N470^3)-(O470^4-N470^4))/(24*$N$3*1000000*$N$5)*1000,"")</f>
        <v/>
      </c>
      <c r="V470" s="120" t="str">
        <f>IF(COUNTA(M470:Q470)=0,"",IF(AND(COUNT(N470:Q470)=4,N470&gt;=0,O470&gt;N470,O470&lt;=$N$4,P470&gt;=0,Q470&gt;0),IF(COUNTIFS($N$13:$N$469,"&lt;"&amp;O470,$O$13:$O$469,"&gt;"&amp;N470)&gt;0,"OVERLAP","OK"),"CHECK INPUTS"))</f>
        <v/>
      </c>
      <c r="AA470" s="120">
        <f>IF(AND(J470="OK",ISNUMBER($B$5),$B$5&gt;0,ISNUMBER($B$3),$B$3&gt;0),F470/(6*$B$3*1000000*$B$5)*(IF(B470&lt;($B$4*0/10),($B$4*0/10)*(MIN(C470,($B$4*0/10))^3-B470^3)-(MIN(C470,($B$4*0/10))^4-B470^4)/4,0)+IF(C470&gt;($B$4*0/10),($B$4*0/10)^2*(1.5*(C470^2-MAX(B470,($B$4*0/10))^2)-($B$4*0/10)*(C470-MAX(B470,($B$4*0/10)))),0))*1000,0)</f>
        <v>0</v>
      </c>
      <c r="AB470" s="120">
        <f>IF(AND(J470="OK",ISNUMBER($B$5),$B$5&gt;0,ISNUMBER($B$3),$B$3&gt;0),F470/(6*$B$3*1000000*$B$5)*(IF(B470&lt;($B$4*1/10),($B$4*1/10)*(MIN(C470,($B$4*1/10))^3-B470^3)-(MIN(C470,($B$4*1/10))^4-B470^4)/4,0)+IF(C470&gt;($B$4*1/10),($B$4*1/10)^2*(1.5*(C470^2-MAX(B470,($B$4*1/10))^2)-($B$4*1/10)*(C470-MAX(B470,($B$4*1/10)))),0))*1000,0)</f>
        <v>0</v>
      </c>
      <c r="AC470" s="120">
        <f>IF(AND(J470="OK",ISNUMBER($B$5),$B$5&gt;0,ISNUMBER($B$3),$B$3&gt;0),F470/(6*$B$3*1000000*$B$5)*(IF(B470&lt;($B$4*2/10),($B$4*2/10)*(MIN(C470,($B$4*2/10))^3-B470^3)-(MIN(C470,($B$4*2/10))^4-B470^4)/4,0)+IF(C470&gt;($B$4*2/10),($B$4*2/10)^2*(1.5*(C470^2-MAX(B470,($B$4*2/10))^2)-($B$4*2/10)*(C470-MAX(B470,($B$4*2/10)))),0))*1000,0)</f>
        <v>0</v>
      </c>
      <c r="AD470" s="120">
        <f>IF(AND(J470="OK",ISNUMBER($B$5),$B$5&gt;0,ISNUMBER($B$3),$B$3&gt;0),F470/(6*$B$3*1000000*$B$5)*(IF(B470&lt;($B$4*3/10),($B$4*3/10)*(MIN(C470,($B$4*3/10))^3-B470^3)-(MIN(C470,($B$4*3/10))^4-B470^4)/4,0)+IF(C470&gt;($B$4*3/10),($B$4*3/10)^2*(1.5*(C470^2-MAX(B470,($B$4*3/10))^2)-($B$4*3/10)*(C470-MAX(B470,($B$4*3/10)))),0))*1000,0)</f>
        <v>0</v>
      </c>
      <c r="AE470" s="120">
        <f>IF(AND(J470="OK",ISNUMBER($B$5),$B$5&gt;0,ISNUMBER($B$3),$B$3&gt;0),F470/(6*$B$3*1000000*$B$5)*(IF(B470&lt;($B$4*4/10),($B$4*4/10)*(MIN(C470,($B$4*4/10))^3-B470^3)-(MIN(C470,($B$4*4/10))^4-B470^4)/4,0)+IF(C470&gt;($B$4*4/10),($B$4*4/10)^2*(1.5*(C470^2-MAX(B470,($B$4*4/10))^2)-($B$4*4/10)*(C470-MAX(B470,($B$4*4/10)))),0))*1000,0)</f>
        <v>0</v>
      </c>
      <c r="AF470" s="120">
        <f>IF(AND(J470="OK",ISNUMBER($B$5),$B$5&gt;0,ISNUMBER($B$3),$B$3&gt;0),F470/(6*$B$3*1000000*$B$5)*(IF(B470&lt;($B$4*5/10),($B$4*5/10)*(MIN(C470,($B$4*5/10))^3-B470^3)-(MIN(C470,($B$4*5/10))^4-B470^4)/4,0)+IF(C470&gt;($B$4*5/10),($B$4*5/10)^2*(1.5*(C470^2-MAX(B470,($B$4*5/10))^2)-($B$4*5/10)*(C470-MAX(B470,($B$4*5/10)))),0))*1000,0)</f>
        <v>0</v>
      </c>
      <c r="AG470" s="120">
        <f>IF(AND(J470="OK",ISNUMBER($B$5),$B$5&gt;0,ISNUMBER($B$3),$B$3&gt;0),F470/(6*$B$3*1000000*$B$5)*(IF(B470&lt;($B$4*6/10),($B$4*6/10)*(MIN(C470,($B$4*6/10))^3-B470^3)-(MIN(C470,($B$4*6/10))^4-B470^4)/4,0)+IF(C470&gt;($B$4*6/10),($B$4*6/10)^2*(1.5*(C470^2-MAX(B470,($B$4*6/10))^2)-($B$4*6/10)*(C470-MAX(B470,($B$4*6/10)))),0))*1000,0)</f>
        <v>0</v>
      </c>
      <c r="AH470" s="120">
        <f>IF(AND(J470="OK",ISNUMBER($B$5),$B$5&gt;0,ISNUMBER($B$3),$B$3&gt;0),F470/(6*$B$3*1000000*$B$5)*(IF(B470&lt;($B$4*7/10),($B$4*7/10)*(MIN(C470,($B$4*7/10))^3-B470^3)-(MIN(C470,($B$4*7/10))^4-B470^4)/4,0)+IF(C470&gt;($B$4*7/10),($B$4*7/10)^2*(1.5*(C470^2-MAX(B470,($B$4*7/10))^2)-($B$4*7/10)*(C470-MAX(B470,($B$4*7/10)))),0))*1000,0)</f>
        <v>0</v>
      </c>
      <c r="AI470" s="120">
        <f>IF(AND(J470="OK",ISNUMBER($B$5),$B$5&gt;0,ISNUMBER($B$3),$B$3&gt;0),F470/(6*$B$3*1000000*$B$5)*(IF(B470&lt;($B$4*8/10),($B$4*8/10)*(MIN(C470,($B$4*8/10))^3-B470^3)-(MIN(C470,($B$4*8/10))^4-B470^4)/4,0)+IF(C470&gt;($B$4*8/10),($B$4*8/10)^2*(1.5*(C470^2-MAX(B470,($B$4*8/10))^2)-($B$4*8/10)*(C470-MAX(B470,($B$4*8/10)))),0))*1000,0)</f>
        <v>0</v>
      </c>
      <c r="AJ470" s="120">
        <f>IF(AND(J470="OK",ISNUMBER($B$5),$B$5&gt;0,ISNUMBER($B$3),$B$3&gt;0),F470/(6*$B$3*1000000*$B$5)*(IF(B470&lt;($B$4*9/10),($B$4*9/10)*(MIN(C470,($B$4*9/10))^3-B470^3)-(MIN(C470,($B$4*9/10))^4-B470^4)/4,0)+IF(C470&gt;($B$4*9/10),($B$4*9/10)^2*(1.5*(C470^2-MAX(B470,($B$4*9/10))^2)-($B$4*9/10)*(C470-MAX(B470,($B$4*9/10)))),0))*1000,0)</f>
        <v>0</v>
      </c>
      <c r="AK470" s="120">
        <f>IF(AND(J470="OK",ISNUMBER($B$5),$B$5&gt;0,ISNUMBER($B$3),$B$3&gt;0),F470/(6*$B$3*1000000*$B$5)*(IF(B470&lt;($B$4*10/10),($B$4*10/10)*(MIN(C470,($B$4*10/10))^3-B470^3)-(MIN(C470,($B$4*10/10))^4-B470^4)/4,0)+IF(C470&gt;($B$4*10/10),($B$4*10/10)^2*(1.5*(C470^2-MAX(B470,($B$4*10/10))^2)-($B$4*10/10)*(C470-MAX(B470,($B$4*10/10)))),0))*1000,0)</f>
        <v>0</v>
      </c>
      <c r="AM470" s="120">
        <f>IF(AND(V470="OK",ISNUMBER($N$5),$N$5&gt;0,ISNUMBER($N$3),$N$3&gt;0),R470/(6*$N$3*1000000*$N$5)*(IF(N470&lt;($N$4*0/10),($N$4*0/10)*(MIN(O470,($N$4*0/10))^3-N470^3)-(MIN(O470,($N$4*0/10))^4-N470^4)/4,0)+IF(O470&gt;($N$4*0/10),($N$4*0/10)^2*(1.5*(O470^2-MAX(N470,($N$4*0/10))^2)-($N$4*0/10)*(O470-MAX(N470,($N$4*0/10)))),0))*1000,0)</f>
        <v>0</v>
      </c>
      <c r="AN470" s="120">
        <f>IF(AND(V470="OK",ISNUMBER($N$5),$N$5&gt;0,ISNUMBER($N$3),$N$3&gt;0),R470/(6*$N$3*1000000*$N$5)*(IF(N470&lt;($N$4*1/10),($N$4*1/10)*(MIN(O470,($N$4*1/10))^3-N470^3)-(MIN(O470,($N$4*1/10))^4-N470^4)/4,0)+IF(O470&gt;($N$4*1/10),($N$4*1/10)^2*(1.5*(O470^2-MAX(N470,($N$4*1/10))^2)-($N$4*1/10)*(O470-MAX(N470,($N$4*1/10)))),0))*1000,0)</f>
        <v>0</v>
      </c>
      <c r="AO470" s="120">
        <f>IF(AND(V470="OK",ISNUMBER($N$5),$N$5&gt;0,ISNUMBER($N$3),$N$3&gt;0),R470/(6*$N$3*1000000*$N$5)*(IF(N470&lt;($N$4*2/10),($N$4*2/10)*(MIN(O470,($N$4*2/10))^3-N470^3)-(MIN(O470,($N$4*2/10))^4-N470^4)/4,0)+IF(O470&gt;($N$4*2/10),($N$4*2/10)^2*(1.5*(O470^2-MAX(N470,($N$4*2/10))^2)-($N$4*2/10)*(O470-MAX(N470,($N$4*2/10)))),0))*1000,0)</f>
        <v>0</v>
      </c>
      <c r="AP470" s="120">
        <f>IF(AND(V470="OK",ISNUMBER($N$5),$N$5&gt;0,ISNUMBER($N$3),$N$3&gt;0),R470/(6*$N$3*1000000*$N$5)*(IF(N470&lt;($N$4*3/10),($N$4*3/10)*(MIN(O470,($N$4*3/10))^3-N470^3)-(MIN(O470,($N$4*3/10))^4-N470^4)/4,0)+IF(O470&gt;($N$4*3/10),($N$4*3/10)^2*(1.5*(O470^2-MAX(N470,($N$4*3/10))^2)-($N$4*3/10)*(O470-MAX(N470,($N$4*3/10)))),0))*1000,0)</f>
        <v>0</v>
      </c>
      <c r="AQ470" s="120">
        <f>IF(AND(V470="OK",ISNUMBER($N$5),$N$5&gt;0,ISNUMBER($N$3),$N$3&gt;0),R470/(6*$N$3*1000000*$N$5)*(IF(N470&lt;($N$4*4/10),($N$4*4/10)*(MIN(O470,($N$4*4/10))^3-N470^3)-(MIN(O470,($N$4*4/10))^4-N470^4)/4,0)+IF(O470&gt;($N$4*4/10),($N$4*4/10)^2*(1.5*(O470^2-MAX(N470,($N$4*4/10))^2)-($N$4*4/10)*(O470-MAX(N470,($N$4*4/10)))),0))*1000,0)</f>
        <v>0</v>
      </c>
      <c r="AR470" s="120">
        <f>IF(AND(V470="OK",ISNUMBER($N$5),$N$5&gt;0,ISNUMBER($N$3),$N$3&gt;0),R470/(6*$N$3*1000000*$N$5)*(IF(N470&lt;($N$4*5/10),($N$4*5/10)*(MIN(O470,($N$4*5/10))^3-N470^3)-(MIN(O470,($N$4*5/10))^4-N470^4)/4,0)+IF(O470&gt;($N$4*5/10),($N$4*5/10)^2*(1.5*(O470^2-MAX(N470,($N$4*5/10))^2)-($N$4*5/10)*(O470-MAX(N470,($N$4*5/10)))),0))*1000,0)</f>
        <v>0</v>
      </c>
      <c r="AS470" s="120">
        <f>IF(AND(V470="OK",ISNUMBER($N$5),$N$5&gt;0,ISNUMBER($N$3),$N$3&gt;0),R470/(6*$N$3*1000000*$N$5)*(IF(N470&lt;($N$4*6/10),($N$4*6/10)*(MIN(O470,($N$4*6/10))^3-N470^3)-(MIN(O470,($N$4*6/10))^4-N470^4)/4,0)+IF(O470&gt;($N$4*6/10),($N$4*6/10)^2*(1.5*(O470^2-MAX(N470,($N$4*6/10))^2)-($N$4*6/10)*(O470-MAX(N470,($N$4*6/10)))),0))*1000,0)</f>
        <v>0</v>
      </c>
      <c r="AT470" s="120">
        <f>IF(AND(V470="OK",ISNUMBER($N$5),$N$5&gt;0,ISNUMBER($N$3),$N$3&gt;0),R470/(6*$N$3*1000000*$N$5)*(IF(N470&lt;($N$4*7/10),($N$4*7/10)*(MIN(O470,($N$4*7/10))^3-N470^3)-(MIN(O470,($N$4*7/10))^4-N470^4)/4,0)+IF(O470&gt;($N$4*7/10),($N$4*7/10)^2*(1.5*(O470^2-MAX(N470,($N$4*7/10))^2)-($N$4*7/10)*(O470-MAX(N470,($N$4*7/10)))),0))*1000,0)</f>
        <v>0</v>
      </c>
      <c r="AU470" s="120">
        <f>IF(AND(V470="OK",ISNUMBER($N$5),$N$5&gt;0,ISNUMBER($N$3),$N$3&gt;0),R470/(6*$N$3*1000000*$N$5)*(IF(N470&lt;($N$4*8/10),($N$4*8/10)*(MIN(O470,($N$4*8/10))^3-N470^3)-(MIN(O470,($N$4*8/10))^4-N470^4)/4,0)+IF(O470&gt;($N$4*8/10),($N$4*8/10)^2*(1.5*(O470^2-MAX(N470,($N$4*8/10))^2)-($N$4*8/10)*(O470-MAX(N470,($N$4*8/10)))),0))*1000,0)</f>
        <v>0</v>
      </c>
      <c r="AV470" s="120">
        <f>IF(AND(V470="OK",ISNUMBER($N$5),$N$5&gt;0,ISNUMBER($N$3),$N$3&gt;0),R470/(6*$N$3*1000000*$N$5)*(IF(N470&lt;($N$4*9/10),($N$4*9/10)*(MIN(O470,($N$4*9/10))^3-N470^3)-(MIN(O470,($N$4*9/10))^4-N470^4)/4,0)+IF(O470&gt;($N$4*9/10),($N$4*9/10)^2*(1.5*(O470^2-MAX(N470,($N$4*9/10))^2)-($N$4*9/10)*(O470-MAX(N470,($N$4*9/10)))),0))*1000,0)</f>
        <v>0</v>
      </c>
      <c r="AW470" s="120">
        <f>IF(AND(V470="OK",ISNUMBER($N$5),$N$5&gt;0,ISNUMBER($N$3),$N$3&gt;0),R470/(6*$N$3*1000000*$N$5)*(IF(N470&lt;($N$4*10/10),($N$4*10/10)*(MIN(O470,($N$4*10/10))^3-N470^3)-(MIN(O470,($N$4*10/10))^4-N470^4)/4,0)+IF(O470&gt;($N$4*10/10),($N$4*10/10)^2*(1.5*(O470^2-MAX(N470,($N$4*10/10))^2)-($N$4*10/10)*(O470-MAX(N470,($N$4*10/10)))),0))*1000,0)</f>
        <v>0</v>
      </c>
    </row>
    <row r="471" spans="1:49">
      <c r="A471" s="124"/>
      <c r="B471" s="125"/>
      <c r="C471" s="125"/>
      <c r="D471" s="125"/>
      <c r="E471" s="125"/>
      <c r="F471" s="126" t="str">
        <f>IF(J471="OK",D471*E471,"")</f>
        <v/>
      </c>
      <c r="G471" s="126" t="str">
        <f>IF(J471="OK",F471*(C471-B471),"")</f>
        <v/>
      </c>
      <c r="H471" s="126" t="str">
        <f>IF(J471="OK",G471*(C471+B471)/2,"")</f>
        <v/>
      </c>
      <c r="I471" s="126" t="str">
        <f>IF(AND(J471="OK",ISNUMBER($B$5),$B$5&gt;0,ISNUMBER($B$3),$B$3&gt;0),F471*(4*$B$4*(C471^3-B471^3)-(C471^4-B471^4))/(24*$B$3*1000000*$B$5)*1000,"")</f>
        <v/>
      </c>
      <c r="J471" s="120" t="str">
        <f>IF(COUNTA(A471:E471)=0,"",IF(AND(COUNT(B471:E471)=4,B471&gt;=0,C471&gt;B471,C471&lt;=$B$4,D471&gt;=0,E471&gt;0),IF(COUNTIFS($B$13:$B$470,"&lt;"&amp;C471,$C$13:$C$470,"&gt;"&amp;B471)&gt;0,"OVERLAP","OK"),"CHECK INPUTS"))</f>
        <v/>
      </c>
      <c r="M471" s="124"/>
      <c r="N471" s="125"/>
      <c r="O471" s="125"/>
      <c r="P471" s="125"/>
      <c r="Q471" s="125"/>
      <c r="R471" s="126" t="str">
        <f>IF(V471="OK",P471*Q471,"")</f>
        <v/>
      </c>
      <c r="S471" s="126" t="str">
        <f>IF(V471="OK",R471*(O471-N471),"")</f>
        <v/>
      </c>
      <c r="T471" s="126" t="str">
        <f>IF(V471="OK",S471*(O471+N471)/2,"")</f>
        <v/>
      </c>
      <c r="U471" s="126" t="str">
        <f>IF(AND(V471="OK",ISNUMBER($N$5),$N$5&gt;0,ISNUMBER($N$3),$N$3&gt;0),R471*(4*$N$4*(O471^3-N471^3)-(O471^4-N471^4))/(24*$N$3*1000000*$N$5)*1000,"")</f>
        <v/>
      </c>
      <c r="V471" s="120" t="str">
        <f>IF(COUNTA(M471:Q471)=0,"",IF(AND(COUNT(N471:Q471)=4,N471&gt;=0,O471&gt;N471,O471&lt;=$N$4,P471&gt;=0,Q471&gt;0),IF(COUNTIFS($N$13:$N$470,"&lt;"&amp;O471,$O$13:$O$470,"&gt;"&amp;N471)&gt;0,"OVERLAP","OK"),"CHECK INPUTS"))</f>
        <v/>
      </c>
      <c r="AA471" s="120">
        <f>IF(AND(J471="OK",ISNUMBER($B$5),$B$5&gt;0,ISNUMBER($B$3),$B$3&gt;0),F471/(6*$B$3*1000000*$B$5)*(IF(B471&lt;($B$4*0/10),($B$4*0/10)*(MIN(C471,($B$4*0/10))^3-B471^3)-(MIN(C471,($B$4*0/10))^4-B471^4)/4,0)+IF(C471&gt;($B$4*0/10),($B$4*0/10)^2*(1.5*(C471^2-MAX(B471,($B$4*0/10))^2)-($B$4*0/10)*(C471-MAX(B471,($B$4*0/10)))),0))*1000,0)</f>
        <v>0</v>
      </c>
      <c r="AB471" s="120">
        <f>IF(AND(J471="OK",ISNUMBER($B$5),$B$5&gt;0,ISNUMBER($B$3),$B$3&gt;0),F471/(6*$B$3*1000000*$B$5)*(IF(B471&lt;($B$4*1/10),($B$4*1/10)*(MIN(C471,($B$4*1/10))^3-B471^3)-(MIN(C471,($B$4*1/10))^4-B471^4)/4,0)+IF(C471&gt;($B$4*1/10),($B$4*1/10)^2*(1.5*(C471^2-MAX(B471,($B$4*1/10))^2)-($B$4*1/10)*(C471-MAX(B471,($B$4*1/10)))),0))*1000,0)</f>
        <v>0</v>
      </c>
      <c r="AC471" s="120">
        <f>IF(AND(J471="OK",ISNUMBER($B$5),$B$5&gt;0,ISNUMBER($B$3),$B$3&gt;0),F471/(6*$B$3*1000000*$B$5)*(IF(B471&lt;($B$4*2/10),($B$4*2/10)*(MIN(C471,($B$4*2/10))^3-B471^3)-(MIN(C471,($B$4*2/10))^4-B471^4)/4,0)+IF(C471&gt;($B$4*2/10),($B$4*2/10)^2*(1.5*(C471^2-MAX(B471,($B$4*2/10))^2)-($B$4*2/10)*(C471-MAX(B471,($B$4*2/10)))),0))*1000,0)</f>
        <v>0</v>
      </c>
      <c r="AD471" s="120">
        <f>IF(AND(J471="OK",ISNUMBER($B$5),$B$5&gt;0,ISNUMBER($B$3),$B$3&gt;0),F471/(6*$B$3*1000000*$B$5)*(IF(B471&lt;($B$4*3/10),($B$4*3/10)*(MIN(C471,($B$4*3/10))^3-B471^3)-(MIN(C471,($B$4*3/10))^4-B471^4)/4,0)+IF(C471&gt;($B$4*3/10),($B$4*3/10)^2*(1.5*(C471^2-MAX(B471,($B$4*3/10))^2)-($B$4*3/10)*(C471-MAX(B471,($B$4*3/10)))),0))*1000,0)</f>
        <v>0</v>
      </c>
      <c r="AE471" s="120">
        <f>IF(AND(J471="OK",ISNUMBER($B$5),$B$5&gt;0,ISNUMBER($B$3),$B$3&gt;0),F471/(6*$B$3*1000000*$B$5)*(IF(B471&lt;($B$4*4/10),($B$4*4/10)*(MIN(C471,($B$4*4/10))^3-B471^3)-(MIN(C471,($B$4*4/10))^4-B471^4)/4,0)+IF(C471&gt;($B$4*4/10),($B$4*4/10)^2*(1.5*(C471^2-MAX(B471,($B$4*4/10))^2)-($B$4*4/10)*(C471-MAX(B471,($B$4*4/10)))),0))*1000,0)</f>
        <v>0</v>
      </c>
      <c r="AF471" s="120">
        <f>IF(AND(J471="OK",ISNUMBER($B$5),$B$5&gt;0,ISNUMBER($B$3),$B$3&gt;0),F471/(6*$B$3*1000000*$B$5)*(IF(B471&lt;($B$4*5/10),($B$4*5/10)*(MIN(C471,($B$4*5/10))^3-B471^3)-(MIN(C471,($B$4*5/10))^4-B471^4)/4,0)+IF(C471&gt;($B$4*5/10),($B$4*5/10)^2*(1.5*(C471^2-MAX(B471,($B$4*5/10))^2)-($B$4*5/10)*(C471-MAX(B471,($B$4*5/10)))),0))*1000,0)</f>
        <v>0</v>
      </c>
      <c r="AG471" s="120">
        <f>IF(AND(J471="OK",ISNUMBER($B$5),$B$5&gt;0,ISNUMBER($B$3),$B$3&gt;0),F471/(6*$B$3*1000000*$B$5)*(IF(B471&lt;($B$4*6/10),($B$4*6/10)*(MIN(C471,($B$4*6/10))^3-B471^3)-(MIN(C471,($B$4*6/10))^4-B471^4)/4,0)+IF(C471&gt;($B$4*6/10),($B$4*6/10)^2*(1.5*(C471^2-MAX(B471,($B$4*6/10))^2)-($B$4*6/10)*(C471-MAX(B471,($B$4*6/10)))),0))*1000,0)</f>
        <v>0</v>
      </c>
      <c r="AH471" s="120">
        <f>IF(AND(J471="OK",ISNUMBER($B$5),$B$5&gt;0,ISNUMBER($B$3),$B$3&gt;0),F471/(6*$B$3*1000000*$B$5)*(IF(B471&lt;($B$4*7/10),($B$4*7/10)*(MIN(C471,($B$4*7/10))^3-B471^3)-(MIN(C471,($B$4*7/10))^4-B471^4)/4,0)+IF(C471&gt;($B$4*7/10),($B$4*7/10)^2*(1.5*(C471^2-MAX(B471,($B$4*7/10))^2)-($B$4*7/10)*(C471-MAX(B471,($B$4*7/10)))),0))*1000,0)</f>
        <v>0</v>
      </c>
      <c r="AI471" s="120">
        <f>IF(AND(J471="OK",ISNUMBER($B$5),$B$5&gt;0,ISNUMBER($B$3),$B$3&gt;0),F471/(6*$B$3*1000000*$B$5)*(IF(B471&lt;($B$4*8/10),($B$4*8/10)*(MIN(C471,($B$4*8/10))^3-B471^3)-(MIN(C471,($B$4*8/10))^4-B471^4)/4,0)+IF(C471&gt;($B$4*8/10),($B$4*8/10)^2*(1.5*(C471^2-MAX(B471,($B$4*8/10))^2)-($B$4*8/10)*(C471-MAX(B471,($B$4*8/10)))),0))*1000,0)</f>
        <v>0</v>
      </c>
      <c r="AJ471" s="120">
        <f>IF(AND(J471="OK",ISNUMBER($B$5),$B$5&gt;0,ISNUMBER($B$3),$B$3&gt;0),F471/(6*$B$3*1000000*$B$5)*(IF(B471&lt;($B$4*9/10),($B$4*9/10)*(MIN(C471,($B$4*9/10))^3-B471^3)-(MIN(C471,($B$4*9/10))^4-B471^4)/4,0)+IF(C471&gt;($B$4*9/10),($B$4*9/10)^2*(1.5*(C471^2-MAX(B471,($B$4*9/10))^2)-($B$4*9/10)*(C471-MAX(B471,($B$4*9/10)))),0))*1000,0)</f>
        <v>0</v>
      </c>
      <c r="AK471" s="120">
        <f>IF(AND(J471="OK",ISNUMBER($B$5),$B$5&gt;0,ISNUMBER($B$3),$B$3&gt;0),F471/(6*$B$3*1000000*$B$5)*(IF(B471&lt;($B$4*10/10),($B$4*10/10)*(MIN(C471,($B$4*10/10))^3-B471^3)-(MIN(C471,($B$4*10/10))^4-B471^4)/4,0)+IF(C471&gt;($B$4*10/10),($B$4*10/10)^2*(1.5*(C471^2-MAX(B471,($B$4*10/10))^2)-($B$4*10/10)*(C471-MAX(B471,($B$4*10/10)))),0))*1000,0)</f>
        <v>0</v>
      </c>
      <c r="AM471" s="120">
        <f>IF(AND(V471="OK",ISNUMBER($N$5),$N$5&gt;0,ISNUMBER($N$3),$N$3&gt;0),R471/(6*$N$3*1000000*$N$5)*(IF(N471&lt;($N$4*0/10),($N$4*0/10)*(MIN(O471,($N$4*0/10))^3-N471^3)-(MIN(O471,($N$4*0/10))^4-N471^4)/4,0)+IF(O471&gt;($N$4*0/10),($N$4*0/10)^2*(1.5*(O471^2-MAX(N471,($N$4*0/10))^2)-($N$4*0/10)*(O471-MAX(N471,($N$4*0/10)))),0))*1000,0)</f>
        <v>0</v>
      </c>
      <c r="AN471" s="120">
        <f>IF(AND(V471="OK",ISNUMBER($N$5),$N$5&gt;0,ISNUMBER($N$3),$N$3&gt;0),R471/(6*$N$3*1000000*$N$5)*(IF(N471&lt;($N$4*1/10),($N$4*1/10)*(MIN(O471,($N$4*1/10))^3-N471^3)-(MIN(O471,($N$4*1/10))^4-N471^4)/4,0)+IF(O471&gt;($N$4*1/10),($N$4*1/10)^2*(1.5*(O471^2-MAX(N471,($N$4*1/10))^2)-($N$4*1/10)*(O471-MAX(N471,($N$4*1/10)))),0))*1000,0)</f>
        <v>0</v>
      </c>
      <c r="AO471" s="120">
        <f>IF(AND(V471="OK",ISNUMBER($N$5),$N$5&gt;0,ISNUMBER($N$3),$N$3&gt;0),R471/(6*$N$3*1000000*$N$5)*(IF(N471&lt;($N$4*2/10),($N$4*2/10)*(MIN(O471,($N$4*2/10))^3-N471^3)-(MIN(O471,($N$4*2/10))^4-N471^4)/4,0)+IF(O471&gt;($N$4*2/10),($N$4*2/10)^2*(1.5*(O471^2-MAX(N471,($N$4*2/10))^2)-($N$4*2/10)*(O471-MAX(N471,($N$4*2/10)))),0))*1000,0)</f>
        <v>0</v>
      </c>
      <c r="AP471" s="120">
        <f>IF(AND(V471="OK",ISNUMBER($N$5),$N$5&gt;0,ISNUMBER($N$3),$N$3&gt;0),R471/(6*$N$3*1000000*$N$5)*(IF(N471&lt;($N$4*3/10),($N$4*3/10)*(MIN(O471,($N$4*3/10))^3-N471^3)-(MIN(O471,($N$4*3/10))^4-N471^4)/4,0)+IF(O471&gt;($N$4*3/10),($N$4*3/10)^2*(1.5*(O471^2-MAX(N471,($N$4*3/10))^2)-($N$4*3/10)*(O471-MAX(N471,($N$4*3/10)))),0))*1000,0)</f>
        <v>0</v>
      </c>
      <c r="AQ471" s="120">
        <f>IF(AND(V471="OK",ISNUMBER($N$5),$N$5&gt;0,ISNUMBER($N$3),$N$3&gt;0),R471/(6*$N$3*1000000*$N$5)*(IF(N471&lt;($N$4*4/10),($N$4*4/10)*(MIN(O471,($N$4*4/10))^3-N471^3)-(MIN(O471,($N$4*4/10))^4-N471^4)/4,0)+IF(O471&gt;($N$4*4/10),($N$4*4/10)^2*(1.5*(O471^2-MAX(N471,($N$4*4/10))^2)-($N$4*4/10)*(O471-MAX(N471,($N$4*4/10)))),0))*1000,0)</f>
        <v>0</v>
      </c>
      <c r="AR471" s="120">
        <f>IF(AND(V471="OK",ISNUMBER($N$5),$N$5&gt;0,ISNUMBER($N$3),$N$3&gt;0),R471/(6*$N$3*1000000*$N$5)*(IF(N471&lt;($N$4*5/10),($N$4*5/10)*(MIN(O471,($N$4*5/10))^3-N471^3)-(MIN(O471,($N$4*5/10))^4-N471^4)/4,0)+IF(O471&gt;($N$4*5/10),($N$4*5/10)^2*(1.5*(O471^2-MAX(N471,($N$4*5/10))^2)-($N$4*5/10)*(O471-MAX(N471,($N$4*5/10)))),0))*1000,0)</f>
        <v>0</v>
      </c>
      <c r="AS471" s="120">
        <f>IF(AND(V471="OK",ISNUMBER($N$5),$N$5&gt;0,ISNUMBER($N$3),$N$3&gt;0),R471/(6*$N$3*1000000*$N$5)*(IF(N471&lt;($N$4*6/10),($N$4*6/10)*(MIN(O471,($N$4*6/10))^3-N471^3)-(MIN(O471,($N$4*6/10))^4-N471^4)/4,0)+IF(O471&gt;($N$4*6/10),($N$4*6/10)^2*(1.5*(O471^2-MAX(N471,($N$4*6/10))^2)-($N$4*6/10)*(O471-MAX(N471,($N$4*6/10)))),0))*1000,0)</f>
        <v>0</v>
      </c>
      <c r="AT471" s="120">
        <f>IF(AND(V471="OK",ISNUMBER($N$5),$N$5&gt;0,ISNUMBER($N$3),$N$3&gt;0),R471/(6*$N$3*1000000*$N$5)*(IF(N471&lt;($N$4*7/10),($N$4*7/10)*(MIN(O471,($N$4*7/10))^3-N471^3)-(MIN(O471,($N$4*7/10))^4-N471^4)/4,0)+IF(O471&gt;($N$4*7/10),($N$4*7/10)^2*(1.5*(O471^2-MAX(N471,($N$4*7/10))^2)-($N$4*7/10)*(O471-MAX(N471,($N$4*7/10)))),0))*1000,0)</f>
        <v>0</v>
      </c>
      <c r="AU471" s="120">
        <f>IF(AND(V471="OK",ISNUMBER($N$5),$N$5&gt;0,ISNUMBER($N$3),$N$3&gt;0),R471/(6*$N$3*1000000*$N$5)*(IF(N471&lt;($N$4*8/10),($N$4*8/10)*(MIN(O471,($N$4*8/10))^3-N471^3)-(MIN(O471,($N$4*8/10))^4-N471^4)/4,0)+IF(O471&gt;($N$4*8/10),($N$4*8/10)^2*(1.5*(O471^2-MAX(N471,($N$4*8/10))^2)-($N$4*8/10)*(O471-MAX(N471,($N$4*8/10)))),0))*1000,0)</f>
        <v>0</v>
      </c>
      <c r="AV471" s="120">
        <f>IF(AND(V471="OK",ISNUMBER($N$5),$N$5&gt;0,ISNUMBER($N$3),$N$3&gt;0),R471/(6*$N$3*1000000*$N$5)*(IF(N471&lt;($N$4*9/10),($N$4*9/10)*(MIN(O471,($N$4*9/10))^3-N471^3)-(MIN(O471,($N$4*9/10))^4-N471^4)/4,0)+IF(O471&gt;($N$4*9/10),($N$4*9/10)^2*(1.5*(O471^2-MAX(N471,($N$4*9/10))^2)-($N$4*9/10)*(O471-MAX(N471,($N$4*9/10)))),0))*1000,0)</f>
        <v>0</v>
      </c>
      <c r="AW471" s="120">
        <f>IF(AND(V471="OK",ISNUMBER($N$5),$N$5&gt;0,ISNUMBER($N$3),$N$3&gt;0),R471/(6*$N$3*1000000*$N$5)*(IF(N471&lt;($N$4*10/10),($N$4*10/10)*(MIN(O471,($N$4*10/10))^3-N471^3)-(MIN(O471,($N$4*10/10))^4-N471^4)/4,0)+IF(O471&gt;($N$4*10/10),($N$4*10/10)^2*(1.5*(O471^2-MAX(N471,($N$4*10/10))^2)-($N$4*10/10)*(O471-MAX(N471,($N$4*10/10)))),0))*1000,0)</f>
        <v>0</v>
      </c>
    </row>
    <row r="472" spans="1:49">
      <c r="A472" s="124"/>
      <c r="B472" s="125"/>
      <c r="C472" s="125"/>
      <c r="D472" s="125"/>
      <c r="E472" s="125"/>
      <c r="F472" s="126" t="str">
        <f>IF(J472="OK",D472*E472,"")</f>
        <v/>
      </c>
      <c r="G472" s="126" t="str">
        <f>IF(J472="OK",F472*(C472-B472),"")</f>
        <v/>
      </c>
      <c r="H472" s="126" t="str">
        <f>IF(J472="OK",G472*(C472+B472)/2,"")</f>
        <v/>
      </c>
      <c r="I472" s="126" t="str">
        <f>IF(AND(J472="OK",ISNUMBER($B$5),$B$5&gt;0,ISNUMBER($B$3),$B$3&gt;0),F472*(4*$B$4*(C472^3-B472^3)-(C472^4-B472^4))/(24*$B$3*1000000*$B$5)*1000,"")</f>
        <v/>
      </c>
      <c r="J472" s="120" t="str">
        <f>IF(COUNTA(A472:E472)=0,"",IF(AND(COUNT(B472:E472)=4,B472&gt;=0,C472&gt;B472,C472&lt;=$B$4,D472&gt;=0,E472&gt;0),IF(COUNTIFS($B$13:$B$471,"&lt;"&amp;C472,$C$13:$C$471,"&gt;"&amp;B472)&gt;0,"OVERLAP","OK"),"CHECK INPUTS"))</f>
        <v/>
      </c>
      <c r="M472" s="124"/>
      <c r="N472" s="125"/>
      <c r="O472" s="125"/>
      <c r="P472" s="125"/>
      <c r="Q472" s="125"/>
      <c r="R472" s="126" t="str">
        <f>IF(V472="OK",P472*Q472,"")</f>
        <v/>
      </c>
      <c r="S472" s="126" t="str">
        <f>IF(V472="OK",R472*(O472-N472),"")</f>
        <v/>
      </c>
      <c r="T472" s="126" t="str">
        <f>IF(V472="OK",S472*(O472+N472)/2,"")</f>
        <v/>
      </c>
      <c r="U472" s="126" t="str">
        <f>IF(AND(V472="OK",ISNUMBER($N$5),$N$5&gt;0,ISNUMBER($N$3),$N$3&gt;0),R472*(4*$N$4*(O472^3-N472^3)-(O472^4-N472^4))/(24*$N$3*1000000*$N$5)*1000,"")</f>
        <v/>
      </c>
      <c r="V472" s="120" t="str">
        <f>IF(COUNTA(M472:Q472)=0,"",IF(AND(COUNT(N472:Q472)=4,N472&gt;=0,O472&gt;N472,O472&lt;=$N$4,P472&gt;=0,Q472&gt;0),IF(COUNTIFS($N$13:$N$471,"&lt;"&amp;O472,$O$13:$O$471,"&gt;"&amp;N472)&gt;0,"OVERLAP","OK"),"CHECK INPUTS"))</f>
        <v/>
      </c>
      <c r="AA472" s="120">
        <f>IF(AND(J472="OK",ISNUMBER($B$5),$B$5&gt;0,ISNUMBER($B$3),$B$3&gt;0),F472/(6*$B$3*1000000*$B$5)*(IF(B472&lt;($B$4*0/10),($B$4*0/10)*(MIN(C472,($B$4*0/10))^3-B472^3)-(MIN(C472,($B$4*0/10))^4-B472^4)/4,0)+IF(C472&gt;($B$4*0/10),($B$4*0/10)^2*(1.5*(C472^2-MAX(B472,($B$4*0/10))^2)-($B$4*0/10)*(C472-MAX(B472,($B$4*0/10)))),0))*1000,0)</f>
        <v>0</v>
      </c>
      <c r="AB472" s="120">
        <f>IF(AND(J472="OK",ISNUMBER($B$5),$B$5&gt;0,ISNUMBER($B$3),$B$3&gt;0),F472/(6*$B$3*1000000*$B$5)*(IF(B472&lt;($B$4*1/10),($B$4*1/10)*(MIN(C472,($B$4*1/10))^3-B472^3)-(MIN(C472,($B$4*1/10))^4-B472^4)/4,0)+IF(C472&gt;($B$4*1/10),($B$4*1/10)^2*(1.5*(C472^2-MAX(B472,($B$4*1/10))^2)-($B$4*1/10)*(C472-MAX(B472,($B$4*1/10)))),0))*1000,0)</f>
        <v>0</v>
      </c>
      <c r="AC472" s="120">
        <f>IF(AND(J472="OK",ISNUMBER($B$5),$B$5&gt;0,ISNUMBER($B$3),$B$3&gt;0),F472/(6*$B$3*1000000*$B$5)*(IF(B472&lt;($B$4*2/10),($B$4*2/10)*(MIN(C472,($B$4*2/10))^3-B472^3)-(MIN(C472,($B$4*2/10))^4-B472^4)/4,0)+IF(C472&gt;($B$4*2/10),($B$4*2/10)^2*(1.5*(C472^2-MAX(B472,($B$4*2/10))^2)-($B$4*2/10)*(C472-MAX(B472,($B$4*2/10)))),0))*1000,0)</f>
        <v>0</v>
      </c>
      <c r="AD472" s="120">
        <f>IF(AND(J472="OK",ISNUMBER($B$5),$B$5&gt;0,ISNUMBER($B$3),$B$3&gt;0),F472/(6*$B$3*1000000*$B$5)*(IF(B472&lt;($B$4*3/10),($B$4*3/10)*(MIN(C472,($B$4*3/10))^3-B472^3)-(MIN(C472,($B$4*3/10))^4-B472^4)/4,0)+IF(C472&gt;($B$4*3/10),($B$4*3/10)^2*(1.5*(C472^2-MAX(B472,($B$4*3/10))^2)-($B$4*3/10)*(C472-MAX(B472,($B$4*3/10)))),0))*1000,0)</f>
        <v>0</v>
      </c>
      <c r="AE472" s="120">
        <f>IF(AND(J472="OK",ISNUMBER($B$5),$B$5&gt;0,ISNUMBER($B$3),$B$3&gt;0),F472/(6*$B$3*1000000*$B$5)*(IF(B472&lt;($B$4*4/10),($B$4*4/10)*(MIN(C472,($B$4*4/10))^3-B472^3)-(MIN(C472,($B$4*4/10))^4-B472^4)/4,0)+IF(C472&gt;($B$4*4/10),($B$4*4/10)^2*(1.5*(C472^2-MAX(B472,($B$4*4/10))^2)-($B$4*4/10)*(C472-MAX(B472,($B$4*4/10)))),0))*1000,0)</f>
        <v>0</v>
      </c>
      <c r="AF472" s="120">
        <f>IF(AND(J472="OK",ISNUMBER($B$5),$B$5&gt;0,ISNUMBER($B$3),$B$3&gt;0),F472/(6*$B$3*1000000*$B$5)*(IF(B472&lt;($B$4*5/10),($B$4*5/10)*(MIN(C472,($B$4*5/10))^3-B472^3)-(MIN(C472,($B$4*5/10))^4-B472^4)/4,0)+IF(C472&gt;($B$4*5/10),($B$4*5/10)^2*(1.5*(C472^2-MAX(B472,($B$4*5/10))^2)-($B$4*5/10)*(C472-MAX(B472,($B$4*5/10)))),0))*1000,0)</f>
        <v>0</v>
      </c>
      <c r="AG472" s="120">
        <f>IF(AND(J472="OK",ISNUMBER($B$5),$B$5&gt;0,ISNUMBER($B$3),$B$3&gt;0),F472/(6*$B$3*1000000*$B$5)*(IF(B472&lt;($B$4*6/10),($B$4*6/10)*(MIN(C472,($B$4*6/10))^3-B472^3)-(MIN(C472,($B$4*6/10))^4-B472^4)/4,0)+IF(C472&gt;($B$4*6/10),($B$4*6/10)^2*(1.5*(C472^2-MAX(B472,($B$4*6/10))^2)-($B$4*6/10)*(C472-MAX(B472,($B$4*6/10)))),0))*1000,0)</f>
        <v>0</v>
      </c>
      <c r="AH472" s="120">
        <f>IF(AND(J472="OK",ISNUMBER($B$5),$B$5&gt;0,ISNUMBER($B$3),$B$3&gt;0),F472/(6*$B$3*1000000*$B$5)*(IF(B472&lt;($B$4*7/10),($B$4*7/10)*(MIN(C472,($B$4*7/10))^3-B472^3)-(MIN(C472,($B$4*7/10))^4-B472^4)/4,0)+IF(C472&gt;($B$4*7/10),($B$4*7/10)^2*(1.5*(C472^2-MAX(B472,($B$4*7/10))^2)-($B$4*7/10)*(C472-MAX(B472,($B$4*7/10)))),0))*1000,0)</f>
        <v>0</v>
      </c>
      <c r="AI472" s="120">
        <f>IF(AND(J472="OK",ISNUMBER($B$5),$B$5&gt;0,ISNUMBER($B$3),$B$3&gt;0),F472/(6*$B$3*1000000*$B$5)*(IF(B472&lt;($B$4*8/10),($B$4*8/10)*(MIN(C472,($B$4*8/10))^3-B472^3)-(MIN(C472,($B$4*8/10))^4-B472^4)/4,0)+IF(C472&gt;($B$4*8/10),($B$4*8/10)^2*(1.5*(C472^2-MAX(B472,($B$4*8/10))^2)-($B$4*8/10)*(C472-MAX(B472,($B$4*8/10)))),0))*1000,0)</f>
        <v>0</v>
      </c>
      <c r="AJ472" s="120">
        <f>IF(AND(J472="OK",ISNUMBER($B$5),$B$5&gt;0,ISNUMBER($B$3),$B$3&gt;0),F472/(6*$B$3*1000000*$B$5)*(IF(B472&lt;($B$4*9/10),($B$4*9/10)*(MIN(C472,($B$4*9/10))^3-B472^3)-(MIN(C472,($B$4*9/10))^4-B472^4)/4,0)+IF(C472&gt;($B$4*9/10),($B$4*9/10)^2*(1.5*(C472^2-MAX(B472,($B$4*9/10))^2)-($B$4*9/10)*(C472-MAX(B472,($B$4*9/10)))),0))*1000,0)</f>
        <v>0</v>
      </c>
      <c r="AK472" s="120">
        <f>IF(AND(J472="OK",ISNUMBER($B$5),$B$5&gt;0,ISNUMBER($B$3),$B$3&gt;0),F472/(6*$B$3*1000000*$B$5)*(IF(B472&lt;($B$4*10/10),($B$4*10/10)*(MIN(C472,($B$4*10/10))^3-B472^3)-(MIN(C472,($B$4*10/10))^4-B472^4)/4,0)+IF(C472&gt;($B$4*10/10),($B$4*10/10)^2*(1.5*(C472^2-MAX(B472,($B$4*10/10))^2)-($B$4*10/10)*(C472-MAX(B472,($B$4*10/10)))),0))*1000,0)</f>
        <v>0</v>
      </c>
      <c r="AM472" s="120">
        <f>IF(AND(V472="OK",ISNUMBER($N$5),$N$5&gt;0,ISNUMBER($N$3),$N$3&gt;0),R472/(6*$N$3*1000000*$N$5)*(IF(N472&lt;($N$4*0/10),($N$4*0/10)*(MIN(O472,($N$4*0/10))^3-N472^3)-(MIN(O472,($N$4*0/10))^4-N472^4)/4,0)+IF(O472&gt;($N$4*0/10),($N$4*0/10)^2*(1.5*(O472^2-MAX(N472,($N$4*0/10))^2)-($N$4*0/10)*(O472-MAX(N472,($N$4*0/10)))),0))*1000,0)</f>
        <v>0</v>
      </c>
      <c r="AN472" s="120">
        <f>IF(AND(V472="OK",ISNUMBER($N$5),$N$5&gt;0,ISNUMBER($N$3),$N$3&gt;0),R472/(6*$N$3*1000000*$N$5)*(IF(N472&lt;($N$4*1/10),($N$4*1/10)*(MIN(O472,($N$4*1/10))^3-N472^3)-(MIN(O472,($N$4*1/10))^4-N472^4)/4,0)+IF(O472&gt;($N$4*1/10),($N$4*1/10)^2*(1.5*(O472^2-MAX(N472,($N$4*1/10))^2)-($N$4*1/10)*(O472-MAX(N472,($N$4*1/10)))),0))*1000,0)</f>
        <v>0</v>
      </c>
      <c r="AO472" s="120">
        <f>IF(AND(V472="OK",ISNUMBER($N$5),$N$5&gt;0,ISNUMBER($N$3),$N$3&gt;0),R472/(6*$N$3*1000000*$N$5)*(IF(N472&lt;($N$4*2/10),($N$4*2/10)*(MIN(O472,($N$4*2/10))^3-N472^3)-(MIN(O472,($N$4*2/10))^4-N472^4)/4,0)+IF(O472&gt;($N$4*2/10),($N$4*2/10)^2*(1.5*(O472^2-MAX(N472,($N$4*2/10))^2)-($N$4*2/10)*(O472-MAX(N472,($N$4*2/10)))),0))*1000,0)</f>
        <v>0</v>
      </c>
      <c r="AP472" s="120">
        <f>IF(AND(V472="OK",ISNUMBER($N$5),$N$5&gt;0,ISNUMBER($N$3),$N$3&gt;0),R472/(6*$N$3*1000000*$N$5)*(IF(N472&lt;($N$4*3/10),($N$4*3/10)*(MIN(O472,($N$4*3/10))^3-N472^3)-(MIN(O472,($N$4*3/10))^4-N472^4)/4,0)+IF(O472&gt;($N$4*3/10),($N$4*3/10)^2*(1.5*(O472^2-MAX(N472,($N$4*3/10))^2)-($N$4*3/10)*(O472-MAX(N472,($N$4*3/10)))),0))*1000,0)</f>
        <v>0</v>
      </c>
      <c r="AQ472" s="120">
        <f>IF(AND(V472="OK",ISNUMBER($N$5),$N$5&gt;0,ISNUMBER($N$3),$N$3&gt;0),R472/(6*$N$3*1000000*$N$5)*(IF(N472&lt;($N$4*4/10),($N$4*4/10)*(MIN(O472,($N$4*4/10))^3-N472^3)-(MIN(O472,($N$4*4/10))^4-N472^4)/4,0)+IF(O472&gt;($N$4*4/10),($N$4*4/10)^2*(1.5*(O472^2-MAX(N472,($N$4*4/10))^2)-($N$4*4/10)*(O472-MAX(N472,($N$4*4/10)))),0))*1000,0)</f>
        <v>0</v>
      </c>
      <c r="AR472" s="120">
        <f>IF(AND(V472="OK",ISNUMBER($N$5),$N$5&gt;0,ISNUMBER($N$3),$N$3&gt;0),R472/(6*$N$3*1000000*$N$5)*(IF(N472&lt;($N$4*5/10),($N$4*5/10)*(MIN(O472,($N$4*5/10))^3-N472^3)-(MIN(O472,($N$4*5/10))^4-N472^4)/4,0)+IF(O472&gt;($N$4*5/10),($N$4*5/10)^2*(1.5*(O472^2-MAX(N472,($N$4*5/10))^2)-($N$4*5/10)*(O472-MAX(N472,($N$4*5/10)))),0))*1000,0)</f>
        <v>0</v>
      </c>
      <c r="AS472" s="120">
        <f>IF(AND(V472="OK",ISNUMBER($N$5),$N$5&gt;0,ISNUMBER($N$3),$N$3&gt;0),R472/(6*$N$3*1000000*$N$5)*(IF(N472&lt;($N$4*6/10),($N$4*6/10)*(MIN(O472,($N$4*6/10))^3-N472^3)-(MIN(O472,($N$4*6/10))^4-N472^4)/4,0)+IF(O472&gt;($N$4*6/10),($N$4*6/10)^2*(1.5*(O472^2-MAX(N472,($N$4*6/10))^2)-($N$4*6/10)*(O472-MAX(N472,($N$4*6/10)))),0))*1000,0)</f>
        <v>0</v>
      </c>
      <c r="AT472" s="120">
        <f>IF(AND(V472="OK",ISNUMBER($N$5),$N$5&gt;0,ISNUMBER($N$3),$N$3&gt;0),R472/(6*$N$3*1000000*$N$5)*(IF(N472&lt;($N$4*7/10),($N$4*7/10)*(MIN(O472,($N$4*7/10))^3-N472^3)-(MIN(O472,($N$4*7/10))^4-N472^4)/4,0)+IF(O472&gt;($N$4*7/10),($N$4*7/10)^2*(1.5*(O472^2-MAX(N472,($N$4*7/10))^2)-($N$4*7/10)*(O472-MAX(N472,($N$4*7/10)))),0))*1000,0)</f>
        <v>0</v>
      </c>
      <c r="AU472" s="120">
        <f>IF(AND(V472="OK",ISNUMBER($N$5),$N$5&gt;0,ISNUMBER($N$3),$N$3&gt;0),R472/(6*$N$3*1000000*$N$5)*(IF(N472&lt;($N$4*8/10),($N$4*8/10)*(MIN(O472,($N$4*8/10))^3-N472^3)-(MIN(O472,($N$4*8/10))^4-N472^4)/4,0)+IF(O472&gt;($N$4*8/10),($N$4*8/10)^2*(1.5*(O472^2-MAX(N472,($N$4*8/10))^2)-($N$4*8/10)*(O472-MAX(N472,($N$4*8/10)))),0))*1000,0)</f>
        <v>0</v>
      </c>
      <c r="AV472" s="120">
        <f>IF(AND(V472="OK",ISNUMBER($N$5),$N$5&gt;0,ISNUMBER($N$3),$N$3&gt;0),R472/(6*$N$3*1000000*$N$5)*(IF(N472&lt;($N$4*9/10),($N$4*9/10)*(MIN(O472,($N$4*9/10))^3-N472^3)-(MIN(O472,($N$4*9/10))^4-N472^4)/4,0)+IF(O472&gt;($N$4*9/10),($N$4*9/10)^2*(1.5*(O472^2-MAX(N472,($N$4*9/10))^2)-($N$4*9/10)*(O472-MAX(N472,($N$4*9/10)))),0))*1000,0)</f>
        <v>0</v>
      </c>
      <c r="AW472" s="120">
        <f>IF(AND(V472="OK",ISNUMBER($N$5),$N$5&gt;0,ISNUMBER($N$3),$N$3&gt;0),R472/(6*$N$3*1000000*$N$5)*(IF(N472&lt;($N$4*10/10),($N$4*10/10)*(MIN(O472,($N$4*10/10))^3-N472^3)-(MIN(O472,($N$4*10/10))^4-N472^4)/4,0)+IF(O472&gt;($N$4*10/10),($N$4*10/10)^2*(1.5*(O472^2-MAX(N472,($N$4*10/10))^2)-($N$4*10/10)*(O472-MAX(N472,($N$4*10/10)))),0))*1000,0)</f>
        <v>0</v>
      </c>
    </row>
    <row r="473" spans="1:49">
      <c r="A473" s="124"/>
      <c r="B473" s="125"/>
      <c r="C473" s="125"/>
      <c r="D473" s="125"/>
      <c r="E473" s="125"/>
      <c r="F473" s="126" t="str">
        <f>IF(J473="OK",D473*E473,"")</f>
        <v/>
      </c>
      <c r="G473" s="126" t="str">
        <f>IF(J473="OK",F473*(C473-B473),"")</f>
        <v/>
      </c>
      <c r="H473" s="126" t="str">
        <f>IF(J473="OK",G473*(C473+B473)/2,"")</f>
        <v/>
      </c>
      <c r="I473" s="126" t="str">
        <f>IF(AND(J473="OK",ISNUMBER($B$5),$B$5&gt;0,ISNUMBER($B$3),$B$3&gt;0),F473*(4*$B$4*(C473^3-B473^3)-(C473^4-B473^4))/(24*$B$3*1000000*$B$5)*1000,"")</f>
        <v/>
      </c>
      <c r="J473" s="120" t="str">
        <f>IF(COUNTA(A473:E473)=0,"",IF(AND(COUNT(B473:E473)=4,B473&gt;=0,C473&gt;B473,C473&lt;=$B$4,D473&gt;=0,E473&gt;0),IF(COUNTIFS($B$13:$B$472,"&lt;"&amp;C473,$C$13:$C$472,"&gt;"&amp;B473)&gt;0,"OVERLAP","OK"),"CHECK INPUTS"))</f>
        <v/>
      </c>
      <c r="M473" s="124"/>
      <c r="N473" s="125"/>
      <c r="O473" s="125"/>
      <c r="P473" s="125"/>
      <c r="Q473" s="125"/>
      <c r="R473" s="126" t="str">
        <f>IF(V473="OK",P473*Q473,"")</f>
        <v/>
      </c>
      <c r="S473" s="126" t="str">
        <f>IF(V473="OK",R473*(O473-N473),"")</f>
        <v/>
      </c>
      <c r="T473" s="126" t="str">
        <f>IF(V473="OK",S473*(O473+N473)/2,"")</f>
        <v/>
      </c>
      <c r="U473" s="126" t="str">
        <f>IF(AND(V473="OK",ISNUMBER($N$5),$N$5&gt;0,ISNUMBER($N$3),$N$3&gt;0),R473*(4*$N$4*(O473^3-N473^3)-(O473^4-N473^4))/(24*$N$3*1000000*$N$5)*1000,"")</f>
        <v/>
      </c>
      <c r="V473" s="120" t="str">
        <f>IF(COUNTA(M473:Q473)=0,"",IF(AND(COUNT(N473:Q473)=4,N473&gt;=0,O473&gt;N473,O473&lt;=$N$4,P473&gt;=0,Q473&gt;0),IF(COUNTIFS($N$13:$N$472,"&lt;"&amp;O473,$O$13:$O$472,"&gt;"&amp;N473)&gt;0,"OVERLAP","OK"),"CHECK INPUTS"))</f>
        <v/>
      </c>
      <c r="AA473" s="120">
        <f>IF(AND(J473="OK",ISNUMBER($B$5),$B$5&gt;0,ISNUMBER($B$3),$B$3&gt;0),F473/(6*$B$3*1000000*$B$5)*(IF(B473&lt;($B$4*0/10),($B$4*0/10)*(MIN(C473,($B$4*0/10))^3-B473^3)-(MIN(C473,($B$4*0/10))^4-B473^4)/4,0)+IF(C473&gt;($B$4*0/10),($B$4*0/10)^2*(1.5*(C473^2-MAX(B473,($B$4*0/10))^2)-($B$4*0/10)*(C473-MAX(B473,($B$4*0/10)))),0))*1000,0)</f>
        <v>0</v>
      </c>
      <c r="AB473" s="120">
        <f>IF(AND(J473="OK",ISNUMBER($B$5),$B$5&gt;0,ISNUMBER($B$3),$B$3&gt;0),F473/(6*$B$3*1000000*$B$5)*(IF(B473&lt;($B$4*1/10),($B$4*1/10)*(MIN(C473,($B$4*1/10))^3-B473^3)-(MIN(C473,($B$4*1/10))^4-B473^4)/4,0)+IF(C473&gt;($B$4*1/10),($B$4*1/10)^2*(1.5*(C473^2-MAX(B473,($B$4*1/10))^2)-($B$4*1/10)*(C473-MAX(B473,($B$4*1/10)))),0))*1000,0)</f>
        <v>0</v>
      </c>
      <c r="AC473" s="120">
        <f>IF(AND(J473="OK",ISNUMBER($B$5),$B$5&gt;0,ISNUMBER($B$3),$B$3&gt;0),F473/(6*$B$3*1000000*$B$5)*(IF(B473&lt;($B$4*2/10),($B$4*2/10)*(MIN(C473,($B$4*2/10))^3-B473^3)-(MIN(C473,($B$4*2/10))^4-B473^4)/4,0)+IF(C473&gt;($B$4*2/10),($B$4*2/10)^2*(1.5*(C473^2-MAX(B473,($B$4*2/10))^2)-($B$4*2/10)*(C473-MAX(B473,($B$4*2/10)))),0))*1000,0)</f>
        <v>0</v>
      </c>
      <c r="AD473" s="120">
        <f>IF(AND(J473="OK",ISNUMBER($B$5),$B$5&gt;0,ISNUMBER($B$3),$B$3&gt;0),F473/(6*$B$3*1000000*$B$5)*(IF(B473&lt;($B$4*3/10),($B$4*3/10)*(MIN(C473,($B$4*3/10))^3-B473^3)-(MIN(C473,($B$4*3/10))^4-B473^4)/4,0)+IF(C473&gt;($B$4*3/10),($B$4*3/10)^2*(1.5*(C473^2-MAX(B473,($B$4*3/10))^2)-($B$4*3/10)*(C473-MAX(B473,($B$4*3/10)))),0))*1000,0)</f>
        <v>0</v>
      </c>
      <c r="AE473" s="120">
        <f>IF(AND(J473="OK",ISNUMBER($B$5),$B$5&gt;0,ISNUMBER($B$3),$B$3&gt;0),F473/(6*$B$3*1000000*$B$5)*(IF(B473&lt;($B$4*4/10),($B$4*4/10)*(MIN(C473,($B$4*4/10))^3-B473^3)-(MIN(C473,($B$4*4/10))^4-B473^4)/4,0)+IF(C473&gt;($B$4*4/10),($B$4*4/10)^2*(1.5*(C473^2-MAX(B473,($B$4*4/10))^2)-($B$4*4/10)*(C473-MAX(B473,($B$4*4/10)))),0))*1000,0)</f>
        <v>0</v>
      </c>
      <c r="AF473" s="120">
        <f>IF(AND(J473="OK",ISNUMBER($B$5),$B$5&gt;0,ISNUMBER($B$3),$B$3&gt;0),F473/(6*$B$3*1000000*$B$5)*(IF(B473&lt;($B$4*5/10),($B$4*5/10)*(MIN(C473,($B$4*5/10))^3-B473^3)-(MIN(C473,($B$4*5/10))^4-B473^4)/4,0)+IF(C473&gt;($B$4*5/10),($B$4*5/10)^2*(1.5*(C473^2-MAX(B473,($B$4*5/10))^2)-($B$4*5/10)*(C473-MAX(B473,($B$4*5/10)))),0))*1000,0)</f>
        <v>0</v>
      </c>
      <c r="AG473" s="120">
        <f>IF(AND(J473="OK",ISNUMBER($B$5),$B$5&gt;0,ISNUMBER($B$3),$B$3&gt;0),F473/(6*$B$3*1000000*$B$5)*(IF(B473&lt;($B$4*6/10),($B$4*6/10)*(MIN(C473,($B$4*6/10))^3-B473^3)-(MIN(C473,($B$4*6/10))^4-B473^4)/4,0)+IF(C473&gt;($B$4*6/10),($B$4*6/10)^2*(1.5*(C473^2-MAX(B473,($B$4*6/10))^2)-($B$4*6/10)*(C473-MAX(B473,($B$4*6/10)))),0))*1000,0)</f>
        <v>0</v>
      </c>
      <c r="AH473" s="120">
        <f>IF(AND(J473="OK",ISNUMBER($B$5),$B$5&gt;0,ISNUMBER($B$3),$B$3&gt;0),F473/(6*$B$3*1000000*$B$5)*(IF(B473&lt;($B$4*7/10),($B$4*7/10)*(MIN(C473,($B$4*7/10))^3-B473^3)-(MIN(C473,($B$4*7/10))^4-B473^4)/4,0)+IF(C473&gt;($B$4*7/10),($B$4*7/10)^2*(1.5*(C473^2-MAX(B473,($B$4*7/10))^2)-($B$4*7/10)*(C473-MAX(B473,($B$4*7/10)))),0))*1000,0)</f>
        <v>0</v>
      </c>
      <c r="AI473" s="120">
        <f>IF(AND(J473="OK",ISNUMBER($B$5),$B$5&gt;0,ISNUMBER($B$3),$B$3&gt;0),F473/(6*$B$3*1000000*$B$5)*(IF(B473&lt;($B$4*8/10),($B$4*8/10)*(MIN(C473,($B$4*8/10))^3-B473^3)-(MIN(C473,($B$4*8/10))^4-B473^4)/4,0)+IF(C473&gt;($B$4*8/10),($B$4*8/10)^2*(1.5*(C473^2-MAX(B473,($B$4*8/10))^2)-($B$4*8/10)*(C473-MAX(B473,($B$4*8/10)))),0))*1000,0)</f>
        <v>0</v>
      </c>
      <c r="AJ473" s="120">
        <f>IF(AND(J473="OK",ISNUMBER($B$5),$B$5&gt;0,ISNUMBER($B$3),$B$3&gt;0),F473/(6*$B$3*1000000*$B$5)*(IF(B473&lt;($B$4*9/10),($B$4*9/10)*(MIN(C473,($B$4*9/10))^3-B473^3)-(MIN(C473,($B$4*9/10))^4-B473^4)/4,0)+IF(C473&gt;($B$4*9/10),($B$4*9/10)^2*(1.5*(C473^2-MAX(B473,($B$4*9/10))^2)-($B$4*9/10)*(C473-MAX(B473,($B$4*9/10)))),0))*1000,0)</f>
        <v>0</v>
      </c>
      <c r="AK473" s="120">
        <f>IF(AND(J473="OK",ISNUMBER($B$5),$B$5&gt;0,ISNUMBER($B$3),$B$3&gt;0),F473/(6*$B$3*1000000*$B$5)*(IF(B473&lt;($B$4*10/10),($B$4*10/10)*(MIN(C473,($B$4*10/10))^3-B473^3)-(MIN(C473,($B$4*10/10))^4-B473^4)/4,0)+IF(C473&gt;($B$4*10/10),($B$4*10/10)^2*(1.5*(C473^2-MAX(B473,($B$4*10/10))^2)-($B$4*10/10)*(C473-MAX(B473,($B$4*10/10)))),0))*1000,0)</f>
        <v>0</v>
      </c>
      <c r="AM473" s="120">
        <f>IF(AND(V473="OK",ISNUMBER($N$5),$N$5&gt;0,ISNUMBER($N$3),$N$3&gt;0),R473/(6*$N$3*1000000*$N$5)*(IF(N473&lt;($N$4*0/10),($N$4*0/10)*(MIN(O473,($N$4*0/10))^3-N473^3)-(MIN(O473,($N$4*0/10))^4-N473^4)/4,0)+IF(O473&gt;($N$4*0/10),($N$4*0/10)^2*(1.5*(O473^2-MAX(N473,($N$4*0/10))^2)-($N$4*0/10)*(O473-MAX(N473,($N$4*0/10)))),0))*1000,0)</f>
        <v>0</v>
      </c>
      <c r="AN473" s="120">
        <f>IF(AND(V473="OK",ISNUMBER($N$5),$N$5&gt;0,ISNUMBER($N$3),$N$3&gt;0),R473/(6*$N$3*1000000*$N$5)*(IF(N473&lt;($N$4*1/10),($N$4*1/10)*(MIN(O473,($N$4*1/10))^3-N473^3)-(MIN(O473,($N$4*1/10))^4-N473^4)/4,0)+IF(O473&gt;($N$4*1/10),($N$4*1/10)^2*(1.5*(O473^2-MAX(N473,($N$4*1/10))^2)-($N$4*1/10)*(O473-MAX(N473,($N$4*1/10)))),0))*1000,0)</f>
        <v>0</v>
      </c>
      <c r="AO473" s="120">
        <f>IF(AND(V473="OK",ISNUMBER($N$5),$N$5&gt;0,ISNUMBER($N$3),$N$3&gt;0),R473/(6*$N$3*1000000*$N$5)*(IF(N473&lt;($N$4*2/10),($N$4*2/10)*(MIN(O473,($N$4*2/10))^3-N473^3)-(MIN(O473,($N$4*2/10))^4-N473^4)/4,0)+IF(O473&gt;($N$4*2/10),($N$4*2/10)^2*(1.5*(O473^2-MAX(N473,($N$4*2/10))^2)-($N$4*2/10)*(O473-MAX(N473,($N$4*2/10)))),0))*1000,0)</f>
        <v>0</v>
      </c>
      <c r="AP473" s="120">
        <f>IF(AND(V473="OK",ISNUMBER($N$5),$N$5&gt;0,ISNUMBER($N$3),$N$3&gt;0),R473/(6*$N$3*1000000*$N$5)*(IF(N473&lt;($N$4*3/10),($N$4*3/10)*(MIN(O473,($N$4*3/10))^3-N473^3)-(MIN(O473,($N$4*3/10))^4-N473^4)/4,0)+IF(O473&gt;($N$4*3/10),($N$4*3/10)^2*(1.5*(O473^2-MAX(N473,($N$4*3/10))^2)-($N$4*3/10)*(O473-MAX(N473,($N$4*3/10)))),0))*1000,0)</f>
        <v>0</v>
      </c>
      <c r="AQ473" s="120">
        <f>IF(AND(V473="OK",ISNUMBER($N$5),$N$5&gt;0,ISNUMBER($N$3),$N$3&gt;0),R473/(6*$N$3*1000000*$N$5)*(IF(N473&lt;($N$4*4/10),($N$4*4/10)*(MIN(O473,($N$4*4/10))^3-N473^3)-(MIN(O473,($N$4*4/10))^4-N473^4)/4,0)+IF(O473&gt;($N$4*4/10),($N$4*4/10)^2*(1.5*(O473^2-MAX(N473,($N$4*4/10))^2)-($N$4*4/10)*(O473-MAX(N473,($N$4*4/10)))),0))*1000,0)</f>
        <v>0</v>
      </c>
      <c r="AR473" s="120">
        <f>IF(AND(V473="OK",ISNUMBER($N$5),$N$5&gt;0,ISNUMBER($N$3),$N$3&gt;0),R473/(6*$N$3*1000000*$N$5)*(IF(N473&lt;($N$4*5/10),($N$4*5/10)*(MIN(O473,($N$4*5/10))^3-N473^3)-(MIN(O473,($N$4*5/10))^4-N473^4)/4,0)+IF(O473&gt;($N$4*5/10),($N$4*5/10)^2*(1.5*(O473^2-MAX(N473,($N$4*5/10))^2)-($N$4*5/10)*(O473-MAX(N473,($N$4*5/10)))),0))*1000,0)</f>
        <v>0</v>
      </c>
      <c r="AS473" s="120">
        <f>IF(AND(V473="OK",ISNUMBER($N$5),$N$5&gt;0,ISNUMBER($N$3),$N$3&gt;0),R473/(6*$N$3*1000000*$N$5)*(IF(N473&lt;($N$4*6/10),($N$4*6/10)*(MIN(O473,($N$4*6/10))^3-N473^3)-(MIN(O473,($N$4*6/10))^4-N473^4)/4,0)+IF(O473&gt;($N$4*6/10),($N$4*6/10)^2*(1.5*(O473^2-MAX(N473,($N$4*6/10))^2)-($N$4*6/10)*(O473-MAX(N473,($N$4*6/10)))),0))*1000,0)</f>
        <v>0</v>
      </c>
      <c r="AT473" s="120">
        <f>IF(AND(V473="OK",ISNUMBER($N$5),$N$5&gt;0,ISNUMBER($N$3),$N$3&gt;0),R473/(6*$N$3*1000000*$N$5)*(IF(N473&lt;($N$4*7/10),($N$4*7/10)*(MIN(O473,($N$4*7/10))^3-N473^3)-(MIN(O473,($N$4*7/10))^4-N473^4)/4,0)+IF(O473&gt;($N$4*7/10),($N$4*7/10)^2*(1.5*(O473^2-MAX(N473,($N$4*7/10))^2)-($N$4*7/10)*(O473-MAX(N473,($N$4*7/10)))),0))*1000,0)</f>
        <v>0</v>
      </c>
      <c r="AU473" s="120">
        <f>IF(AND(V473="OK",ISNUMBER($N$5),$N$5&gt;0,ISNUMBER($N$3),$N$3&gt;0),R473/(6*$N$3*1000000*$N$5)*(IF(N473&lt;($N$4*8/10),($N$4*8/10)*(MIN(O473,($N$4*8/10))^3-N473^3)-(MIN(O473,($N$4*8/10))^4-N473^4)/4,0)+IF(O473&gt;($N$4*8/10),($N$4*8/10)^2*(1.5*(O473^2-MAX(N473,($N$4*8/10))^2)-($N$4*8/10)*(O473-MAX(N473,($N$4*8/10)))),0))*1000,0)</f>
        <v>0</v>
      </c>
      <c r="AV473" s="120">
        <f>IF(AND(V473="OK",ISNUMBER($N$5),$N$5&gt;0,ISNUMBER($N$3),$N$3&gt;0),R473/(6*$N$3*1000000*$N$5)*(IF(N473&lt;($N$4*9/10),($N$4*9/10)*(MIN(O473,($N$4*9/10))^3-N473^3)-(MIN(O473,($N$4*9/10))^4-N473^4)/4,0)+IF(O473&gt;($N$4*9/10),($N$4*9/10)^2*(1.5*(O473^2-MAX(N473,($N$4*9/10))^2)-($N$4*9/10)*(O473-MAX(N473,($N$4*9/10)))),0))*1000,0)</f>
        <v>0</v>
      </c>
      <c r="AW473" s="120">
        <f>IF(AND(V473="OK",ISNUMBER($N$5),$N$5&gt;0,ISNUMBER($N$3),$N$3&gt;0),R473/(6*$N$3*1000000*$N$5)*(IF(N473&lt;($N$4*10/10),($N$4*10/10)*(MIN(O473,($N$4*10/10))^3-N473^3)-(MIN(O473,($N$4*10/10))^4-N473^4)/4,0)+IF(O473&gt;($N$4*10/10),($N$4*10/10)^2*(1.5*(O473^2-MAX(N473,($N$4*10/10))^2)-($N$4*10/10)*(O473-MAX(N473,($N$4*10/10)))),0))*1000,0)</f>
        <v>0</v>
      </c>
    </row>
    <row r="474" spans="1:49">
      <c r="A474" s="124"/>
      <c r="B474" s="125"/>
      <c r="C474" s="125"/>
      <c r="D474" s="125"/>
      <c r="E474" s="125"/>
      <c r="F474" s="126" t="str">
        <f>IF(J474="OK",D474*E474,"")</f>
        <v/>
      </c>
      <c r="G474" s="126" t="str">
        <f>IF(J474="OK",F474*(C474-B474),"")</f>
        <v/>
      </c>
      <c r="H474" s="126" t="str">
        <f>IF(J474="OK",G474*(C474+B474)/2,"")</f>
        <v/>
      </c>
      <c r="I474" s="126" t="str">
        <f>IF(AND(J474="OK",ISNUMBER($B$5),$B$5&gt;0,ISNUMBER($B$3),$B$3&gt;0),F474*(4*$B$4*(C474^3-B474^3)-(C474^4-B474^4))/(24*$B$3*1000000*$B$5)*1000,"")</f>
        <v/>
      </c>
      <c r="J474" s="120" t="str">
        <f>IF(COUNTA(A474:E474)=0,"",IF(AND(COUNT(B474:E474)=4,B474&gt;=0,C474&gt;B474,C474&lt;=$B$4,D474&gt;=0,E474&gt;0),IF(COUNTIFS($B$13:$B$473,"&lt;"&amp;C474,$C$13:$C$473,"&gt;"&amp;B474)&gt;0,"OVERLAP","OK"),"CHECK INPUTS"))</f>
        <v/>
      </c>
      <c r="M474" s="124"/>
      <c r="N474" s="125"/>
      <c r="O474" s="125"/>
      <c r="P474" s="125"/>
      <c r="Q474" s="125"/>
      <c r="R474" s="126" t="str">
        <f>IF(V474="OK",P474*Q474,"")</f>
        <v/>
      </c>
      <c r="S474" s="126" t="str">
        <f>IF(V474="OK",R474*(O474-N474),"")</f>
        <v/>
      </c>
      <c r="T474" s="126" t="str">
        <f>IF(V474="OK",S474*(O474+N474)/2,"")</f>
        <v/>
      </c>
      <c r="U474" s="126" t="str">
        <f>IF(AND(V474="OK",ISNUMBER($N$5),$N$5&gt;0,ISNUMBER($N$3),$N$3&gt;0),R474*(4*$N$4*(O474^3-N474^3)-(O474^4-N474^4))/(24*$N$3*1000000*$N$5)*1000,"")</f>
        <v/>
      </c>
      <c r="V474" s="120" t="str">
        <f>IF(COUNTA(M474:Q474)=0,"",IF(AND(COUNT(N474:Q474)=4,N474&gt;=0,O474&gt;N474,O474&lt;=$N$4,P474&gt;=0,Q474&gt;0),IF(COUNTIFS($N$13:$N$473,"&lt;"&amp;O474,$O$13:$O$473,"&gt;"&amp;N474)&gt;0,"OVERLAP","OK"),"CHECK INPUTS"))</f>
        <v/>
      </c>
      <c r="AA474" s="120">
        <f>IF(AND(J474="OK",ISNUMBER($B$5),$B$5&gt;0,ISNUMBER($B$3),$B$3&gt;0),F474/(6*$B$3*1000000*$B$5)*(IF(B474&lt;($B$4*0/10),($B$4*0/10)*(MIN(C474,($B$4*0/10))^3-B474^3)-(MIN(C474,($B$4*0/10))^4-B474^4)/4,0)+IF(C474&gt;($B$4*0/10),($B$4*0/10)^2*(1.5*(C474^2-MAX(B474,($B$4*0/10))^2)-($B$4*0/10)*(C474-MAX(B474,($B$4*0/10)))),0))*1000,0)</f>
        <v>0</v>
      </c>
      <c r="AB474" s="120">
        <f>IF(AND(J474="OK",ISNUMBER($B$5),$B$5&gt;0,ISNUMBER($B$3),$B$3&gt;0),F474/(6*$B$3*1000000*$B$5)*(IF(B474&lt;($B$4*1/10),($B$4*1/10)*(MIN(C474,($B$4*1/10))^3-B474^3)-(MIN(C474,($B$4*1/10))^4-B474^4)/4,0)+IF(C474&gt;($B$4*1/10),($B$4*1/10)^2*(1.5*(C474^2-MAX(B474,($B$4*1/10))^2)-($B$4*1/10)*(C474-MAX(B474,($B$4*1/10)))),0))*1000,0)</f>
        <v>0</v>
      </c>
      <c r="AC474" s="120">
        <f>IF(AND(J474="OK",ISNUMBER($B$5),$B$5&gt;0,ISNUMBER($B$3),$B$3&gt;0),F474/(6*$B$3*1000000*$B$5)*(IF(B474&lt;($B$4*2/10),($B$4*2/10)*(MIN(C474,($B$4*2/10))^3-B474^3)-(MIN(C474,($B$4*2/10))^4-B474^4)/4,0)+IF(C474&gt;($B$4*2/10),($B$4*2/10)^2*(1.5*(C474^2-MAX(B474,($B$4*2/10))^2)-($B$4*2/10)*(C474-MAX(B474,($B$4*2/10)))),0))*1000,0)</f>
        <v>0</v>
      </c>
      <c r="AD474" s="120">
        <f>IF(AND(J474="OK",ISNUMBER($B$5),$B$5&gt;0,ISNUMBER($B$3),$B$3&gt;0),F474/(6*$B$3*1000000*$B$5)*(IF(B474&lt;($B$4*3/10),($B$4*3/10)*(MIN(C474,($B$4*3/10))^3-B474^3)-(MIN(C474,($B$4*3/10))^4-B474^4)/4,0)+IF(C474&gt;($B$4*3/10),($B$4*3/10)^2*(1.5*(C474^2-MAX(B474,($B$4*3/10))^2)-($B$4*3/10)*(C474-MAX(B474,($B$4*3/10)))),0))*1000,0)</f>
        <v>0</v>
      </c>
      <c r="AE474" s="120">
        <f>IF(AND(J474="OK",ISNUMBER($B$5),$B$5&gt;0,ISNUMBER($B$3),$B$3&gt;0),F474/(6*$B$3*1000000*$B$5)*(IF(B474&lt;($B$4*4/10),($B$4*4/10)*(MIN(C474,($B$4*4/10))^3-B474^3)-(MIN(C474,($B$4*4/10))^4-B474^4)/4,0)+IF(C474&gt;($B$4*4/10),($B$4*4/10)^2*(1.5*(C474^2-MAX(B474,($B$4*4/10))^2)-($B$4*4/10)*(C474-MAX(B474,($B$4*4/10)))),0))*1000,0)</f>
        <v>0</v>
      </c>
      <c r="AF474" s="120">
        <f>IF(AND(J474="OK",ISNUMBER($B$5),$B$5&gt;0,ISNUMBER($B$3),$B$3&gt;0),F474/(6*$B$3*1000000*$B$5)*(IF(B474&lt;($B$4*5/10),($B$4*5/10)*(MIN(C474,($B$4*5/10))^3-B474^3)-(MIN(C474,($B$4*5/10))^4-B474^4)/4,0)+IF(C474&gt;($B$4*5/10),($B$4*5/10)^2*(1.5*(C474^2-MAX(B474,($B$4*5/10))^2)-($B$4*5/10)*(C474-MAX(B474,($B$4*5/10)))),0))*1000,0)</f>
        <v>0</v>
      </c>
      <c r="AG474" s="120">
        <f>IF(AND(J474="OK",ISNUMBER($B$5),$B$5&gt;0,ISNUMBER($B$3),$B$3&gt;0),F474/(6*$B$3*1000000*$B$5)*(IF(B474&lt;($B$4*6/10),($B$4*6/10)*(MIN(C474,($B$4*6/10))^3-B474^3)-(MIN(C474,($B$4*6/10))^4-B474^4)/4,0)+IF(C474&gt;($B$4*6/10),($B$4*6/10)^2*(1.5*(C474^2-MAX(B474,($B$4*6/10))^2)-($B$4*6/10)*(C474-MAX(B474,($B$4*6/10)))),0))*1000,0)</f>
        <v>0</v>
      </c>
      <c r="AH474" s="120">
        <f>IF(AND(J474="OK",ISNUMBER($B$5),$B$5&gt;0,ISNUMBER($B$3),$B$3&gt;0),F474/(6*$B$3*1000000*$B$5)*(IF(B474&lt;($B$4*7/10),($B$4*7/10)*(MIN(C474,($B$4*7/10))^3-B474^3)-(MIN(C474,($B$4*7/10))^4-B474^4)/4,0)+IF(C474&gt;($B$4*7/10),($B$4*7/10)^2*(1.5*(C474^2-MAX(B474,($B$4*7/10))^2)-($B$4*7/10)*(C474-MAX(B474,($B$4*7/10)))),0))*1000,0)</f>
        <v>0</v>
      </c>
      <c r="AI474" s="120">
        <f>IF(AND(J474="OK",ISNUMBER($B$5),$B$5&gt;0,ISNUMBER($B$3),$B$3&gt;0),F474/(6*$B$3*1000000*$B$5)*(IF(B474&lt;($B$4*8/10),($B$4*8/10)*(MIN(C474,($B$4*8/10))^3-B474^3)-(MIN(C474,($B$4*8/10))^4-B474^4)/4,0)+IF(C474&gt;($B$4*8/10),($B$4*8/10)^2*(1.5*(C474^2-MAX(B474,($B$4*8/10))^2)-($B$4*8/10)*(C474-MAX(B474,($B$4*8/10)))),0))*1000,0)</f>
        <v>0</v>
      </c>
      <c r="AJ474" s="120">
        <f>IF(AND(J474="OK",ISNUMBER($B$5),$B$5&gt;0,ISNUMBER($B$3),$B$3&gt;0),F474/(6*$B$3*1000000*$B$5)*(IF(B474&lt;($B$4*9/10),($B$4*9/10)*(MIN(C474,($B$4*9/10))^3-B474^3)-(MIN(C474,($B$4*9/10))^4-B474^4)/4,0)+IF(C474&gt;($B$4*9/10),($B$4*9/10)^2*(1.5*(C474^2-MAX(B474,($B$4*9/10))^2)-($B$4*9/10)*(C474-MAX(B474,($B$4*9/10)))),0))*1000,0)</f>
        <v>0</v>
      </c>
      <c r="AK474" s="120">
        <f>IF(AND(J474="OK",ISNUMBER($B$5),$B$5&gt;0,ISNUMBER($B$3),$B$3&gt;0),F474/(6*$B$3*1000000*$B$5)*(IF(B474&lt;($B$4*10/10),($B$4*10/10)*(MIN(C474,($B$4*10/10))^3-B474^3)-(MIN(C474,($B$4*10/10))^4-B474^4)/4,0)+IF(C474&gt;($B$4*10/10),($B$4*10/10)^2*(1.5*(C474^2-MAX(B474,($B$4*10/10))^2)-($B$4*10/10)*(C474-MAX(B474,($B$4*10/10)))),0))*1000,0)</f>
        <v>0</v>
      </c>
      <c r="AM474" s="120">
        <f>IF(AND(V474="OK",ISNUMBER($N$5),$N$5&gt;0,ISNUMBER($N$3),$N$3&gt;0),R474/(6*$N$3*1000000*$N$5)*(IF(N474&lt;($N$4*0/10),($N$4*0/10)*(MIN(O474,($N$4*0/10))^3-N474^3)-(MIN(O474,($N$4*0/10))^4-N474^4)/4,0)+IF(O474&gt;($N$4*0/10),($N$4*0/10)^2*(1.5*(O474^2-MAX(N474,($N$4*0/10))^2)-($N$4*0/10)*(O474-MAX(N474,($N$4*0/10)))),0))*1000,0)</f>
        <v>0</v>
      </c>
      <c r="AN474" s="120">
        <f>IF(AND(V474="OK",ISNUMBER($N$5),$N$5&gt;0,ISNUMBER($N$3),$N$3&gt;0),R474/(6*$N$3*1000000*$N$5)*(IF(N474&lt;($N$4*1/10),($N$4*1/10)*(MIN(O474,($N$4*1/10))^3-N474^3)-(MIN(O474,($N$4*1/10))^4-N474^4)/4,0)+IF(O474&gt;($N$4*1/10),($N$4*1/10)^2*(1.5*(O474^2-MAX(N474,($N$4*1/10))^2)-($N$4*1/10)*(O474-MAX(N474,($N$4*1/10)))),0))*1000,0)</f>
        <v>0</v>
      </c>
      <c r="AO474" s="120">
        <f>IF(AND(V474="OK",ISNUMBER($N$5),$N$5&gt;0,ISNUMBER($N$3),$N$3&gt;0),R474/(6*$N$3*1000000*$N$5)*(IF(N474&lt;($N$4*2/10),($N$4*2/10)*(MIN(O474,($N$4*2/10))^3-N474^3)-(MIN(O474,($N$4*2/10))^4-N474^4)/4,0)+IF(O474&gt;($N$4*2/10),($N$4*2/10)^2*(1.5*(O474^2-MAX(N474,($N$4*2/10))^2)-($N$4*2/10)*(O474-MAX(N474,($N$4*2/10)))),0))*1000,0)</f>
        <v>0</v>
      </c>
      <c r="AP474" s="120">
        <f>IF(AND(V474="OK",ISNUMBER($N$5),$N$5&gt;0,ISNUMBER($N$3),$N$3&gt;0),R474/(6*$N$3*1000000*$N$5)*(IF(N474&lt;($N$4*3/10),($N$4*3/10)*(MIN(O474,($N$4*3/10))^3-N474^3)-(MIN(O474,($N$4*3/10))^4-N474^4)/4,0)+IF(O474&gt;($N$4*3/10),($N$4*3/10)^2*(1.5*(O474^2-MAX(N474,($N$4*3/10))^2)-($N$4*3/10)*(O474-MAX(N474,($N$4*3/10)))),0))*1000,0)</f>
        <v>0</v>
      </c>
      <c r="AQ474" s="120">
        <f>IF(AND(V474="OK",ISNUMBER($N$5),$N$5&gt;0,ISNUMBER($N$3),$N$3&gt;0),R474/(6*$N$3*1000000*$N$5)*(IF(N474&lt;($N$4*4/10),($N$4*4/10)*(MIN(O474,($N$4*4/10))^3-N474^3)-(MIN(O474,($N$4*4/10))^4-N474^4)/4,0)+IF(O474&gt;($N$4*4/10),($N$4*4/10)^2*(1.5*(O474^2-MAX(N474,($N$4*4/10))^2)-($N$4*4/10)*(O474-MAX(N474,($N$4*4/10)))),0))*1000,0)</f>
        <v>0</v>
      </c>
      <c r="AR474" s="120">
        <f>IF(AND(V474="OK",ISNUMBER($N$5),$N$5&gt;0,ISNUMBER($N$3),$N$3&gt;0),R474/(6*$N$3*1000000*$N$5)*(IF(N474&lt;($N$4*5/10),($N$4*5/10)*(MIN(O474,($N$4*5/10))^3-N474^3)-(MIN(O474,($N$4*5/10))^4-N474^4)/4,0)+IF(O474&gt;($N$4*5/10),($N$4*5/10)^2*(1.5*(O474^2-MAX(N474,($N$4*5/10))^2)-($N$4*5/10)*(O474-MAX(N474,($N$4*5/10)))),0))*1000,0)</f>
        <v>0</v>
      </c>
      <c r="AS474" s="120">
        <f>IF(AND(V474="OK",ISNUMBER($N$5),$N$5&gt;0,ISNUMBER($N$3),$N$3&gt;0),R474/(6*$N$3*1000000*$N$5)*(IF(N474&lt;($N$4*6/10),($N$4*6/10)*(MIN(O474,($N$4*6/10))^3-N474^3)-(MIN(O474,($N$4*6/10))^4-N474^4)/4,0)+IF(O474&gt;($N$4*6/10),($N$4*6/10)^2*(1.5*(O474^2-MAX(N474,($N$4*6/10))^2)-($N$4*6/10)*(O474-MAX(N474,($N$4*6/10)))),0))*1000,0)</f>
        <v>0</v>
      </c>
      <c r="AT474" s="120">
        <f>IF(AND(V474="OK",ISNUMBER($N$5),$N$5&gt;0,ISNUMBER($N$3),$N$3&gt;0),R474/(6*$N$3*1000000*$N$5)*(IF(N474&lt;($N$4*7/10),($N$4*7/10)*(MIN(O474,($N$4*7/10))^3-N474^3)-(MIN(O474,($N$4*7/10))^4-N474^4)/4,0)+IF(O474&gt;($N$4*7/10),($N$4*7/10)^2*(1.5*(O474^2-MAX(N474,($N$4*7/10))^2)-($N$4*7/10)*(O474-MAX(N474,($N$4*7/10)))),0))*1000,0)</f>
        <v>0</v>
      </c>
      <c r="AU474" s="120">
        <f>IF(AND(V474="OK",ISNUMBER($N$5),$N$5&gt;0,ISNUMBER($N$3),$N$3&gt;0),R474/(6*$N$3*1000000*$N$5)*(IF(N474&lt;($N$4*8/10),($N$4*8/10)*(MIN(O474,($N$4*8/10))^3-N474^3)-(MIN(O474,($N$4*8/10))^4-N474^4)/4,0)+IF(O474&gt;($N$4*8/10),($N$4*8/10)^2*(1.5*(O474^2-MAX(N474,($N$4*8/10))^2)-($N$4*8/10)*(O474-MAX(N474,($N$4*8/10)))),0))*1000,0)</f>
        <v>0</v>
      </c>
      <c r="AV474" s="120">
        <f>IF(AND(V474="OK",ISNUMBER($N$5),$N$5&gt;0,ISNUMBER($N$3),$N$3&gt;0),R474/(6*$N$3*1000000*$N$5)*(IF(N474&lt;($N$4*9/10),($N$4*9/10)*(MIN(O474,($N$4*9/10))^3-N474^3)-(MIN(O474,($N$4*9/10))^4-N474^4)/4,0)+IF(O474&gt;($N$4*9/10),($N$4*9/10)^2*(1.5*(O474^2-MAX(N474,($N$4*9/10))^2)-($N$4*9/10)*(O474-MAX(N474,($N$4*9/10)))),0))*1000,0)</f>
        <v>0</v>
      </c>
      <c r="AW474" s="120">
        <f>IF(AND(V474="OK",ISNUMBER($N$5),$N$5&gt;0,ISNUMBER($N$3),$N$3&gt;0),R474/(6*$N$3*1000000*$N$5)*(IF(N474&lt;($N$4*10/10),($N$4*10/10)*(MIN(O474,($N$4*10/10))^3-N474^3)-(MIN(O474,($N$4*10/10))^4-N474^4)/4,0)+IF(O474&gt;($N$4*10/10),($N$4*10/10)^2*(1.5*(O474^2-MAX(N474,($N$4*10/10))^2)-($N$4*10/10)*(O474-MAX(N474,($N$4*10/10)))),0))*1000,0)</f>
        <v>0</v>
      </c>
    </row>
    <row r="475" spans="1:49">
      <c r="A475" s="124"/>
      <c r="B475" s="125"/>
      <c r="C475" s="125"/>
      <c r="D475" s="125"/>
      <c r="E475" s="125"/>
      <c r="F475" s="126" t="str">
        <f>IF(J475="OK",D475*E475,"")</f>
        <v/>
      </c>
      <c r="G475" s="126" t="str">
        <f>IF(J475="OK",F475*(C475-B475),"")</f>
        <v/>
      </c>
      <c r="H475" s="126" t="str">
        <f>IF(J475="OK",G475*(C475+B475)/2,"")</f>
        <v/>
      </c>
      <c r="I475" s="126" t="str">
        <f>IF(AND(J475="OK",ISNUMBER($B$5),$B$5&gt;0,ISNUMBER($B$3),$B$3&gt;0),F475*(4*$B$4*(C475^3-B475^3)-(C475^4-B475^4))/(24*$B$3*1000000*$B$5)*1000,"")</f>
        <v/>
      </c>
      <c r="J475" s="120" t="str">
        <f>IF(COUNTA(A475:E475)=0,"",IF(AND(COUNT(B475:E475)=4,B475&gt;=0,C475&gt;B475,C475&lt;=$B$4,D475&gt;=0,E475&gt;0),IF(COUNTIFS($B$13:$B$474,"&lt;"&amp;C475,$C$13:$C$474,"&gt;"&amp;B475)&gt;0,"OVERLAP","OK"),"CHECK INPUTS"))</f>
        <v/>
      </c>
      <c r="M475" s="124"/>
      <c r="N475" s="125"/>
      <c r="O475" s="125"/>
      <c r="P475" s="125"/>
      <c r="Q475" s="125"/>
      <c r="R475" s="126" t="str">
        <f>IF(V475="OK",P475*Q475,"")</f>
        <v/>
      </c>
      <c r="S475" s="126" t="str">
        <f>IF(V475="OK",R475*(O475-N475),"")</f>
        <v/>
      </c>
      <c r="T475" s="126" t="str">
        <f>IF(V475="OK",S475*(O475+N475)/2,"")</f>
        <v/>
      </c>
      <c r="U475" s="126" t="str">
        <f>IF(AND(V475="OK",ISNUMBER($N$5),$N$5&gt;0,ISNUMBER($N$3),$N$3&gt;0),R475*(4*$N$4*(O475^3-N475^3)-(O475^4-N475^4))/(24*$N$3*1000000*$N$5)*1000,"")</f>
        <v/>
      </c>
      <c r="V475" s="120" t="str">
        <f>IF(COUNTA(M475:Q475)=0,"",IF(AND(COUNT(N475:Q475)=4,N475&gt;=0,O475&gt;N475,O475&lt;=$N$4,P475&gt;=0,Q475&gt;0),IF(COUNTIFS($N$13:$N$474,"&lt;"&amp;O475,$O$13:$O$474,"&gt;"&amp;N475)&gt;0,"OVERLAP","OK"),"CHECK INPUTS"))</f>
        <v/>
      </c>
      <c r="AA475" s="120">
        <f>IF(AND(J475="OK",ISNUMBER($B$5),$B$5&gt;0,ISNUMBER($B$3),$B$3&gt;0),F475/(6*$B$3*1000000*$B$5)*(IF(B475&lt;($B$4*0/10),($B$4*0/10)*(MIN(C475,($B$4*0/10))^3-B475^3)-(MIN(C475,($B$4*0/10))^4-B475^4)/4,0)+IF(C475&gt;($B$4*0/10),($B$4*0/10)^2*(1.5*(C475^2-MAX(B475,($B$4*0/10))^2)-($B$4*0/10)*(C475-MAX(B475,($B$4*0/10)))),0))*1000,0)</f>
        <v>0</v>
      </c>
      <c r="AB475" s="120">
        <f>IF(AND(J475="OK",ISNUMBER($B$5),$B$5&gt;0,ISNUMBER($B$3),$B$3&gt;0),F475/(6*$B$3*1000000*$B$5)*(IF(B475&lt;($B$4*1/10),($B$4*1/10)*(MIN(C475,($B$4*1/10))^3-B475^3)-(MIN(C475,($B$4*1/10))^4-B475^4)/4,0)+IF(C475&gt;($B$4*1/10),($B$4*1/10)^2*(1.5*(C475^2-MAX(B475,($B$4*1/10))^2)-($B$4*1/10)*(C475-MAX(B475,($B$4*1/10)))),0))*1000,0)</f>
        <v>0</v>
      </c>
      <c r="AC475" s="120">
        <f>IF(AND(J475="OK",ISNUMBER($B$5),$B$5&gt;0,ISNUMBER($B$3),$B$3&gt;0),F475/(6*$B$3*1000000*$B$5)*(IF(B475&lt;($B$4*2/10),($B$4*2/10)*(MIN(C475,($B$4*2/10))^3-B475^3)-(MIN(C475,($B$4*2/10))^4-B475^4)/4,0)+IF(C475&gt;($B$4*2/10),($B$4*2/10)^2*(1.5*(C475^2-MAX(B475,($B$4*2/10))^2)-($B$4*2/10)*(C475-MAX(B475,($B$4*2/10)))),0))*1000,0)</f>
        <v>0</v>
      </c>
      <c r="AD475" s="120">
        <f>IF(AND(J475="OK",ISNUMBER($B$5),$B$5&gt;0,ISNUMBER($B$3),$B$3&gt;0),F475/(6*$B$3*1000000*$B$5)*(IF(B475&lt;($B$4*3/10),($B$4*3/10)*(MIN(C475,($B$4*3/10))^3-B475^3)-(MIN(C475,($B$4*3/10))^4-B475^4)/4,0)+IF(C475&gt;($B$4*3/10),($B$4*3/10)^2*(1.5*(C475^2-MAX(B475,($B$4*3/10))^2)-($B$4*3/10)*(C475-MAX(B475,($B$4*3/10)))),0))*1000,0)</f>
        <v>0</v>
      </c>
      <c r="AE475" s="120">
        <f>IF(AND(J475="OK",ISNUMBER($B$5),$B$5&gt;0,ISNUMBER($B$3),$B$3&gt;0),F475/(6*$B$3*1000000*$B$5)*(IF(B475&lt;($B$4*4/10),($B$4*4/10)*(MIN(C475,($B$4*4/10))^3-B475^3)-(MIN(C475,($B$4*4/10))^4-B475^4)/4,0)+IF(C475&gt;($B$4*4/10),($B$4*4/10)^2*(1.5*(C475^2-MAX(B475,($B$4*4/10))^2)-($B$4*4/10)*(C475-MAX(B475,($B$4*4/10)))),0))*1000,0)</f>
        <v>0</v>
      </c>
      <c r="AF475" s="120">
        <f>IF(AND(J475="OK",ISNUMBER($B$5),$B$5&gt;0,ISNUMBER($B$3),$B$3&gt;0),F475/(6*$B$3*1000000*$B$5)*(IF(B475&lt;($B$4*5/10),($B$4*5/10)*(MIN(C475,($B$4*5/10))^3-B475^3)-(MIN(C475,($B$4*5/10))^4-B475^4)/4,0)+IF(C475&gt;($B$4*5/10),($B$4*5/10)^2*(1.5*(C475^2-MAX(B475,($B$4*5/10))^2)-($B$4*5/10)*(C475-MAX(B475,($B$4*5/10)))),0))*1000,0)</f>
        <v>0</v>
      </c>
      <c r="AG475" s="120">
        <f>IF(AND(J475="OK",ISNUMBER($B$5),$B$5&gt;0,ISNUMBER($B$3),$B$3&gt;0),F475/(6*$B$3*1000000*$B$5)*(IF(B475&lt;($B$4*6/10),($B$4*6/10)*(MIN(C475,($B$4*6/10))^3-B475^3)-(MIN(C475,($B$4*6/10))^4-B475^4)/4,0)+IF(C475&gt;($B$4*6/10),($B$4*6/10)^2*(1.5*(C475^2-MAX(B475,($B$4*6/10))^2)-($B$4*6/10)*(C475-MAX(B475,($B$4*6/10)))),0))*1000,0)</f>
        <v>0</v>
      </c>
      <c r="AH475" s="120">
        <f>IF(AND(J475="OK",ISNUMBER($B$5),$B$5&gt;0,ISNUMBER($B$3),$B$3&gt;0),F475/(6*$B$3*1000000*$B$5)*(IF(B475&lt;($B$4*7/10),($B$4*7/10)*(MIN(C475,($B$4*7/10))^3-B475^3)-(MIN(C475,($B$4*7/10))^4-B475^4)/4,0)+IF(C475&gt;($B$4*7/10),($B$4*7/10)^2*(1.5*(C475^2-MAX(B475,($B$4*7/10))^2)-($B$4*7/10)*(C475-MAX(B475,($B$4*7/10)))),0))*1000,0)</f>
        <v>0</v>
      </c>
      <c r="AI475" s="120">
        <f>IF(AND(J475="OK",ISNUMBER($B$5),$B$5&gt;0,ISNUMBER($B$3),$B$3&gt;0),F475/(6*$B$3*1000000*$B$5)*(IF(B475&lt;($B$4*8/10),($B$4*8/10)*(MIN(C475,($B$4*8/10))^3-B475^3)-(MIN(C475,($B$4*8/10))^4-B475^4)/4,0)+IF(C475&gt;($B$4*8/10),($B$4*8/10)^2*(1.5*(C475^2-MAX(B475,($B$4*8/10))^2)-($B$4*8/10)*(C475-MAX(B475,($B$4*8/10)))),0))*1000,0)</f>
        <v>0</v>
      </c>
      <c r="AJ475" s="120">
        <f>IF(AND(J475="OK",ISNUMBER($B$5),$B$5&gt;0,ISNUMBER($B$3),$B$3&gt;0),F475/(6*$B$3*1000000*$B$5)*(IF(B475&lt;($B$4*9/10),($B$4*9/10)*(MIN(C475,($B$4*9/10))^3-B475^3)-(MIN(C475,($B$4*9/10))^4-B475^4)/4,0)+IF(C475&gt;($B$4*9/10),($B$4*9/10)^2*(1.5*(C475^2-MAX(B475,($B$4*9/10))^2)-($B$4*9/10)*(C475-MAX(B475,($B$4*9/10)))),0))*1000,0)</f>
        <v>0</v>
      </c>
      <c r="AK475" s="120">
        <f>IF(AND(J475="OK",ISNUMBER($B$5),$B$5&gt;0,ISNUMBER($B$3),$B$3&gt;0),F475/(6*$B$3*1000000*$B$5)*(IF(B475&lt;($B$4*10/10),($B$4*10/10)*(MIN(C475,($B$4*10/10))^3-B475^3)-(MIN(C475,($B$4*10/10))^4-B475^4)/4,0)+IF(C475&gt;($B$4*10/10),($B$4*10/10)^2*(1.5*(C475^2-MAX(B475,($B$4*10/10))^2)-($B$4*10/10)*(C475-MAX(B475,($B$4*10/10)))),0))*1000,0)</f>
        <v>0</v>
      </c>
      <c r="AM475" s="120">
        <f>IF(AND(V475="OK",ISNUMBER($N$5),$N$5&gt;0,ISNUMBER($N$3),$N$3&gt;0),R475/(6*$N$3*1000000*$N$5)*(IF(N475&lt;($N$4*0/10),($N$4*0/10)*(MIN(O475,($N$4*0/10))^3-N475^3)-(MIN(O475,($N$4*0/10))^4-N475^4)/4,0)+IF(O475&gt;($N$4*0/10),($N$4*0/10)^2*(1.5*(O475^2-MAX(N475,($N$4*0/10))^2)-($N$4*0/10)*(O475-MAX(N475,($N$4*0/10)))),0))*1000,0)</f>
        <v>0</v>
      </c>
      <c r="AN475" s="120">
        <f>IF(AND(V475="OK",ISNUMBER($N$5),$N$5&gt;0,ISNUMBER($N$3),$N$3&gt;0),R475/(6*$N$3*1000000*$N$5)*(IF(N475&lt;($N$4*1/10),($N$4*1/10)*(MIN(O475,($N$4*1/10))^3-N475^3)-(MIN(O475,($N$4*1/10))^4-N475^4)/4,0)+IF(O475&gt;($N$4*1/10),($N$4*1/10)^2*(1.5*(O475^2-MAX(N475,($N$4*1/10))^2)-($N$4*1/10)*(O475-MAX(N475,($N$4*1/10)))),0))*1000,0)</f>
        <v>0</v>
      </c>
      <c r="AO475" s="120">
        <f>IF(AND(V475="OK",ISNUMBER($N$5),$N$5&gt;0,ISNUMBER($N$3),$N$3&gt;0),R475/(6*$N$3*1000000*$N$5)*(IF(N475&lt;($N$4*2/10),($N$4*2/10)*(MIN(O475,($N$4*2/10))^3-N475^3)-(MIN(O475,($N$4*2/10))^4-N475^4)/4,0)+IF(O475&gt;($N$4*2/10),($N$4*2/10)^2*(1.5*(O475^2-MAX(N475,($N$4*2/10))^2)-($N$4*2/10)*(O475-MAX(N475,($N$4*2/10)))),0))*1000,0)</f>
        <v>0</v>
      </c>
      <c r="AP475" s="120">
        <f>IF(AND(V475="OK",ISNUMBER($N$5),$N$5&gt;0,ISNUMBER($N$3),$N$3&gt;0),R475/(6*$N$3*1000000*$N$5)*(IF(N475&lt;($N$4*3/10),($N$4*3/10)*(MIN(O475,($N$4*3/10))^3-N475^3)-(MIN(O475,($N$4*3/10))^4-N475^4)/4,0)+IF(O475&gt;($N$4*3/10),($N$4*3/10)^2*(1.5*(O475^2-MAX(N475,($N$4*3/10))^2)-($N$4*3/10)*(O475-MAX(N475,($N$4*3/10)))),0))*1000,0)</f>
        <v>0</v>
      </c>
      <c r="AQ475" s="120">
        <f>IF(AND(V475="OK",ISNUMBER($N$5),$N$5&gt;0,ISNUMBER($N$3),$N$3&gt;0),R475/(6*$N$3*1000000*$N$5)*(IF(N475&lt;($N$4*4/10),($N$4*4/10)*(MIN(O475,($N$4*4/10))^3-N475^3)-(MIN(O475,($N$4*4/10))^4-N475^4)/4,0)+IF(O475&gt;($N$4*4/10),($N$4*4/10)^2*(1.5*(O475^2-MAX(N475,($N$4*4/10))^2)-($N$4*4/10)*(O475-MAX(N475,($N$4*4/10)))),0))*1000,0)</f>
        <v>0</v>
      </c>
      <c r="AR475" s="120">
        <f>IF(AND(V475="OK",ISNUMBER($N$5),$N$5&gt;0,ISNUMBER($N$3),$N$3&gt;0),R475/(6*$N$3*1000000*$N$5)*(IF(N475&lt;($N$4*5/10),($N$4*5/10)*(MIN(O475,($N$4*5/10))^3-N475^3)-(MIN(O475,($N$4*5/10))^4-N475^4)/4,0)+IF(O475&gt;($N$4*5/10),($N$4*5/10)^2*(1.5*(O475^2-MAX(N475,($N$4*5/10))^2)-($N$4*5/10)*(O475-MAX(N475,($N$4*5/10)))),0))*1000,0)</f>
        <v>0</v>
      </c>
      <c r="AS475" s="120">
        <f>IF(AND(V475="OK",ISNUMBER($N$5),$N$5&gt;0,ISNUMBER($N$3),$N$3&gt;0),R475/(6*$N$3*1000000*$N$5)*(IF(N475&lt;($N$4*6/10),($N$4*6/10)*(MIN(O475,($N$4*6/10))^3-N475^3)-(MIN(O475,($N$4*6/10))^4-N475^4)/4,0)+IF(O475&gt;($N$4*6/10),($N$4*6/10)^2*(1.5*(O475^2-MAX(N475,($N$4*6/10))^2)-($N$4*6/10)*(O475-MAX(N475,($N$4*6/10)))),0))*1000,0)</f>
        <v>0</v>
      </c>
      <c r="AT475" s="120">
        <f>IF(AND(V475="OK",ISNUMBER($N$5),$N$5&gt;0,ISNUMBER($N$3),$N$3&gt;0),R475/(6*$N$3*1000000*$N$5)*(IF(N475&lt;($N$4*7/10),($N$4*7/10)*(MIN(O475,($N$4*7/10))^3-N475^3)-(MIN(O475,($N$4*7/10))^4-N475^4)/4,0)+IF(O475&gt;($N$4*7/10),($N$4*7/10)^2*(1.5*(O475^2-MAX(N475,($N$4*7/10))^2)-($N$4*7/10)*(O475-MAX(N475,($N$4*7/10)))),0))*1000,0)</f>
        <v>0</v>
      </c>
      <c r="AU475" s="120">
        <f>IF(AND(V475="OK",ISNUMBER($N$5),$N$5&gt;0,ISNUMBER($N$3),$N$3&gt;0),R475/(6*$N$3*1000000*$N$5)*(IF(N475&lt;($N$4*8/10),($N$4*8/10)*(MIN(O475,($N$4*8/10))^3-N475^3)-(MIN(O475,($N$4*8/10))^4-N475^4)/4,0)+IF(O475&gt;($N$4*8/10),($N$4*8/10)^2*(1.5*(O475^2-MAX(N475,($N$4*8/10))^2)-($N$4*8/10)*(O475-MAX(N475,($N$4*8/10)))),0))*1000,0)</f>
        <v>0</v>
      </c>
      <c r="AV475" s="120">
        <f>IF(AND(V475="OK",ISNUMBER($N$5),$N$5&gt;0,ISNUMBER($N$3),$N$3&gt;0),R475/(6*$N$3*1000000*$N$5)*(IF(N475&lt;($N$4*9/10),($N$4*9/10)*(MIN(O475,($N$4*9/10))^3-N475^3)-(MIN(O475,($N$4*9/10))^4-N475^4)/4,0)+IF(O475&gt;($N$4*9/10),($N$4*9/10)^2*(1.5*(O475^2-MAX(N475,($N$4*9/10))^2)-($N$4*9/10)*(O475-MAX(N475,($N$4*9/10)))),0))*1000,0)</f>
        <v>0</v>
      </c>
      <c r="AW475" s="120">
        <f>IF(AND(V475="OK",ISNUMBER($N$5),$N$5&gt;0,ISNUMBER($N$3),$N$3&gt;0),R475/(6*$N$3*1000000*$N$5)*(IF(N475&lt;($N$4*10/10),($N$4*10/10)*(MIN(O475,($N$4*10/10))^3-N475^3)-(MIN(O475,($N$4*10/10))^4-N475^4)/4,0)+IF(O475&gt;($N$4*10/10),($N$4*10/10)^2*(1.5*(O475^2-MAX(N475,($N$4*10/10))^2)-($N$4*10/10)*(O475-MAX(N475,($N$4*10/10)))),0))*1000,0)</f>
        <v>0</v>
      </c>
    </row>
    <row r="476" spans="1:49">
      <c r="A476" s="124"/>
      <c r="B476" s="125"/>
      <c r="C476" s="125"/>
      <c r="D476" s="125"/>
      <c r="E476" s="125"/>
      <c r="F476" s="126" t="str">
        <f>IF(J476="OK",D476*E476,"")</f>
        <v/>
      </c>
      <c r="G476" s="126" t="str">
        <f>IF(J476="OK",F476*(C476-B476),"")</f>
        <v/>
      </c>
      <c r="H476" s="126" t="str">
        <f>IF(J476="OK",G476*(C476+B476)/2,"")</f>
        <v/>
      </c>
      <c r="I476" s="126" t="str">
        <f>IF(AND(J476="OK",ISNUMBER($B$5),$B$5&gt;0,ISNUMBER($B$3),$B$3&gt;0),F476*(4*$B$4*(C476^3-B476^3)-(C476^4-B476^4))/(24*$B$3*1000000*$B$5)*1000,"")</f>
        <v/>
      </c>
      <c r="J476" s="120" t="str">
        <f>IF(COUNTA(A476:E476)=0,"",IF(AND(COUNT(B476:E476)=4,B476&gt;=0,C476&gt;B476,C476&lt;=$B$4,D476&gt;=0,E476&gt;0),IF(COUNTIFS($B$13:$B$475,"&lt;"&amp;C476,$C$13:$C$475,"&gt;"&amp;B476)&gt;0,"OVERLAP","OK"),"CHECK INPUTS"))</f>
        <v/>
      </c>
      <c r="M476" s="124"/>
      <c r="N476" s="125"/>
      <c r="O476" s="125"/>
      <c r="P476" s="125"/>
      <c r="Q476" s="125"/>
      <c r="R476" s="126" t="str">
        <f>IF(V476="OK",P476*Q476,"")</f>
        <v/>
      </c>
      <c r="S476" s="126" t="str">
        <f>IF(V476="OK",R476*(O476-N476),"")</f>
        <v/>
      </c>
      <c r="T476" s="126" t="str">
        <f>IF(V476="OK",S476*(O476+N476)/2,"")</f>
        <v/>
      </c>
      <c r="U476" s="126" t="str">
        <f>IF(AND(V476="OK",ISNUMBER($N$5),$N$5&gt;0,ISNUMBER($N$3),$N$3&gt;0),R476*(4*$N$4*(O476^3-N476^3)-(O476^4-N476^4))/(24*$N$3*1000000*$N$5)*1000,"")</f>
        <v/>
      </c>
      <c r="V476" s="120" t="str">
        <f>IF(COUNTA(M476:Q476)=0,"",IF(AND(COUNT(N476:Q476)=4,N476&gt;=0,O476&gt;N476,O476&lt;=$N$4,P476&gt;=0,Q476&gt;0),IF(COUNTIFS($N$13:$N$475,"&lt;"&amp;O476,$O$13:$O$475,"&gt;"&amp;N476)&gt;0,"OVERLAP","OK"),"CHECK INPUTS"))</f>
        <v/>
      </c>
      <c r="AA476" s="120">
        <f>IF(AND(J476="OK",ISNUMBER($B$5),$B$5&gt;0,ISNUMBER($B$3),$B$3&gt;0),F476/(6*$B$3*1000000*$B$5)*(IF(B476&lt;($B$4*0/10),($B$4*0/10)*(MIN(C476,($B$4*0/10))^3-B476^3)-(MIN(C476,($B$4*0/10))^4-B476^4)/4,0)+IF(C476&gt;($B$4*0/10),($B$4*0/10)^2*(1.5*(C476^2-MAX(B476,($B$4*0/10))^2)-($B$4*0/10)*(C476-MAX(B476,($B$4*0/10)))),0))*1000,0)</f>
        <v>0</v>
      </c>
      <c r="AB476" s="120">
        <f>IF(AND(J476="OK",ISNUMBER($B$5),$B$5&gt;0,ISNUMBER($B$3),$B$3&gt;0),F476/(6*$B$3*1000000*$B$5)*(IF(B476&lt;($B$4*1/10),($B$4*1/10)*(MIN(C476,($B$4*1/10))^3-B476^3)-(MIN(C476,($B$4*1/10))^4-B476^4)/4,0)+IF(C476&gt;($B$4*1/10),($B$4*1/10)^2*(1.5*(C476^2-MAX(B476,($B$4*1/10))^2)-($B$4*1/10)*(C476-MAX(B476,($B$4*1/10)))),0))*1000,0)</f>
        <v>0</v>
      </c>
      <c r="AC476" s="120">
        <f>IF(AND(J476="OK",ISNUMBER($B$5),$B$5&gt;0,ISNUMBER($B$3),$B$3&gt;0),F476/(6*$B$3*1000000*$B$5)*(IF(B476&lt;($B$4*2/10),($B$4*2/10)*(MIN(C476,($B$4*2/10))^3-B476^3)-(MIN(C476,($B$4*2/10))^4-B476^4)/4,0)+IF(C476&gt;($B$4*2/10),($B$4*2/10)^2*(1.5*(C476^2-MAX(B476,($B$4*2/10))^2)-($B$4*2/10)*(C476-MAX(B476,($B$4*2/10)))),0))*1000,0)</f>
        <v>0</v>
      </c>
      <c r="AD476" s="120">
        <f>IF(AND(J476="OK",ISNUMBER($B$5),$B$5&gt;0,ISNUMBER($B$3),$B$3&gt;0),F476/(6*$B$3*1000000*$B$5)*(IF(B476&lt;($B$4*3/10),($B$4*3/10)*(MIN(C476,($B$4*3/10))^3-B476^3)-(MIN(C476,($B$4*3/10))^4-B476^4)/4,0)+IF(C476&gt;($B$4*3/10),($B$4*3/10)^2*(1.5*(C476^2-MAX(B476,($B$4*3/10))^2)-($B$4*3/10)*(C476-MAX(B476,($B$4*3/10)))),0))*1000,0)</f>
        <v>0</v>
      </c>
      <c r="AE476" s="120">
        <f>IF(AND(J476="OK",ISNUMBER($B$5),$B$5&gt;0,ISNUMBER($B$3),$B$3&gt;0),F476/(6*$B$3*1000000*$B$5)*(IF(B476&lt;($B$4*4/10),($B$4*4/10)*(MIN(C476,($B$4*4/10))^3-B476^3)-(MIN(C476,($B$4*4/10))^4-B476^4)/4,0)+IF(C476&gt;($B$4*4/10),($B$4*4/10)^2*(1.5*(C476^2-MAX(B476,($B$4*4/10))^2)-($B$4*4/10)*(C476-MAX(B476,($B$4*4/10)))),0))*1000,0)</f>
        <v>0</v>
      </c>
      <c r="AF476" s="120">
        <f>IF(AND(J476="OK",ISNUMBER($B$5),$B$5&gt;0,ISNUMBER($B$3),$B$3&gt;0),F476/(6*$B$3*1000000*$B$5)*(IF(B476&lt;($B$4*5/10),($B$4*5/10)*(MIN(C476,($B$4*5/10))^3-B476^3)-(MIN(C476,($B$4*5/10))^4-B476^4)/4,0)+IF(C476&gt;($B$4*5/10),($B$4*5/10)^2*(1.5*(C476^2-MAX(B476,($B$4*5/10))^2)-($B$4*5/10)*(C476-MAX(B476,($B$4*5/10)))),0))*1000,0)</f>
        <v>0</v>
      </c>
      <c r="AG476" s="120">
        <f>IF(AND(J476="OK",ISNUMBER($B$5),$B$5&gt;0,ISNUMBER($B$3),$B$3&gt;0),F476/(6*$B$3*1000000*$B$5)*(IF(B476&lt;($B$4*6/10),($B$4*6/10)*(MIN(C476,($B$4*6/10))^3-B476^3)-(MIN(C476,($B$4*6/10))^4-B476^4)/4,0)+IF(C476&gt;($B$4*6/10),($B$4*6/10)^2*(1.5*(C476^2-MAX(B476,($B$4*6/10))^2)-($B$4*6/10)*(C476-MAX(B476,($B$4*6/10)))),0))*1000,0)</f>
        <v>0</v>
      </c>
      <c r="AH476" s="120">
        <f>IF(AND(J476="OK",ISNUMBER($B$5),$B$5&gt;0,ISNUMBER($B$3),$B$3&gt;0),F476/(6*$B$3*1000000*$B$5)*(IF(B476&lt;($B$4*7/10),($B$4*7/10)*(MIN(C476,($B$4*7/10))^3-B476^3)-(MIN(C476,($B$4*7/10))^4-B476^4)/4,0)+IF(C476&gt;($B$4*7/10),($B$4*7/10)^2*(1.5*(C476^2-MAX(B476,($B$4*7/10))^2)-($B$4*7/10)*(C476-MAX(B476,($B$4*7/10)))),0))*1000,0)</f>
        <v>0</v>
      </c>
      <c r="AI476" s="120">
        <f>IF(AND(J476="OK",ISNUMBER($B$5),$B$5&gt;0,ISNUMBER($B$3),$B$3&gt;0),F476/(6*$B$3*1000000*$B$5)*(IF(B476&lt;($B$4*8/10),($B$4*8/10)*(MIN(C476,($B$4*8/10))^3-B476^3)-(MIN(C476,($B$4*8/10))^4-B476^4)/4,0)+IF(C476&gt;($B$4*8/10),($B$4*8/10)^2*(1.5*(C476^2-MAX(B476,($B$4*8/10))^2)-($B$4*8/10)*(C476-MAX(B476,($B$4*8/10)))),0))*1000,0)</f>
        <v>0</v>
      </c>
      <c r="AJ476" s="120">
        <f>IF(AND(J476="OK",ISNUMBER($B$5),$B$5&gt;0,ISNUMBER($B$3),$B$3&gt;0),F476/(6*$B$3*1000000*$B$5)*(IF(B476&lt;($B$4*9/10),($B$4*9/10)*(MIN(C476,($B$4*9/10))^3-B476^3)-(MIN(C476,($B$4*9/10))^4-B476^4)/4,0)+IF(C476&gt;($B$4*9/10),($B$4*9/10)^2*(1.5*(C476^2-MAX(B476,($B$4*9/10))^2)-($B$4*9/10)*(C476-MAX(B476,($B$4*9/10)))),0))*1000,0)</f>
        <v>0</v>
      </c>
      <c r="AK476" s="120">
        <f>IF(AND(J476="OK",ISNUMBER($B$5),$B$5&gt;0,ISNUMBER($B$3),$B$3&gt;0),F476/(6*$B$3*1000000*$B$5)*(IF(B476&lt;($B$4*10/10),($B$4*10/10)*(MIN(C476,($B$4*10/10))^3-B476^3)-(MIN(C476,($B$4*10/10))^4-B476^4)/4,0)+IF(C476&gt;($B$4*10/10),($B$4*10/10)^2*(1.5*(C476^2-MAX(B476,($B$4*10/10))^2)-($B$4*10/10)*(C476-MAX(B476,($B$4*10/10)))),0))*1000,0)</f>
        <v>0</v>
      </c>
      <c r="AM476" s="120">
        <f>IF(AND(V476="OK",ISNUMBER($N$5),$N$5&gt;0,ISNUMBER($N$3),$N$3&gt;0),R476/(6*$N$3*1000000*$N$5)*(IF(N476&lt;($N$4*0/10),($N$4*0/10)*(MIN(O476,($N$4*0/10))^3-N476^3)-(MIN(O476,($N$4*0/10))^4-N476^4)/4,0)+IF(O476&gt;($N$4*0/10),($N$4*0/10)^2*(1.5*(O476^2-MAX(N476,($N$4*0/10))^2)-($N$4*0/10)*(O476-MAX(N476,($N$4*0/10)))),0))*1000,0)</f>
        <v>0</v>
      </c>
      <c r="AN476" s="120">
        <f>IF(AND(V476="OK",ISNUMBER($N$5),$N$5&gt;0,ISNUMBER($N$3),$N$3&gt;0),R476/(6*$N$3*1000000*$N$5)*(IF(N476&lt;($N$4*1/10),($N$4*1/10)*(MIN(O476,($N$4*1/10))^3-N476^3)-(MIN(O476,($N$4*1/10))^4-N476^4)/4,0)+IF(O476&gt;($N$4*1/10),($N$4*1/10)^2*(1.5*(O476^2-MAX(N476,($N$4*1/10))^2)-($N$4*1/10)*(O476-MAX(N476,($N$4*1/10)))),0))*1000,0)</f>
        <v>0</v>
      </c>
      <c r="AO476" s="120">
        <f>IF(AND(V476="OK",ISNUMBER($N$5),$N$5&gt;0,ISNUMBER($N$3),$N$3&gt;0),R476/(6*$N$3*1000000*$N$5)*(IF(N476&lt;($N$4*2/10),($N$4*2/10)*(MIN(O476,($N$4*2/10))^3-N476^3)-(MIN(O476,($N$4*2/10))^4-N476^4)/4,0)+IF(O476&gt;($N$4*2/10),($N$4*2/10)^2*(1.5*(O476^2-MAX(N476,($N$4*2/10))^2)-($N$4*2/10)*(O476-MAX(N476,($N$4*2/10)))),0))*1000,0)</f>
        <v>0</v>
      </c>
      <c r="AP476" s="120">
        <f>IF(AND(V476="OK",ISNUMBER($N$5),$N$5&gt;0,ISNUMBER($N$3),$N$3&gt;0),R476/(6*$N$3*1000000*$N$5)*(IF(N476&lt;($N$4*3/10),($N$4*3/10)*(MIN(O476,($N$4*3/10))^3-N476^3)-(MIN(O476,($N$4*3/10))^4-N476^4)/4,0)+IF(O476&gt;($N$4*3/10),($N$4*3/10)^2*(1.5*(O476^2-MAX(N476,($N$4*3/10))^2)-($N$4*3/10)*(O476-MAX(N476,($N$4*3/10)))),0))*1000,0)</f>
        <v>0</v>
      </c>
      <c r="AQ476" s="120">
        <f>IF(AND(V476="OK",ISNUMBER($N$5),$N$5&gt;0,ISNUMBER($N$3),$N$3&gt;0),R476/(6*$N$3*1000000*$N$5)*(IF(N476&lt;($N$4*4/10),($N$4*4/10)*(MIN(O476,($N$4*4/10))^3-N476^3)-(MIN(O476,($N$4*4/10))^4-N476^4)/4,0)+IF(O476&gt;($N$4*4/10),($N$4*4/10)^2*(1.5*(O476^2-MAX(N476,($N$4*4/10))^2)-($N$4*4/10)*(O476-MAX(N476,($N$4*4/10)))),0))*1000,0)</f>
        <v>0</v>
      </c>
      <c r="AR476" s="120">
        <f>IF(AND(V476="OK",ISNUMBER($N$5),$N$5&gt;0,ISNUMBER($N$3),$N$3&gt;0),R476/(6*$N$3*1000000*$N$5)*(IF(N476&lt;($N$4*5/10),($N$4*5/10)*(MIN(O476,($N$4*5/10))^3-N476^3)-(MIN(O476,($N$4*5/10))^4-N476^4)/4,0)+IF(O476&gt;($N$4*5/10),($N$4*5/10)^2*(1.5*(O476^2-MAX(N476,($N$4*5/10))^2)-($N$4*5/10)*(O476-MAX(N476,($N$4*5/10)))),0))*1000,0)</f>
        <v>0</v>
      </c>
      <c r="AS476" s="120">
        <f>IF(AND(V476="OK",ISNUMBER($N$5),$N$5&gt;0,ISNUMBER($N$3),$N$3&gt;0),R476/(6*$N$3*1000000*$N$5)*(IF(N476&lt;($N$4*6/10),($N$4*6/10)*(MIN(O476,($N$4*6/10))^3-N476^3)-(MIN(O476,($N$4*6/10))^4-N476^4)/4,0)+IF(O476&gt;($N$4*6/10),($N$4*6/10)^2*(1.5*(O476^2-MAX(N476,($N$4*6/10))^2)-($N$4*6/10)*(O476-MAX(N476,($N$4*6/10)))),0))*1000,0)</f>
        <v>0</v>
      </c>
      <c r="AT476" s="120">
        <f>IF(AND(V476="OK",ISNUMBER($N$5),$N$5&gt;0,ISNUMBER($N$3),$N$3&gt;0),R476/(6*$N$3*1000000*$N$5)*(IF(N476&lt;($N$4*7/10),($N$4*7/10)*(MIN(O476,($N$4*7/10))^3-N476^3)-(MIN(O476,($N$4*7/10))^4-N476^4)/4,0)+IF(O476&gt;($N$4*7/10),($N$4*7/10)^2*(1.5*(O476^2-MAX(N476,($N$4*7/10))^2)-($N$4*7/10)*(O476-MAX(N476,($N$4*7/10)))),0))*1000,0)</f>
        <v>0</v>
      </c>
      <c r="AU476" s="120">
        <f>IF(AND(V476="OK",ISNUMBER($N$5),$N$5&gt;0,ISNUMBER($N$3),$N$3&gt;0),R476/(6*$N$3*1000000*$N$5)*(IF(N476&lt;($N$4*8/10),($N$4*8/10)*(MIN(O476,($N$4*8/10))^3-N476^3)-(MIN(O476,($N$4*8/10))^4-N476^4)/4,0)+IF(O476&gt;($N$4*8/10),($N$4*8/10)^2*(1.5*(O476^2-MAX(N476,($N$4*8/10))^2)-($N$4*8/10)*(O476-MAX(N476,($N$4*8/10)))),0))*1000,0)</f>
        <v>0</v>
      </c>
      <c r="AV476" s="120">
        <f>IF(AND(V476="OK",ISNUMBER($N$5),$N$5&gt;0,ISNUMBER($N$3),$N$3&gt;0),R476/(6*$N$3*1000000*$N$5)*(IF(N476&lt;($N$4*9/10),($N$4*9/10)*(MIN(O476,($N$4*9/10))^3-N476^3)-(MIN(O476,($N$4*9/10))^4-N476^4)/4,0)+IF(O476&gt;($N$4*9/10),($N$4*9/10)^2*(1.5*(O476^2-MAX(N476,($N$4*9/10))^2)-($N$4*9/10)*(O476-MAX(N476,($N$4*9/10)))),0))*1000,0)</f>
        <v>0</v>
      </c>
      <c r="AW476" s="120">
        <f>IF(AND(V476="OK",ISNUMBER($N$5),$N$5&gt;0,ISNUMBER($N$3),$N$3&gt;0),R476/(6*$N$3*1000000*$N$5)*(IF(N476&lt;($N$4*10/10),($N$4*10/10)*(MIN(O476,($N$4*10/10))^3-N476^3)-(MIN(O476,($N$4*10/10))^4-N476^4)/4,0)+IF(O476&gt;($N$4*10/10),($N$4*10/10)^2*(1.5*(O476^2-MAX(N476,($N$4*10/10))^2)-($N$4*10/10)*(O476-MAX(N476,($N$4*10/10)))),0))*1000,0)</f>
        <v>0</v>
      </c>
    </row>
    <row r="477" spans="1:49">
      <c r="A477" s="124"/>
      <c r="B477" s="125"/>
      <c r="C477" s="125"/>
      <c r="D477" s="125"/>
      <c r="E477" s="125"/>
      <c r="F477" s="126" t="str">
        <f>IF(J477="OK",D477*E477,"")</f>
        <v/>
      </c>
      <c r="G477" s="126" t="str">
        <f>IF(J477="OK",F477*(C477-B477),"")</f>
        <v/>
      </c>
      <c r="H477" s="126" t="str">
        <f>IF(J477="OK",G477*(C477+B477)/2,"")</f>
        <v/>
      </c>
      <c r="I477" s="126" t="str">
        <f>IF(AND(J477="OK",ISNUMBER($B$5),$B$5&gt;0,ISNUMBER($B$3),$B$3&gt;0),F477*(4*$B$4*(C477^3-B477^3)-(C477^4-B477^4))/(24*$B$3*1000000*$B$5)*1000,"")</f>
        <v/>
      </c>
      <c r="J477" s="120" t="str">
        <f>IF(COUNTA(A477:E477)=0,"",IF(AND(COUNT(B477:E477)=4,B477&gt;=0,C477&gt;B477,C477&lt;=$B$4,D477&gt;=0,E477&gt;0),IF(COUNTIFS($B$13:$B$476,"&lt;"&amp;C477,$C$13:$C$476,"&gt;"&amp;B477)&gt;0,"OVERLAP","OK"),"CHECK INPUTS"))</f>
        <v/>
      </c>
      <c r="M477" s="124"/>
      <c r="N477" s="125"/>
      <c r="O477" s="125"/>
      <c r="P477" s="125"/>
      <c r="Q477" s="125"/>
      <c r="R477" s="126" t="str">
        <f>IF(V477="OK",P477*Q477,"")</f>
        <v/>
      </c>
      <c r="S477" s="126" t="str">
        <f>IF(V477="OK",R477*(O477-N477),"")</f>
        <v/>
      </c>
      <c r="T477" s="126" t="str">
        <f>IF(V477="OK",S477*(O477+N477)/2,"")</f>
        <v/>
      </c>
      <c r="U477" s="126" t="str">
        <f>IF(AND(V477="OK",ISNUMBER($N$5),$N$5&gt;0,ISNUMBER($N$3),$N$3&gt;0),R477*(4*$N$4*(O477^3-N477^3)-(O477^4-N477^4))/(24*$N$3*1000000*$N$5)*1000,"")</f>
        <v/>
      </c>
      <c r="V477" s="120" t="str">
        <f>IF(COUNTA(M477:Q477)=0,"",IF(AND(COUNT(N477:Q477)=4,N477&gt;=0,O477&gt;N477,O477&lt;=$N$4,P477&gt;=0,Q477&gt;0),IF(COUNTIFS($N$13:$N$476,"&lt;"&amp;O477,$O$13:$O$476,"&gt;"&amp;N477)&gt;0,"OVERLAP","OK"),"CHECK INPUTS"))</f>
        <v/>
      </c>
      <c r="AA477" s="120">
        <f>IF(AND(J477="OK",ISNUMBER($B$5),$B$5&gt;0,ISNUMBER($B$3),$B$3&gt;0),F477/(6*$B$3*1000000*$B$5)*(IF(B477&lt;($B$4*0/10),($B$4*0/10)*(MIN(C477,($B$4*0/10))^3-B477^3)-(MIN(C477,($B$4*0/10))^4-B477^4)/4,0)+IF(C477&gt;($B$4*0/10),($B$4*0/10)^2*(1.5*(C477^2-MAX(B477,($B$4*0/10))^2)-($B$4*0/10)*(C477-MAX(B477,($B$4*0/10)))),0))*1000,0)</f>
        <v>0</v>
      </c>
      <c r="AB477" s="120">
        <f>IF(AND(J477="OK",ISNUMBER($B$5),$B$5&gt;0,ISNUMBER($B$3),$B$3&gt;0),F477/(6*$B$3*1000000*$B$5)*(IF(B477&lt;($B$4*1/10),($B$4*1/10)*(MIN(C477,($B$4*1/10))^3-B477^3)-(MIN(C477,($B$4*1/10))^4-B477^4)/4,0)+IF(C477&gt;($B$4*1/10),($B$4*1/10)^2*(1.5*(C477^2-MAX(B477,($B$4*1/10))^2)-($B$4*1/10)*(C477-MAX(B477,($B$4*1/10)))),0))*1000,0)</f>
        <v>0</v>
      </c>
      <c r="AC477" s="120">
        <f>IF(AND(J477="OK",ISNUMBER($B$5),$B$5&gt;0,ISNUMBER($B$3),$B$3&gt;0),F477/(6*$B$3*1000000*$B$5)*(IF(B477&lt;($B$4*2/10),($B$4*2/10)*(MIN(C477,($B$4*2/10))^3-B477^3)-(MIN(C477,($B$4*2/10))^4-B477^4)/4,0)+IF(C477&gt;($B$4*2/10),($B$4*2/10)^2*(1.5*(C477^2-MAX(B477,($B$4*2/10))^2)-($B$4*2/10)*(C477-MAX(B477,($B$4*2/10)))),0))*1000,0)</f>
        <v>0</v>
      </c>
      <c r="AD477" s="120">
        <f>IF(AND(J477="OK",ISNUMBER($B$5),$B$5&gt;0,ISNUMBER($B$3),$B$3&gt;0),F477/(6*$B$3*1000000*$B$5)*(IF(B477&lt;($B$4*3/10),($B$4*3/10)*(MIN(C477,($B$4*3/10))^3-B477^3)-(MIN(C477,($B$4*3/10))^4-B477^4)/4,0)+IF(C477&gt;($B$4*3/10),($B$4*3/10)^2*(1.5*(C477^2-MAX(B477,($B$4*3/10))^2)-($B$4*3/10)*(C477-MAX(B477,($B$4*3/10)))),0))*1000,0)</f>
        <v>0</v>
      </c>
      <c r="AE477" s="120">
        <f>IF(AND(J477="OK",ISNUMBER($B$5),$B$5&gt;0,ISNUMBER($B$3),$B$3&gt;0),F477/(6*$B$3*1000000*$B$5)*(IF(B477&lt;($B$4*4/10),($B$4*4/10)*(MIN(C477,($B$4*4/10))^3-B477^3)-(MIN(C477,($B$4*4/10))^4-B477^4)/4,0)+IF(C477&gt;($B$4*4/10),($B$4*4/10)^2*(1.5*(C477^2-MAX(B477,($B$4*4/10))^2)-($B$4*4/10)*(C477-MAX(B477,($B$4*4/10)))),0))*1000,0)</f>
        <v>0</v>
      </c>
      <c r="AF477" s="120">
        <f>IF(AND(J477="OK",ISNUMBER($B$5),$B$5&gt;0,ISNUMBER($B$3),$B$3&gt;0),F477/(6*$B$3*1000000*$B$5)*(IF(B477&lt;($B$4*5/10),($B$4*5/10)*(MIN(C477,($B$4*5/10))^3-B477^3)-(MIN(C477,($B$4*5/10))^4-B477^4)/4,0)+IF(C477&gt;($B$4*5/10),($B$4*5/10)^2*(1.5*(C477^2-MAX(B477,($B$4*5/10))^2)-($B$4*5/10)*(C477-MAX(B477,($B$4*5/10)))),0))*1000,0)</f>
        <v>0</v>
      </c>
      <c r="AG477" s="120">
        <f>IF(AND(J477="OK",ISNUMBER($B$5),$B$5&gt;0,ISNUMBER($B$3),$B$3&gt;0),F477/(6*$B$3*1000000*$B$5)*(IF(B477&lt;($B$4*6/10),($B$4*6/10)*(MIN(C477,($B$4*6/10))^3-B477^3)-(MIN(C477,($B$4*6/10))^4-B477^4)/4,0)+IF(C477&gt;($B$4*6/10),($B$4*6/10)^2*(1.5*(C477^2-MAX(B477,($B$4*6/10))^2)-($B$4*6/10)*(C477-MAX(B477,($B$4*6/10)))),0))*1000,0)</f>
        <v>0</v>
      </c>
      <c r="AH477" s="120">
        <f>IF(AND(J477="OK",ISNUMBER($B$5),$B$5&gt;0,ISNUMBER($B$3),$B$3&gt;0),F477/(6*$B$3*1000000*$B$5)*(IF(B477&lt;($B$4*7/10),($B$4*7/10)*(MIN(C477,($B$4*7/10))^3-B477^3)-(MIN(C477,($B$4*7/10))^4-B477^4)/4,0)+IF(C477&gt;($B$4*7/10),($B$4*7/10)^2*(1.5*(C477^2-MAX(B477,($B$4*7/10))^2)-($B$4*7/10)*(C477-MAX(B477,($B$4*7/10)))),0))*1000,0)</f>
        <v>0</v>
      </c>
      <c r="AI477" s="120">
        <f>IF(AND(J477="OK",ISNUMBER($B$5),$B$5&gt;0,ISNUMBER($B$3),$B$3&gt;0),F477/(6*$B$3*1000000*$B$5)*(IF(B477&lt;($B$4*8/10),($B$4*8/10)*(MIN(C477,($B$4*8/10))^3-B477^3)-(MIN(C477,($B$4*8/10))^4-B477^4)/4,0)+IF(C477&gt;($B$4*8/10),($B$4*8/10)^2*(1.5*(C477^2-MAX(B477,($B$4*8/10))^2)-($B$4*8/10)*(C477-MAX(B477,($B$4*8/10)))),0))*1000,0)</f>
        <v>0</v>
      </c>
      <c r="AJ477" s="120">
        <f>IF(AND(J477="OK",ISNUMBER($B$5),$B$5&gt;0,ISNUMBER($B$3),$B$3&gt;0),F477/(6*$B$3*1000000*$B$5)*(IF(B477&lt;($B$4*9/10),($B$4*9/10)*(MIN(C477,($B$4*9/10))^3-B477^3)-(MIN(C477,($B$4*9/10))^4-B477^4)/4,0)+IF(C477&gt;($B$4*9/10),($B$4*9/10)^2*(1.5*(C477^2-MAX(B477,($B$4*9/10))^2)-($B$4*9/10)*(C477-MAX(B477,($B$4*9/10)))),0))*1000,0)</f>
        <v>0</v>
      </c>
      <c r="AK477" s="120">
        <f>IF(AND(J477="OK",ISNUMBER($B$5),$B$5&gt;0,ISNUMBER($B$3),$B$3&gt;0),F477/(6*$B$3*1000000*$B$5)*(IF(B477&lt;($B$4*10/10),($B$4*10/10)*(MIN(C477,($B$4*10/10))^3-B477^3)-(MIN(C477,($B$4*10/10))^4-B477^4)/4,0)+IF(C477&gt;($B$4*10/10),($B$4*10/10)^2*(1.5*(C477^2-MAX(B477,($B$4*10/10))^2)-($B$4*10/10)*(C477-MAX(B477,($B$4*10/10)))),0))*1000,0)</f>
        <v>0</v>
      </c>
      <c r="AM477" s="120">
        <f>IF(AND(V477="OK",ISNUMBER($N$5),$N$5&gt;0,ISNUMBER($N$3),$N$3&gt;0),R477/(6*$N$3*1000000*$N$5)*(IF(N477&lt;($N$4*0/10),($N$4*0/10)*(MIN(O477,($N$4*0/10))^3-N477^3)-(MIN(O477,($N$4*0/10))^4-N477^4)/4,0)+IF(O477&gt;($N$4*0/10),($N$4*0/10)^2*(1.5*(O477^2-MAX(N477,($N$4*0/10))^2)-($N$4*0/10)*(O477-MAX(N477,($N$4*0/10)))),0))*1000,0)</f>
        <v>0</v>
      </c>
      <c r="AN477" s="120">
        <f>IF(AND(V477="OK",ISNUMBER($N$5),$N$5&gt;0,ISNUMBER($N$3),$N$3&gt;0),R477/(6*$N$3*1000000*$N$5)*(IF(N477&lt;($N$4*1/10),($N$4*1/10)*(MIN(O477,($N$4*1/10))^3-N477^3)-(MIN(O477,($N$4*1/10))^4-N477^4)/4,0)+IF(O477&gt;($N$4*1/10),($N$4*1/10)^2*(1.5*(O477^2-MAX(N477,($N$4*1/10))^2)-($N$4*1/10)*(O477-MAX(N477,($N$4*1/10)))),0))*1000,0)</f>
        <v>0</v>
      </c>
      <c r="AO477" s="120">
        <f>IF(AND(V477="OK",ISNUMBER($N$5),$N$5&gt;0,ISNUMBER($N$3),$N$3&gt;0),R477/(6*$N$3*1000000*$N$5)*(IF(N477&lt;($N$4*2/10),($N$4*2/10)*(MIN(O477,($N$4*2/10))^3-N477^3)-(MIN(O477,($N$4*2/10))^4-N477^4)/4,0)+IF(O477&gt;($N$4*2/10),($N$4*2/10)^2*(1.5*(O477^2-MAX(N477,($N$4*2/10))^2)-($N$4*2/10)*(O477-MAX(N477,($N$4*2/10)))),0))*1000,0)</f>
        <v>0</v>
      </c>
      <c r="AP477" s="120">
        <f>IF(AND(V477="OK",ISNUMBER($N$5),$N$5&gt;0,ISNUMBER($N$3),$N$3&gt;0),R477/(6*$N$3*1000000*$N$5)*(IF(N477&lt;($N$4*3/10),($N$4*3/10)*(MIN(O477,($N$4*3/10))^3-N477^3)-(MIN(O477,($N$4*3/10))^4-N477^4)/4,0)+IF(O477&gt;($N$4*3/10),($N$4*3/10)^2*(1.5*(O477^2-MAX(N477,($N$4*3/10))^2)-($N$4*3/10)*(O477-MAX(N477,($N$4*3/10)))),0))*1000,0)</f>
        <v>0</v>
      </c>
      <c r="AQ477" s="120">
        <f>IF(AND(V477="OK",ISNUMBER($N$5),$N$5&gt;0,ISNUMBER($N$3),$N$3&gt;0),R477/(6*$N$3*1000000*$N$5)*(IF(N477&lt;($N$4*4/10),($N$4*4/10)*(MIN(O477,($N$4*4/10))^3-N477^3)-(MIN(O477,($N$4*4/10))^4-N477^4)/4,0)+IF(O477&gt;($N$4*4/10),($N$4*4/10)^2*(1.5*(O477^2-MAX(N477,($N$4*4/10))^2)-($N$4*4/10)*(O477-MAX(N477,($N$4*4/10)))),0))*1000,0)</f>
        <v>0</v>
      </c>
      <c r="AR477" s="120">
        <f>IF(AND(V477="OK",ISNUMBER($N$5),$N$5&gt;0,ISNUMBER($N$3),$N$3&gt;0),R477/(6*$N$3*1000000*$N$5)*(IF(N477&lt;($N$4*5/10),($N$4*5/10)*(MIN(O477,($N$4*5/10))^3-N477^3)-(MIN(O477,($N$4*5/10))^4-N477^4)/4,0)+IF(O477&gt;($N$4*5/10),($N$4*5/10)^2*(1.5*(O477^2-MAX(N477,($N$4*5/10))^2)-($N$4*5/10)*(O477-MAX(N477,($N$4*5/10)))),0))*1000,0)</f>
        <v>0</v>
      </c>
      <c r="AS477" s="120">
        <f>IF(AND(V477="OK",ISNUMBER($N$5),$N$5&gt;0,ISNUMBER($N$3),$N$3&gt;0),R477/(6*$N$3*1000000*$N$5)*(IF(N477&lt;($N$4*6/10),($N$4*6/10)*(MIN(O477,($N$4*6/10))^3-N477^3)-(MIN(O477,($N$4*6/10))^4-N477^4)/4,0)+IF(O477&gt;($N$4*6/10),($N$4*6/10)^2*(1.5*(O477^2-MAX(N477,($N$4*6/10))^2)-($N$4*6/10)*(O477-MAX(N477,($N$4*6/10)))),0))*1000,0)</f>
        <v>0</v>
      </c>
      <c r="AT477" s="120">
        <f>IF(AND(V477="OK",ISNUMBER($N$5),$N$5&gt;0,ISNUMBER($N$3),$N$3&gt;0),R477/(6*$N$3*1000000*$N$5)*(IF(N477&lt;($N$4*7/10),($N$4*7/10)*(MIN(O477,($N$4*7/10))^3-N477^3)-(MIN(O477,($N$4*7/10))^4-N477^4)/4,0)+IF(O477&gt;($N$4*7/10),($N$4*7/10)^2*(1.5*(O477^2-MAX(N477,($N$4*7/10))^2)-($N$4*7/10)*(O477-MAX(N477,($N$4*7/10)))),0))*1000,0)</f>
        <v>0</v>
      </c>
      <c r="AU477" s="120">
        <f>IF(AND(V477="OK",ISNUMBER($N$5),$N$5&gt;0,ISNUMBER($N$3),$N$3&gt;0),R477/(6*$N$3*1000000*$N$5)*(IF(N477&lt;($N$4*8/10),($N$4*8/10)*(MIN(O477,($N$4*8/10))^3-N477^3)-(MIN(O477,($N$4*8/10))^4-N477^4)/4,0)+IF(O477&gt;($N$4*8/10),($N$4*8/10)^2*(1.5*(O477^2-MAX(N477,($N$4*8/10))^2)-($N$4*8/10)*(O477-MAX(N477,($N$4*8/10)))),0))*1000,0)</f>
        <v>0</v>
      </c>
      <c r="AV477" s="120">
        <f>IF(AND(V477="OK",ISNUMBER($N$5),$N$5&gt;0,ISNUMBER($N$3),$N$3&gt;0),R477/(6*$N$3*1000000*$N$5)*(IF(N477&lt;($N$4*9/10),($N$4*9/10)*(MIN(O477,($N$4*9/10))^3-N477^3)-(MIN(O477,($N$4*9/10))^4-N477^4)/4,0)+IF(O477&gt;($N$4*9/10),($N$4*9/10)^2*(1.5*(O477^2-MAX(N477,($N$4*9/10))^2)-($N$4*9/10)*(O477-MAX(N477,($N$4*9/10)))),0))*1000,0)</f>
        <v>0</v>
      </c>
      <c r="AW477" s="120">
        <f>IF(AND(V477="OK",ISNUMBER($N$5),$N$5&gt;0,ISNUMBER($N$3),$N$3&gt;0),R477/(6*$N$3*1000000*$N$5)*(IF(N477&lt;($N$4*10/10),($N$4*10/10)*(MIN(O477,($N$4*10/10))^3-N477^3)-(MIN(O477,($N$4*10/10))^4-N477^4)/4,0)+IF(O477&gt;($N$4*10/10),($N$4*10/10)^2*(1.5*(O477^2-MAX(N477,($N$4*10/10))^2)-($N$4*10/10)*(O477-MAX(N477,($N$4*10/10)))),0))*1000,0)</f>
        <v>0</v>
      </c>
    </row>
    <row r="478" spans="1:49">
      <c r="A478" s="124"/>
      <c r="B478" s="125"/>
      <c r="C478" s="125"/>
      <c r="D478" s="125"/>
      <c r="E478" s="125"/>
      <c r="F478" s="126" t="str">
        <f>IF(J478="OK",D478*E478,"")</f>
        <v/>
      </c>
      <c r="G478" s="126" t="str">
        <f>IF(J478="OK",F478*(C478-B478),"")</f>
        <v/>
      </c>
      <c r="H478" s="126" t="str">
        <f>IF(J478="OK",G478*(C478+B478)/2,"")</f>
        <v/>
      </c>
      <c r="I478" s="126" t="str">
        <f>IF(AND(J478="OK",ISNUMBER($B$5),$B$5&gt;0,ISNUMBER($B$3),$B$3&gt;0),F478*(4*$B$4*(C478^3-B478^3)-(C478^4-B478^4))/(24*$B$3*1000000*$B$5)*1000,"")</f>
        <v/>
      </c>
      <c r="J478" s="120" t="str">
        <f>IF(COUNTA(A478:E478)=0,"",IF(AND(COUNT(B478:E478)=4,B478&gt;=0,C478&gt;B478,C478&lt;=$B$4,D478&gt;=0,E478&gt;0),IF(COUNTIFS($B$13:$B$477,"&lt;"&amp;C478,$C$13:$C$477,"&gt;"&amp;B478)&gt;0,"OVERLAP","OK"),"CHECK INPUTS"))</f>
        <v/>
      </c>
      <c r="M478" s="124"/>
      <c r="N478" s="125"/>
      <c r="O478" s="125"/>
      <c r="P478" s="125"/>
      <c r="Q478" s="125"/>
      <c r="R478" s="126" t="str">
        <f>IF(V478="OK",P478*Q478,"")</f>
        <v/>
      </c>
      <c r="S478" s="126" t="str">
        <f>IF(V478="OK",R478*(O478-N478),"")</f>
        <v/>
      </c>
      <c r="T478" s="126" t="str">
        <f>IF(V478="OK",S478*(O478+N478)/2,"")</f>
        <v/>
      </c>
      <c r="U478" s="126" t="str">
        <f>IF(AND(V478="OK",ISNUMBER($N$5),$N$5&gt;0,ISNUMBER($N$3),$N$3&gt;0),R478*(4*$N$4*(O478^3-N478^3)-(O478^4-N478^4))/(24*$N$3*1000000*$N$5)*1000,"")</f>
        <v/>
      </c>
      <c r="V478" s="120" t="str">
        <f>IF(COUNTA(M478:Q478)=0,"",IF(AND(COUNT(N478:Q478)=4,N478&gt;=0,O478&gt;N478,O478&lt;=$N$4,P478&gt;=0,Q478&gt;0),IF(COUNTIFS($N$13:$N$477,"&lt;"&amp;O478,$O$13:$O$477,"&gt;"&amp;N478)&gt;0,"OVERLAP","OK"),"CHECK INPUTS"))</f>
        <v/>
      </c>
      <c r="AA478" s="120">
        <f>IF(AND(J478="OK",ISNUMBER($B$5),$B$5&gt;0,ISNUMBER($B$3),$B$3&gt;0),F478/(6*$B$3*1000000*$B$5)*(IF(B478&lt;($B$4*0/10),($B$4*0/10)*(MIN(C478,($B$4*0/10))^3-B478^3)-(MIN(C478,($B$4*0/10))^4-B478^4)/4,0)+IF(C478&gt;($B$4*0/10),($B$4*0/10)^2*(1.5*(C478^2-MAX(B478,($B$4*0/10))^2)-($B$4*0/10)*(C478-MAX(B478,($B$4*0/10)))),0))*1000,0)</f>
        <v>0</v>
      </c>
      <c r="AB478" s="120">
        <f>IF(AND(J478="OK",ISNUMBER($B$5),$B$5&gt;0,ISNUMBER($B$3),$B$3&gt;0),F478/(6*$B$3*1000000*$B$5)*(IF(B478&lt;($B$4*1/10),($B$4*1/10)*(MIN(C478,($B$4*1/10))^3-B478^3)-(MIN(C478,($B$4*1/10))^4-B478^4)/4,0)+IF(C478&gt;($B$4*1/10),($B$4*1/10)^2*(1.5*(C478^2-MAX(B478,($B$4*1/10))^2)-($B$4*1/10)*(C478-MAX(B478,($B$4*1/10)))),0))*1000,0)</f>
        <v>0</v>
      </c>
      <c r="AC478" s="120">
        <f>IF(AND(J478="OK",ISNUMBER($B$5),$B$5&gt;0,ISNUMBER($B$3),$B$3&gt;0),F478/(6*$B$3*1000000*$B$5)*(IF(B478&lt;($B$4*2/10),($B$4*2/10)*(MIN(C478,($B$4*2/10))^3-B478^3)-(MIN(C478,($B$4*2/10))^4-B478^4)/4,0)+IF(C478&gt;($B$4*2/10),($B$4*2/10)^2*(1.5*(C478^2-MAX(B478,($B$4*2/10))^2)-($B$4*2/10)*(C478-MAX(B478,($B$4*2/10)))),0))*1000,0)</f>
        <v>0</v>
      </c>
      <c r="AD478" s="120">
        <f>IF(AND(J478="OK",ISNUMBER($B$5),$B$5&gt;0,ISNUMBER($B$3),$B$3&gt;0),F478/(6*$B$3*1000000*$B$5)*(IF(B478&lt;($B$4*3/10),($B$4*3/10)*(MIN(C478,($B$4*3/10))^3-B478^3)-(MIN(C478,($B$4*3/10))^4-B478^4)/4,0)+IF(C478&gt;($B$4*3/10),($B$4*3/10)^2*(1.5*(C478^2-MAX(B478,($B$4*3/10))^2)-($B$4*3/10)*(C478-MAX(B478,($B$4*3/10)))),0))*1000,0)</f>
        <v>0</v>
      </c>
      <c r="AE478" s="120">
        <f>IF(AND(J478="OK",ISNUMBER($B$5),$B$5&gt;0,ISNUMBER($B$3),$B$3&gt;0),F478/(6*$B$3*1000000*$B$5)*(IF(B478&lt;($B$4*4/10),($B$4*4/10)*(MIN(C478,($B$4*4/10))^3-B478^3)-(MIN(C478,($B$4*4/10))^4-B478^4)/4,0)+IF(C478&gt;($B$4*4/10),($B$4*4/10)^2*(1.5*(C478^2-MAX(B478,($B$4*4/10))^2)-($B$4*4/10)*(C478-MAX(B478,($B$4*4/10)))),0))*1000,0)</f>
        <v>0</v>
      </c>
      <c r="AF478" s="120">
        <f>IF(AND(J478="OK",ISNUMBER($B$5),$B$5&gt;0,ISNUMBER($B$3),$B$3&gt;0),F478/(6*$B$3*1000000*$B$5)*(IF(B478&lt;($B$4*5/10),($B$4*5/10)*(MIN(C478,($B$4*5/10))^3-B478^3)-(MIN(C478,($B$4*5/10))^4-B478^4)/4,0)+IF(C478&gt;($B$4*5/10),($B$4*5/10)^2*(1.5*(C478^2-MAX(B478,($B$4*5/10))^2)-($B$4*5/10)*(C478-MAX(B478,($B$4*5/10)))),0))*1000,0)</f>
        <v>0</v>
      </c>
      <c r="AG478" s="120">
        <f>IF(AND(J478="OK",ISNUMBER($B$5),$B$5&gt;0,ISNUMBER($B$3),$B$3&gt;0),F478/(6*$B$3*1000000*$B$5)*(IF(B478&lt;($B$4*6/10),($B$4*6/10)*(MIN(C478,($B$4*6/10))^3-B478^3)-(MIN(C478,($B$4*6/10))^4-B478^4)/4,0)+IF(C478&gt;($B$4*6/10),($B$4*6/10)^2*(1.5*(C478^2-MAX(B478,($B$4*6/10))^2)-($B$4*6/10)*(C478-MAX(B478,($B$4*6/10)))),0))*1000,0)</f>
        <v>0</v>
      </c>
      <c r="AH478" s="120">
        <f>IF(AND(J478="OK",ISNUMBER($B$5),$B$5&gt;0,ISNUMBER($B$3),$B$3&gt;0),F478/(6*$B$3*1000000*$B$5)*(IF(B478&lt;($B$4*7/10),($B$4*7/10)*(MIN(C478,($B$4*7/10))^3-B478^3)-(MIN(C478,($B$4*7/10))^4-B478^4)/4,0)+IF(C478&gt;($B$4*7/10),($B$4*7/10)^2*(1.5*(C478^2-MAX(B478,($B$4*7/10))^2)-($B$4*7/10)*(C478-MAX(B478,($B$4*7/10)))),0))*1000,0)</f>
        <v>0</v>
      </c>
      <c r="AI478" s="120">
        <f>IF(AND(J478="OK",ISNUMBER($B$5),$B$5&gt;0,ISNUMBER($B$3),$B$3&gt;0),F478/(6*$B$3*1000000*$B$5)*(IF(B478&lt;($B$4*8/10),($B$4*8/10)*(MIN(C478,($B$4*8/10))^3-B478^3)-(MIN(C478,($B$4*8/10))^4-B478^4)/4,0)+IF(C478&gt;($B$4*8/10),($B$4*8/10)^2*(1.5*(C478^2-MAX(B478,($B$4*8/10))^2)-($B$4*8/10)*(C478-MAX(B478,($B$4*8/10)))),0))*1000,0)</f>
        <v>0</v>
      </c>
      <c r="AJ478" s="120">
        <f>IF(AND(J478="OK",ISNUMBER($B$5),$B$5&gt;0,ISNUMBER($B$3),$B$3&gt;0),F478/(6*$B$3*1000000*$B$5)*(IF(B478&lt;($B$4*9/10),($B$4*9/10)*(MIN(C478,($B$4*9/10))^3-B478^3)-(MIN(C478,($B$4*9/10))^4-B478^4)/4,0)+IF(C478&gt;($B$4*9/10),($B$4*9/10)^2*(1.5*(C478^2-MAX(B478,($B$4*9/10))^2)-($B$4*9/10)*(C478-MAX(B478,($B$4*9/10)))),0))*1000,0)</f>
        <v>0</v>
      </c>
      <c r="AK478" s="120">
        <f>IF(AND(J478="OK",ISNUMBER($B$5),$B$5&gt;0,ISNUMBER($B$3),$B$3&gt;0),F478/(6*$B$3*1000000*$B$5)*(IF(B478&lt;($B$4*10/10),($B$4*10/10)*(MIN(C478,($B$4*10/10))^3-B478^3)-(MIN(C478,($B$4*10/10))^4-B478^4)/4,0)+IF(C478&gt;($B$4*10/10),($B$4*10/10)^2*(1.5*(C478^2-MAX(B478,($B$4*10/10))^2)-($B$4*10/10)*(C478-MAX(B478,($B$4*10/10)))),0))*1000,0)</f>
        <v>0</v>
      </c>
      <c r="AM478" s="120">
        <f>IF(AND(V478="OK",ISNUMBER($N$5),$N$5&gt;0,ISNUMBER($N$3),$N$3&gt;0),R478/(6*$N$3*1000000*$N$5)*(IF(N478&lt;($N$4*0/10),($N$4*0/10)*(MIN(O478,($N$4*0/10))^3-N478^3)-(MIN(O478,($N$4*0/10))^4-N478^4)/4,0)+IF(O478&gt;($N$4*0/10),($N$4*0/10)^2*(1.5*(O478^2-MAX(N478,($N$4*0/10))^2)-($N$4*0/10)*(O478-MAX(N478,($N$4*0/10)))),0))*1000,0)</f>
        <v>0</v>
      </c>
      <c r="AN478" s="120">
        <f>IF(AND(V478="OK",ISNUMBER($N$5),$N$5&gt;0,ISNUMBER($N$3),$N$3&gt;0),R478/(6*$N$3*1000000*$N$5)*(IF(N478&lt;($N$4*1/10),($N$4*1/10)*(MIN(O478,($N$4*1/10))^3-N478^3)-(MIN(O478,($N$4*1/10))^4-N478^4)/4,0)+IF(O478&gt;($N$4*1/10),($N$4*1/10)^2*(1.5*(O478^2-MAX(N478,($N$4*1/10))^2)-($N$4*1/10)*(O478-MAX(N478,($N$4*1/10)))),0))*1000,0)</f>
        <v>0</v>
      </c>
      <c r="AO478" s="120">
        <f>IF(AND(V478="OK",ISNUMBER($N$5),$N$5&gt;0,ISNUMBER($N$3),$N$3&gt;0),R478/(6*$N$3*1000000*$N$5)*(IF(N478&lt;($N$4*2/10),($N$4*2/10)*(MIN(O478,($N$4*2/10))^3-N478^3)-(MIN(O478,($N$4*2/10))^4-N478^4)/4,0)+IF(O478&gt;($N$4*2/10),($N$4*2/10)^2*(1.5*(O478^2-MAX(N478,($N$4*2/10))^2)-($N$4*2/10)*(O478-MAX(N478,($N$4*2/10)))),0))*1000,0)</f>
        <v>0</v>
      </c>
      <c r="AP478" s="120">
        <f>IF(AND(V478="OK",ISNUMBER($N$5),$N$5&gt;0,ISNUMBER($N$3),$N$3&gt;0),R478/(6*$N$3*1000000*$N$5)*(IF(N478&lt;($N$4*3/10),($N$4*3/10)*(MIN(O478,($N$4*3/10))^3-N478^3)-(MIN(O478,($N$4*3/10))^4-N478^4)/4,0)+IF(O478&gt;($N$4*3/10),($N$4*3/10)^2*(1.5*(O478^2-MAX(N478,($N$4*3/10))^2)-($N$4*3/10)*(O478-MAX(N478,($N$4*3/10)))),0))*1000,0)</f>
        <v>0</v>
      </c>
      <c r="AQ478" s="120">
        <f>IF(AND(V478="OK",ISNUMBER($N$5),$N$5&gt;0,ISNUMBER($N$3),$N$3&gt;0),R478/(6*$N$3*1000000*$N$5)*(IF(N478&lt;($N$4*4/10),($N$4*4/10)*(MIN(O478,($N$4*4/10))^3-N478^3)-(MIN(O478,($N$4*4/10))^4-N478^4)/4,0)+IF(O478&gt;($N$4*4/10),($N$4*4/10)^2*(1.5*(O478^2-MAX(N478,($N$4*4/10))^2)-($N$4*4/10)*(O478-MAX(N478,($N$4*4/10)))),0))*1000,0)</f>
        <v>0</v>
      </c>
      <c r="AR478" s="120">
        <f>IF(AND(V478="OK",ISNUMBER($N$5),$N$5&gt;0,ISNUMBER($N$3),$N$3&gt;0),R478/(6*$N$3*1000000*$N$5)*(IF(N478&lt;($N$4*5/10),($N$4*5/10)*(MIN(O478,($N$4*5/10))^3-N478^3)-(MIN(O478,($N$4*5/10))^4-N478^4)/4,0)+IF(O478&gt;($N$4*5/10),($N$4*5/10)^2*(1.5*(O478^2-MAX(N478,($N$4*5/10))^2)-($N$4*5/10)*(O478-MAX(N478,($N$4*5/10)))),0))*1000,0)</f>
        <v>0</v>
      </c>
      <c r="AS478" s="120">
        <f>IF(AND(V478="OK",ISNUMBER($N$5),$N$5&gt;0,ISNUMBER($N$3),$N$3&gt;0),R478/(6*$N$3*1000000*$N$5)*(IF(N478&lt;($N$4*6/10),($N$4*6/10)*(MIN(O478,($N$4*6/10))^3-N478^3)-(MIN(O478,($N$4*6/10))^4-N478^4)/4,0)+IF(O478&gt;($N$4*6/10),($N$4*6/10)^2*(1.5*(O478^2-MAX(N478,($N$4*6/10))^2)-($N$4*6/10)*(O478-MAX(N478,($N$4*6/10)))),0))*1000,0)</f>
        <v>0</v>
      </c>
      <c r="AT478" s="120">
        <f>IF(AND(V478="OK",ISNUMBER($N$5),$N$5&gt;0,ISNUMBER($N$3),$N$3&gt;0),R478/(6*$N$3*1000000*$N$5)*(IF(N478&lt;($N$4*7/10),($N$4*7/10)*(MIN(O478,($N$4*7/10))^3-N478^3)-(MIN(O478,($N$4*7/10))^4-N478^4)/4,0)+IF(O478&gt;($N$4*7/10),($N$4*7/10)^2*(1.5*(O478^2-MAX(N478,($N$4*7/10))^2)-($N$4*7/10)*(O478-MAX(N478,($N$4*7/10)))),0))*1000,0)</f>
        <v>0</v>
      </c>
      <c r="AU478" s="120">
        <f>IF(AND(V478="OK",ISNUMBER($N$5),$N$5&gt;0,ISNUMBER($N$3),$N$3&gt;0),R478/(6*$N$3*1000000*$N$5)*(IF(N478&lt;($N$4*8/10),($N$4*8/10)*(MIN(O478,($N$4*8/10))^3-N478^3)-(MIN(O478,($N$4*8/10))^4-N478^4)/4,0)+IF(O478&gt;($N$4*8/10),($N$4*8/10)^2*(1.5*(O478^2-MAX(N478,($N$4*8/10))^2)-($N$4*8/10)*(O478-MAX(N478,($N$4*8/10)))),0))*1000,0)</f>
        <v>0</v>
      </c>
      <c r="AV478" s="120">
        <f>IF(AND(V478="OK",ISNUMBER($N$5),$N$5&gt;0,ISNUMBER($N$3),$N$3&gt;0),R478/(6*$N$3*1000000*$N$5)*(IF(N478&lt;($N$4*9/10),($N$4*9/10)*(MIN(O478,($N$4*9/10))^3-N478^3)-(MIN(O478,($N$4*9/10))^4-N478^4)/4,0)+IF(O478&gt;($N$4*9/10),($N$4*9/10)^2*(1.5*(O478^2-MAX(N478,($N$4*9/10))^2)-($N$4*9/10)*(O478-MAX(N478,($N$4*9/10)))),0))*1000,0)</f>
        <v>0</v>
      </c>
      <c r="AW478" s="120">
        <f>IF(AND(V478="OK",ISNUMBER($N$5),$N$5&gt;0,ISNUMBER($N$3),$N$3&gt;0),R478/(6*$N$3*1000000*$N$5)*(IF(N478&lt;($N$4*10/10),($N$4*10/10)*(MIN(O478,($N$4*10/10))^3-N478^3)-(MIN(O478,($N$4*10/10))^4-N478^4)/4,0)+IF(O478&gt;($N$4*10/10),($N$4*10/10)^2*(1.5*(O478^2-MAX(N478,($N$4*10/10))^2)-($N$4*10/10)*(O478-MAX(N478,($N$4*10/10)))),0))*1000,0)</f>
        <v>0</v>
      </c>
    </row>
    <row r="479" spans="1:49">
      <c r="A479" s="124"/>
      <c r="B479" s="125"/>
      <c r="C479" s="125"/>
      <c r="D479" s="125"/>
      <c r="E479" s="125"/>
      <c r="F479" s="126" t="str">
        <f>IF(J479="OK",D479*E479,"")</f>
        <v/>
      </c>
      <c r="G479" s="126" t="str">
        <f>IF(J479="OK",F479*(C479-B479),"")</f>
        <v/>
      </c>
      <c r="H479" s="126" t="str">
        <f>IF(J479="OK",G479*(C479+B479)/2,"")</f>
        <v/>
      </c>
      <c r="I479" s="126" t="str">
        <f>IF(AND(J479="OK",ISNUMBER($B$5),$B$5&gt;0,ISNUMBER($B$3),$B$3&gt;0),F479*(4*$B$4*(C479^3-B479^3)-(C479^4-B479^4))/(24*$B$3*1000000*$B$5)*1000,"")</f>
        <v/>
      </c>
      <c r="J479" s="120" t="str">
        <f>IF(COUNTA(A479:E479)=0,"",IF(AND(COUNT(B479:E479)=4,B479&gt;=0,C479&gt;B479,C479&lt;=$B$4,D479&gt;=0,E479&gt;0),IF(COUNTIFS($B$13:$B$478,"&lt;"&amp;C479,$C$13:$C$478,"&gt;"&amp;B479)&gt;0,"OVERLAP","OK"),"CHECK INPUTS"))</f>
        <v/>
      </c>
      <c r="M479" s="124"/>
      <c r="N479" s="125"/>
      <c r="O479" s="125"/>
      <c r="P479" s="125"/>
      <c r="Q479" s="125"/>
      <c r="R479" s="126" t="str">
        <f>IF(V479="OK",P479*Q479,"")</f>
        <v/>
      </c>
      <c r="S479" s="126" t="str">
        <f>IF(V479="OK",R479*(O479-N479),"")</f>
        <v/>
      </c>
      <c r="T479" s="126" t="str">
        <f>IF(V479="OK",S479*(O479+N479)/2,"")</f>
        <v/>
      </c>
      <c r="U479" s="126" t="str">
        <f>IF(AND(V479="OK",ISNUMBER($N$5),$N$5&gt;0,ISNUMBER($N$3),$N$3&gt;0),R479*(4*$N$4*(O479^3-N479^3)-(O479^4-N479^4))/(24*$N$3*1000000*$N$5)*1000,"")</f>
        <v/>
      </c>
      <c r="V479" s="120" t="str">
        <f>IF(COUNTA(M479:Q479)=0,"",IF(AND(COUNT(N479:Q479)=4,N479&gt;=0,O479&gt;N479,O479&lt;=$N$4,P479&gt;=0,Q479&gt;0),IF(COUNTIFS($N$13:$N$478,"&lt;"&amp;O479,$O$13:$O$478,"&gt;"&amp;N479)&gt;0,"OVERLAP","OK"),"CHECK INPUTS"))</f>
        <v/>
      </c>
      <c r="AA479" s="120">
        <f>IF(AND(J479="OK",ISNUMBER($B$5),$B$5&gt;0,ISNUMBER($B$3),$B$3&gt;0),F479/(6*$B$3*1000000*$B$5)*(IF(B479&lt;($B$4*0/10),($B$4*0/10)*(MIN(C479,($B$4*0/10))^3-B479^3)-(MIN(C479,($B$4*0/10))^4-B479^4)/4,0)+IF(C479&gt;($B$4*0/10),($B$4*0/10)^2*(1.5*(C479^2-MAX(B479,($B$4*0/10))^2)-($B$4*0/10)*(C479-MAX(B479,($B$4*0/10)))),0))*1000,0)</f>
        <v>0</v>
      </c>
      <c r="AB479" s="120">
        <f>IF(AND(J479="OK",ISNUMBER($B$5),$B$5&gt;0,ISNUMBER($B$3),$B$3&gt;0),F479/(6*$B$3*1000000*$B$5)*(IF(B479&lt;($B$4*1/10),($B$4*1/10)*(MIN(C479,($B$4*1/10))^3-B479^3)-(MIN(C479,($B$4*1/10))^4-B479^4)/4,0)+IF(C479&gt;($B$4*1/10),($B$4*1/10)^2*(1.5*(C479^2-MAX(B479,($B$4*1/10))^2)-($B$4*1/10)*(C479-MAX(B479,($B$4*1/10)))),0))*1000,0)</f>
        <v>0</v>
      </c>
      <c r="AC479" s="120">
        <f>IF(AND(J479="OK",ISNUMBER($B$5),$B$5&gt;0,ISNUMBER($B$3),$B$3&gt;0),F479/(6*$B$3*1000000*$B$5)*(IF(B479&lt;($B$4*2/10),($B$4*2/10)*(MIN(C479,($B$4*2/10))^3-B479^3)-(MIN(C479,($B$4*2/10))^4-B479^4)/4,0)+IF(C479&gt;($B$4*2/10),($B$4*2/10)^2*(1.5*(C479^2-MAX(B479,($B$4*2/10))^2)-($B$4*2/10)*(C479-MAX(B479,($B$4*2/10)))),0))*1000,0)</f>
        <v>0</v>
      </c>
      <c r="AD479" s="120">
        <f>IF(AND(J479="OK",ISNUMBER($B$5),$B$5&gt;0,ISNUMBER($B$3),$B$3&gt;0),F479/(6*$B$3*1000000*$B$5)*(IF(B479&lt;($B$4*3/10),($B$4*3/10)*(MIN(C479,($B$4*3/10))^3-B479^3)-(MIN(C479,($B$4*3/10))^4-B479^4)/4,0)+IF(C479&gt;($B$4*3/10),($B$4*3/10)^2*(1.5*(C479^2-MAX(B479,($B$4*3/10))^2)-($B$4*3/10)*(C479-MAX(B479,($B$4*3/10)))),0))*1000,0)</f>
        <v>0</v>
      </c>
      <c r="AE479" s="120">
        <f>IF(AND(J479="OK",ISNUMBER($B$5),$B$5&gt;0,ISNUMBER($B$3),$B$3&gt;0),F479/(6*$B$3*1000000*$B$5)*(IF(B479&lt;($B$4*4/10),($B$4*4/10)*(MIN(C479,($B$4*4/10))^3-B479^3)-(MIN(C479,($B$4*4/10))^4-B479^4)/4,0)+IF(C479&gt;($B$4*4/10),($B$4*4/10)^2*(1.5*(C479^2-MAX(B479,($B$4*4/10))^2)-($B$4*4/10)*(C479-MAX(B479,($B$4*4/10)))),0))*1000,0)</f>
        <v>0</v>
      </c>
      <c r="AF479" s="120">
        <f>IF(AND(J479="OK",ISNUMBER($B$5),$B$5&gt;0,ISNUMBER($B$3),$B$3&gt;0),F479/(6*$B$3*1000000*$B$5)*(IF(B479&lt;($B$4*5/10),($B$4*5/10)*(MIN(C479,($B$4*5/10))^3-B479^3)-(MIN(C479,($B$4*5/10))^4-B479^4)/4,0)+IF(C479&gt;($B$4*5/10),($B$4*5/10)^2*(1.5*(C479^2-MAX(B479,($B$4*5/10))^2)-($B$4*5/10)*(C479-MAX(B479,($B$4*5/10)))),0))*1000,0)</f>
        <v>0</v>
      </c>
      <c r="AG479" s="120">
        <f>IF(AND(J479="OK",ISNUMBER($B$5),$B$5&gt;0,ISNUMBER($B$3),$B$3&gt;0),F479/(6*$B$3*1000000*$B$5)*(IF(B479&lt;($B$4*6/10),($B$4*6/10)*(MIN(C479,($B$4*6/10))^3-B479^3)-(MIN(C479,($B$4*6/10))^4-B479^4)/4,0)+IF(C479&gt;($B$4*6/10),($B$4*6/10)^2*(1.5*(C479^2-MAX(B479,($B$4*6/10))^2)-($B$4*6/10)*(C479-MAX(B479,($B$4*6/10)))),0))*1000,0)</f>
        <v>0</v>
      </c>
      <c r="AH479" s="120">
        <f>IF(AND(J479="OK",ISNUMBER($B$5),$B$5&gt;0,ISNUMBER($B$3),$B$3&gt;0),F479/(6*$B$3*1000000*$B$5)*(IF(B479&lt;($B$4*7/10),($B$4*7/10)*(MIN(C479,($B$4*7/10))^3-B479^3)-(MIN(C479,($B$4*7/10))^4-B479^4)/4,0)+IF(C479&gt;($B$4*7/10),($B$4*7/10)^2*(1.5*(C479^2-MAX(B479,($B$4*7/10))^2)-($B$4*7/10)*(C479-MAX(B479,($B$4*7/10)))),0))*1000,0)</f>
        <v>0</v>
      </c>
      <c r="AI479" s="120">
        <f>IF(AND(J479="OK",ISNUMBER($B$5),$B$5&gt;0,ISNUMBER($B$3),$B$3&gt;0),F479/(6*$B$3*1000000*$B$5)*(IF(B479&lt;($B$4*8/10),($B$4*8/10)*(MIN(C479,($B$4*8/10))^3-B479^3)-(MIN(C479,($B$4*8/10))^4-B479^4)/4,0)+IF(C479&gt;($B$4*8/10),($B$4*8/10)^2*(1.5*(C479^2-MAX(B479,($B$4*8/10))^2)-($B$4*8/10)*(C479-MAX(B479,($B$4*8/10)))),0))*1000,0)</f>
        <v>0</v>
      </c>
      <c r="AJ479" s="120">
        <f>IF(AND(J479="OK",ISNUMBER($B$5),$B$5&gt;0,ISNUMBER($B$3),$B$3&gt;0),F479/(6*$B$3*1000000*$B$5)*(IF(B479&lt;($B$4*9/10),($B$4*9/10)*(MIN(C479,($B$4*9/10))^3-B479^3)-(MIN(C479,($B$4*9/10))^4-B479^4)/4,0)+IF(C479&gt;($B$4*9/10),($B$4*9/10)^2*(1.5*(C479^2-MAX(B479,($B$4*9/10))^2)-($B$4*9/10)*(C479-MAX(B479,($B$4*9/10)))),0))*1000,0)</f>
        <v>0</v>
      </c>
      <c r="AK479" s="120">
        <f>IF(AND(J479="OK",ISNUMBER($B$5),$B$5&gt;0,ISNUMBER($B$3),$B$3&gt;0),F479/(6*$B$3*1000000*$B$5)*(IF(B479&lt;($B$4*10/10),($B$4*10/10)*(MIN(C479,($B$4*10/10))^3-B479^3)-(MIN(C479,($B$4*10/10))^4-B479^4)/4,0)+IF(C479&gt;($B$4*10/10),($B$4*10/10)^2*(1.5*(C479^2-MAX(B479,($B$4*10/10))^2)-($B$4*10/10)*(C479-MAX(B479,($B$4*10/10)))),0))*1000,0)</f>
        <v>0</v>
      </c>
      <c r="AM479" s="120">
        <f>IF(AND(V479="OK",ISNUMBER($N$5),$N$5&gt;0,ISNUMBER($N$3),$N$3&gt;0),R479/(6*$N$3*1000000*$N$5)*(IF(N479&lt;($N$4*0/10),($N$4*0/10)*(MIN(O479,($N$4*0/10))^3-N479^3)-(MIN(O479,($N$4*0/10))^4-N479^4)/4,0)+IF(O479&gt;($N$4*0/10),($N$4*0/10)^2*(1.5*(O479^2-MAX(N479,($N$4*0/10))^2)-($N$4*0/10)*(O479-MAX(N479,($N$4*0/10)))),0))*1000,0)</f>
        <v>0</v>
      </c>
      <c r="AN479" s="120">
        <f>IF(AND(V479="OK",ISNUMBER($N$5),$N$5&gt;0,ISNUMBER($N$3),$N$3&gt;0),R479/(6*$N$3*1000000*$N$5)*(IF(N479&lt;($N$4*1/10),($N$4*1/10)*(MIN(O479,($N$4*1/10))^3-N479^3)-(MIN(O479,($N$4*1/10))^4-N479^4)/4,0)+IF(O479&gt;($N$4*1/10),($N$4*1/10)^2*(1.5*(O479^2-MAX(N479,($N$4*1/10))^2)-($N$4*1/10)*(O479-MAX(N479,($N$4*1/10)))),0))*1000,0)</f>
        <v>0</v>
      </c>
      <c r="AO479" s="120">
        <f>IF(AND(V479="OK",ISNUMBER($N$5),$N$5&gt;0,ISNUMBER($N$3),$N$3&gt;0),R479/(6*$N$3*1000000*$N$5)*(IF(N479&lt;($N$4*2/10),($N$4*2/10)*(MIN(O479,($N$4*2/10))^3-N479^3)-(MIN(O479,($N$4*2/10))^4-N479^4)/4,0)+IF(O479&gt;($N$4*2/10),($N$4*2/10)^2*(1.5*(O479^2-MAX(N479,($N$4*2/10))^2)-($N$4*2/10)*(O479-MAX(N479,($N$4*2/10)))),0))*1000,0)</f>
        <v>0</v>
      </c>
      <c r="AP479" s="120">
        <f>IF(AND(V479="OK",ISNUMBER($N$5),$N$5&gt;0,ISNUMBER($N$3),$N$3&gt;0),R479/(6*$N$3*1000000*$N$5)*(IF(N479&lt;($N$4*3/10),($N$4*3/10)*(MIN(O479,($N$4*3/10))^3-N479^3)-(MIN(O479,($N$4*3/10))^4-N479^4)/4,0)+IF(O479&gt;($N$4*3/10),($N$4*3/10)^2*(1.5*(O479^2-MAX(N479,($N$4*3/10))^2)-($N$4*3/10)*(O479-MAX(N479,($N$4*3/10)))),0))*1000,0)</f>
        <v>0</v>
      </c>
      <c r="AQ479" s="120">
        <f>IF(AND(V479="OK",ISNUMBER($N$5),$N$5&gt;0,ISNUMBER($N$3),$N$3&gt;0),R479/(6*$N$3*1000000*$N$5)*(IF(N479&lt;($N$4*4/10),($N$4*4/10)*(MIN(O479,($N$4*4/10))^3-N479^3)-(MIN(O479,($N$4*4/10))^4-N479^4)/4,0)+IF(O479&gt;($N$4*4/10),($N$4*4/10)^2*(1.5*(O479^2-MAX(N479,($N$4*4/10))^2)-($N$4*4/10)*(O479-MAX(N479,($N$4*4/10)))),0))*1000,0)</f>
        <v>0</v>
      </c>
      <c r="AR479" s="120">
        <f>IF(AND(V479="OK",ISNUMBER($N$5),$N$5&gt;0,ISNUMBER($N$3),$N$3&gt;0),R479/(6*$N$3*1000000*$N$5)*(IF(N479&lt;($N$4*5/10),($N$4*5/10)*(MIN(O479,($N$4*5/10))^3-N479^3)-(MIN(O479,($N$4*5/10))^4-N479^4)/4,0)+IF(O479&gt;($N$4*5/10),($N$4*5/10)^2*(1.5*(O479^2-MAX(N479,($N$4*5/10))^2)-($N$4*5/10)*(O479-MAX(N479,($N$4*5/10)))),0))*1000,0)</f>
        <v>0</v>
      </c>
      <c r="AS479" s="120">
        <f>IF(AND(V479="OK",ISNUMBER($N$5),$N$5&gt;0,ISNUMBER($N$3),$N$3&gt;0),R479/(6*$N$3*1000000*$N$5)*(IF(N479&lt;($N$4*6/10),($N$4*6/10)*(MIN(O479,($N$4*6/10))^3-N479^3)-(MIN(O479,($N$4*6/10))^4-N479^4)/4,0)+IF(O479&gt;($N$4*6/10),($N$4*6/10)^2*(1.5*(O479^2-MAX(N479,($N$4*6/10))^2)-($N$4*6/10)*(O479-MAX(N479,($N$4*6/10)))),0))*1000,0)</f>
        <v>0</v>
      </c>
      <c r="AT479" s="120">
        <f>IF(AND(V479="OK",ISNUMBER($N$5),$N$5&gt;0,ISNUMBER($N$3),$N$3&gt;0),R479/(6*$N$3*1000000*$N$5)*(IF(N479&lt;($N$4*7/10),($N$4*7/10)*(MIN(O479,($N$4*7/10))^3-N479^3)-(MIN(O479,($N$4*7/10))^4-N479^4)/4,0)+IF(O479&gt;($N$4*7/10),($N$4*7/10)^2*(1.5*(O479^2-MAX(N479,($N$4*7/10))^2)-($N$4*7/10)*(O479-MAX(N479,($N$4*7/10)))),0))*1000,0)</f>
        <v>0</v>
      </c>
      <c r="AU479" s="120">
        <f>IF(AND(V479="OK",ISNUMBER($N$5),$N$5&gt;0,ISNUMBER($N$3),$N$3&gt;0),R479/(6*$N$3*1000000*$N$5)*(IF(N479&lt;($N$4*8/10),($N$4*8/10)*(MIN(O479,($N$4*8/10))^3-N479^3)-(MIN(O479,($N$4*8/10))^4-N479^4)/4,0)+IF(O479&gt;($N$4*8/10),($N$4*8/10)^2*(1.5*(O479^2-MAX(N479,($N$4*8/10))^2)-($N$4*8/10)*(O479-MAX(N479,($N$4*8/10)))),0))*1000,0)</f>
        <v>0</v>
      </c>
      <c r="AV479" s="120">
        <f>IF(AND(V479="OK",ISNUMBER($N$5),$N$5&gt;0,ISNUMBER($N$3),$N$3&gt;0),R479/(6*$N$3*1000000*$N$5)*(IF(N479&lt;($N$4*9/10),($N$4*9/10)*(MIN(O479,($N$4*9/10))^3-N479^3)-(MIN(O479,($N$4*9/10))^4-N479^4)/4,0)+IF(O479&gt;($N$4*9/10),($N$4*9/10)^2*(1.5*(O479^2-MAX(N479,($N$4*9/10))^2)-($N$4*9/10)*(O479-MAX(N479,($N$4*9/10)))),0))*1000,0)</f>
        <v>0</v>
      </c>
      <c r="AW479" s="120">
        <f>IF(AND(V479="OK",ISNUMBER($N$5),$N$5&gt;0,ISNUMBER($N$3),$N$3&gt;0),R479/(6*$N$3*1000000*$N$5)*(IF(N479&lt;($N$4*10/10),($N$4*10/10)*(MIN(O479,($N$4*10/10))^3-N479^3)-(MIN(O479,($N$4*10/10))^4-N479^4)/4,0)+IF(O479&gt;($N$4*10/10),($N$4*10/10)^2*(1.5*(O479^2-MAX(N479,($N$4*10/10))^2)-($N$4*10/10)*(O479-MAX(N479,($N$4*10/10)))),0))*1000,0)</f>
        <v>0</v>
      </c>
    </row>
    <row r="480" spans="1:49">
      <c r="A480" s="124"/>
      <c r="B480" s="125"/>
      <c r="C480" s="125"/>
      <c r="D480" s="125"/>
      <c r="E480" s="125"/>
      <c r="F480" s="126" t="str">
        <f>IF(J480="OK",D480*E480,"")</f>
        <v/>
      </c>
      <c r="G480" s="126" t="str">
        <f>IF(J480="OK",F480*(C480-B480),"")</f>
        <v/>
      </c>
      <c r="H480" s="126" t="str">
        <f>IF(J480="OK",G480*(C480+B480)/2,"")</f>
        <v/>
      </c>
      <c r="I480" s="126" t="str">
        <f>IF(AND(J480="OK",ISNUMBER($B$5),$B$5&gt;0,ISNUMBER($B$3),$B$3&gt;0),F480*(4*$B$4*(C480^3-B480^3)-(C480^4-B480^4))/(24*$B$3*1000000*$B$5)*1000,"")</f>
        <v/>
      </c>
      <c r="J480" s="120" t="str">
        <f>IF(COUNTA(A480:E480)=0,"",IF(AND(COUNT(B480:E480)=4,B480&gt;=0,C480&gt;B480,C480&lt;=$B$4,D480&gt;=0,E480&gt;0),IF(COUNTIFS($B$13:$B$479,"&lt;"&amp;C480,$C$13:$C$479,"&gt;"&amp;B480)&gt;0,"OVERLAP","OK"),"CHECK INPUTS"))</f>
        <v/>
      </c>
      <c r="M480" s="124"/>
      <c r="N480" s="125"/>
      <c r="O480" s="125"/>
      <c r="P480" s="125"/>
      <c r="Q480" s="125"/>
      <c r="R480" s="126" t="str">
        <f>IF(V480="OK",P480*Q480,"")</f>
        <v/>
      </c>
      <c r="S480" s="126" t="str">
        <f>IF(V480="OK",R480*(O480-N480),"")</f>
        <v/>
      </c>
      <c r="T480" s="126" t="str">
        <f>IF(V480="OK",S480*(O480+N480)/2,"")</f>
        <v/>
      </c>
      <c r="U480" s="126" t="str">
        <f>IF(AND(V480="OK",ISNUMBER($N$5),$N$5&gt;0,ISNUMBER($N$3),$N$3&gt;0),R480*(4*$N$4*(O480^3-N480^3)-(O480^4-N480^4))/(24*$N$3*1000000*$N$5)*1000,"")</f>
        <v/>
      </c>
      <c r="V480" s="120" t="str">
        <f>IF(COUNTA(M480:Q480)=0,"",IF(AND(COUNT(N480:Q480)=4,N480&gt;=0,O480&gt;N480,O480&lt;=$N$4,P480&gt;=0,Q480&gt;0),IF(COUNTIFS($N$13:$N$479,"&lt;"&amp;O480,$O$13:$O$479,"&gt;"&amp;N480)&gt;0,"OVERLAP","OK"),"CHECK INPUTS"))</f>
        <v/>
      </c>
      <c r="AA480" s="120">
        <f>IF(AND(J480="OK",ISNUMBER($B$5),$B$5&gt;0,ISNUMBER($B$3),$B$3&gt;0),F480/(6*$B$3*1000000*$B$5)*(IF(B480&lt;($B$4*0/10),($B$4*0/10)*(MIN(C480,($B$4*0/10))^3-B480^3)-(MIN(C480,($B$4*0/10))^4-B480^4)/4,0)+IF(C480&gt;($B$4*0/10),($B$4*0/10)^2*(1.5*(C480^2-MAX(B480,($B$4*0/10))^2)-($B$4*0/10)*(C480-MAX(B480,($B$4*0/10)))),0))*1000,0)</f>
        <v>0</v>
      </c>
      <c r="AB480" s="120">
        <f>IF(AND(J480="OK",ISNUMBER($B$5),$B$5&gt;0,ISNUMBER($B$3),$B$3&gt;0),F480/(6*$B$3*1000000*$B$5)*(IF(B480&lt;($B$4*1/10),($B$4*1/10)*(MIN(C480,($B$4*1/10))^3-B480^3)-(MIN(C480,($B$4*1/10))^4-B480^4)/4,0)+IF(C480&gt;($B$4*1/10),($B$4*1/10)^2*(1.5*(C480^2-MAX(B480,($B$4*1/10))^2)-($B$4*1/10)*(C480-MAX(B480,($B$4*1/10)))),0))*1000,0)</f>
        <v>0</v>
      </c>
      <c r="AC480" s="120">
        <f>IF(AND(J480="OK",ISNUMBER($B$5),$B$5&gt;0,ISNUMBER($B$3),$B$3&gt;0),F480/(6*$B$3*1000000*$B$5)*(IF(B480&lt;($B$4*2/10),($B$4*2/10)*(MIN(C480,($B$4*2/10))^3-B480^3)-(MIN(C480,($B$4*2/10))^4-B480^4)/4,0)+IF(C480&gt;($B$4*2/10),($B$4*2/10)^2*(1.5*(C480^2-MAX(B480,($B$4*2/10))^2)-($B$4*2/10)*(C480-MAX(B480,($B$4*2/10)))),0))*1000,0)</f>
        <v>0</v>
      </c>
      <c r="AD480" s="120">
        <f>IF(AND(J480="OK",ISNUMBER($B$5),$B$5&gt;0,ISNUMBER($B$3),$B$3&gt;0),F480/(6*$B$3*1000000*$B$5)*(IF(B480&lt;($B$4*3/10),($B$4*3/10)*(MIN(C480,($B$4*3/10))^3-B480^3)-(MIN(C480,($B$4*3/10))^4-B480^4)/4,0)+IF(C480&gt;($B$4*3/10),($B$4*3/10)^2*(1.5*(C480^2-MAX(B480,($B$4*3/10))^2)-($B$4*3/10)*(C480-MAX(B480,($B$4*3/10)))),0))*1000,0)</f>
        <v>0</v>
      </c>
      <c r="AE480" s="120">
        <f>IF(AND(J480="OK",ISNUMBER($B$5),$B$5&gt;0,ISNUMBER($B$3),$B$3&gt;0),F480/(6*$B$3*1000000*$B$5)*(IF(B480&lt;($B$4*4/10),($B$4*4/10)*(MIN(C480,($B$4*4/10))^3-B480^3)-(MIN(C480,($B$4*4/10))^4-B480^4)/4,0)+IF(C480&gt;($B$4*4/10),($B$4*4/10)^2*(1.5*(C480^2-MAX(B480,($B$4*4/10))^2)-($B$4*4/10)*(C480-MAX(B480,($B$4*4/10)))),0))*1000,0)</f>
        <v>0</v>
      </c>
      <c r="AF480" s="120">
        <f>IF(AND(J480="OK",ISNUMBER($B$5),$B$5&gt;0,ISNUMBER($B$3),$B$3&gt;0),F480/(6*$B$3*1000000*$B$5)*(IF(B480&lt;($B$4*5/10),($B$4*5/10)*(MIN(C480,($B$4*5/10))^3-B480^3)-(MIN(C480,($B$4*5/10))^4-B480^4)/4,0)+IF(C480&gt;($B$4*5/10),($B$4*5/10)^2*(1.5*(C480^2-MAX(B480,($B$4*5/10))^2)-($B$4*5/10)*(C480-MAX(B480,($B$4*5/10)))),0))*1000,0)</f>
        <v>0</v>
      </c>
      <c r="AG480" s="120">
        <f>IF(AND(J480="OK",ISNUMBER($B$5),$B$5&gt;0,ISNUMBER($B$3),$B$3&gt;0),F480/(6*$B$3*1000000*$B$5)*(IF(B480&lt;($B$4*6/10),($B$4*6/10)*(MIN(C480,($B$4*6/10))^3-B480^3)-(MIN(C480,($B$4*6/10))^4-B480^4)/4,0)+IF(C480&gt;($B$4*6/10),($B$4*6/10)^2*(1.5*(C480^2-MAX(B480,($B$4*6/10))^2)-($B$4*6/10)*(C480-MAX(B480,($B$4*6/10)))),0))*1000,0)</f>
        <v>0</v>
      </c>
      <c r="AH480" s="120">
        <f>IF(AND(J480="OK",ISNUMBER($B$5),$B$5&gt;0,ISNUMBER($B$3),$B$3&gt;0),F480/(6*$B$3*1000000*$B$5)*(IF(B480&lt;($B$4*7/10),($B$4*7/10)*(MIN(C480,($B$4*7/10))^3-B480^3)-(MIN(C480,($B$4*7/10))^4-B480^4)/4,0)+IF(C480&gt;($B$4*7/10),($B$4*7/10)^2*(1.5*(C480^2-MAX(B480,($B$4*7/10))^2)-($B$4*7/10)*(C480-MAX(B480,($B$4*7/10)))),0))*1000,0)</f>
        <v>0</v>
      </c>
      <c r="AI480" s="120">
        <f>IF(AND(J480="OK",ISNUMBER($B$5),$B$5&gt;0,ISNUMBER($B$3),$B$3&gt;0),F480/(6*$B$3*1000000*$B$5)*(IF(B480&lt;($B$4*8/10),($B$4*8/10)*(MIN(C480,($B$4*8/10))^3-B480^3)-(MIN(C480,($B$4*8/10))^4-B480^4)/4,0)+IF(C480&gt;($B$4*8/10),($B$4*8/10)^2*(1.5*(C480^2-MAX(B480,($B$4*8/10))^2)-($B$4*8/10)*(C480-MAX(B480,($B$4*8/10)))),0))*1000,0)</f>
        <v>0</v>
      </c>
      <c r="AJ480" s="120">
        <f>IF(AND(J480="OK",ISNUMBER($B$5),$B$5&gt;0,ISNUMBER($B$3),$B$3&gt;0),F480/(6*$B$3*1000000*$B$5)*(IF(B480&lt;($B$4*9/10),($B$4*9/10)*(MIN(C480,($B$4*9/10))^3-B480^3)-(MIN(C480,($B$4*9/10))^4-B480^4)/4,0)+IF(C480&gt;($B$4*9/10),($B$4*9/10)^2*(1.5*(C480^2-MAX(B480,($B$4*9/10))^2)-($B$4*9/10)*(C480-MAX(B480,($B$4*9/10)))),0))*1000,0)</f>
        <v>0</v>
      </c>
      <c r="AK480" s="120">
        <f>IF(AND(J480="OK",ISNUMBER($B$5),$B$5&gt;0,ISNUMBER($B$3),$B$3&gt;0),F480/(6*$B$3*1000000*$B$5)*(IF(B480&lt;($B$4*10/10),($B$4*10/10)*(MIN(C480,($B$4*10/10))^3-B480^3)-(MIN(C480,($B$4*10/10))^4-B480^4)/4,0)+IF(C480&gt;($B$4*10/10),($B$4*10/10)^2*(1.5*(C480^2-MAX(B480,($B$4*10/10))^2)-($B$4*10/10)*(C480-MAX(B480,($B$4*10/10)))),0))*1000,0)</f>
        <v>0</v>
      </c>
      <c r="AM480" s="120">
        <f>IF(AND(V480="OK",ISNUMBER($N$5),$N$5&gt;0,ISNUMBER($N$3),$N$3&gt;0),R480/(6*$N$3*1000000*$N$5)*(IF(N480&lt;($N$4*0/10),($N$4*0/10)*(MIN(O480,($N$4*0/10))^3-N480^3)-(MIN(O480,($N$4*0/10))^4-N480^4)/4,0)+IF(O480&gt;($N$4*0/10),($N$4*0/10)^2*(1.5*(O480^2-MAX(N480,($N$4*0/10))^2)-($N$4*0/10)*(O480-MAX(N480,($N$4*0/10)))),0))*1000,0)</f>
        <v>0</v>
      </c>
      <c r="AN480" s="120">
        <f>IF(AND(V480="OK",ISNUMBER($N$5),$N$5&gt;0,ISNUMBER($N$3),$N$3&gt;0),R480/(6*$N$3*1000000*$N$5)*(IF(N480&lt;($N$4*1/10),($N$4*1/10)*(MIN(O480,($N$4*1/10))^3-N480^3)-(MIN(O480,($N$4*1/10))^4-N480^4)/4,0)+IF(O480&gt;($N$4*1/10),($N$4*1/10)^2*(1.5*(O480^2-MAX(N480,($N$4*1/10))^2)-($N$4*1/10)*(O480-MAX(N480,($N$4*1/10)))),0))*1000,0)</f>
        <v>0</v>
      </c>
      <c r="AO480" s="120">
        <f>IF(AND(V480="OK",ISNUMBER($N$5),$N$5&gt;0,ISNUMBER($N$3),$N$3&gt;0),R480/(6*$N$3*1000000*$N$5)*(IF(N480&lt;($N$4*2/10),($N$4*2/10)*(MIN(O480,($N$4*2/10))^3-N480^3)-(MIN(O480,($N$4*2/10))^4-N480^4)/4,0)+IF(O480&gt;($N$4*2/10),($N$4*2/10)^2*(1.5*(O480^2-MAX(N480,($N$4*2/10))^2)-($N$4*2/10)*(O480-MAX(N480,($N$4*2/10)))),0))*1000,0)</f>
        <v>0</v>
      </c>
      <c r="AP480" s="120">
        <f>IF(AND(V480="OK",ISNUMBER($N$5),$N$5&gt;0,ISNUMBER($N$3),$N$3&gt;0),R480/(6*$N$3*1000000*$N$5)*(IF(N480&lt;($N$4*3/10),($N$4*3/10)*(MIN(O480,($N$4*3/10))^3-N480^3)-(MIN(O480,($N$4*3/10))^4-N480^4)/4,0)+IF(O480&gt;($N$4*3/10),($N$4*3/10)^2*(1.5*(O480^2-MAX(N480,($N$4*3/10))^2)-($N$4*3/10)*(O480-MAX(N480,($N$4*3/10)))),0))*1000,0)</f>
        <v>0</v>
      </c>
      <c r="AQ480" s="120">
        <f>IF(AND(V480="OK",ISNUMBER($N$5),$N$5&gt;0,ISNUMBER($N$3),$N$3&gt;0),R480/(6*$N$3*1000000*$N$5)*(IF(N480&lt;($N$4*4/10),($N$4*4/10)*(MIN(O480,($N$4*4/10))^3-N480^3)-(MIN(O480,($N$4*4/10))^4-N480^4)/4,0)+IF(O480&gt;($N$4*4/10),($N$4*4/10)^2*(1.5*(O480^2-MAX(N480,($N$4*4/10))^2)-($N$4*4/10)*(O480-MAX(N480,($N$4*4/10)))),0))*1000,0)</f>
        <v>0</v>
      </c>
      <c r="AR480" s="120">
        <f>IF(AND(V480="OK",ISNUMBER($N$5),$N$5&gt;0,ISNUMBER($N$3),$N$3&gt;0),R480/(6*$N$3*1000000*$N$5)*(IF(N480&lt;($N$4*5/10),($N$4*5/10)*(MIN(O480,($N$4*5/10))^3-N480^3)-(MIN(O480,($N$4*5/10))^4-N480^4)/4,0)+IF(O480&gt;($N$4*5/10),($N$4*5/10)^2*(1.5*(O480^2-MAX(N480,($N$4*5/10))^2)-($N$4*5/10)*(O480-MAX(N480,($N$4*5/10)))),0))*1000,0)</f>
        <v>0</v>
      </c>
      <c r="AS480" s="120">
        <f>IF(AND(V480="OK",ISNUMBER($N$5),$N$5&gt;0,ISNUMBER($N$3),$N$3&gt;0),R480/(6*$N$3*1000000*$N$5)*(IF(N480&lt;($N$4*6/10),($N$4*6/10)*(MIN(O480,($N$4*6/10))^3-N480^3)-(MIN(O480,($N$4*6/10))^4-N480^4)/4,0)+IF(O480&gt;($N$4*6/10),($N$4*6/10)^2*(1.5*(O480^2-MAX(N480,($N$4*6/10))^2)-($N$4*6/10)*(O480-MAX(N480,($N$4*6/10)))),0))*1000,0)</f>
        <v>0</v>
      </c>
      <c r="AT480" s="120">
        <f>IF(AND(V480="OK",ISNUMBER($N$5),$N$5&gt;0,ISNUMBER($N$3),$N$3&gt;0),R480/(6*$N$3*1000000*$N$5)*(IF(N480&lt;($N$4*7/10),($N$4*7/10)*(MIN(O480,($N$4*7/10))^3-N480^3)-(MIN(O480,($N$4*7/10))^4-N480^4)/4,0)+IF(O480&gt;($N$4*7/10),($N$4*7/10)^2*(1.5*(O480^2-MAX(N480,($N$4*7/10))^2)-($N$4*7/10)*(O480-MAX(N480,($N$4*7/10)))),0))*1000,0)</f>
        <v>0</v>
      </c>
      <c r="AU480" s="120">
        <f>IF(AND(V480="OK",ISNUMBER($N$5),$N$5&gt;0,ISNUMBER($N$3),$N$3&gt;0),R480/(6*$N$3*1000000*$N$5)*(IF(N480&lt;($N$4*8/10),($N$4*8/10)*(MIN(O480,($N$4*8/10))^3-N480^3)-(MIN(O480,($N$4*8/10))^4-N480^4)/4,0)+IF(O480&gt;($N$4*8/10),($N$4*8/10)^2*(1.5*(O480^2-MAX(N480,($N$4*8/10))^2)-($N$4*8/10)*(O480-MAX(N480,($N$4*8/10)))),0))*1000,0)</f>
        <v>0</v>
      </c>
      <c r="AV480" s="120">
        <f>IF(AND(V480="OK",ISNUMBER($N$5),$N$5&gt;0,ISNUMBER($N$3),$N$3&gt;0),R480/(6*$N$3*1000000*$N$5)*(IF(N480&lt;($N$4*9/10),($N$4*9/10)*(MIN(O480,($N$4*9/10))^3-N480^3)-(MIN(O480,($N$4*9/10))^4-N480^4)/4,0)+IF(O480&gt;($N$4*9/10),($N$4*9/10)^2*(1.5*(O480^2-MAX(N480,($N$4*9/10))^2)-($N$4*9/10)*(O480-MAX(N480,($N$4*9/10)))),0))*1000,0)</f>
        <v>0</v>
      </c>
      <c r="AW480" s="120">
        <f>IF(AND(V480="OK",ISNUMBER($N$5),$N$5&gt;0,ISNUMBER($N$3),$N$3&gt;0),R480/(6*$N$3*1000000*$N$5)*(IF(N480&lt;($N$4*10/10),($N$4*10/10)*(MIN(O480,($N$4*10/10))^3-N480^3)-(MIN(O480,($N$4*10/10))^4-N480^4)/4,0)+IF(O480&gt;($N$4*10/10),($N$4*10/10)^2*(1.5*(O480^2-MAX(N480,($N$4*10/10))^2)-($N$4*10/10)*(O480-MAX(N480,($N$4*10/10)))),0))*1000,0)</f>
        <v>0</v>
      </c>
    </row>
    <row r="481" spans="1:49">
      <c r="A481" s="124"/>
      <c r="B481" s="125"/>
      <c r="C481" s="125"/>
      <c r="D481" s="125"/>
      <c r="E481" s="125"/>
      <c r="F481" s="126" t="str">
        <f>IF(J481="OK",D481*E481,"")</f>
        <v/>
      </c>
      <c r="G481" s="126" t="str">
        <f>IF(J481="OK",F481*(C481-B481),"")</f>
        <v/>
      </c>
      <c r="H481" s="126" t="str">
        <f>IF(J481="OK",G481*(C481+B481)/2,"")</f>
        <v/>
      </c>
      <c r="I481" s="126" t="str">
        <f>IF(AND(J481="OK",ISNUMBER($B$5),$B$5&gt;0,ISNUMBER($B$3),$B$3&gt;0),F481*(4*$B$4*(C481^3-B481^3)-(C481^4-B481^4))/(24*$B$3*1000000*$B$5)*1000,"")</f>
        <v/>
      </c>
      <c r="J481" s="120" t="str">
        <f>IF(COUNTA(A481:E481)=0,"",IF(AND(COUNT(B481:E481)=4,B481&gt;=0,C481&gt;B481,C481&lt;=$B$4,D481&gt;=0,E481&gt;0),IF(COUNTIFS($B$13:$B$480,"&lt;"&amp;C481,$C$13:$C$480,"&gt;"&amp;B481)&gt;0,"OVERLAP","OK"),"CHECK INPUTS"))</f>
        <v/>
      </c>
      <c r="M481" s="124"/>
      <c r="N481" s="125"/>
      <c r="O481" s="125"/>
      <c r="P481" s="125"/>
      <c r="Q481" s="125"/>
      <c r="R481" s="126" t="str">
        <f>IF(V481="OK",P481*Q481,"")</f>
        <v/>
      </c>
      <c r="S481" s="126" t="str">
        <f>IF(V481="OK",R481*(O481-N481),"")</f>
        <v/>
      </c>
      <c r="T481" s="126" t="str">
        <f>IF(V481="OK",S481*(O481+N481)/2,"")</f>
        <v/>
      </c>
      <c r="U481" s="126" t="str">
        <f>IF(AND(V481="OK",ISNUMBER($N$5),$N$5&gt;0,ISNUMBER($N$3),$N$3&gt;0),R481*(4*$N$4*(O481^3-N481^3)-(O481^4-N481^4))/(24*$N$3*1000000*$N$5)*1000,"")</f>
        <v/>
      </c>
      <c r="V481" s="120" t="str">
        <f>IF(COUNTA(M481:Q481)=0,"",IF(AND(COUNT(N481:Q481)=4,N481&gt;=0,O481&gt;N481,O481&lt;=$N$4,P481&gt;=0,Q481&gt;0),IF(COUNTIFS($N$13:$N$480,"&lt;"&amp;O481,$O$13:$O$480,"&gt;"&amp;N481)&gt;0,"OVERLAP","OK"),"CHECK INPUTS"))</f>
        <v/>
      </c>
      <c r="AA481" s="120">
        <f>IF(AND(J481="OK",ISNUMBER($B$5),$B$5&gt;0,ISNUMBER($B$3),$B$3&gt;0),F481/(6*$B$3*1000000*$B$5)*(IF(B481&lt;($B$4*0/10),($B$4*0/10)*(MIN(C481,($B$4*0/10))^3-B481^3)-(MIN(C481,($B$4*0/10))^4-B481^4)/4,0)+IF(C481&gt;($B$4*0/10),($B$4*0/10)^2*(1.5*(C481^2-MAX(B481,($B$4*0/10))^2)-($B$4*0/10)*(C481-MAX(B481,($B$4*0/10)))),0))*1000,0)</f>
        <v>0</v>
      </c>
      <c r="AB481" s="120">
        <f>IF(AND(J481="OK",ISNUMBER($B$5),$B$5&gt;0,ISNUMBER($B$3),$B$3&gt;0),F481/(6*$B$3*1000000*$B$5)*(IF(B481&lt;($B$4*1/10),($B$4*1/10)*(MIN(C481,($B$4*1/10))^3-B481^3)-(MIN(C481,($B$4*1/10))^4-B481^4)/4,0)+IF(C481&gt;($B$4*1/10),($B$4*1/10)^2*(1.5*(C481^2-MAX(B481,($B$4*1/10))^2)-($B$4*1/10)*(C481-MAX(B481,($B$4*1/10)))),0))*1000,0)</f>
        <v>0</v>
      </c>
      <c r="AC481" s="120">
        <f>IF(AND(J481="OK",ISNUMBER($B$5),$B$5&gt;0,ISNUMBER($B$3),$B$3&gt;0),F481/(6*$B$3*1000000*$B$5)*(IF(B481&lt;($B$4*2/10),($B$4*2/10)*(MIN(C481,($B$4*2/10))^3-B481^3)-(MIN(C481,($B$4*2/10))^4-B481^4)/4,0)+IF(C481&gt;($B$4*2/10),($B$4*2/10)^2*(1.5*(C481^2-MAX(B481,($B$4*2/10))^2)-($B$4*2/10)*(C481-MAX(B481,($B$4*2/10)))),0))*1000,0)</f>
        <v>0</v>
      </c>
      <c r="AD481" s="120">
        <f>IF(AND(J481="OK",ISNUMBER($B$5),$B$5&gt;0,ISNUMBER($B$3),$B$3&gt;0),F481/(6*$B$3*1000000*$B$5)*(IF(B481&lt;($B$4*3/10),($B$4*3/10)*(MIN(C481,($B$4*3/10))^3-B481^3)-(MIN(C481,($B$4*3/10))^4-B481^4)/4,0)+IF(C481&gt;($B$4*3/10),($B$4*3/10)^2*(1.5*(C481^2-MAX(B481,($B$4*3/10))^2)-($B$4*3/10)*(C481-MAX(B481,($B$4*3/10)))),0))*1000,0)</f>
        <v>0</v>
      </c>
      <c r="AE481" s="120">
        <f>IF(AND(J481="OK",ISNUMBER($B$5),$B$5&gt;0,ISNUMBER($B$3),$B$3&gt;0),F481/(6*$B$3*1000000*$B$5)*(IF(B481&lt;($B$4*4/10),($B$4*4/10)*(MIN(C481,($B$4*4/10))^3-B481^3)-(MIN(C481,($B$4*4/10))^4-B481^4)/4,0)+IF(C481&gt;($B$4*4/10),($B$4*4/10)^2*(1.5*(C481^2-MAX(B481,($B$4*4/10))^2)-($B$4*4/10)*(C481-MAX(B481,($B$4*4/10)))),0))*1000,0)</f>
        <v>0</v>
      </c>
      <c r="AF481" s="120">
        <f>IF(AND(J481="OK",ISNUMBER($B$5),$B$5&gt;0,ISNUMBER($B$3),$B$3&gt;0),F481/(6*$B$3*1000000*$B$5)*(IF(B481&lt;($B$4*5/10),($B$4*5/10)*(MIN(C481,($B$4*5/10))^3-B481^3)-(MIN(C481,($B$4*5/10))^4-B481^4)/4,0)+IF(C481&gt;($B$4*5/10),($B$4*5/10)^2*(1.5*(C481^2-MAX(B481,($B$4*5/10))^2)-($B$4*5/10)*(C481-MAX(B481,($B$4*5/10)))),0))*1000,0)</f>
        <v>0</v>
      </c>
      <c r="AG481" s="120">
        <f>IF(AND(J481="OK",ISNUMBER($B$5),$B$5&gt;0,ISNUMBER($B$3),$B$3&gt;0),F481/(6*$B$3*1000000*$B$5)*(IF(B481&lt;($B$4*6/10),($B$4*6/10)*(MIN(C481,($B$4*6/10))^3-B481^3)-(MIN(C481,($B$4*6/10))^4-B481^4)/4,0)+IF(C481&gt;($B$4*6/10),($B$4*6/10)^2*(1.5*(C481^2-MAX(B481,($B$4*6/10))^2)-($B$4*6/10)*(C481-MAX(B481,($B$4*6/10)))),0))*1000,0)</f>
        <v>0</v>
      </c>
      <c r="AH481" s="120">
        <f>IF(AND(J481="OK",ISNUMBER($B$5),$B$5&gt;0,ISNUMBER($B$3),$B$3&gt;0),F481/(6*$B$3*1000000*$B$5)*(IF(B481&lt;($B$4*7/10),($B$4*7/10)*(MIN(C481,($B$4*7/10))^3-B481^3)-(MIN(C481,($B$4*7/10))^4-B481^4)/4,0)+IF(C481&gt;($B$4*7/10),($B$4*7/10)^2*(1.5*(C481^2-MAX(B481,($B$4*7/10))^2)-($B$4*7/10)*(C481-MAX(B481,($B$4*7/10)))),0))*1000,0)</f>
        <v>0</v>
      </c>
      <c r="AI481" s="120">
        <f>IF(AND(J481="OK",ISNUMBER($B$5),$B$5&gt;0,ISNUMBER($B$3),$B$3&gt;0),F481/(6*$B$3*1000000*$B$5)*(IF(B481&lt;($B$4*8/10),($B$4*8/10)*(MIN(C481,($B$4*8/10))^3-B481^3)-(MIN(C481,($B$4*8/10))^4-B481^4)/4,0)+IF(C481&gt;($B$4*8/10),($B$4*8/10)^2*(1.5*(C481^2-MAX(B481,($B$4*8/10))^2)-($B$4*8/10)*(C481-MAX(B481,($B$4*8/10)))),0))*1000,0)</f>
        <v>0</v>
      </c>
      <c r="AJ481" s="120">
        <f>IF(AND(J481="OK",ISNUMBER($B$5),$B$5&gt;0,ISNUMBER($B$3),$B$3&gt;0),F481/(6*$B$3*1000000*$B$5)*(IF(B481&lt;($B$4*9/10),($B$4*9/10)*(MIN(C481,($B$4*9/10))^3-B481^3)-(MIN(C481,($B$4*9/10))^4-B481^4)/4,0)+IF(C481&gt;($B$4*9/10),($B$4*9/10)^2*(1.5*(C481^2-MAX(B481,($B$4*9/10))^2)-($B$4*9/10)*(C481-MAX(B481,($B$4*9/10)))),0))*1000,0)</f>
        <v>0</v>
      </c>
      <c r="AK481" s="120">
        <f>IF(AND(J481="OK",ISNUMBER($B$5),$B$5&gt;0,ISNUMBER($B$3),$B$3&gt;0),F481/(6*$B$3*1000000*$B$5)*(IF(B481&lt;($B$4*10/10),($B$4*10/10)*(MIN(C481,($B$4*10/10))^3-B481^3)-(MIN(C481,($B$4*10/10))^4-B481^4)/4,0)+IF(C481&gt;($B$4*10/10),($B$4*10/10)^2*(1.5*(C481^2-MAX(B481,($B$4*10/10))^2)-($B$4*10/10)*(C481-MAX(B481,($B$4*10/10)))),0))*1000,0)</f>
        <v>0</v>
      </c>
      <c r="AM481" s="120">
        <f>IF(AND(V481="OK",ISNUMBER($N$5),$N$5&gt;0,ISNUMBER($N$3),$N$3&gt;0),R481/(6*$N$3*1000000*$N$5)*(IF(N481&lt;($N$4*0/10),($N$4*0/10)*(MIN(O481,($N$4*0/10))^3-N481^3)-(MIN(O481,($N$4*0/10))^4-N481^4)/4,0)+IF(O481&gt;($N$4*0/10),($N$4*0/10)^2*(1.5*(O481^2-MAX(N481,($N$4*0/10))^2)-($N$4*0/10)*(O481-MAX(N481,($N$4*0/10)))),0))*1000,0)</f>
        <v>0</v>
      </c>
      <c r="AN481" s="120">
        <f>IF(AND(V481="OK",ISNUMBER($N$5),$N$5&gt;0,ISNUMBER($N$3),$N$3&gt;0),R481/(6*$N$3*1000000*$N$5)*(IF(N481&lt;($N$4*1/10),($N$4*1/10)*(MIN(O481,($N$4*1/10))^3-N481^3)-(MIN(O481,($N$4*1/10))^4-N481^4)/4,0)+IF(O481&gt;($N$4*1/10),($N$4*1/10)^2*(1.5*(O481^2-MAX(N481,($N$4*1/10))^2)-($N$4*1/10)*(O481-MAX(N481,($N$4*1/10)))),0))*1000,0)</f>
        <v>0</v>
      </c>
      <c r="AO481" s="120">
        <f>IF(AND(V481="OK",ISNUMBER($N$5),$N$5&gt;0,ISNUMBER($N$3),$N$3&gt;0),R481/(6*$N$3*1000000*$N$5)*(IF(N481&lt;($N$4*2/10),($N$4*2/10)*(MIN(O481,($N$4*2/10))^3-N481^3)-(MIN(O481,($N$4*2/10))^4-N481^4)/4,0)+IF(O481&gt;($N$4*2/10),($N$4*2/10)^2*(1.5*(O481^2-MAX(N481,($N$4*2/10))^2)-($N$4*2/10)*(O481-MAX(N481,($N$4*2/10)))),0))*1000,0)</f>
        <v>0</v>
      </c>
      <c r="AP481" s="120">
        <f>IF(AND(V481="OK",ISNUMBER($N$5),$N$5&gt;0,ISNUMBER($N$3),$N$3&gt;0),R481/(6*$N$3*1000000*$N$5)*(IF(N481&lt;($N$4*3/10),($N$4*3/10)*(MIN(O481,($N$4*3/10))^3-N481^3)-(MIN(O481,($N$4*3/10))^4-N481^4)/4,0)+IF(O481&gt;($N$4*3/10),($N$4*3/10)^2*(1.5*(O481^2-MAX(N481,($N$4*3/10))^2)-($N$4*3/10)*(O481-MAX(N481,($N$4*3/10)))),0))*1000,0)</f>
        <v>0</v>
      </c>
      <c r="AQ481" s="120">
        <f>IF(AND(V481="OK",ISNUMBER($N$5),$N$5&gt;0,ISNUMBER($N$3),$N$3&gt;0),R481/(6*$N$3*1000000*$N$5)*(IF(N481&lt;($N$4*4/10),($N$4*4/10)*(MIN(O481,($N$4*4/10))^3-N481^3)-(MIN(O481,($N$4*4/10))^4-N481^4)/4,0)+IF(O481&gt;($N$4*4/10),($N$4*4/10)^2*(1.5*(O481^2-MAX(N481,($N$4*4/10))^2)-($N$4*4/10)*(O481-MAX(N481,($N$4*4/10)))),0))*1000,0)</f>
        <v>0</v>
      </c>
      <c r="AR481" s="120">
        <f>IF(AND(V481="OK",ISNUMBER($N$5),$N$5&gt;0,ISNUMBER($N$3),$N$3&gt;0),R481/(6*$N$3*1000000*$N$5)*(IF(N481&lt;($N$4*5/10),($N$4*5/10)*(MIN(O481,($N$4*5/10))^3-N481^3)-(MIN(O481,($N$4*5/10))^4-N481^4)/4,0)+IF(O481&gt;($N$4*5/10),($N$4*5/10)^2*(1.5*(O481^2-MAX(N481,($N$4*5/10))^2)-($N$4*5/10)*(O481-MAX(N481,($N$4*5/10)))),0))*1000,0)</f>
        <v>0</v>
      </c>
      <c r="AS481" s="120">
        <f>IF(AND(V481="OK",ISNUMBER($N$5),$N$5&gt;0,ISNUMBER($N$3),$N$3&gt;0),R481/(6*$N$3*1000000*$N$5)*(IF(N481&lt;($N$4*6/10),($N$4*6/10)*(MIN(O481,($N$4*6/10))^3-N481^3)-(MIN(O481,($N$4*6/10))^4-N481^4)/4,0)+IF(O481&gt;($N$4*6/10),($N$4*6/10)^2*(1.5*(O481^2-MAX(N481,($N$4*6/10))^2)-($N$4*6/10)*(O481-MAX(N481,($N$4*6/10)))),0))*1000,0)</f>
        <v>0</v>
      </c>
      <c r="AT481" s="120">
        <f>IF(AND(V481="OK",ISNUMBER($N$5),$N$5&gt;0,ISNUMBER($N$3),$N$3&gt;0),R481/(6*$N$3*1000000*$N$5)*(IF(N481&lt;($N$4*7/10),($N$4*7/10)*(MIN(O481,($N$4*7/10))^3-N481^3)-(MIN(O481,($N$4*7/10))^4-N481^4)/4,0)+IF(O481&gt;($N$4*7/10),($N$4*7/10)^2*(1.5*(O481^2-MAX(N481,($N$4*7/10))^2)-($N$4*7/10)*(O481-MAX(N481,($N$4*7/10)))),0))*1000,0)</f>
        <v>0</v>
      </c>
      <c r="AU481" s="120">
        <f>IF(AND(V481="OK",ISNUMBER($N$5),$N$5&gt;0,ISNUMBER($N$3),$N$3&gt;0),R481/(6*$N$3*1000000*$N$5)*(IF(N481&lt;($N$4*8/10),($N$4*8/10)*(MIN(O481,($N$4*8/10))^3-N481^3)-(MIN(O481,($N$4*8/10))^4-N481^4)/4,0)+IF(O481&gt;($N$4*8/10),($N$4*8/10)^2*(1.5*(O481^2-MAX(N481,($N$4*8/10))^2)-($N$4*8/10)*(O481-MAX(N481,($N$4*8/10)))),0))*1000,0)</f>
        <v>0</v>
      </c>
      <c r="AV481" s="120">
        <f>IF(AND(V481="OK",ISNUMBER($N$5),$N$5&gt;0,ISNUMBER($N$3),$N$3&gt;0),R481/(6*$N$3*1000000*$N$5)*(IF(N481&lt;($N$4*9/10),($N$4*9/10)*(MIN(O481,($N$4*9/10))^3-N481^3)-(MIN(O481,($N$4*9/10))^4-N481^4)/4,0)+IF(O481&gt;($N$4*9/10),($N$4*9/10)^2*(1.5*(O481^2-MAX(N481,($N$4*9/10))^2)-($N$4*9/10)*(O481-MAX(N481,($N$4*9/10)))),0))*1000,0)</f>
        <v>0</v>
      </c>
      <c r="AW481" s="120">
        <f>IF(AND(V481="OK",ISNUMBER($N$5),$N$5&gt;0,ISNUMBER($N$3),$N$3&gt;0),R481/(6*$N$3*1000000*$N$5)*(IF(N481&lt;($N$4*10/10),($N$4*10/10)*(MIN(O481,($N$4*10/10))^3-N481^3)-(MIN(O481,($N$4*10/10))^4-N481^4)/4,0)+IF(O481&gt;($N$4*10/10),($N$4*10/10)^2*(1.5*(O481^2-MAX(N481,($N$4*10/10))^2)-($N$4*10/10)*(O481-MAX(N481,($N$4*10/10)))),0))*1000,0)</f>
        <v>0</v>
      </c>
    </row>
    <row r="482" spans="1:49">
      <c r="A482" s="124"/>
      <c r="B482" s="125"/>
      <c r="C482" s="125"/>
      <c r="D482" s="125"/>
      <c r="E482" s="125"/>
      <c r="F482" s="126" t="str">
        <f>IF(J482="OK",D482*E482,"")</f>
        <v/>
      </c>
      <c r="G482" s="126" t="str">
        <f>IF(J482="OK",F482*(C482-B482),"")</f>
        <v/>
      </c>
      <c r="H482" s="126" t="str">
        <f>IF(J482="OK",G482*(C482+B482)/2,"")</f>
        <v/>
      </c>
      <c r="I482" s="126" t="str">
        <f>IF(AND(J482="OK",ISNUMBER($B$5),$B$5&gt;0,ISNUMBER($B$3),$B$3&gt;0),F482*(4*$B$4*(C482^3-B482^3)-(C482^4-B482^4))/(24*$B$3*1000000*$B$5)*1000,"")</f>
        <v/>
      </c>
      <c r="J482" s="120" t="str">
        <f>IF(COUNTA(A482:E482)=0,"",IF(AND(COUNT(B482:E482)=4,B482&gt;=0,C482&gt;B482,C482&lt;=$B$4,D482&gt;=0,E482&gt;0),IF(COUNTIFS($B$13:$B$481,"&lt;"&amp;C482,$C$13:$C$481,"&gt;"&amp;B482)&gt;0,"OVERLAP","OK"),"CHECK INPUTS"))</f>
        <v/>
      </c>
      <c r="M482" s="124"/>
      <c r="N482" s="125"/>
      <c r="O482" s="125"/>
      <c r="P482" s="125"/>
      <c r="Q482" s="125"/>
      <c r="R482" s="126" t="str">
        <f>IF(V482="OK",P482*Q482,"")</f>
        <v/>
      </c>
      <c r="S482" s="126" t="str">
        <f>IF(V482="OK",R482*(O482-N482),"")</f>
        <v/>
      </c>
      <c r="T482" s="126" t="str">
        <f>IF(V482="OK",S482*(O482+N482)/2,"")</f>
        <v/>
      </c>
      <c r="U482" s="126" t="str">
        <f>IF(AND(V482="OK",ISNUMBER($N$5),$N$5&gt;0,ISNUMBER($N$3),$N$3&gt;0),R482*(4*$N$4*(O482^3-N482^3)-(O482^4-N482^4))/(24*$N$3*1000000*$N$5)*1000,"")</f>
        <v/>
      </c>
      <c r="V482" s="120" t="str">
        <f>IF(COUNTA(M482:Q482)=0,"",IF(AND(COUNT(N482:Q482)=4,N482&gt;=0,O482&gt;N482,O482&lt;=$N$4,P482&gt;=0,Q482&gt;0),IF(COUNTIFS($N$13:$N$481,"&lt;"&amp;O482,$O$13:$O$481,"&gt;"&amp;N482)&gt;0,"OVERLAP","OK"),"CHECK INPUTS"))</f>
        <v/>
      </c>
      <c r="AA482" s="120">
        <f>IF(AND(J482="OK",ISNUMBER($B$5),$B$5&gt;0,ISNUMBER($B$3),$B$3&gt;0),F482/(6*$B$3*1000000*$B$5)*(IF(B482&lt;($B$4*0/10),($B$4*0/10)*(MIN(C482,($B$4*0/10))^3-B482^3)-(MIN(C482,($B$4*0/10))^4-B482^4)/4,0)+IF(C482&gt;($B$4*0/10),($B$4*0/10)^2*(1.5*(C482^2-MAX(B482,($B$4*0/10))^2)-($B$4*0/10)*(C482-MAX(B482,($B$4*0/10)))),0))*1000,0)</f>
        <v>0</v>
      </c>
      <c r="AB482" s="120">
        <f>IF(AND(J482="OK",ISNUMBER($B$5),$B$5&gt;0,ISNUMBER($B$3),$B$3&gt;0),F482/(6*$B$3*1000000*$B$5)*(IF(B482&lt;($B$4*1/10),($B$4*1/10)*(MIN(C482,($B$4*1/10))^3-B482^3)-(MIN(C482,($B$4*1/10))^4-B482^4)/4,0)+IF(C482&gt;($B$4*1/10),($B$4*1/10)^2*(1.5*(C482^2-MAX(B482,($B$4*1/10))^2)-($B$4*1/10)*(C482-MAX(B482,($B$4*1/10)))),0))*1000,0)</f>
        <v>0</v>
      </c>
      <c r="AC482" s="120">
        <f>IF(AND(J482="OK",ISNUMBER($B$5),$B$5&gt;0,ISNUMBER($B$3),$B$3&gt;0),F482/(6*$B$3*1000000*$B$5)*(IF(B482&lt;($B$4*2/10),($B$4*2/10)*(MIN(C482,($B$4*2/10))^3-B482^3)-(MIN(C482,($B$4*2/10))^4-B482^4)/4,0)+IF(C482&gt;($B$4*2/10),($B$4*2/10)^2*(1.5*(C482^2-MAX(B482,($B$4*2/10))^2)-($B$4*2/10)*(C482-MAX(B482,($B$4*2/10)))),0))*1000,0)</f>
        <v>0</v>
      </c>
      <c r="AD482" s="120">
        <f>IF(AND(J482="OK",ISNUMBER($B$5),$B$5&gt;0,ISNUMBER($B$3),$B$3&gt;0),F482/(6*$B$3*1000000*$B$5)*(IF(B482&lt;($B$4*3/10),($B$4*3/10)*(MIN(C482,($B$4*3/10))^3-B482^3)-(MIN(C482,($B$4*3/10))^4-B482^4)/4,0)+IF(C482&gt;($B$4*3/10),($B$4*3/10)^2*(1.5*(C482^2-MAX(B482,($B$4*3/10))^2)-($B$4*3/10)*(C482-MAX(B482,($B$4*3/10)))),0))*1000,0)</f>
        <v>0</v>
      </c>
      <c r="AE482" s="120">
        <f>IF(AND(J482="OK",ISNUMBER($B$5),$B$5&gt;0,ISNUMBER($B$3),$B$3&gt;0),F482/(6*$B$3*1000000*$B$5)*(IF(B482&lt;($B$4*4/10),($B$4*4/10)*(MIN(C482,($B$4*4/10))^3-B482^3)-(MIN(C482,($B$4*4/10))^4-B482^4)/4,0)+IF(C482&gt;($B$4*4/10),($B$4*4/10)^2*(1.5*(C482^2-MAX(B482,($B$4*4/10))^2)-($B$4*4/10)*(C482-MAX(B482,($B$4*4/10)))),0))*1000,0)</f>
        <v>0</v>
      </c>
      <c r="AF482" s="120">
        <f>IF(AND(J482="OK",ISNUMBER($B$5),$B$5&gt;0,ISNUMBER($B$3),$B$3&gt;0),F482/(6*$B$3*1000000*$B$5)*(IF(B482&lt;($B$4*5/10),($B$4*5/10)*(MIN(C482,($B$4*5/10))^3-B482^3)-(MIN(C482,($B$4*5/10))^4-B482^4)/4,0)+IF(C482&gt;($B$4*5/10),($B$4*5/10)^2*(1.5*(C482^2-MAX(B482,($B$4*5/10))^2)-($B$4*5/10)*(C482-MAX(B482,($B$4*5/10)))),0))*1000,0)</f>
        <v>0</v>
      </c>
      <c r="AG482" s="120">
        <f>IF(AND(J482="OK",ISNUMBER($B$5),$B$5&gt;0,ISNUMBER($B$3),$B$3&gt;0),F482/(6*$B$3*1000000*$B$5)*(IF(B482&lt;($B$4*6/10),($B$4*6/10)*(MIN(C482,($B$4*6/10))^3-B482^3)-(MIN(C482,($B$4*6/10))^4-B482^4)/4,0)+IF(C482&gt;($B$4*6/10),($B$4*6/10)^2*(1.5*(C482^2-MAX(B482,($B$4*6/10))^2)-($B$4*6/10)*(C482-MAX(B482,($B$4*6/10)))),0))*1000,0)</f>
        <v>0</v>
      </c>
      <c r="AH482" s="120">
        <f>IF(AND(J482="OK",ISNUMBER($B$5),$B$5&gt;0,ISNUMBER($B$3),$B$3&gt;0),F482/(6*$B$3*1000000*$B$5)*(IF(B482&lt;($B$4*7/10),($B$4*7/10)*(MIN(C482,($B$4*7/10))^3-B482^3)-(MIN(C482,($B$4*7/10))^4-B482^4)/4,0)+IF(C482&gt;($B$4*7/10),($B$4*7/10)^2*(1.5*(C482^2-MAX(B482,($B$4*7/10))^2)-($B$4*7/10)*(C482-MAX(B482,($B$4*7/10)))),0))*1000,0)</f>
        <v>0</v>
      </c>
      <c r="AI482" s="120">
        <f>IF(AND(J482="OK",ISNUMBER($B$5),$B$5&gt;0,ISNUMBER($B$3),$B$3&gt;0),F482/(6*$B$3*1000000*$B$5)*(IF(B482&lt;($B$4*8/10),($B$4*8/10)*(MIN(C482,($B$4*8/10))^3-B482^3)-(MIN(C482,($B$4*8/10))^4-B482^4)/4,0)+IF(C482&gt;($B$4*8/10),($B$4*8/10)^2*(1.5*(C482^2-MAX(B482,($B$4*8/10))^2)-($B$4*8/10)*(C482-MAX(B482,($B$4*8/10)))),0))*1000,0)</f>
        <v>0</v>
      </c>
      <c r="AJ482" s="120">
        <f>IF(AND(J482="OK",ISNUMBER($B$5),$B$5&gt;0,ISNUMBER($B$3),$B$3&gt;0),F482/(6*$B$3*1000000*$B$5)*(IF(B482&lt;($B$4*9/10),($B$4*9/10)*(MIN(C482,($B$4*9/10))^3-B482^3)-(MIN(C482,($B$4*9/10))^4-B482^4)/4,0)+IF(C482&gt;($B$4*9/10),($B$4*9/10)^2*(1.5*(C482^2-MAX(B482,($B$4*9/10))^2)-($B$4*9/10)*(C482-MAX(B482,($B$4*9/10)))),0))*1000,0)</f>
        <v>0</v>
      </c>
      <c r="AK482" s="120">
        <f>IF(AND(J482="OK",ISNUMBER($B$5),$B$5&gt;0,ISNUMBER($B$3),$B$3&gt;0),F482/(6*$B$3*1000000*$B$5)*(IF(B482&lt;($B$4*10/10),($B$4*10/10)*(MIN(C482,($B$4*10/10))^3-B482^3)-(MIN(C482,($B$4*10/10))^4-B482^4)/4,0)+IF(C482&gt;($B$4*10/10),($B$4*10/10)^2*(1.5*(C482^2-MAX(B482,($B$4*10/10))^2)-($B$4*10/10)*(C482-MAX(B482,($B$4*10/10)))),0))*1000,0)</f>
        <v>0</v>
      </c>
      <c r="AM482" s="120">
        <f>IF(AND(V482="OK",ISNUMBER($N$5),$N$5&gt;0,ISNUMBER($N$3),$N$3&gt;0),R482/(6*$N$3*1000000*$N$5)*(IF(N482&lt;($N$4*0/10),($N$4*0/10)*(MIN(O482,($N$4*0/10))^3-N482^3)-(MIN(O482,($N$4*0/10))^4-N482^4)/4,0)+IF(O482&gt;($N$4*0/10),($N$4*0/10)^2*(1.5*(O482^2-MAX(N482,($N$4*0/10))^2)-($N$4*0/10)*(O482-MAX(N482,($N$4*0/10)))),0))*1000,0)</f>
        <v>0</v>
      </c>
      <c r="AN482" s="120">
        <f>IF(AND(V482="OK",ISNUMBER($N$5),$N$5&gt;0,ISNUMBER($N$3),$N$3&gt;0),R482/(6*$N$3*1000000*$N$5)*(IF(N482&lt;($N$4*1/10),($N$4*1/10)*(MIN(O482,($N$4*1/10))^3-N482^3)-(MIN(O482,($N$4*1/10))^4-N482^4)/4,0)+IF(O482&gt;($N$4*1/10),($N$4*1/10)^2*(1.5*(O482^2-MAX(N482,($N$4*1/10))^2)-($N$4*1/10)*(O482-MAX(N482,($N$4*1/10)))),0))*1000,0)</f>
        <v>0</v>
      </c>
      <c r="AO482" s="120">
        <f>IF(AND(V482="OK",ISNUMBER($N$5),$N$5&gt;0,ISNUMBER($N$3),$N$3&gt;0),R482/(6*$N$3*1000000*$N$5)*(IF(N482&lt;($N$4*2/10),($N$4*2/10)*(MIN(O482,($N$4*2/10))^3-N482^3)-(MIN(O482,($N$4*2/10))^4-N482^4)/4,0)+IF(O482&gt;($N$4*2/10),($N$4*2/10)^2*(1.5*(O482^2-MAX(N482,($N$4*2/10))^2)-($N$4*2/10)*(O482-MAX(N482,($N$4*2/10)))),0))*1000,0)</f>
        <v>0</v>
      </c>
      <c r="AP482" s="120">
        <f>IF(AND(V482="OK",ISNUMBER($N$5),$N$5&gt;0,ISNUMBER($N$3),$N$3&gt;0),R482/(6*$N$3*1000000*$N$5)*(IF(N482&lt;($N$4*3/10),($N$4*3/10)*(MIN(O482,($N$4*3/10))^3-N482^3)-(MIN(O482,($N$4*3/10))^4-N482^4)/4,0)+IF(O482&gt;($N$4*3/10),($N$4*3/10)^2*(1.5*(O482^2-MAX(N482,($N$4*3/10))^2)-($N$4*3/10)*(O482-MAX(N482,($N$4*3/10)))),0))*1000,0)</f>
        <v>0</v>
      </c>
      <c r="AQ482" s="120">
        <f>IF(AND(V482="OK",ISNUMBER($N$5),$N$5&gt;0,ISNUMBER($N$3),$N$3&gt;0),R482/(6*$N$3*1000000*$N$5)*(IF(N482&lt;($N$4*4/10),($N$4*4/10)*(MIN(O482,($N$4*4/10))^3-N482^3)-(MIN(O482,($N$4*4/10))^4-N482^4)/4,0)+IF(O482&gt;($N$4*4/10),($N$4*4/10)^2*(1.5*(O482^2-MAX(N482,($N$4*4/10))^2)-($N$4*4/10)*(O482-MAX(N482,($N$4*4/10)))),0))*1000,0)</f>
        <v>0</v>
      </c>
      <c r="AR482" s="120">
        <f>IF(AND(V482="OK",ISNUMBER($N$5),$N$5&gt;0,ISNUMBER($N$3),$N$3&gt;0),R482/(6*$N$3*1000000*$N$5)*(IF(N482&lt;($N$4*5/10),($N$4*5/10)*(MIN(O482,($N$4*5/10))^3-N482^3)-(MIN(O482,($N$4*5/10))^4-N482^4)/4,0)+IF(O482&gt;($N$4*5/10),($N$4*5/10)^2*(1.5*(O482^2-MAX(N482,($N$4*5/10))^2)-($N$4*5/10)*(O482-MAX(N482,($N$4*5/10)))),0))*1000,0)</f>
        <v>0</v>
      </c>
      <c r="AS482" s="120">
        <f>IF(AND(V482="OK",ISNUMBER($N$5),$N$5&gt;0,ISNUMBER($N$3),$N$3&gt;0),R482/(6*$N$3*1000000*$N$5)*(IF(N482&lt;($N$4*6/10),($N$4*6/10)*(MIN(O482,($N$4*6/10))^3-N482^3)-(MIN(O482,($N$4*6/10))^4-N482^4)/4,0)+IF(O482&gt;($N$4*6/10),($N$4*6/10)^2*(1.5*(O482^2-MAX(N482,($N$4*6/10))^2)-($N$4*6/10)*(O482-MAX(N482,($N$4*6/10)))),0))*1000,0)</f>
        <v>0</v>
      </c>
      <c r="AT482" s="120">
        <f>IF(AND(V482="OK",ISNUMBER($N$5),$N$5&gt;0,ISNUMBER($N$3),$N$3&gt;0),R482/(6*$N$3*1000000*$N$5)*(IF(N482&lt;($N$4*7/10),($N$4*7/10)*(MIN(O482,($N$4*7/10))^3-N482^3)-(MIN(O482,($N$4*7/10))^4-N482^4)/4,0)+IF(O482&gt;($N$4*7/10),($N$4*7/10)^2*(1.5*(O482^2-MAX(N482,($N$4*7/10))^2)-($N$4*7/10)*(O482-MAX(N482,($N$4*7/10)))),0))*1000,0)</f>
        <v>0</v>
      </c>
      <c r="AU482" s="120">
        <f>IF(AND(V482="OK",ISNUMBER($N$5),$N$5&gt;0,ISNUMBER($N$3),$N$3&gt;0),R482/(6*$N$3*1000000*$N$5)*(IF(N482&lt;($N$4*8/10),($N$4*8/10)*(MIN(O482,($N$4*8/10))^3-N482^3)-(MIN(O482,($N$4*8/10))^4-N482^4)/4,0)+IF(O482&gt;($N$4*8/10),($N$4*8/10)^2*(1.5*(O482^2-MAX(N482,($N$4*8/10))^2)-($N$4*8/10)*(O482-MAX(N482,($N$4*8/10)))),0))*1000,0)</f>
        <v>0</v>
      </c>
      <c r="AV482" s="120">
        <f>IF(AND(V482="OK",ISNUMBER($N$5),$N$5&gt;0,ISNUMBER($N$3),$N$3&gt;0),R482/(6*$N$3*1000000*$N$5)*(IF(N482&lt;($N$4*9/10),($N$4*9/10)*(MIN(O482,($N$4*9/10))^3-N482^3)-(MIN(O482,($N$4*9/10))^4-N482^4)/4,0)+IF(O482&gt;($N$4*9/10),($N$4*9/10)^2*(1.5*(O482^2-MAX(N482,($N$4*9/10))^2)-($N$4*9/10)*(O482-MAX(N482,($N$4*9/10)))),0))*1000,0)</f>
        <v>0</v>
      </c>
      <c r="AW482" s="120">
        <f>IF(AND(V482="OK",ISNUMBER($N$5),$N$5&gt;0,ISNUMBER($N$3),$N$3&gt;0),R482/(6*$N$3*1000000*$N$5)*(IF(N482&lt;($N$4*10/10),($N$4*10/10)*(MIN(O482,($N$4*10/10))^3-N482^3)-(MIN(O482,($N$4*10/10))^4-N482^4)/4,0)+IF(O482&gt;($N$4*10/10),($N$4*10/10)^2*(1.5*(O482^2-MAX(N482,($N$4*10/10))^2)-($N$4*10/10)*(O482-MAX(N482,($N$4*10/10)))),0))*1000,0)</f>
        <v>0</v>
      </c>
    </row>
    <row r="483" spans="1:49">
      <c r="A483" s="124"/>
      <c r="B483" s="125"/>
      <c r="C483" s="125"/>
      <c r="D483" s="125"/>
      <c r="E483" s="125"/>
      <c r="F483" s="126" t="str">
        <f>IF(J483="OK",D483*E483,"")</f>
        <v/>
      </c>
      <c r="G483" s="126" t="str">
        <f>IF(J483="OK",F483*(C483-B483),"")</f>
        <v/>
      </c>
      <c r="H483" s="126" t="str">
        <f>IF(J483="OK",G483*(C483+B483)/2,"")</f>
        <v/>
      </c>
      <c r="I483" s="126" t="str">
        <f>IF(AND(J483="OK",ISNUMBER($B$5),$B$5&gt;0,ISNUMBER($B$3),$B$3&gt;0),F483*(4*$B$4*(C483^3-B483^3)-(C483^4-B483^4))/(24*$B$3*1000000*$B$5)*1000,"")</f>
        <v/>
      </c>
      <c r="J483" s="120" t="str">
        <f>IF(COUNTA(A483:E483)=0,"",IF(AND(COUNT(B483:E483)=4,B483&gt;=0,C483&gt;B483,C483&lt;=$B$4,D483&gt;=0,E483&gt;0),IF(COUNTIFS($B$13:$B$482,"&lt;"&amp;C483,$C$13:$C$482,"&gt;"&amp;B483)&gt;0,"OVERLAP","OK"),"CHECK INPUTS"))</f>
        <v/>
      </c>
      <c r="M483" s="124"/>
      <c r="N483" s="125"/>
      <c r="O483" s="125"/>
      <c r="P483" s="125"/>
      <c r="Q483" s="125"/>
      <c r="R483" s="126" t="str">
        <f>IF(V483="OK",P483*Q483,"")</f>
        <v/>
      </c>
      <c r="S483" s="126" t="str">
        <f>IF(V483="OK",R483*(O483-N483),"")</f>
        <v/>
      </c>
      <c r="T483" s="126" t="str">
        <f>IF(V483="OK",S483*(O483+N483)/2,"")</f>
        <v/>
      </c>
      <c r="U483" s="126" t="str">
        <f>IF(AND(V483="OK",ISNUMBER($N$5),$N$5&gt;0,ISNUMBER($N$3),$N$3&gt;0),R483*(4*$N$4*(O483^3-N483^3)-(O483^4-N483^4))/(24*$N$3*1000000*$N$5)*1000,"")</f>
        <v/>
      </c>
      <c r="V483" s="120" t="str">
        <f>IF(COUNTA(M483:Q483)=0,"",IF(AND(COUNT(N483:Q483)=4,N483&gt;=0,O483&gt;N483,O483&lt;=$N$4,P483&gt;=0,Q483&gt;0),IF(COUNTIFS($N$13:$N$482,"&lt;"&amp;O483,$O$13:$O$482,"&gt;"&amp;N483)&gt;0,"OVERLAP","OK"),"CHECK INPUTS"))</f>
        <v/>
      </c>
      <c r="AA483" s="120">
        <f>IF(AND(J483="OK",ISNUMBER($B$5),$B$5&gt;0,ISNUMBER($B$3),$B$3&gt;0),F483/(6*$B$3*1000000*$B$5)*(IF(B483&lt;($B$4*0/10),($B$4*0/10)*(MIN(C483,($B$4*0/10))^3-B483^3)-(MIN(C483,($B$4*0/10))^4-B483^4)/4,0)+IF(C483&gt;($B$4*0/10),($B$4*0/10)^2*(1.5*(C483^2-MAX(B483,($B$4*0/10))^2)-($B$4*0/10)*(C483-MAX(B483,($B$4*0/10)))),0))*1000,0)</f>
        <v>0</v>
      </c>
      <c r="AB483" s="120">
        <f>IF(AND(J483="OK",ISNUMBER($B$5),$B$5&gt;0,ISNUMBER($B$3),$B$3&gt;0),F483/(6*$B$3*1000000*$B$5)*(IF(B483&lt;($B$4*1/10),($B$4*1/10)*(MIN(C483,($B$4*1/10))^3-B483^3)-(MIN(C483,($B$4*1/10))^4-B483^4)/4,0)+IF(C483&gt;($B$4*1/10),($B$4*1/10)^2*(1.5*(C483^2-MAX(B483,($B$4*1/10))^2)-($B$4*1/10)*(C483-MAX(B483,($B$4*1/10)))),0))*1000,0)</f>
        <v>0</v>
      </c>
      <c r="AC483" s="120">
        <f>IF(AND(J483="OK",ISNUMBER($B$5),$B$5&gt;0,ISNUMBER($B$3),$B$3&gt;0),F483/(6*$B$3*1000000*$B$5)*(IF(B483&lt;($B$4*2/10),($B$4*2/10)*(MIN(C483,($B$4*2/10))^3-B483^3)-(MIN(C483,($B$4*2/10))^4-B483^4)/4,0)+IF(C483&gt;($B$4*2/10),($B$4*2/10)^2*(1.5*(C483^2-MAX(B483,($B$4*2/10))^2)-($B$4*2/10)*(C483-MAX(B483,($B$4*2/10)))),0))*1000,0)</f>
        <v>0</v>
      </c>
      <c r="AD483" s="120">
        <f>IF(AND(J483="OK",ISNUMBER($B$5),$B$5&gt;0,ISNUMBER($B$3),$B$3&gt;0),F483/(6*$B$3*1000000*$B$5)*(IF(B483&lt;($B$4*3/10),($B$4*3/10)*(MIN(C483,($B$4*3/10))^3-B483^3)-(MIN(C483,($B$4*3/10))^4-B483^4)/4,0)+IF(C483&gt;($B$4*3/10),($B$4*3/10)^2*(1.5*(C483^2-MAX(B483,($B$4*3/10))^2)-($B$4*3/10)*(C483-MAX(B483,($B$4*3/10)))),0))*1000,0)</f>
        <v>0</v>
      </c>
      <c r="AE483" s="120">
        <f>IF(AND(J483="OK",ISNUMBER($B$5),$B$5&gt;0,ISNUMBER($B$3),$B$3&gt;0),F483/(6*$B$3*1000000*$B$5)*(IF(B483&lt;($B$4*4/10),($B$4*4/10)*(MIN(C483,($B$4*4/10))^3-B483^3)-(MIN(C483,($B$4*4/10))^4-B483^4)/4,0)+IF(C483&gt;($B$4*4/10),($B$4*4/10)^2*(1.5*(C483^2-MAX(B483,($B$4*4/10))^2)-($B$4*4/10)*(C483-MAX(B483,($B$4*4/10)))),0))*1000,0)</f>
        <v>0</v>
      </c>
      <c r="AF483" s="120">
        <f>IF(AND(J483="OK",ISNUMBER($B$5),$B$5&gt;0,ISNUMBER($B$3),$B$3&gt;0),F483/(6*$B$3*1000000*$B$5)*(IF(B483&lt;($B$4*5/10),($B$4*5/10)*(MIN(C483,($B$4*5/10))^3-B483^3)-(MIN(C483,($B$4*5/10))^4-B483^4)/4,0)+IF(C483&gt;($B$4*5/10),($B$4*5/10)^2*(1.5*(C483^2-MAX(B483,($B$4*5/10))^2)-($B$4*5/10)*(C483-MAX(B483,($B$4*5/10)))),0))*1000,0)</f>
        <v>0</v>
      </c>
      <c r="AG483" s="120">
        <f>IF(AND(J483="OK",ISNUMBER($B$5),$B$5&gt;0,ISNUMBER($B$3),$B$3&gt;0),F483/(6*$B$3*1000000*$B$5)*(IF(B483&lt;($B$4*6/10),($B$4*6/10)*(MIN(C483,($B$4*6/10))^3-B483^3)-(MIN(C483,($B$4*6/10))^4-B483^4)/4,0)+IF(C483&gt;($B$4*6/10),($B$4*6/10)^2*(1.5*(C483^2-MAX(B483,($B$4*6/10))^2)-($B$4*6/10)*(C483-MAX(B483,($B$4*6/10)))),0))*1000,0)</f>
        <v>0</v>
      </c>
      <c r="AH483" s="120">
        <f>IF(AND(J483="OK",ISNUMBER($B$5),$B$5&gt;0,ISNUMBER($B$3),$B$3&gt;0),F483/(6*$B$3*1000000*$B$5)*(IF(B483&lt;($B$4*7/10),($B$4*7/10)*(MIN(C483,($B$4*7/10))^3-B483^3)-(MIN(C483,($B$4*7/10))^4-B483^4)/4,0)+IF(C483&gt;($B$4*7/10),($B$4*7/10)^2*(1.5*(C483^2-MAX(B483,($B$4*7/10))^2)-($B$4*7/10)*(C483-MAX(B483,($B$4*7/10)))),0))*1000,0)</f>
        <v>0</v>
      </c>
      <c r="AI483" s="120">
        <f>IF(AND(J483="OK",ISNUMBER($B$5),$B$5&gt;0,ISNUMBER($B$3),$B$3&gt;0),F483/(6*$B$3*1000000*$B$5)*(IF(B483&lt;($B$4*8/10),($B$4*8/10)*(MIN(C483,($B$4*8/10))^3-B483^3)-(MIN(C483,($B$4*8/10))^4-B483^4)/4,0)+IF(C483&gt;($B$4*8/10),($B$4*8/10)^2*(1.5*(C483^2-MAX(B483,($B$4*8/10))^2)-($B$4*8/10)*(C483-MAX(B483,($B$4*8/10)))),0))*1000,0)</f>
        <v>0</v>
      </c>
      <c r="AJ483" s="120">
        <f>IF(AND(J483="OK",ISNUMBER($B$5),$B$5&gt;0,ISNUMBER($B$3),$B$3&gt;0),F483/(6*$B$3*1000000*$B$5)*(IF(B483&lt;($B$4*9/10),($B$4*9/10)*(MIN(C483,($B$4*9/10))^3-B483^3)-(MIN(C483,($B$4*9/10))^4-B483^4)/4,0)+IF(C483&gt;($B$4*9/10),($B$4*9/10)^2*(1.5*(C483^2-MAX(B483,($B$4*9/10))^2)-($B$4*9/10)*(C483-MAX(B483,($B$4*9/10)))),0))*1000,0)</f>
        <v>0</v>
      </c>
      <c r="AK483" s="120">
        <f>IF(AND(J483="OK",ISNUMBER($B$5),$B$5&gt;0,ISNUMBER($B$3),$B$3&gt;0),F483/(6*$B$3*1000000*$B$5)*(IF(B483&lt;($B$4*10/10),($B$4*10/10)*(MIN(C483,($B$4*10/10))^3-B483^3)-(MIN(C483,($B$4*10/10))^4-B483^4)/4,0)+IF(C483&gt;($B$4*10/10),($B$4*10/10)^2*(1.5*(C483^2-MAX(B483,($B$4*10/10))^2)-($B$4*10/10)*(C483-MAX(B483,($B$4*10/10)))),0))*1000,0)</f>
        <v>0</v>
      </c>
      <c r="AM483" s="120">
        <f>IF(AND(V483="OK",ISNUMBER($N$5),$N$5&gt;0,ISNUMBER($N$3),$N$3&gt;0),R483/(6*$N$3*1000000*$N$5)*(IF(N483&lt;($N$4*0/10),($N$4*0/10)*(MIN(O483,($N$4*0/10))^3-N483^3)-(MIN(O483,($N$4*0/10))^4-N483^4)/4,0)+IF(O483&gt;($N$4*0/10),($N$4*0/10)^2*(1.5*(O483^2-MAX(N483,($N$4*0/10))^2)-($N$4*0/10)*(O483-MAX(N483,($N$4*0/10)))),0))*1000,0)</f>
        <v>0</v>
      </c>
      <c r="AN483" s="120">
        <f>IF(AND(V483="OK",ISNUMBER($N$5),$N$5&gt;0,ISNUMBER($N$3),$N$3&gt;0),R483/(6*$N$3*1000000*$N$5)*(IF(N483&lt;($N$4*1/10),($N$4*1/10)*(MIN(O483,($N$4*1/10))^3-N483^3)-(MIN(O483,($N$4*1/10))^4-N483^4)/4,0)+IF(O483&gt;($N$4*1/10),($N$4*1/10)^2*(1.5*(O483^2-MAX(N483,($N$4*1/10))^2)-($N$4*1/10)*(O483-MAX(N483,($N$4*1/10)))),0))*1000,0)</f>
        <v>0</v>
      </c>
      <c r="AO483" s="120">
        <f>IF(AND(V483="OK",ISNUMBER($N$5),$N$5&gt;0,ISNUMBER($N$3),$N$3&gt;0),R483/(6*$N$3*1000000*$N$5)*(IF(N483&lt;($N$4*2/10),($N$4*2/10)*(MIN(O483,($N$4*2/10))^3-N483^3)-(MIN(O483,($N$4*2/10))^4-N483^4)/4,0)+IF(O483&gt;($N$4*2/10),($N$4*2/10)^2*(1.5*(O483^2-MAX(N483,($N$4*2/10))^2)-($N$4*2/10)*(O483-MAX(N483,($N$4*2/10)))),0))*1000,0)</f>
        <v>0</v>
      </c>
      <c r="AP483" s="120">
        <f>IF(AND(V483="OK",ISNUMBER($N$5),$N$5&gt;0,ISNUMBER($N$3),$N$3&gt;0),R483/(6*$N$3*1000000*$N$5)*(IF(N483&lt;($N$4*3/10),($N$4*3/10)*(MIN(O483,($N$4*3/10))^3-N483^3)-(MIN(O483,($N$4*3/10))^4-N483^4)/4,0)+IF(O483&gt;($N$4*3/10),($N$4*3/10)^2*(1.5*(O483^2-MAX(N483,($N$4*3/10))^2)-($N$4*3/10)*(O483-MAX(N483,($N$4*3/10)))),0))*1000,0)</f>
        <v>0</v>
      </c>
      <c r="AQ483" s="120">
        <f>IF(AND(V483="OK",ISNUMBER($N$5),$N$5&gt;0,ISNUMBER($N$3),$N$3&gt;0),R483/(6*$N$3*1000000*$N$5)*(IF(N483&lt;($N$4*4/10),($N$4*4/10)*(MIN(O483,($N$4*4/10))^3-N483^3)-(MIN(O483,($N$4*4/10))^4-N483^4)/4,0)+IF(O483&gt;($N$4*4/10),($N$4*4/10)^2*(1.5*(O483^2-MAX(N483,($N$4*4/10))^2)-($N$4*4/10)*(O483-MAX(N483,($N$4*4/10)))),0))*1000,0)</f>
        <v>0</v>
      </c>
      <c r="AR483" s="120">
        <f>IF(AND(V483="OK",ISNUMBER($N$5),$N$5&gt;0,ISNUMBER($N$3),$N$3&gt;0),R483/(6*$N$3*1000000*$N$5)*(IF(N483&lt;($N$4*5/10),($N$4*5/10)*(MIN(O483,($N$4*5/10))^3-N483^3)-(MIN(O483,($N$4*5/10))^4-N483^4)/4,0)+IF(O483&gt;($N$4*5/10),($N$4*5/10)^2*(1.5*(O483^2-MAX(N483,($N$4*5/10))^2)-($N$4*5/10)*(O483-MAX(N483,($N$4*5/10)))),0))*1000,0)</f>
        <v>0</v>
      </c>
      <c r="AS483" s="120">
        <f>IF(AND(V483="OK",ISNUMBER($N$5),$N$5&gt;0,ISNUMBER($N$3),$N$3&gt;0),R483/(6*$N$3*1000000*$N$5)*(IF(N483&lt;($N$4*6/10),($N$4*6/10)*(MIN(O483,($N$4*6/10))^3-N483^3)-(MIN(O483,($N$4*6/10))^4-N483^4)/4,0)+IF(O483&gt;($N$4*6/10),($N$4*6/10)^2*(1.5*(O483^2-MAX(N483,($N$4*6/10))^2)-($N$4*6/10)*(O483-MAX(N483,($N$4*6/10)))),0))*1000,0)</f>
        <v>0</v>
      </c>
      <c r="AT483" s="120">
        <f>IF(AND(V483="OK",ISNUMBER($N$5),$N$5&gt;0,ISNUMBER($N$3),$N$3&gt;0),R483/(6*$N$3*1000000*$N$5)*(IF(N483&lt;($N$4*7/10),($N$4*7/10)*(MIN(O483,($N$4*7/10))^3-N483^3)-(MIN(O483,($N$4*7/10))^4-N483^4)/4,0)+IF(O483&gt;($N$4*7/10),($N$4*7/10)^2*(1.5*(O483^2-MAX(N483,($N$4*7/10))^2)-($N$4*7/10)*(O483-MAX(N483,($N$4*7/10)))),0))*1000,0)</f>
        <v>0</v>
      </c>
      <c r="AU483" s="120">
        <f>IF(AND(V483="OK",ISNUMBER($N$5),$N$5&gt;0,ISNUMBER($N$3),$N$3&gt;0),R483/(6*$N$3*1000000*$N$5)*(IF(N483&lt;($N$4*8/10),($N$4*8/10)*(MIN(O483,($N$4*8/10))^3-N483^3)-(MIN(O483,($N$4*8/10))^4-N483^4)/4,0)+IF(O483&gt;($N$4*8/10),($N$4*8/10)^2*(1.5*(O483^2-MAX(N483,($N$4*8/10))^2)-($N$4*8/10)*(O483-MAX(N483,($N$4*8/10)))),0))*1000,0)</f>
        <v>0</v>
      </c>
      <c r="AV483" s="120">
        <f>IF(AND(V483="OK",ISNUMBER($N$5),$N$5&gt;0,ISNUMBER($N$3),$N$3&gt;0),R483/(6*$N$3*1000000*$N$5)*(IF(N483&lt;($N$4*9/10),($N$4*9/10)*(MIN(O483,($N$4*9/10))^3-N483^3)-(MIN(O483,($N$4*9/10))^4-N483^4)/4,0)+IF(O483&gt;($N$4*9/10),($N$4*9/10)^2*(1.5*(O483^2-MAX(N483,($N$4*9/10))^2)-($N$4*9/10)*(O483-MAX(N483,($N$4*9/10)))),0))*1000,0)</f>
        <v>0</v>
      </c>
      <c r="AW483" s="120">
        <f>IF(AND(V483="OK",ISNUMBER($N$5),$N$5&gt;0,ISNUMBER($N$3),$N$3&gt;0),R483/(6*$N$3*1000000*$N$5)*(IF(N483&lt;($N$4*10/10),($N$4*10/10)*(MIN(O483,($N$4*10/10))^3-N483^3)-(MIN(O483,($N$4*10/10))^4-N483^4)/4,0)+IF(O483&gt;($N$4*10/10),($N$4*10/10)^2*(1.5*(O483^2-MAX(N483,($N$4*10/10))^2)-($N$4*10/10)*(O483-MAX(N483,($N$4*10/10)))),0))*1000,0)</f>
        <v>0</v>
      </c>
    </row>
    <row r="484" spans="1:49">
      <c r="A484" s="124"/>
      <c r="B484" s="125"/>
      <c r="C484" s="125"/>
      <c r="D484" s="125"/>
      <c r="E484" s="125"/>
      <c r="F484" s="126" t="str">
        <f>IF(J484="OK",D484*E484,"")</f>
        <v/>
      </c>
      <c r="G484" s="126" t="str">
        <f>IF(J484="OK",F484*(C484-B484),"")</f>
        <v/>
      </c>
      <c r="H484" s="126" t="str">
        <f>IF(J484="OK",G484*(C484+B484)/2,"")</f>
        <v/>
      </c>
      <c r="I484" s="126" t="str">
        <f>IF(AND(J484="OK",ISNUMBER($B$5),$B$5&gt;0,ISNUMBER($B$3),$B$3&gt;0),F484*(4*$B$4*(C484^3-B484^3)-(C484^4-B484^4))/(24*$B$3*1000000*$B$5)*1000,"")</f>
        <v/>
      </c>
      <c r="J484" s="120" t="str">
        <f>IF(COUNTA(A484:E484)=0,"",IF(AND(COUNT(B484:E484)=4,B484&gt;=0,C484&gt;B484,C484&lt;=$B$4,D484&gt;=0,E484&gt;0),IF(COUNTIFS($B$13:$B$483,"&lt;"&amp;C484,$C$13:$C$483,"&gt;"&amp;B484)&gt;0,"OVERLAP","OK"),"CHECK INPUTS"))</f>
        <v/>
      </c>
      <c r="M484" s="124"/>
      <c r="N484" s="125"/>
      <c r="O484" s="125"/>
      <c r="P484" s="125"/>
      <c r="Q484" s="125"/>
      <c r="R484" s="126" t="str">
        <f>IF(V484="OK",P484*Q484,"")</f>
        <v/>
      </c>
      <c r="S484" s="126" t="str">
        <f>IF(V484="OK",R484*(O484-N484),"")</f>
        <v/>
      </c>
      <c r="T484" s="126" t="str">
        <f>IF(V484="OK",S484*(O484+N484)/2,"")</f>
        <v/>
      </c>
      <c r="U484" s="126" t="str">
        <f>IF(AND(V484="OK",ISNUMBER($N$5),$N$5&gt;0,ISNUMBER($N$3),$N$3&gt;0),R484*(4*$N$4*(O484^3-N484^3)-(O484^4-N484^4))/(24*$N$3*1000000*$N$5)*1000,"")</f>
        <v/>
      </c>
      <c r="V484" s="120" t="str">
        <f>IF(COUNTA(M484:Q484)=0,"",IF(AND(COUNT(N484:Q484)=4,N484&gt;=0,O484&gt;N484,O484&lt;=$N$4,P484&gt;=0,Q484&gt;0),IF(COUNTIFS($N$13:$N$483,"&lt;"&amp;O484,$O$13:$O$483,"&gt;"&amp;N484)&gt;0,"OVERLAP","OK"),"CHECK INPUTS"))</f>
        <v/>
      </c>
      <c r="AA484" s="120">
        <f>IF(AND(J484="OK",ISNUMBER($B$5),$B$5&gt;0,ISNUMBER($B$3),$B$3&gt;0),F484/(6*$B$3*1000000*$B$5)*(IF(B484&lt;($B$4*0/10),($B$4*0/10)*(MIN(C484,($B$4*0/10))^3-B484^3)-(MIN(C484,($B$4*0/10))^4-B484^4)/4,0)+IF(C484&gt;($B$4*0/10),($B$4*0/10)^2*(1.5*(C484^2-MAX(B484,($B$4*0/10))^2)-($B$4*0/10)*(C484-MAX(B484,($B$4*0/10)))),0))*1000,0)</f>
        <v>0</v>
      </c>
      <c r="AB484" s="120">
        <f>IF(AND(J484="OK",ISNUMBER($B$5),$B$5&gt;0,ISNUMBER($B$3),$B$3&gt;0),F484/(6*$B$3*1000000*$B$5)*(IF(B484&lt;($B$4*1/10),($B$4*1/10)*(MIN(C484,($B$4*1/10))^3-B484^3)-(MIN(C484,($B$4*1/10))^4-B484^4)/4,0)+IF(C484&gt;($B$4*1/10),($B$4*1/10)^2*(1.5*(C484^2-MAX(B484,($B$4*1/10))^2)-($B$4*1/10)*(C484-MAX(B484,($B$4*1/10)))),0))*1000,0)</f>
        <v>0</v>
      </c>
      <c r="AC484" s="120">
        <f>IF(AND(J484="OK",ISNUMBER($B$5),$B$5&gt;0,ISNUMBER($B$3),$B$3&gt;0),F484/(6*$B$3*1000000*$B$5)*(IF(B484&lt;($B$4*2/10),($B$4*2/10)*(MIN(C484,($B$4*2/10))^3-B484^3)-(MIN(C484,($B$4*2/10))^4-B484^4)/4,0)+IF(C484&gt;($B$4*2/10),($B$4*2/10)^2*(1.5*(C484^2-MAX(B484,($B$4*2/10))^2)-($B$4*2/10)*(C484-MAX(B484,($B$4*2/10)))),0))*1000,0)</f>
        <v>0</v>
      </c>
      <c r="AD484" s="120">
        <f>IF(AND(J484="OK",ISNUMBER($B$5),$B$5&gt;0,ISNUMBER($B$3),$B$3&gt;0),F484/(6*$B$3*1000000*$B$5)*(IF(B484&lt;($B$4*3/10),($B$4*3/10)*(MIN(C484,($B$4*3/10))^3-B484^3)-(MIN(C484,($B$4*3/10))^4-B484^4)/4,0)+IF(C484&gt;($B$4*3/10),($B$4*3/10)^2*(1.5*(C484^2-MAX(B484,($B$4*3/10))^2)-($B$4*3/10)*(C484-MAX(B484,($B$4*3/10)))),0))*1000,0)</f>
        <v>0</v>
      </c>
      <c r="AE484" s="120">
        <f>IF(AND(J484="OK",ISNUMBER($B$5),$B$5&gt;0,ISNUMBER($B$3),$B$3&gt;0),F484/(6*$B$3*1000000*$B$5)*(IF(B484&lt;($B$4*4/10),($B$4*4/10)*(MIN(C484,($B$4*4/10))^3-B484^3)-(MIN(C484,($B$4*4/10))^4-B484^4)/4,0)+IF(C484&gt;($B$4*4/10),($B$4*4/10)^2*(1.5*(C484^2-MAX(B484,($B$4*4/10))^2)-($B$4*4/10)*(C484-MAX(B484,($B$4*4/10)))),0))*1000,0)</f>
        <v>0</v>
      </c>
      <c r="AF484" s="120">
        <f>IF(AND(J484="OK",ISNUMBER($B$5),$B$5&gt;0,ISNUMBER($B$3),$B$3&gt;0),F484/(6*$B$3*1000000*$B$5)*(IF(B484&lt;($B$4*5/10),($B$4*5/10)*(MIN(C484,($B$4*5/10))^3-B484^3)-(MIN(C484,($B$4*5/10))^4-B484^4)/4,0)+IF(C484&gt;($B$4*5/10),($B$4*5/10)^2*(1.5*(C484^2-MAX(B484,($B$4*5/10))^2)-($B$4*5/10)*(C484-MAX(B484,($B$4*5/10)))),0))*1000,0)</f>
        <v>0</v>
      </c>
      <c r="AG484" s="120">
        <f>IF(AND(J484="OK",ISNUMBER($B$5),$B$5&gt;0,ISNUMBER($B$3),$B$3&gt;0),F484/(6*$B$3*1000000*$B$5)*(IF(B484&lt;($B$4*6/10),($B$4*6/10)*(MIN(C484,($B$4*6/10))^3-B484^3)-(MIN(C484,($B$4*6/10))^4-B484^4)/4,0)+IF(C484&gt;($B$4*6/10),($B$4*6/10)^2*(1.5*(C484^2-MAX(B484,($B$4*6/10))^2)-($B$4*6/10)*(C484-MAX(B484,($B$4*6/10)))),0))*1000,0)</f>
        <v>0</v>
      </c>
      <c r="AH484" s="120">
        <f>IF(AND(J484="OK",ISNUMBER($B$5),$B$5&gt;0,ISNUMBER($B$3),$B$3&gt;0),F484/(6*$B$3*1000000*$B$5)*(IF(B484&lt;($B$4*7/10),($B$4*7/10)*(MIN(C484,($B$4*7/10))^3-B484^3)-(MIN(C484,($B$4*7/10))^4-B484^4)/4,0)+IF(C484&gt;($B$4*7/10),($B$4*7/10)^2*(1.5*(C484^2-MAX(B484,($B$4*7/10))^2)-($B$4*7/10)*(C484-MAX(B484,($B$4*7/10)))),0))*1000,0)</f>
        <v>0</v>
      </c>
      <c r="AI484" s="120">
        <f>IF(AND(J484="OK",ISNUMBER($B$5),$B$5&gt;0,ISNUMBER($B$3),$B$3&gt;0),F484/(6*$B$3*1000000*$B$5)*(IF(B484&lt;($B$4*8/10),($B$4*8/10)*(MIN(C484,($B$4*8/10))^3-B484^3)-(MIN(C484,($B$4*8/10))^4-B484^4)/4,0)+IF(C484&gt;($B$4*8/10),($B$4*8/10)^2*(1.5*(C484^2-MAX(B484,($B$4*8/10))^2)-($B$4*8/10)*(C484-MAX(B484,($B$4*8/10)))),0))*1000,0)</f>
        <v>0</v>
      </c>
      <c r="AJ484" s="120">
        <f>IF(AND(J484="OK",ISNUMBER($B$5),$B$5&gt;0,ISNUMBER($B$3),$B$3&gt;0),F484/(6*$B$3*1000000*$B$5)*(IF(B484&lt;($B$4*9/10),($B$4*9/10)*(MIN(C484,($B$4*9/10))^3-B484^3)-(MIN(C484,($B$4*9/10))^4-B484^4)/4,0)+IF(C484&gt;($B$4*9/10),($B$4*9/10)^2*(1.5*(C484^2-MAX(B484,($B$4*9/10))^2)-($B$4*9/10)*(C484-MAX(B484,($B$4*9/10)))),0))*1000,0)</f>
        <v>0</v>
      </c>
      <c r="AK484" s="120">
        <f>IF(AND(J484="OK",ISNUMBER($B$5),$B$5&gt;0,ISNUMBER($B$3),$B$3&gt;0),F484/(6*$B$3*1000000*$B$5)*(IF(B484&lt;($B$4*10/10),($B$4*10/10)*(MIN(C484,($B$4*10/10))^3-B484^3)-(MIN(C484,($B$4*10/10))^4-B484^4)/4,0)+IF(C484&gt;($B$4*10/10),($B$4*10/10)^2*(1.5*(C484^2-MAX(B484,($B$4*10/10))^2)-($B$4*10/10)*(C484-MAX(B484,($B$4*10/10)))),0))*1000,0)</f>
        <v>0</v>
      </c>
      <c r="AM484" s="120">
        <f>IF(AND(V484="OK",ISNUMBER($N$5),$N$5&gt;0,ISNUMBER($N$3),$N$3&gt;0),R484/(6*$N$3*1000000*$N$5)*(IF(N484&lt;($N$4*0/10),($N$4*0/10)*(MIN(O484,($N$4*0/10))^3-N484^3)-(MIN(O484,($N$4*0/10))^4-N484^4)/4,0)+IF(O484&gt;($N$4*0/10),($N$4*0/10)^2*(1.5*(O484^2-MAX(N484,($N$4*0/10))^2)-($N$4*0/10)*(O484-MAX(N484,($N$4*0/10)))),0))*1000,0)</f>
        <v>0</v>
      </c>
      <c r="AN484" s="120">
        <f>IF(AND(V484="OK",ISNUMBER($N$5),$N$5&gt;0,ISNUMBER($N$3),$N$3&gt;0),R484/(6*$N$3*1000000*$N$5)*(IF(N484&lt;($N$4*1/10),($N$4*1/10)*(MIN(O484,($N$4*1/10))^3-N484^3)-(MIN(O484,($N$4*1/10))^4-N484^4)/4,0)+IF(O484&gt;($N$4*1/10),($N$4*1/10)^2*(1.5*(O484^2-MAX(N484,($N$4*1/10))^2)-($N$4*1/10)*(O484-MAX(N484,($N$4*1/10)))),0))*1000,0)</f>
        <v>0</v>
      </c>
      <c r="AO484" s="120">
        <f>IF(AND(V484="OK",ISNUMBER($N$5),$N$5&gt;0,ISNUMBER($N$3),$N$3&gt;0),R484/(6*$N$3*1000000*$N$5)*(IF(N484&lt;($N$4*2/10),($N$4*2/10)*(MIN(O484,($N$4*2/10))^3-N484^3)-(MIN(O484,($N$4*2/10))^4-N484^4)/4,0)+IF(O484&gt;($N$4*2/10),($N$4*2/10)^2*(1.5*(O484^2-MAX(N484,($N$4*2/10))^2)-($N$4*2/10)*(O484-MAX(N484,($N$4*2/10)))),0))*1000,0)</f>
        <v>0</v>
      </c>
      <c r="AP484" s="120">
        <f>IF(AND(V484="OK",ISNUMBER($N$5),$N$5&gt;0,ISNUMBER($N$3),$N$3&gt;0),R484/(6*$N$3*1000000*$N$5)*(IF(N484&lt;($N$4*3/10),($N$4*3/10)*(MIN(O484,($N$4*3/10))^3-N484^3)-(MIN(O484,($N$4*3/10))^4-N484^4)/4,0)+IF(O484&gt;($N$4*3/10),($N$4*3/10)^2*(1.5*(O484^2-MAX(N484,($N$4*3/10))^2)-($N$4*3/10)*(O484-MAX(N484,($N$4*3/10)))),0))*1000,0)</f>
        <v>0</v>
      </c>
      <c r="AQ484" s="120">
        <f>IF(AND(V484="OK",ISNUMBER($N$5),$N$5&gt;0,ISNUMBER($N$3),$N$3&gt;0),R484/(6*$N$3*1000000*$N$5)*(IF(N484&lt;($N$4*4/10),($N$4*4/10)*(MIN(O484,($N$4*4/10))^3-N484^3)-(MIN(O484,($N$4*4/10))^4-N484^4)/4,0)+IF(O484&gt;($N$4*4/10),($N$4*4/10)^2*(1.5*(O484^2-MAX(N484,($N$4*4/10))^2)-($N$4*4/10)*(O484-MAX(N484,($N$4*4/10)))),0))*1000,0)</f>
        <v>0</v>
      </c>
      <c r="AR484" s="120">
        <f>IF(AND(V484="OK",ISNUMBER($N$5),$N$5&gt;0,ISNUMBER($N$3),$N$3&gt;0),R484/(6*$N$3*1000000*$N$5)*(IF(N484&lt;($N$4*5/10),($N$4*5/10)*(MIN(O484,($N$4*5/10))^3-N484^3)-(MIN(O484,($N$4*5/10))^4-N484^4)/4,0)+IF(O484&gt;($N$4*5/10),($N$4*5/10)^2*(1.5*(O484^2-MAX(N484,($N$4*5/10))^2)-($N$4*5/10)*(O484-MAX(N484,($N$4*5/10)))),0))*1000,0)</f>
        <v>0</v>
      </c>
      <c r="AS484" s="120">
        <f>IF(AND(V484="OK",ISNUMBER($N$5),$N$5&gt;0,ISNUMBER($N$3),$N$3&gt;0),R484/(6*$N$3*1000000*$N$5)*(IF(N484&lt;($N$4*6/10),($N$4*6/10)*(MIN(O484,($N$4*6/10))^3-N484^3)-(MIN(O484,($N$4*6/10))^4-N484^4)/4,0)+IF(O484&gt;($N$4*6/10),($N$4*6/10)^2*(1.5*(O484^2-MAX(N484,($N$4*6/10))^2)-($N$4*6/10)*(O484-MAX(N484,($N$4*6/10)))),0))*1000,0)</f>
        <v>0</v>
      </c>
      <c r="AT484" s="120">
        <f>IF(AND(V484="OK",ISNUMBER($N$5),$N$5&gt;0,ISNUMBER($N$3),$N$3&gt;0),R484/(6*$N$3*1000000*$N$5)*(IF(N484&lt;($N$4*7/10),($N$4*7/10)*(MIN(O484,($N$4*7/10))^3-N484^3)-(MIN(O484,($N$4*7/10))^4-N484^4)/4,0)+IF(O484&gt;($N$4*7/10),($N$4*7/10)^2*(1.5*(O484^2-MAX(N484,($N$4*7/10))^2)-($N$4*7/10)*(O484-MAX(N484,($N$4*7/10)))),0))*1000,0)</f>
        <v>0</v>
      </c>
      <c r="AU484" s="120">
        <f>IF(AND(V484="OK",ISNUMBER($N$5),$N$5&gt;0,ISNUMBER($N$3),$N$3&gt;0),R484/(6*$N$3*1000000*$N$5)*(IF(N484&lt;($N$4*8/10),($N$4*8/10)*(MIN(O484,($N$4*8/10))^3-N484^3)-(MIN(O484,($N$4*8/10))^4-N484^4)/4,0)+IF(O484&gt;($N$4*8/10),($N$4*8/10)^2*(1.5*(O484^2-MAX(N484,($N$4*8/10))^2)-($N$4*8/10)*(O484-MAX(N484,($N$4*8/10)))),0))*1000,0)</f>
        <v>0</v>
      </c>
      <c r="AV484" s="120">
        <f>IF(AND(V484="OK",ISNUMBER($N$5),$N$5&gt;0,ISNUMBER($N$3),$N$3&gt;0),R484/(6*$N$3*1000000*$N$5)*(IF(N484&lt;($N$4*9/10),($N$4*9/10)*(MIN(O484,($N$4*9/10))^3-N484^3)-(MIN(O484,($N$4*9/10))^4-N484^4)/4,0)+IF(O484&gt;($N$4*9/10),($N$4*9/10)^2*(1.5*(O484^2-MAX(N484,($N$4*9/10))^2)-($N$4*9/10)*(O484-MAX(N484,($N$4*9/10)))),0))*1000,0)</f>
        <v>0</v>
      </c>
      <c r="AW484" s="120">
        <f>IF(AND(V484="OK",ISNUMBER($N$5),$N$5&gt;0,ISNUMBER($N$3),$N$3&gt;0),R484/(6*$N$3*1000000*$N$5)*(IF(N484&lt;($N$4*10/10),($N$4*10/10)*(MIN(O484,($N$4*10/10))^3-N484^3)-(MIN(O484,($N$4*10/10))^4-N484^4)/4,0)+IF(O484&gt;($N$4*10/10),($N$4*10/10)^2*(1.5*(O484^2-MAX(N484,($N$4*10/10))^2)-($N$4*10/10)*(O484-MAX(N484,($N$4*10/10)))),0))*1000,0)</f>
        <v>0</v>
      </c>
    </row>
    <row r="485" spans="1:49">
      <c r="A485" s="124"/>
      <c r="B485" s="125"/>
      <c r="C485" s="125"/>
      <c r="D485" s="125"/>
      <c r="E485" s="125"/>
      <c r="F485" s="126" t="str">
        <f>IF(J485="OK",D485*E485,"")</f>
        <v/>
      </c>
      <c r="G485" s="126" t="str">
        <f>IF(J485="OK",F485*(C485-B485),"")</f>
        <v/>
      </c>
      <c r="H485" s="126" t="str">
        <f>IF(J485="OK",G485*(C485+B485)/2,"")</f>
        <v/>
      </c>
      <c r="I485" s="126" t="str">
        <f>IF(AND(J485="OK",ISNUMBER($B$5),$B$5&gt;0,ISNUMBER($B$3),$B$3&gt;0),F485*(4*$B$4*(C485^3-B485^3)-(C485^4-B485^4))/(24*$B$3*1000000*$B$5)*1000,"")</f>
        <v/>
      </c>
      <c r="J485" s="120" t="str">
        <f>IF(COUNTA(A485:E485)=0,"",IF(AND(COUNT(B485:E485)=4,B485&gt;=0,C485&gt;B485,C485&lt;=$B$4,D485&gt;=0,E485&gt;0),IF(COUNTIFS($B$13:$B$484,"&lt;"&amp;C485,$C$13:$C$484,"&gt;"&amp;B485)&gt;0,"OVERLAP","OK"),"CHECK INPUTS"))</f>
        <v/>
      </c>
      <c r="M485" s="124"/>
      <c r="N485" s="125"/>
      <c r="O485" s="125"/>
      <c r="P485" s="125"/>
      <c r="Q485" s="125"/>
      <c r="R485" s="126" t="str">
        <f>IF(V485="OK",P485*Q485,"")</f>
        <v/>
      </c>
      <c r="S485" s="126" t="str">
        <f>IF(V485="OK",R485*(O485-N485),"")</f>
        <v/>
      </c>
      <c r="T485" s="126" t="str">
        <f>IF(V485="OK",S485*(O485+N485)/2,"")</f>
        <v/>
      </c>
      <c r="U485" s="126" t="str">
        <f>IF(AND(V485="OK",ISNUMBER($N$5),$N$5&gt;0,ISNUMBER($N$3),$N$3&gt;0),R485*(4*$N$4*(O485^3-N485^3)-(O485^4-N485^4))/(24*$N$3*1000000*$N$5)*1000,"")</f>
        <v/>
      </c>
      <c r="V485" s="120" t="str">
        <f>IF(COUNTA(M485:Q485)=0,"",IF(AND(COUNT(N485:Q485)=4,N485&gt;=0,O485&gt;N485,O485&lt;=$N$4,P485&gt;=0,Q485&gt;0),IF(COUNTIFS($N$13:$N$484,"&lt;"&amp;O485,$O$13:$O$484,"&gt;"&amp;N485)&gt;0,"OVERLAP","OK"),"CHECK INPUTS"))</f>
        <v/>
      </c>
      <c r="AA485" s="120">
        <f>IF(AND(J485="OK",ISNUMBER($B$5),$B$5&gt;0,ISNUMBER($B$3),$B$3&gt;0),F485/(6*$B$3*1000000*$B$5)*(IF(B485&lt;($B$4*0/10),($B$4*0/10)*(MIN(C485,($B$4*0/10))^3-B485^3)-(MIN(C485,($B$4*0/10))^4-B485^4)/4,0)+IF(C485&gt;($B$4*0/10),($B$4*0/10)^2*(1.5*(C485^2-MAX(B485,($B$4*0/10))^2)-($B$4*0/10)*(C485-MAX(B485,($B$4*0/10)))),0))*1000,0)</f>
        <v>0</v>
      </c>
      <c r="AB485" s="120">
        <f>IF(AND(J485="OK",ISNUMBER($B$5),$B$5&gt;0,ISNUMBER($B$3),$B$3&gt;0),F485/(6*$B$3*1000000*$B$5)*(IF(B485&lt;($B$4*1/10),($B$4*1/10)*(MIN(C485,($B$4*1/10))^3-B485^3)-(MIN(C485,($B$4*1/10))^4-B485^4)/4,0)+IF(C485&gt;($B$4*1/10),($B$4*1/10)^2*(1.5*(C485^2-MAX(B485,($B$4*1/10))^2)-($B$4*1/10)*(C485-MAX(B485,($B$4*1/10)))),0))*1000,0)</f>
        <v>0</v>
      </c>
      <c r="AC485" s="120">
        <f>IF(AND(J485="OK",ISNUMBER($B$5),$B$5&gt;0,ISNUMBER($B$3),$B$3&gt;0),F485/(6*$B$3*1000000*$B$5)*(IF(B485&lt;($B$4*2/10),($B$4*2/10)*(MIN(C485,($B$4*2/10))^3-B485^3)-(MIN(C485,($B$4*2/10))^4-B485^4)/4,0)+IF(C485&gt;($B$4*2/10),($B$4*2/10)^2*(1.5*(C485^2-MAX(B485,($B$4*2/10))^2)-($B$4*2/10)*(C485-MAX(B485,($B$4*2/10)))),0))*1000,0)</f>
        <v>0</v>
      </c>
      <c r="AD485" s="120">
        <f>IF(AND(J485="OK",ISNUMBER($B$5),$B$5&gt;0,ISNUMBER($B$3),$B$3&gt;0),F485/(6*$B$3*1000000*$B$5)*(IF(B485&lt;($B$4*3/10),($B$4*3/10)*(MIN(C485,($B$4*3/10))^3-B485^3)-(MIN(C485,($B$4*3/10))^4-B485^4)/4,0)+IF(C485&gt;($B$4*3/10),($B$4*3/10)^2*(1.5*(C485^2-MAX(B485,($B$4*3/10))^2)-($B$4*3/10)*(C485-MAX(B485,($B$4*3/10)))),0))*1000,0)</f>
        <v>0</v>
      </c>
      <c r="AE485" s="120">
        <f>IF(AND(J485="OK",ISNUMBER($B$5),$B$5&gt;0,ISNUMBER($B$3),$B$3&gt;0),F485/(6*$B$3*1000000*$B$5)*(IF(B485&lt;($B$4*4/10),($B$4*4/10)*(MIN(C485,($B$4*4/10))^3-B485^3)-(MIN(C485,($B$4*4/10))^4-B485^4)/4,0)+IF(C485&gt;($B$4*4/10),($B$4*4/10)^2*(1.5*(C485^2-MAX(B485,($B$4*4/10))^2)-($B$4*4/10)*(C485-MAX(B485,($B$4*4/10)))),0))*1000,0)</f>
        <v>0</v>
      </c>
      <c r="AF485" s="120">
        <f>IF(AND(J485="OK",ISNUMBER($B$5),$B$5&gt;0,ISNUMBER($B$3),$B$3&gt;0),F485/(6*$B$3*1000000*$B$5)*(IF(B485&lt;($B$4*5/10),($B$4*5/10)*(MIN(C485,($B$4*5/10))^3-B485^3)-(MIN(C485,($B$4*5/10))^4-B485^4)/4,0)+IF(C485&gt;($B$4*5/10),($B$4*5/10)^2*(1.5*(C485^2-MAX(B485,($B$4*5/10))^2)-($B$4*5/10)*(C485-MAX(B485,($B$4*5/10)))),0))*1000,0)</f>
        <v>0</v>
      </c>
      <c r="AG485" s="120">
        <f>IF(AND(J485="OK",ISNUMBER($B$5),$B$5&gt;0,ISNUMBER($B$3),$B$3&gt;0),F485/(6*$B$3*1000000*$B$5)*(IF(B485&lt;($B$4*6/10),($B$4*6/10)*(MIN(C485,($B$4*6/10))^3-B485^3)-(MIN(C485,($B$4*6/10))^4-B485^4)/4,0)+IF(C485&gt;($B$4*6/10),($B$4*6/10)^2*(1.5*(C485^2-MAX(B485,($B$4*6/10))^2)-($B$4*6/10)*(C485-MAX(B485,($B$4*6/10)))),0))*1000,0)</f>
        <v>0</v>
      </c>
      <c r="AH485" s="120">
        <f>IF(AND(J485="OK",ISNUMBER($B$5),$B$5&gt;0,ISNUMBER($B$3),$B$3&gt;0),F485/(6*$B$3*1000000*$B$5)*(IF(B485&lt;($B$4*7/10),($B$4*7/10)*(MIN(C485,($B$4*7/10))^3-B485^3)-(MIN(C485,($B$4*7/10))^4-B485^4)/4,0)+IF(C485&gt;($B$4*7/10),($B$4*7/10)^2*(1.5*(C485^2-MAX(B485,($B$4*7/10))^2)-($B$4*7/10)*(C485-MAX(B485,($B$4*7/10)))),0))*1000,0)</f>
        <v>0</v>
      </c>
      <c r="AI485" s="120">
        <f>IF(AND(J485="OK",ISNUMBER($B$5),$B$5&gt;0,ISNUMBER($B$3),$B$3&gt;0),F485/(6*$B$3*1000000*$B$5)*(IF(B485&lt;($B$4*8/10),($B$4*8/10)*(MIN(C485,($B$4*8/10))^3-B485^3)-(MIN(C485,($B$4*8/10))^4-B485^4)/4,0)+IF(C485&gt;($B$4*8/10),($B$4*8/10)^2*(1.5*(C485^2-MAX(B485,($B$4*8/10))^2)-($B$4*8/10)*(C485-MAX(B485,($B$4*8/10)))),0))*1000,0)</f>
        <v>0</v>
      </c>
      <c r="AJ485" s="120">
        <f>IF(AND(J485="OK",ISNUMBER($B$5),$B$5&gt;0,ISNUMBER($B$3),$B$3&gt;0),F485/(6*$B$3*1000000*$B$5)*(IF(B485&lt;($B$4*9/10),($B$4*9/10)*(MIN(C485,($B$4*9/10))^3-B485^3)-(MIN(C485,($B$4*9/10))^4-B485^4)/4,0)+IF(C485&gt;($B$4*9/10),($B$4*9/10)^2*(1.5*(C485^2-MAX(B485,($B$4*9/10))^2)-($B$4*9/10)*(C485-MAX(B485,($B$4*9/10)))),0))*1000,0)</f>
        <v>0</v>
      </c>
      <c r="AK485" s="120">
        <f>IF(AND(J485="OK",ISNUMBER($B$5),$B$5&gt;0,ISNUMBER($B$3),$B$3&gt;0),F485/(6*$B$3*1000000*$B$5)*(IF(B485&lt;($B$4*10/10),($B$4*10/10)*(MIN(C485,($B$4*10/10))^3-B485^3)-(MIN(C485,($B$4*10/10))^4-B485^4)/4,0)+IF(C485&gt;($B$4*10/10),($B$4*10/10)^2*(1.5*(C485^2-MAX(B485,($B$4*10/10))^2)-($B$4*10/10)*(C485-MAX(B485,($B$4*10/10)))),0))*1000,0)</f>
        <v>0</v>
      </c>
      <c r="AM485" s="120">
        <f>IF(AND(V485="OK",ISNUMBER($N$5),$N$5&gt;0,ISNUMBER($N$3),$N$3&gt;0),R485/(6*$N$3*1000000*$N$5)*(IF(N485&lt;($N$4*0/10),($N$4*0/10)*(MIN(O485,($N$4*0/10))^3-N485^3)-(MIN(O485,($N$4*0/10))^4-N485^4)/4,0)+IF(O485&gt;($N$4*0/10),($N$4*0/10)^2*(1.5*(O485^2-MAX(N485,($N$4*0/10))^2)-($N$4*0/10)*(O485-MAX(N485,($N$4*0/10)))),0))*1000,0)</f>
        <v>0</v>
      </c>
      <c r="AN485" s="120">
        <f>IF(AND(V485="OK",ISNUMBER($N$5),$N$5&gt;0,ISNUMBER($N$3),$N$3&gt;0),R485/(6*$N$3*1000000*$N$5)*(IF(N485&lt;($N$4*1/10),($N$4*1/10)*(MIN(O485,($N$4*1/10))^3-N485^3)-(MIN(O485,($N$4*1/10))^4-N485^4)/4,0)+IF(O485&gt;($N$4*1/10),($N$4*1/10)^2*(1.5*(O485^2-MAX(N485,($N$4*1/10))^2)-($N$4*1/10)*(O485-MAX(N485,($N$4*1/10)))),0))*1000,0)</f>
        <v>0</v>
      </c>
      <c r="AO485" s="120">
        <f>IF(AND(V485="OK",ISNUMBER($N$5),$N$5&gt;0,ISNUMBER($N$3),$N$3&gt;0),R485/(6*$N$3*1000000*$N$5)*(IF(N485&lt;($N$4*2/10),($N$4*2/10)*(MIN(O485,($N$4*2/10))^3-N485^3)-(MIN(O485,($N$4*2/10))^4-N485^4)/4,0)+IF(O485&gt;($N$4*2/10),($N$4*2/10)^2*(1.5*(O485^2-MAX(N485,($N$4*2/10))^2)-($N$4*2/10)*(O485-MAX(N485,($N$4*2/10)))),0))*1000,0)</f>
        <v>0</v>
      </c>
      <c r="AP485" s="120">
        <f>IF(AND(V485="OK",ISNUMBER($N$5),$N$5&gt;0,ISNUMBER($N$3),$N$3&gt;0),R485/(6*$N$3*1000000*$N$5)*(IF(N485&lt;($N$4*3/10),($N$4*3/10)*(MIN(O485,($N$4*3/10))^3-N485^3)-(MIN(O485,($N$4*3/10))^4-N485^4)/4,0)+IF(O485&gt;($N$4*3/10),($N$4*3/10)^2*(1.5*(O485^2-MAX(N485,($N$4*3/10))^2)-($N$4*3/10)*(O485-MAX(N485,($N$4*3/10)))),0))*1000,0)</f>
        <v>0</v>
      </c>
      <c r="AQ485" s="120">
        <f>IF(AND(V485="OK",ISNUMBER($N$5),$N$5&gt;0,ISNUMBER($N$3),$N$3&gt;0),R485/(6*$N$3*1000000*$N$5)*(IF(N485&lt;($N$4*4/10),($N$4*4/10)*(MIN(O485,($N$4*4/10))^3-N485^3)-(MIN(O485,($N$4*4/10))^4-N485^4)/4,0)+IF(O485&gt;($N$4*4/10),($N$4*4/10)^2*(1.5*(O485^2-MAX(N485,($N$4*4/10))^2)-($N$4*4/10)*(O485-MAX(N485,($N$4*4/10)))),0))*1000,0)</f>
        <v>0</v>
      </c>
      <c r="AR485" s="120">
        <f>IF(AND(V485="OK",ISNUMBER($N$5),$N$5&gt;0,ISNUMBER($N$3),$N$3&gt;0),R485/(6*$N$3*1000000*$N$5)*(IF(N485&lt;($N$4*5/10),($N$4*5/10)*(MIN(O485,($N$4*5/10))^3-N485^3)-(MIN(O485,($N$4*5/10))^4-N485^4)/4,0)+IF(O485&gt;($N$4*5/10),($N$4*5/10)^2*(1.5*(O485^2-MAX(N485,($N$4*5/10))^2)-($N$4*5/10)*(O485-MAX(N485,($N$4*5/10)))),0))*1000,0)</f>
        <v>0</v>
      </c>
      <c r="AS485" s="120">
        <f>IF(AND(V485="OK",ISNUMBER($N$5),$N$5&gt;0,ISNUMBER($N$3),$N$3&gt;0),R485/(6*$N$3*1000000*$N$5)*(IF(N485&lt;($N$4*6/10),($N$4*6/10)*(MIN(O485,($N$4*6/10))^3-N485^3)-(MIN(O485,($N$4*6/10))^4-N485^4)/4,0)+IF(O485&gt;($N$4*6/10),($N$4*6/10)^2*(1.5*(O485^2-MAX(N485,($N$4*6/10))^2)-($N$4*6/10)*(O485-MAX(N485,($N$4*6/10)))),0))*1000,0)</f>
        <v>0</v>
      </c>
      <c r="AT485" s="120">
        <f>IF(AND(V485="OK",ISNUMBER($N$5),$N$5&gt;0,ISNUMBER($N$3),$N$3&gt;0),R485/(6*$N$3*1000000*$N$5)*(IF(N485&lt;($N$4*7/10),($N$4*7/10)*(MIN(O485,($N$4*7/10))^3-N485^3)-(MIN(O485,($N$4*7/10))^4-N485^4)/4,0)+IF(O485&gt;($N$4*7/10),($N$4*7/10)^2*(1.5*(O485^2-MAX(N485,($N$4*7/10))^2)-($N$4*7/10)*(O485-MAX(N485,($N$4*7/10)))),0))*1000,0)</f>
        <v>0</v>
      </c>
      <c r="AU485" s="120">
        <f>IF(AND(V485="OK",ISNUMBER($N$5),$N$5&gt;0,ISNUMBER($N$3),$N$3&gt;0),R485/(6*$N$3*1000000*$N$5)*(IF(N485&lt;($N$4*8/10),($N$4*8/10)*(MIN(O485,($N$4*8/10))^3-N485^3)-(MIN(O485,($N$4*8/10))^4-N485^4)/4,0)+IF(O485&gt;($N$4*8/10),($N$4*8/10)^2*(1.5*(O485^2-MAX(N485,($N$4*8/10))^2)-($N$4*8/10)*(O485-MAX(N485,($N$4*8/10)))),0))*1000,0)</f>
        <v>0</v>
      </c>
      <c r="AV485" s="120">
        <f>IF(AND(V485="OK",ISNUMBER($N$5),$N$5&gt;0,ISNUMBER($N$3),$N$3&gt;0),R485/(6*$N$3*1000000*$N$5)*(IF(N485&lt;($N$4*9/10),($N$4*9/10)*(MIN(O485,($N$4*9/10))^3-N485^3)-(MIN(O485,($N$4*9/10))^4-N485^4)/4,0)+IF(O485&gt;($N$4*9/10),($N$4*9/10)^2*(1.5*(O485^2-MAX(N485,($N$4*9/10))^2)-($N$4*9/10)*(O485-MAX(N485,($N$4*9/10)))),0))*1000,0)</f>
        <v>0</v>
      </c>
      <c r="AW485" s="120">
        <f>IF(AND(V485="OK",ISNUMBER($N$5),$N$5&gt;0,ISNUMBER($N$3),$N$3&gt;0),R485/(6*$N$3*1000000*$N$5)*(IF(N485&lt;($N$4*10/10),($N$4*10/10)*(MIN(O485,($N$4*10/10))^3-N485^3)-(MIN(O485,($N$4*10/10))^4-N485^4)/4,0)+IF(O485&gt;($N$4*10/10),($N$4*10/10)^2*(1.5*(O485^2-MAX(N485,($N$4*10/10))^2)-($N$4*10/10)*(O485-MAX(N485,($N$4*10/10)))),0))*1000,0)</f>
        <v>0</v>
      </c>
    </row>
    <row r="486" spans="1:49">
      <c r="A486" s="124"/>
      <c r="B486" s="125"/>
      <c r="C486" s="125"/>
      <c r="D486" s="125"/>
      <c r="E486" s="125"/>
      <c r="F486" s="126" t="str">
        <f>IF(J486="OK",D486*E486,"")</f>
        <v/>
      </c>
      <c r="G486" s="126" t="str">
        <f>IF(J486="OK",F486*(C486-B486),"")</f>
        <v/>
      </c>
      <c r="H486" s="126" t="str">
        <f>IF(J486="OK",G486*(C486+B486)/2,"")</f>
        <v/>
      </c>
      <c r="I486" s="126" t="str">
        <f>IF(AND(J486="OK",ISNUMBER($B$5),$B$5&gt;0,ISNUMBER($B$3),$B$3&gt;0),F486*(4*$B$4*(C486^3-B486^3)-(C486^4-B486^4))/(24*$B$3*1000000*$B$5)*1000,"")</f>
        <v/>
      </c>
      <c r="J486" s="120" t="str">
        <f>IF(COUNTA(A486:E486)=0,"",IF(AND(COUNT(B486:E486)=4,B486&gt;=0,C486&gt;B486,C486&lt;=$B$4,D486&gt;=0,E486&gt;0),IF(COUNTIFS($B$13:$B$485,"&lt;"&amp;C486,$C$13:$C$485,"&gt;"&amp;B486)&gt;0,"OVERLAP","OK"),"CHECK INPUTS"))</f>
        <v/>
      </c>
      <c r="M486" s="124"/>
      <c r="N486" s="125"/>
      <c r="O486" s="125"/>
      <c r="P486" s="125"/>
      <c r="Q486" s="125"/>
      <c r="R486" s="126" t="str">
        <f>IF(V486="OK",P486*Q486,"")</f>
        <v/>
      </c>
      <c r="S486" s="126" t="str">
        <f>IF(V486="OK",R486*(O486-N486),"")</f>
        <v/>
      </c>
      <c r="T486" s="126" t="str">
        <f>IF(V486="OK",S486*(O486+N486)/2,"")</f>
        <v/>
      </c>
      <c r="U486" s="126" t="str">
        <f>IF(AND(V486="OK",ISNUMBER($N$5),$N$5&gt;0,ISNUMBER($N$3),$N$3&gt;0),R486*(4*$N$4*(O486^3-N486^3)-(O486^4-N486^4))/(24*$N$3*1000000*$N$5)*1000,"")</f>
        <v/>
      </c>
      <c r="V486" s="120" t="str">
        <f>IF(COUNTA(M486:Q486)=0,"",IF(AND(COUNT(N486:Q486)=4,N486&gt;=0,O486&gt;N486,O486&lt;=$N$4,P486&gt;=0,Q486&gt;0),IF(COUNTIFS($N$13:$N$485,"&lt;"&amp;O486,$O$13:$O$485,"&gt;"&amp;N486)&gt;0,"OVERLAP","OK"),"CHECK INPUTS"))</f>
        <v/>
      </c>
      <c r="AA486" s="120">
        <f>IF(AND(J486="OK",ISNUMBER($B$5),$B$5&gt;0,ISNUMBER($B$3),$B$3&gt;0),F486/(6*$B$3*1000000*$B$5)*(IF(B486&lt;($B$4*0/10),($B$4*0/10)*(MIN(C486,($B$4*0/10))^3-B486^3)-(MIN(C486,($B$4*0/10))^4-B486^4)/4,0)+IF(C486&gt;($B$4*0/10),($B$4*0/10)^2*(1.5*(C486^2-MAX(B486,($B$4*0/10))^2)-($B$4*0/10)*(C486-MAX(B486,($B$4*0/10)))),0))*1000,0)</f>
        <v>0</v>
      </c>
      <c r="AB486" s="120">
        <f>IF(AND(J486="OK",ISNUMBER($B$5),$B$5&gt;0,ISNUMBER($B$3),$B$3&gt;0),F486/(6*$B$3*1000000*$B$5)*(IF(B486&lt;($B$4*1/10),($B$4*1/10)*(MIN(C486,($B$4*1/10))^3-B486^3)-(MIN(C486,($B$4*1/10))^4-B486^4)/4,0)+IF(C486&gt;($B$4*1/10),($B$4*1/10)^2*(1.5*(C486^2-MAX(B486,($B$4*1/10))^2)-($B$4*1/10)*(C486-MAX(B486,($B$4*1/10)))),0))*1000,0)</f>
        <v>0</v>
      </c>
      <c r="AC486" s="120">
        <f>IF(AND(J486="OK",ISNUMBER($B$5),$B$5&gt;0,ISNUMBER($B$3),$B$3&gt;0),F486/(6*$B$3*1000000*$B$5)*(IF(B486&lt;($B$4*2/10),($B$4*2/10)*(MIN(C486,($B$4*2/10))^3-B486^3)-(MIN(C486,($B$4*2/10))^4-B486^4)/4,0)+IF(C486&gt;($B$4*2/10),($B$4*2/10)^2*(1.5*(C486^2-MAX(B486,($B$4*2/10))^2)-($B$4*2/10)*(C486-MAX(B486,($B$4*2/10)))),0))*1000,0)</f>
        <v>0</v>
      </c>
      <c r="AD486" s="120">
        <f>IF(AND(J486="OK",ISNUMBER($B$5),$B$5&gt;0,ISNUMBER($B$3),$B$3&gt;0),F486/(6*$B$3*1000000*$B$5)*(IF(B486&lt;($B$4*3/10),($B$4*3/10)*(MIN(C486,($B$4*3/10))^3-B486^3)-(MIN(C486,($B$4*3/10))^4-B486^4)/4,0)+IF(C486&gt;($B$4*3/10),($B$4*3/10)^2*(1.5*(C486^2-MAX(B486,($B$4*3/10))^2)-($B$4*3/10)*(C486-MAX(B486,($B$4*3/10)))),0))*1000,0)</f>
        <v>0</v>
      </c>
      <c r="AE486" s="120">
        <f>IF(AND(J486="OK",ISNUMBER($B$5),$B$5&gt;0,ISNUMBER($B$3),$B$3&gt;0),F486/(6*$B$3*1000000*$B$5)*(IF(B486&lt;($B$4*4/10),($B$4*4/10)*(MIN(C486,($B$4*4/10))^3-B486^3)-(MIN(C486,($B$4*4/10))^4-B486^4)/4,0)+IF(C486&gt;($B$4*4/10),($B$4*4/10)^2*(1.5*(C486^2-MAX(B486,($B$4*4/10))^2)-($B$4*4/10)*(C486-MAX(B486,($B$4*4/10)))),0))*1000,0)</f>
        <v>0</v>
      </c>
      <c r="AF486" s="120">
        <f>IF(AND(J486="OK",ISNUMBER($B$5),$B$5&gt;0,ISNUMBER($B$3),$B$3&gt;0),F486/(6*$B$3*1000000*$B$5)*(IF(B486&lt;($B$4*5/10),($B$4*5/10)*(MIN(C486,($B$4*5/10))^3-B486^3)-(MIN(C486,($B$4*5/10))^4-B486^4)/4,0)+IF(C486&gt;($B$4*5/10),($B$4*5/10)^2*(1.5*(C486^2-MAX(B486,($B$4*5/10))^2)-($B$4*5/10)*(C486-MAX(B486,($B$4*5/10)))),0))*1000,0)</f>
        <v>0</v>
      </c>
      <c r="AG486" s="120">
        <f>IF(AND(J486="OK",ISNUMBER($B$5),$B$5&gt;0,ISNUMBER($B$3),$B$3&gt;0),F486/(6*$B$3*1000000*$B$5)*(IF(B486&lt;($B$4*6/10),($B$4*6/10)*(MIN(C486,($B$4*6/10))^3-B486^3)-(MIN(C486,($B$4*6/10))^4-B486^4)/4,0)+IF(C486&gt;($B$4*6/10),($B$4*6/10)^2*(1.5*(C486^2-MAX(B486,($B$4*6/10))^2)-($B$4*6/10)*(C486-MAX(B486,($B$4*6/10)))),0))*1000,0)</f>
        <v>0</v>
      </c>
      <c r="AH486" s="120">
        <f>IF(AND(J486="OK",ISNUMBER($B$5),$B$5&gt;0,ISNUMBER($B$3),$B$3&gt;0),F486/(6*$B$3*1000000*$B$5)*(IF(B486&lt;($B$4*7/10),($B$4*7/10)*(MIN(C486,($B$4*7/10))^3-B486^3)-(MIN(C486,($B$4*7/10))^4-B486^4)/4,0)+IF(C486&gt;($B$4*7/10),($B$4*7/10)^2*(1.5*(C486^2-MAX(B486,($B$4*7/10))^2)-($B$4*7/10)*(C486-MAX(B486,($B$4*7/10)))),0))*1000,0)</f>
        <v>0</v>
      </c>
      <c r="AI486" s="120">
        <f>IF(AND(J486="OK",ISNUMBER($B$5),$B$5&gt;0,ISNUMBER($B$3),$B$3&gt;0),F486/(6*$B$3*1000000*$B$5)*(IF(B486&lt;($B$4*8/10),($B$4*8/10)*(MIN(C486,($B$4*8/10))^3-B486^3)-(MIN(C486,($B$4*8/10))^4-B486^4)/4,0)+IF(C486&gt;($B$4*8/10),($B$4*8/10)^2*(1.5*(C486^2-MAX(B486,($B$4*8/10))^2)-($B$4*8/10)*(C486-MAX(B486,($B$4*8/10)))),0))*1000,0)</f>
        <v>0</v>
      </c>
      <c r="AJ486" s="120">
        <f>IF(AND(J486="OK",ISNUMBER($B$5),$B$5&gt;0,ISNUMBER($B$3),$B$3&gt;0),F486/(6*$B$3*1000000*$B$5)*(IF(B486&lt;($B$4*9/10),($B$4*9/10)*(MIN(C486,($B$4*9/10))^3-B486^3)-(MIN(C486,($B$4*9/10))^4-B486^4)/4,0)+IF(C486&gt;($B$4*9/10),($B$4*9/10)^2*(1.5*(C486^2-MAX(B486,($B$4*9/10))^2)-($B$4*9/10)*(C486-MAX(B486,($B$4*9/10)))),0))*1000,0)</f>
        <v>0</v>
      </c>
      <c r="AK486" s="120">
        <f>IF(AND(J486="OK",ISNUMBER($B$5),$B$5&gt;0,ISNUMBER($B$3),$B$3&gt;0),F486/(6*$B$3*1000000*$B$5)*(IF(B486&lt;($B$4*10/10),($B$4*10/10)*(MIN(C486,($B$4*10/10))^3-B486^3)-(MIN(C486,($B$4*10/10))^4-B486^4)/4,0)+IF(C486&gt;($B$4*10/10),($B$4*10/10)^2*(1.5*(C486^2-MAX(B486,($B$4*10/10))^2)-($B$4*10/10)*(C486-MAX(B486,($B$4*10/10)))),0))*1000,0)</f>
        <v>0</v>
      </c>
      <c r="AM486" s="120">
        <f>IF(AND(V486="OK",ISNUMBER($N$5),$N$5&gt;0,ISNUMBER($N$3),$N$3&gt;0),R486/(6*$N$3*1000000*$N$5)*(IF(N486&lt;($N$4*0/10),($N$4*0/10)*(MIN(O486,($N$4*0/10))^3-N486^3)-(MIN(O486,($N$4*0/10))^4-N486^4)/4,0)+IF(O486&gt;($N$4*0/10),($N$4*0/10)^2*(1.5*(O486^2-MAX(N486,($N$4*0/10))^2)-($N$4*0/10)*(O486-MAX(N486,($N$4*0/10)))),0))*1000,0)</f>
        <v>0</v>
      </c>
      <c r="AN486" s="120">
        <f>IF(AND(V486="OK",ISNUMBER($N$5),$N$5&gt;0,ISNUMBER($N$3),$N$3&gt;0),R486/(6*$N$3*1000000*$N$5)*(IF(N486&lt;($N$4*1/10),($N$4*1/10)*(MIN(O486,($N$4*1/10))^3-N486^3)-(MIN(O486,($N$4*1/10))^4-N486^4)/4,0)+IF(O486&gt;($N$4*1/10),($N$4*1/10)^2*(1.5*(O486^2-MAX(N486,($N$4*1/10))^2)-($N$4*1/10)*(O486-MAX(N486,($N$4*1/10)))),0))*1000,0)</f>
        <v>0</v>
      </c>
      <c r="AO486" s="120">
        <f>IF(AND(V486="OK",ISNUMBER($N$5),$N$5&gt;0,ISNUMBER($N$3),$N$3&gt;0),R486/(6*$N$3*1000000*$N$5)*(IF(N486&lt;($N$4*2/10),($N$4*2/10)*(MIN(O486,($N$4*2/10))^3-N486^3)-(MIN(O486,($N$4*2/10))^4-N486^4)/4,0)+IF(O486&gt;($N$4*2/10),($N$4*2/10)^2*(1.5*(O486^2-MAX(N486,($N$4*2/10))^2)-($N$4*2/10)*(O486-MAX(N486,($N$4*2/10)))),0))*1000,0)</f>
        <v>0</v>
      </c>
      <c r="AP486" s="120">
        <f>IF(AND(V486="OK",ISNUMBER($N$5),$N$5&gt;0,ISNUMBER($N$3),$N$3&gt;0),R486/(6*$N$3*1000000*$N$5)*(IF(N486&lt;($N$4*3/10),($N$4*3/10)*(MIN(O486,($N$4*3/10))^3-N486^3)-(MIN(O486,($N$4*3/10))^4-N486^4)/4,0)+IF(O486&gt;($N$4*3/10),($N$4*3/10)^2*(1.5*(O486^2-MAX(N486,($N$4*3/10))^2)-($N$4*3/10)*(O486-MAX(N486,($N$4*3/10)))),0))*1000,0)</f>
        <v>0</v>
      </c>
      <c r="AQ486" s="120">
        <f>IF(AND(V486="OK",ISNUMBER($N$5),$N$5&gt;0,ISNUMBER($N$3),$N$3&gt;0),R486/(6*$N$3*1000000*$N$5)*(IF(N486&lt;($N$4*4/10),($N$4*4/10)*(MIN(O486,($N$4*4/10))^3-N486^3)-(MIN(O486,($N$4*4/10))^4-N486^4)/4,0)+IF(O486&gt;($N$4*4/10),($N$4*4/10)^2*(1.5*(O486^2-MAX(N486,($N$4*4/10))^2)-($N$4*4/10)*(O486-MAX(N486,($N$4*4/10)))),0))*1000,0)</f>
        <v>0</v>
      </c>
      <c r="AR486" s="120">
        <f>IF(AND(V486="OK",ISNUMBER($N$5),$N$5&gt;0,ISNUMBER($N$3),$N$3&gt;0),R486/(6*$N$3*1000000*$N$5)*(IF(N486&lt;($N$4*5/10),($N$4*5/10)*(MIN(O486,($N$4*5/10))^3-N486^3)-(MIN(O486,($N$4*5/10))^4-N486^4)/4,0)+IF(O486&gt;($N$4*5/10),($N$4*5/10)^2*(1.5*(O486^2-MAX(N486,($N$4*5/10))^2)-($N$4*5/10)*(O486-MAX(N486,($N$4*5/10)))),0))*1000,0)</f>
        <v>0</v>
      </c>
      <c r="AS486" s="120">
        <f>IF(AND(V486="OK",ISNUMBER($N$5),$N$5&gt;0,ISNUMBER($N$3),$N$3&gt;0),R486/(6*$N$3*1000000*$N$5)*(IF(N486&lt;($N$4*6/10),($N$4*6/10)*(MIN(O486,($N$4*6/10))^3-N486^3)-(MIN(O486,($N$4*6/10))^4-N486^4)/4,0)+IF(O486&gt;($N$4*6/10),($N$4*6/10)^2*(1.5*(O486^2-MAX(N486,($N$4*6/10))^2)-($N$4*6/10)*(O486-MAX(N486,($N$4*6/10)))),0))*1000,0)</f>
        <v>0</v>
      </c>
      <c r="AT486" s="120">
        <f>IF(AND(V486="OK",ISNUMBER($N$5),$N$5&gt;0,ISNUMBER($N$3),$N$3&gt;0),R486/(6*$N$3*1000000*$N$5)*(IF(N486&lt;($N$4*7/10),($N$4*7/10)*(MIN(O486,($N$4*7/10))^3-N486^3)-(MIN(O486,($N$4*7/10))^4-N486^4)/4,0)+IF(O486&gt;($N$4*7/10),($N$4*7/10)^2*(1.5*(O486^2-MAX(N486,($N$4*7/10))^2)-($N$4*7/10)*(O486-MAX(N486,($N$4*7/10)))),0))*1000,0)</f>
        <v>0</v>
      </c>
      <c r="AU486" s="120">
        <f>IF(AND(V486="OK",ISNUMBER($N$5),$N$5&gt;0,ISNUMBER($N$3),$N$3&gt;0),R486/(6*$N$3*1000000*$N$5)*(IF(N486&lt;($N$4*8/10),($N$4*8/10)*(MIN(O486,($N$4*8/10))^3-N486^3)-(MIN(O486,($N$4*8/10))^4-N486^4)/4,0)+IF(O486&gt;($N$4*8/10),($N$4*8/10)^2*(1.5*(O486^2-MAX(N486,($N$4*8/10))^2)-($N$4*8/10)*(O486-MAX(N486,($N$4*8/10)))),0))*1000,0)</f>
        <v>0</v>
      </c>
      <c r="AV486" s="120">
        <f>IF(AND(V486="OK",ISNUMBER($N$5),$N$5&gt;0,ISNUMBER($N$3),$N$3&gt;0),R486/(6*$N$3*1000000*$N$5)*(IF(N486&lt;($N$4*9/10),($N$4*9/10)*(MIN(O486,($N$4*9/10))^3-N486^3)-(MIN(O486,($N$4*9/10))^4-N486^4)/4,0)+IF(O486&gt;($N$4*9/10),($N$4*9/10)^2*(1.5*(O486^2-MAX(N486,($N$4*9/10))^2)-($N$4*9/10)*(O486-MAX(N486,($N$4*9/10)))),0))*1000,0)</f>
        <v>0</v>
      </c>
      <c r="AW486" s="120">
        <f>IF(AND(V486="OK",ISNUMBER($N$5),$N$5&gt;0,ISNUMBER($N$3),$N$3&gt;0),R486/(6*$N$3*1000000*$N$5)*(IF(N486&lt;($N$4*10/10),($N$4*10/10)*(MIN(O486,($N$4*10/10))^3-N486^3)-(MIN(O486,($N$4*10/10))^4-N486^4)/4,0)+IF(O486&gt;($N$4*10/10),($N$4*10/10)^2*(1.5*(O486^2-MAX(N486,($N$4*10/10))^2)-($N$4*10/10)*(O486-MAX(N486,($N$4*10/10)))),0))*1000,0)</f>
        <v>0</v>
      </c>
    </row>
    <row r="487" spans="1:49">
      <c r="A487" s="124"/>
      <c r="B487" s="125"/>
      <c r="C487" s="125"/>
      <c r="D487" s="125"/>
      <c r="E487" s="125"/>
      <c r="F487" s="126" t="str">
        <f>IF(J487="OK",D487*E487,"")</f>
        <v/>
      </c>
      <c r="G487" s="126" t="str">
        <f>IF(J487="OK",F487*(C487-B487),"")</f>
        <v/>
      </c>
      <c r="H487" s="126" t="str">
        <f>IF(J487="OK",G487*(C487+B487)/2,"")</f>
        <v/>
      </c>
      <c r="I487" s="126" t="str">
        <f>IF(AND(J487="OK",ISNUMBER($B$5),$B$5&gt;0,ISNUMBER($B$3),$B$3&gt;0),F487*(4*$B$4*(C487^3-B487^3)-(C487^4-B487^4))/(24*$B$3*1000000*$B$5)*1000,"")</f>
        <v/>
      </c>
      <c r="J487" s="120" t="str">
        <f>IF(COUNTA(A487:E487)=0,"",IF(AND(COUNT(B487:E487)=4,B487&gt;=0,C487&gt;B487,C487&lt;=$B$4,D487&gt;=0,E487&gt;0),IF(COUNTIFS($B$13:$B$486,"&lt;"&amp;C487,$C$13:$C$486,"&gt;"&amp;B487)&gt;0,"OVERLAP","OK"),"CHECK INPUTS"))</f>
        <v/>
      </c>
      <c r="M487" s="124"/>
      <c r="N487" s="125"/>
      <c r="O487" s="125"/>
      <c r="P487" s="125"/>
      <c r="Q487" s="125"/>
      <c r="R487" s="126" t="str">
        <f>IF(V487="OK",P487*Q487,"")</f>
        <v/>
      </c>
      <c r="S487" s="126" t="str">
        <f>IF(V487="OK",R487*(O487-N487),"")</f>
        <v/>
      </c>
      <c r="T487" s="126" t="str">
        <f>IF(V487="OK",S487*(O487+N487)/2,"")</f>
        <v/>
      </c>
      <c r="U487" s="126" t="str">
        <f>IF(AND(V487="OK",ISNUMBER($N$5),$N$5&gt;0,ISNUMBER($N$3),$N$3&gt;0),R487*(4*$N$4*(O487^3-N487^3)-(O487^4-N487^4))/(24*$N$3*1000000*$N$5)*1000,"")</f>
        <v/>
      </c>
      <c r="V487" s="120" t="str">
        <f>IF(COUNTA(M487:Q487)=0,"",IF(AND(COUNT(N487:Q487)=4,N487&gt;=0,O487&gt;N487,O487&lt;=$N$4,P487&gt;=0,Q487&gt;0),IF(COUNTIFS($N$13:$N$486,"&lt;"&amp;O487,$O$13:$O$486,"&gt;"&amp;N487)&gt;0,"OVERLAP","OK"),"CHECK INPUTS"))</f>
        <v/>
      </c>
      <c r="AA487" s="120">
        <f>IF(AND(J487="OK",ISNUMBER($B$5),$B$5&gt;0,ISNUMBER($B$3),$B$3&gt;0),F487/(6*$B$3*1000000*$B$5)*(IF(B487&lt;($B$4*0/10),($B$4*0/10)*(MIN(C487,($B$4*0/10))^3-B487^3)-(MIN(C487,($B$4*0/10))^4-B487^4)/4,0)+IF(C487&gt;($B$4*0/10),($B$4*0/10)^2*(1.5*(C487^2-MAX(B487,($B$4*0/10))^2)-($B$4*0/10)*(C487-MAX(B487,($B$4*0/10)))),0))*1000,0)</f>
        <v>0</v>
      </c>
      <c r="AB487" s="120">
        <f>IF(AND(J487="OK",ISNUMBER($B$5),$B$5&gt;0,ISNUMBER($B$3),$B$3&gt;0),F487/(6*$B$3*1000000*$B$5)*(IF(B487&lt;($B$4*1/10),($B$4*1/10)*(MIN(C487,($B$4*1/10))^3-B487^3)-(MIN(C487,($B$4*1/10))^4-B487^4)/4,0)+IF(C487&gt;($B$4*1/10),($B$4*1/10)^2*(1.5*(C487^2-MAX(B487,($B$4*1/10))^2)-($B$4*1/10)*(C487-MAX(B487,($B$4*1/10)))),0))*1000,0)</f>
        <v>0</v>
      </c>
      <c r="AC487" s="120">
        <f>IF(AND(J487="OK",ISNUMBER($B$5),$B$5&gt;0,ISNUMBER($B$3),$B$3&gt;0),F487/(6*$B$3*1000000*$B$5)*(IF(B487&lt;($B$4*2/10),($B$4*2/10)*(MIN(C487,($B$4*2/10))^3-B487^3)-(MIN(C487,($B$4*2/10))^4-B487^4)/4,0)+IF(C487&gt;($B$4*2/10),($B$4*2/10)^2*(1.5*(C487^2-MAX(B487,($B$4*2/10))^2)-($B$4*2/10)*(C487-MAX(B487,($B$4*2/10)))),0))*1000,0)</f>
        <v>0</v>
      </c>
      <c r="AD487" s="120">
        <f>IF(AND(J487="OK",ISNUMBER($B$5),$B$5&gt;0,ISNUMBER($B$3),$B$3&gt;0),F487/(6*$B$3*1000000*$B$5)*(IF(B487&lt;($B$4*3/10),($B$4*3/10)*(MIN(C487,($B$4*3/10))^3-B487^3)-(MIN(C487,($B$4*3/10))^4-B487^4)/4,0)+IF(C487&gt;($B$4*3/10),($B$4*3/10)^2*(1.5*(C487^2-MAX(B487,($B$4*3/10))^2)-($B$4*3/10)*(C487-MAX(B487,($B$4*3/10)))),0))*1000,0)</f>
        <v>0</v>
      </c>
      <c r="AE487" s="120">
        <f>IF(AND(J487="OK",ISNUMBER($B$5),$B$5&gt;0,ISNUMBER($B$3),$B$3&gt;0),F487/(6*$B$3*1000000*$B$5)*(IF(B487&lt;($B$4*4/10),($B$4*4/10)*(MIN(C487,($B$4*4/10))^3-B487^3)-(MIN(C487,($B$4*4/10))^4-B487^4)/4,0)+IF(C487&gt;($B$4*4/10),($B$4*4/10)^2*(1.5*(C487^2-MAX(B487,($B$4*4/10))^2)-($B$4*4/10)*(C487-MAX(B487,($B$4*4/10)))),0))*1000,0)</f>
        <v>0</v>
      </c>
      <c r="AF487" s="120">
        <f>IF(AND(J487="OK",ISNUMBER($B$5),$B$5&gt;0,ISNUMBER($B$3),$B$3&gt;0),F487/(6*$B$3*1000000*$B$5)*(IF(B487&lt;($B$4*5/10),($B$4*5/10)*(MIN(C487,($B$4*5/10))^3-B487^3)-(MIN(C487,($B$4*5/10))^4-B487^4)/4,0)+IF(C487&gt;($B$4*5/10),($B$4*5/10)^2*(1.5*(C487^2-MAX(B487,($B$4*5/10))^2)-($B$4*5/10)*(C487-MAX(B487,($B$4*5/10)))),0))*1000,0)</f>
        <v>0</v>
      </c>
      <c r="AG487" s="120">
        <f>IF(AND(J487="OK",ISNUMBER($B$5),$B$5&gt;0,ISNUMBER($B$3),$B$3&gt;0),F487/(6*$B$3*1000000*$B$5)*(IF(B487&lt;($B$4*6/10),($B$4*6/10)*(MIN(C487,($B$4*6/10))^3-B487^3)-(MIN(C487,($B$4*6/10))^4-B487^4)/4,0)+IF(C487&gt;($B$4*6/10),($B$4*6/10)^2*(1.5*(C487^2-MAX(B487,($B$4*6/10))^2)-($B$4*6/10)*(C487-MAX(B487,($B$4*6/10)))),0))*1000,0)</f>
        <v>0</v>
      </c>
      <c r="AH487" s="120">
        <f>IF(AND(J487="OK",ISNUMBER($B$5),$B$5&gt;0,ISNUMBER($B$3),$B$3&gt;0),F487/(6*$B$3*1000000*$B$5)*(IF(B487&lt;($B$4*7/10),($B$4*7/10)*(MIN(C487,($B$4*7/10))^3-B487^3)-(MIN(C487,($B$4*7/10))^4-B487^4)/4,0)+IF(C487&gt;($B$4*7/10),($B$4*7/10)^2*(1.5*(C487^2-MAX(B487,($B$4*7/10))^2)-($B$4*7/10)*(C487-MAX(B487,($B$4*7/10)))),0))*1000,0)</f>
        <v>0</v>
      </c>
      <c r="AI487" s="120">
        <f>IF(AND(J487="OK",ISNUMBER($B$5),$B$5&gt;0,ISNUMBER($B$3),$B$3&gt;0),F487/(6*$B$3*1000000*$B$5)*(IF(B487&lt;($B$4*8/10),($B$4*8/10)*(MIN(C487,($B$4*8/10))^3-B487^3)-(MIN(C487,($B$4*8/10))^4-B487^4)/4,0)+IF(C487&gt;($B$4*8/10),($B$4*8/10)^2*(1.5*(C487^2-MAX(B487,($B$4*8/10))^2)-($B$4*8/10)*(C487-MAX(B487,($B$4*8/10)))),0))*1000,0)</f>
        <v>0</v>
      </c>
      <c r="AJ487" s="120">
        <f>IF(AND(J487="OK",ISNUMBER($B$5),$B$5&gt;0,ISNUMBER($B$3),$B$3&gt;0),F487/(6*$B$3*1000000*$B$5)*(IF(B487&lt;($B$4*9/10),($B$4*9/10)*(MIN(C487,($B$4*9/10))^3-B487^3)-(MIN(C487,($B$4*9/10))^4-B487^4)/4,0)+IF(C487&gt;($B$4*9/10),($B$4*9/10)^2*(1.5*(C487^2-MAX(B487,($B$4*9/10))^2)-($B$4*9/10)*(C487-MAX(B487,($B$4*9/10)))),0))*1000,0)</f>
        <v>0</v>
      </c>
      <c r="AK487" s="120">
        <f>IF(AND(J487="OK",ISNUMBER($B$5),$B$5&gt;0,ISNUMBER($B$3),$B$3&gt;0),F487/(6*$B$3*1000000*$B$5)*(IF(B487&lt;($B$4*10/10),($B$4*10/10)*(MIN(C487,($B$4*10/10))^3-B487^3)-(MIN(C487,($B$4*10/10))^4-B487^4)/4,0)+IF(C487&gt;($B$4*10/10),($B$4*10/10)^2*(1.5*(C487^2-MAX(B487,($B$4*10/10))^2)-($B$4*10/10)*(C487-MAX(B487,($B$4*10/10)))),0))*1000,0)</f>
        <v>0</v>
      </c>
      <c r="AM487" s="120">
        <f>IF(AND(V487="OK",ISNUMBER($N$5),$N$5&gt;0,ISNUMBER($N$3),$N$3&gt;0),R487/(6*$N$3*1000000*$N$5)*(IF(N487&lt;($N$4*0/10),($N$4*0/10)*(MIN(O487,($N$4*0/10))^3-N487^3)-(MIN(O487,($N$4*0/10))^4-N487^4)/4,0)+IF(O487&gt;($N$4*0/10),($N$4*0/10)^2*(1.5*(O487^2-MAX(N487,($N$4*0/10))^2)-($N$4*0/10)*(O487-MAX(N487,($N$4*0/10)))),0))*1000,0)</f>
        <v>0</v>
      </c>
      <c r="AN487" s="120">
        <f>IF(AND(V487="OK",ISNUMBER($N$5),$N$5&gt;0,ISNUMBER($N$3),$N$3&gt;0),R487/(6*$N$3*1000000*$N$5)*(IF(N487&lt;($N$4*1/10),($N$4*1/10)*(MIN(O487,($N$4*1/10))^3-N487^3)-(MIN(O487,($N$4*1/10))^4-N487^4)/4,0)+IF(O487&gt;($N$4*1/10),($N$4*1/10)^2*(1.5*(O487^2-MAX(N487,($N$4*1/10))^2)-($N$4*1/10)*(O487-MAX(N487,($N$4*1/10)))),0))*1000,0)</f>
        <v>0</v>
      </c>
      <c r="AO487" s="120">
        <f>IF(AND(V487="OK",ISNUMBER($N$5),$N$5&gt;0,ISNUMBER($N$3),$N$3&gt;0),R487/(6*$N$3*1000000*$N$5)*(IF(N487&lt;($N$4*2/10),($N$4*2/10)*(MIN(O487,($N$4*2/10))^3-N487^3)-(MIN(O487,($N$4*2/10))^4-N487^4)/4,0)+IF(O487&gt;($N$4*2/10),($N$4*2/10)^2*(1.5*(O487^2-MAX(N487,($N$4*2/10))^2)-($N$4*2/10)*(O487-MAX(N487,($N$4*2/10)))),0))*1000,0)</f>
        <v>0</v>
      </c>
      <c r="AP487" s="120">
        <f>IF(AND(V487="OK",ISNUMBER($N$5),$N$5&gt;0,ISNUMBER($N$3),$N$3&gt;0),R487/(6*$N$3*1000000*$N$5)*(IF(N487&lt;($N$4*3/10),($N$4*3/10)*(MIN(O487,($N$4*3/10))^3-N487^3)-(MIN(O487,($N$4*3/10))^4-N487^4)/4,0)+IF(O487&gt;($N$4*3/10),($N$4*3/10)^2*(1.5*(O487^2-MAX(N487,($N$4*3/10))^2)-($N$4*3/10)*(O487-MAX(N487,($N$4*3/10)))),0))*1000,0)</f>
        <v>0</v>
      </c>
      <c r="AQ487" s="120">
        <f>IF(AND(V487="OK",ISNUMBER($N$5),$N$5&gt;0,ISNUMBER($N$3),$N$3&gt;0),R487/(6*$N$3*1000000*$N$5)*(IF(N487&lt;($N$4*4/10),($N$4*4/10)*(MIN(O487,($N$4*4/10))^3-N487^3)-(MIN(O487,($N$4*4/10))^4-N487^4)/4,0)+IF(O487&gt;($N$4*4/10),($N$4*4/10)^2*(1.5*(O487^2-MAX(N487,($N$4*4/10))^2)-($N$4*4/10)*(O487-MAX(N487,($N$4*4/10)))),0))*1000,0)</f>
        <v>0</v>
      </c>
      <c r="AR487" s="120">
        <f>IF(AND(V487="OK",ISNUMBER($N$5),$N$5&gt;0,ISNUMBER($N$3),$N$3&gt;0),R487/(6*$N$3*1000000*$N$5)*(IF(N487&lt;($N$4*5/10),($N$4*5/10)*(MIN(O487,($N$4*5/10))^3-N487^3)-(MIN(O487,($N$4*5/10))^4-N487^4)/4,0)+IF(O487&gt;($N$4*5/10),($N$4*5/10)^2*(1.5*(O487^2-MAX(N487,($N$4*5/10))^2)-($N$4*5/10)*(O487-MAX(N487,($N$4*5/10)))),0))*1000,0)</f>
        <v>0</v>
      </c>
      <c r="AS487" s="120">
        <f>IF(AND(V487="OK",ISNUMBER($N$5),$N$5&gt;0,ISNUMBER($N$3),$N$3&gt;0),R487/(6*$N$3*1000000*$N$5)*(IF(N487&lt;($N$4*6/10),($N$4*6/10)*(MIN(O487,($N$4*6/10))^3-N487^3)-(MIN(O487,($N$4*6/10))^4-N487^4)/4,0)+IF(O487&gt;($N$4*6/10),($N$4*6/10)^2*(1.5*(O487^2-MAX(N487,($N$4*6/10))^2)-($N$4*6/10)*(O487-MAX(N487,($N$4*6/10)))),0))*1000,0)</f>
        <v>0</v>
      </c>
      <c r="AT487" s="120">
        <f>IF(AND(V487="OK",ISNUMBER($N$5),$N$5&gt;0,ISNUMBER($N$3),$N$3&gt;0),R487/(6*$N$3*1000000*$N$5)*(IF(N487&lt;($N$4*7/10),($N$4*7/10)*(MIN(O487,($N$4*7/10))^3-N487^3)-(MIN(O487,($N$4*7/10))^4-N487^4)/4,0)+IF(O487&gt;($N$4*7/10),($N$4*7/10)^2*(1.5*(O487^2-MAX(N487,($N$4*7/10))^2)-($N$4*7/10)*(O487-MAX(N487,($N$4*7/10)))),0))*1000,0)</f>
        <v>0</v>
      </c>
      <c r="AU487" s="120">
        <f>IF(AND(V487="OK",ISNUMBER($N$5),$N$5&gt;0,ISNUMBER($N$3),$N$3&gt;0),R487/(6*$N$3*1000000*$N$5)*(IF(N487&lt;($N$4*8/10),($N$4*8/10)*(MIN(O487,($N$4*8/10))^3-N487^3)-(MIN(O487,($N$4*8/10))^4-N487^4)/4,0)+IF(O487&gt;($N$4*8/10),($N$4*8/10)^2*(1.5*(O487^2-MAX(N487,($N$4*8/10))^2)-($N$4*8/10)*(O487-MAX(N487,($N$4*8/10)))),0))*1000,0)</f>
        <v>0</v>
      </c>
      <c r="AV487" s="120">
        <f>IF(AND(V487="OK",ISNUMBER($N$5),$N$5&gt;0,ISNUMBER($N$3),$N$3&gt;0),R487/(6*$N$3*1000000*$N$5)*(IF(N487&lt;($N$4*9/10),($N$4*9/10)*(MIN(O487,($N$4*9/10))^3-N487^3)-(MIN(O487,($N$4*9/10))^4-N487^4)/4,0)+IF(O487&gt;($N$4*9/10),($N$4*9/10)^2*(1.5*(O487^2-MAX(N487,($N$4*9/10))^2)-($N$4*9/10)*(O487-MAX(N487,($N$4*9/10)))),0))*1000,0)</f>
        <v>0</v>
      </c>
      <c r="AW487" s="120">
        <f>IF(AND(V487="OK",ISNUMBER($N$5),$N$5&gt;0,ISNUMBER($N$3),$N$3&gt;0),R487/(6*$N$3*1000000*$N$5)*(IF(N487&lt;($N$4*10/10),($N$4*10/10)*(MIN(O487,($N$4*10/10))^3-N487^3)-(MIN(O487,($N$4*10/10))^4-N487^4)/4,0)+IF(O487&gt;($N$4*10/10),($N$4*10/10)^2*(1.5*(O487^2-MAX(N487,($N$4*10/10))^2)-($N$4*10/10)*(O487-MAX(N487,($N$4*10/10)))),0))*1000,0)</f>
        <v>0</v>
      </c>
    </row>
    <row r="488" spans="1:49">
      <c r="A488" s="124"/>
      <c r="B488" s="125"/>
      <c r="C488" s="125"/>
      <c r="D488" s="125"/>
      <c r="E488" s="125"/>
      <c r="F488" s="126" t="str">
        <f>IF(J488="OK",D488*E488,"")</f>
        <v/>
      </c>
      <c r="G488" s="126" t="str">
        <f>IF(J488="OK",F488*(C488-B488),"")</f>
        <v/>
      </c>
      <c r="H488" s="126" t="str">
        <f>IF(J488="OK",G488*(C488+B488)/2,"")</f>
        <v/>
      </c>
      <c r="I488" s="126" t="str">
        <f>IF(AND(J488="OK",ISNUMBER($B$5),$B$5&gt;0,ISNUMBER($B$3),$B$3&gt;0),F488*(4*$B$4*(C488^3-B488^3)-(C488^4-B488^4))/(24*$B$3*1000000*$B$5)*1000,"")</f>
        <v/>
      </c>
      <c r="J488" s="120" t="str">
        <f>IF(COUNTA(A488:E488)=0,"",IF(AND(COUNT(B488:E488)=4,B488&gt;=0,C488&gt;B488,C488&lt;=$B$4,D488&gt;=0,E488&gt;0),IF(COUNTIFS($B$13:$B$487,"&lt;"&amp;C488,$C$13:$C$487,"&gt;"&amp;B488)&gt;0,"OVERLAP","OK"),"CHECK INPUTS"))</f>
        <v/>
      </c>
      <c r="M488" s="124"/>
      <c r="N488" s="125"/>
      <c r="O488" s="125"/>
      <c r="P488" s="125"/>
      <c r="Q488" s="125"/>
      <c r="R488" s="126" t="str">
        <f>IF(V488="OK",P488*Q488,"")</f>
        <v/>
      </c>
      <c r="S488" s="126" t="str">
        <f>IF(V488="OK",R488*(O488-N488),"")</f>
        <v/>
      </c>
      <c r="T488" s="126" t="str">
        <f>IF(V488="OK",S488*(O488+N488)/2,"")</f>
        <v/>
      </c>
      <c r="U488" s="126" t="str">
        <f>IF(AND(V488="OK",ISNUMBER($N$5),$N$5&gt;0,ISNUMBER($N$3),$N$3&gt;0),R488*(4*$N$4*(O488^3-N488^3)-(O488^4-N488^4))/(24*$N$3*1000000*$N$5)*1000,"")</f>
        <v/>
      </c>
      <c r="V488" s="120" t="str">
        <f>IF(COUNTA(M488:Q488)=0,"",IF(AND(COUNT(N488:Q488)=4,N488&gt;=0,O488&gt;N488,O488&lt;=$N$4,P488&gt;=0,Q488&gt;0),IF(COUNTIFS($N$13:$N$487,"&lt;"&amp;O488,$O$13:$O$487,"&gt;"&amp;N488)&gt;0,"OVERLAP","OK"),"CHECK INPUTS"))</f>
        <v/>
      </c>
      <c r="AA488" s="120">
        <f>IF(AND(J488="OK",ISNUMBER($B$5),$B$5&gt;0,ISNUMBER($B$3),$B$3&gt;0),F488/(6*$B$3*1000000*$B$5)*(IF(B488&lt;($B$4*0/10),($B$4*0/10)*(MIN(C488,($B$4*0/10))^3-B488^3)-(MIN(C488,($B$4*0/10))^4-B488^4)/4,0)+IF(C488&gt;($B$4*0/10),($B$4*0/10)^2*(1.5*(C488^2-MAX(B488,($B$4*0/10))^2)-($B$4*0/10)*(C488-MAX(B488,($B$4*0/10)))),0))*1000,0)</f>
        <v>0</v>
      </c>
      <c r="AB488" s="120">
        <f>IF(AND(J488="OK",ISNUMBER($B$5),$B$5&gt;0,ISNUMBER($B$3),$B$3&gt;0),F488/(6*$B$3*1000000*$B$5)*(IF(B488&lt;($B$4*1/10),($B$4*1/10)*(MIN(C488,($B$4*1/10))^3-B488^3)-(MIN(C488,($B$4*1/10))^4-B488^4)/4,0)+IF(C488&gt;($B$4*1/10),($B$4*1/10)^2*(1.5*(C488^2-MAX(B488,($B$4*1/10))^2)-($B$4*1/10)*(C488-MAX(B488,($B$4*1/10)))),0))*1000,0)</f>
        <v>0</v>
      </c>
      <c r="AC488" s="120">
        <f>IF(AND(J488="OK",ISNUMBER($B$5),$B$5&gt;0,ISNUMBER($B$3),$B$3&gt;0),F488/(6*$B$3*1000000*$B$5)*(IF(B488&lt;($B$4*2/10),($B$4*2/10)*(MIN(C488,($B$4*2/10))^3-B488^3)-(MIN(C488,($B$4*2/10))^4-B488^4)/4,0)+IF(C488&gt;($B$4*2/10),($B$4*2/10)^2*(1.5*(C488^2-MAX(B488,($B$4*2/10))^2)-($B$4*2/10)*(C488-MAX(B488,($B$4*2/10)))),0))*1000,0)</f>
        <v>0</v>
      </c>
      <c r="AD488" s="120">
        <f>IF(AND(J488="OK",ISNUMBER($B$5),$B$5&gt;0,ISNUMBER($B$3),$B$3&gt;0),F488/(6*$B$3*1000000*$B$5)*(IF(B488&lt;($B$4*3/10),($B$4*3/10)*(MIN(C488,($B$4*3/10))^3-B488^3)-(MIN(C488,($B$4*3/10))^4-B488^4)/4,0)+IF(C488&gt;($B$4*3/10),($B$4*3/10)^2*(1.5*(C488^2-MAX(B488,($B$4*3/10))^2)-($B$4*3/10)*(C488-MAX(B488,($B$4*3/10)))),0))*1000,0)</f>
        <v>0</v>
      </c>
      <c r="AE488" s="120">
        <f>IF(AND(J488="OK",ISNUMBER($B$5),$B$5&gt;0,ISNUMBER($B$3),$B$3&gt;0),F488/(6*$B$3*1000000*$B$5)*(IF(B488&lt;($B$4*4/10),($B$4*4/10)*(MIN(C488,($B$4*4/10))^3-B488^3)-(MIN(C488,($B$4*4/10))^4-B488^4)/4,0)+IF(C488&gt;($B$4*4/10),($B$4*4/10)^2*(1.5*(C488^2-MAX(B488,($B$4*4/10))^2)-($B$4*4/10)*(C488-MAX(B488,($B$4*4/10)))),0))*1000,0)</f>
        <v>0</v>
      </c>
      <c r="AF488" s="120">
        <f>IF(AND(J488="OK",ISNUMBER($B$5),$B$5&gt;0,ISNUMBER($B$3),$B$3&gt;0),F488/(6*$B$3*1000000*$B$5)*(IF(B488&lt;($B$4*5/10),($B$4*5/10)*(MIN(C488,($B$4*5/10))^3-B488^3)-(MIN(C488,($B$4*5/10))^4-B488^4)/4,0)+IF(C488&gt;($B$4*5/10),($B$4*5/10)^2*(1.5*(C488^2-MAX(B488,($B$4*5/10))^2)-($B$4*5/10)*(C488-MAX(B488,($B$4*5/10)))),0))*1000,0)</f>
        <v>0</v>
      </c>
      <c r="AG488" s="120">
        <f>IF(AND(J488="OK",ISNUMBER($B$5),$B$5&gt;0,ISNUMBER($B$3),$B$3&gt;0),F488/(6*$B$3*1000000*$B$5)*(IF(B488&lt;($B$4*6/10),($B$4*6/10)*(MIN(C488,($B$4*6/10))^3-B488^3)-(MIN(C488,($B$4*6/10))^4-B488^4)/4,0)+IF(C488&gt;($B$4*6/10),($B$4*6/10)^2*(1.5*(C488^2-MAX(B488,($B$4*6/10))^2)-($B$4*6/10)*(C488-MAX(B488,($B$4*6/10)))),0))*1000,0)</f>
        <v>0</v>
      </c>
      <c r="AH488" s="120">
        <f>IF(AND(J488="OK",ISNUMBER($B$5),$B$5&gt;0,ISNUMBER($B$3),$B$3&gt;0),F488/(6*$B$3*1000000*$B$5)*(IF(B488&lt;($B$4*7/10),($B$4*7/10)*(MIN(C488,($B$4*7/10))^3-B488^3)-(MIN(C488,($B$4*7/10))^4-B488^4)/4,0)+IF(C488&gt;($B$4*7/10),($B$4*7/10)^2*(1.5*(C488^2-MAX(B488,($B$4*7/10))^2)-($B$4*7/10)*(C488-MAX(B488,($B$4*7/10)))),0))*1000,0)</f>
        <v>0</v>
      </c>
      <c r="AI488" s="120">
        <f>IF(AND(J488="OK",ISNUMBER($B$5),$B$5&gt;0,ISNUMBER($B$3),$B$3&gt;0),F488/(6*$B$3*1000000*$B$5)*(IF(B488&lt;($B$4*8/10),($B$4*8/10)*(MIN(C488,($B$4*8/10))^3-B488^3)-(MIN(C488,($B$4*8/10))^4-B488^4)/4,0)+IF(C488&gt;($B$4*8/10),($B$4*8/10)^2*(1.5*(C488^2-MAX(B488,($B$4*8/10))^2)-($B$4*8/10)*(C488-MAX(B488,($B$4*8/10)))),0))*1000,0)</f>
        <v>0</v>
      </c>
      <c r="AJ488" s="120">
        <f>IF(AND(J488="OK",ISNUMBER($B$5),$B$5&gt;0,ISNUMBER($B$3),$B$3&gt;0),F488/(6*$B$3*1000000*$B$5)*(IF(B488&lt;($B$4*9/10),($B$4*9/10)*(MIN(C488,($B$4*9/10))^3-B488^3)-(MIN(C488,($B$4*9/10))^4-B488^4)/4,0)+IF(C488&gt;($B$4*9/10),($B$4*9/10)^2*(1.5*(C488^2-MAX(B488,($B$4*9/10))^2)-($B$4*9/10)*(C488-MAX(B488,($B$4*9/10)))),0))*1000,0)</f>
        <v>0</v>
      </c>
      <c r="AK488" s="120">
        <f>IF(AND(J488="OK",ISNUMBER($B$5),$B$5&gt;0,ISNUMBER($B$3),$B$3&gt;0),F488/(6*$B$3*1000000*$B$5)*(IF(B488&lt;($B$4*10/10),($B$4*10/10)*(MIN(C488,($B$4*10/10))^3-B488^3)-(MIN(C488,($B$4*10/10))^4-B488^4)/4,0)+IF(C488&gt;($B$4*10/10),($B$4*10/10)^2*(1.5*(C488^2-MAX(B488,($B$4*10/10))^2)-($B$4*10/10)*(C488-MAX(B488,($B$4*10/10)))),0))*1000,0)</f>
        <v>0</v>
      </c>
      <c r="AM488" s="120">
        <f>IF(AND(V488="OK",ISNUMBER($N$5),$N$5&gt;0,ISNUMBER($N$3),$N$3&gt;0),R488/(6*$N$3*1000000*$N$5)*(IF(N488&lt;($N$4*0/10),($N$4*0/10)*(MIN(O488,($N$4*0/10))^3-N488^3)-(MIN(O488,($N$4*0/10))^4-N488^4)/4,0)+IF(O488&gt;($N$4*0/10),($N$4*0/10)^2*(1.5*(O488^2-MAX(N488,($N$4*0/10))^2)-($N$4*0/10)*(O488-MAX(N488,($N$4*0/10)))),0))*1000,0)</f>
        <v>0</v>
      </c>
      <c r="AN488" s="120">
        <f>IF(AND(V488="OK",ISNUMBER($N$5),$N$5&gt;0,ISNUMBER($N$3),$N$3&gt;0),R488/(6*$N$3*1000000*$N$5)*(IF(N488&lt;($N$4*1/10),($N$4*1/10)*(MIN(O488,($N$4*1/10))^3-N488^3)-(MIN(O488,($N$4*1/10))^4-N488^4)/4,0)+IF(O488&gt;($N$4*1/10),($N$4*1/10)^2*(1.5*(O488^2-MAX(N488,($N$4*1/10))^2)-($N$4*1/10)*(O488-MAX(N488,($N$4*1/10)))),0))*1000,0)</f>
        <v>0</v>
      </c>
      <c r="AO488" s="120">
        <f>IF(AND(V488="OK",ISNUMBER($N$5),$N$5&gt;0,ISNUMBER($N$3),$N$3&gt;0),R488/(6*$N$3*1000000*$N$5)*(IF(N488&lt;($N$4*2/10),($N$4*2/10)*(MIN(O488,($N$4*2/10))^3-N488^3)-(MIN(O488,($N$4*2/10))^4-N488^4)/4,0)+IF(O488&gt;($N$4*2/10),($N$4*2/10)^2*(1.5*(O488^2-MAX(N488,($N$4*2/10))^2)-($N$4*2/10)*(O488-MAX(N488,($N$4*2/10)))),0))*1000,0)</f>
        <v>0</v>
      </c>
      <c r="AP488" s="120">
        <f>IF(AND(V488="OK",ISNUMBER($N$5),$N$5&gt;0,ISNUMBER($N$3),$N$3&gt;0),R488/(6*$N$3*1000000*$N$5)*(IF(N488&lt;($N$4*3/10),($N$4*3/10)*(MIN(O488,($N$4*3/10))^3-N488^3)-(MIN(O488,($N$4*3/10))^4-N488^4)/4,0)+IF(O488&gt;($N$4*3/10),($N$4*3/10)^2*(1.5*(O488^2-MAX(N488,($N$4*3/10))^2)-($N$4*3/10)*(O488-MAX(N488,($N$4*3/10)))),0))*1000,0)</f>
        <v>0</v>
      </c>
      <c r="AQ488" s="120">
        <f>IF(AND(V488="OK",ISNUMBER($N$5),$N$5&gt;0,ISNUMBER($N$3),$N$3&gt;0),R488/(6*$N$3*1000000*$N$5)*(IF(N488&lt;($N$4*4/10),($N$4*4/10)*(MIN(O488,($N$4*4/10))^3-N488^3)-(MIN(O488,($N$4*4/10))^4-N488^4)/4,0)+IF(O488&gt;($N$4*4/10),($N$4*4/10)^2*(1.5*(O488^2-MAX(N488,($N$4*4/10))^2)-($N$4*4/10)*(O488-MAX(N488,($N$4*4/10)))),0))*1000,0)</f>
        <v>0</v>
      </c>
      <c r="AR488" s="120">
        <f>IF(AND(V488="OK",ISNUMBER($N$5),$N$5&gt;0,ISNUMBER($N$3),$N$3&gt;0),R488/(6*$N$3*1000000*$N$5)*(IF(N488&lt;($N$4*5/10),($N$4*5/10)*(MIN(O488,($N$4*5/10))^3-N488^3)-(MIN(O488,($N$4*5/10))^4-N488^4)/4,0)+IF(O488&gt;($N$4*5/10),($N$4*5/10)^2*(1.5*(O488^2-MAX(N488,($N$4*5/10))^2)-($N$4*5/10)*(O488-MAX(N488,($N$4*5/10)))),0))*1000,0)</f>
        <v>0</v>
      </c>
      <c r="AS488" s="120">
        <f>IF(AND(V488="OK",ISNUMBER($N$5),$N$5&gt;0,ISNUMBER($N$3),$N$3&gt;0),R488/(6*$N$3*1000000*$N$5)*(IF(N488&lt;($N$4*6/10),($N$4*6/10)*(MIN(O488,($N$4*6/10))^3-N488^3)-(MIN(O488,($N$4*6/10))^4-N488^4)/4,0)+IF(O488&gt;($N$4*6/10),($N$4*6/10)^2*(1.5*(O488^2-MAX(N488,($N$4*6/10))^2)-($N$4*6/10)*(O488-MAX(N488,($N$4*6/10)))),0))*1000,0)</f>
        <v>0</v>
      </c>
      <c r="AT488" s="120">
        <f>IF(AND(V488="OK",ISNUMBER($N$5),$N$5&gt;0,ISNUMBER($N$3),$N$3&gt;0),R488/(6*$N$3*1000000*$N$5)*(IF(N488&lt;($N$4*7/10),($N$4*7/10)*(MIN(O488,($N$4*7/10))^3-N488^3)-(MIN(O488,($N$4*7/10))^4-N488^4)/4,0)+IF(O488&gt;($N$4*7/10),($N$4*7/10)^2*(1.5*(O488^2-MAX(N488,($N$4*7/10))^2)-($N$4*7/10)*(O488-MAX(N488,($N$4*7/10)))),0))*1000,0)</f>
        <v>0</v>
      </c>
      <c r="AU488" s="120">
        <f>IF(AND(V488="OK",ISNUMBER($N$5),$N$5&gt;0,ISNUMBER($N$3),$N$3&gt;0),R488/(6*$N$3*1000000*$N$5)*(IF(N488&lt;($N$4*8/10),($N$4*8/10)*(MIN(O488,($N$4*8/10))^3-N488^3)-(MIN(O488,($N$4*8/10))^4-N488^4)/4,0)+IF(O488&gt;($N$4*8/10),($N$4*8/10)^2*(1.5*(O488^2-MAX(N488,($N$4*8/10))^2)-($N$4*8/10)*(O488-MAX(N488,($N$4*8/10)))),0))*1000,0)</f>
        <v>0</v>
      </c>
      <c r="AV488" s="120">
        <f>IF(AND(V488="OK",ISNUMBER($N$5),$N$5&gt;0,ISNUMBER($N$3),$N$3&gt;0),R488/(6*$N$3*1000000*$N$5)*(IF(N488&lt;($N$4*9/10),($N$4*9/10)*(MIN(O488,($N$4*9/10))^3-N488^3)-(MIN(O488,($N$4*9/10))^4-N488^4)/4,0)+IF(O488&gt;($N$4*9/10),($N$4*9/10)^2*(1.5*(O488^2-MAX(N488,($N$4*9/10))^2)-($N$4*9/10)*(O488-MAX(N488,($N$4*9/10)))),0))*1000,0)</f>
        <v>0</v>
      </c>
      <c r="AW488" s="120">
        <f>IF(AND(V488="OK",ISNUMBER($N$5),$N$5&gt;0,ISNUMBER($N$3),$N$3&gt;0),R488/(6*$N$3*1000000*$N$5)*(IF(N488&lt;($N$4*10/10),($N$4*10/10)*(MIN(O488,($N$4*10/10))^3-N488^3)-(MIN(O488,($N$4*10/10))^4-N488^4)/4,0)+IF(O488&gt;($N$4*10/10),($N$4*10/10)^2*(1.5*(O488^2-MAX(N488,($N$4*10/10))^2)-($N$4*10/10)*(O488-MAX(N488,($N$4*10/10)))),0))*1000,0)</f>
        <v>0</v>
      </c>
    </row>
    <row r="489" spans="1:49">
      <c r="A489" s="124"/>
      <c r="B489" s="125"/>
      <c r="C489" s="125"/>
      <c r="D489" s="125"/>
      <c r="E489" s="125"/>
      <c r="F489" s="126" t="str">
        <f>IF(J489="OK",D489*E489,"")</f>
        <v/>
      </c>
      <c r="G489" s="126" t="str">
        <f>IF(J489="OK",F489*(C489-B489),"")</f>
        <v/>
      </c>
      <c r="H489" s="126" t="str">
        <f>IF(J489="OK",G489*(C489+B489)/2,"")</f>
        <v/>
      </c>
      <c r="I489" s="126" t="str">
        <f>IF(AND(J489="OK",ISNUMBER($B$5),$B$5&gt;0,ISNUMBER($B$3),$B$3&gt;0),F489*(4*$B$4*(C489^3-B489^3)-(C489^4-B489^4))/(24*$B$3*1000000*$B$5)*1000,"")</f>
        <v/>
      </c>
      <c r="J489" s="120" t="str">
        <f>IF(COUNTA(A489:E489)=0,"",IF(AND(COUNT(B489:E489)=4,B489&gt;=0,C489&gt;B489,C489&lt;=$B$4,D489&gt;=0,E489&gt;0),IF(COUNTIFS($B$13:$B$488,"&lt;"&amp;C489,$C$13:$C$488,"&gt;"&amp;B489)&gt;0,"OVERLAP","OK"),"CHECK INPUTS"))</f>
        <v/>
      </c>
      <c r="M489" s="124"/>
      <c r="N489" s="125"/>
      <c r="O489" s="125"/>
      <c r="P489" s="125"/>
      <c r="Q489" s="125"/>
      <c r="R489" s="126" t="str">
        <f>IF(V489="OK",P489*Q489,"")</f>
        <v/>
      </c>
      <c r="S489" s="126" t="str">
        <f>IF(V489="OK",R489*(O489-N489),"")</f>
        <v/>
      </c>
      <c r="T489" s="126" t="str">
        <f>IF(V489="OK",S489*(O489+N489)/2,"")</f>
        <v/>
      </c>
      <c r="U489" s="126" t="str">
        <f>IF(AND(V489="OK",ISNUMBER($N$5),$N$5&gt;0,ISNUMBER($N$3),$N$3&gt;0),R489*(4*$N$4*(O489^3-N489^3)-(O489^4-N489^4))/(24*$N$3*1000000*$N$5)*1000,"")</f>
        <v/>
      </c>
      <c r="V489" s="120" t="str">
        <f>IF(COUNTA(M489:Q489)=0,"",IF(AND(COUNT(N489:Q489)=4,N489&gt;=0,O489&gt;N489,O489&lt;=$N$4,P489&gt;=0,Q489&gt;0),IF(COUNTIFS($N$13:$N$488,"&lt;"&amp;O489,$O$13:$O$488,"&gt;"&amp;N489)&gt;0,"OVERLAP","OK"),"CHECK INPUTS"))</f>
        <v/>
      </c>
      <c r="AA489" s="120">
        <f>IF(AND(J489="OK",ISNUMBER($B$5),$B$5&gt;0,ISNUMBER($B$3),$B$3&gt;0),F489/(6*$B$3*1000000*$B$5)*(IF(B489&lt;($B$4*0/10),($B$4*0/10)*(MIN(C489,($B$4*0/10))^3-B489^3)-(MIN(C489,($B$4*0/10))^4-B489^4)/4,0)+IF(C489&gt;($B$4*0/10),($B$4*0/10)^2*(1.5*(C489^2-MAX(B489,($B$4*0/10))^2)-($B$4*0/10)*(C489-MAX(B489,($B$4*0/10)))),0))*1000,0)</f>
        <v>0</v>
      </c>
      <c r="AB489" s="120">
        <f>IF(AND(J489="OK",ISNUMBER($B$5),$B$5&gt;0,ISNUMBER($B$3),$B$3&gt;0),F489/(6*$B$3*1000000*$B$5)*(IF(B489&lt;($B$4*1/10),($B$4*1/10)*(MIN(C489,($B$4*1/10))^3-B489^3)-(MIN(C489,($B$4*1/10))^4-B489^4)/4,0)+IF(C489&gt;($B$4*1/10),($B$4*1/10)^2*(1.5*(C489^2-MAX(B489,($B$4*1/10))^2)-($B$4*1/10)*(C489-MAX(B489,($B$4*1/10)))),0))*1000,0)</f>
        <v>0</v>
      </c>
      <c r="AC489" s="120">
        <f>IF(AND(J489="OK",ISNUMBER($B$5),$B$5&gt;0,ISNUMBER($B$3),$B$3&gt;0),F489/(6*$B$3*1000000*$B$5)*(IF(B489&lt;($B$4*2/10),($B$4*2/10)*(MIN(C489,($B$4*2/10))^3-B489^3)-(MIN(C489,($B$4*2/10))^4-B489^4)/4,0)+IF(C489&gt;($B$4*2/10),($B$4*2/10)^2*(1.5*(C489^2-MAX(B489,($B$4*2/10))^2)-($B$4*2/10)*(C489-MAX(B489,($B$4*2/10)))),0))*1000,0)</f>
        <v>0</v>
      </c>
      <c r="AD489" s="120">
        <f>IF(AND(J489="OK",ISNUMBER($B$5),$B$5&gt;0,ISNUMBER($B$3),$B$3&gt;0),F489/(6*$B$3*1000000*$B$5)*(IF(B489&lt;($B$4*3/10),($B$4*3/10)*(MIN(C489,($B$4*3/10))^3-B489^3)-(MIN(C489,($B$4*3/10))^4-B489^4)/4,0)+IF(C489&gt;($B$4*3/10),($B$4*3/10)^2*(1.5*(C489^2-MAX(B489,($B$4*3/10))^2)-($B$4*3/10)*(C489-MAX(B489,($B$4*3/10)))),0))*1000,0)</f>
        <v>0</v>
      </c>
      <c r="AE489" s="120">
        <f>IF(AND(J489="OK",ISNUMBER($B$5),$B$5&gt;0,ISNUMBER($B$3),$B$3&gt;0),F489/(6*$B$3*1000000*$B$5)*(IF(B489&lt;($B$4*4/10),($B$4*4/10)*(MIN(C489,($B$4*4/10))^3-B489^3)-(MIN(C489,($B$4*4/10))^4-B489^4)/4,0)+IF(C489&gt;($B$4*4/10),($B$4*4/10)^2*(1.5*(C489^2-MAX(B489,($B$4*4/10))^2)-($B$4*4/10)*(C489-MAX(B489,($B$4*4/10)))),0))*1000,0)</f>
        <v>0</v>
      </c>
      <c r="AF489" s="120">
        <f>IF(AND(J489="OK",ISNUMBER($B$5),$B$5&gt;0,ISNUMBER($B$3),$B$3&gt;0),F489/(6*$B$3*1000000*$B$5)*(IF(B489&lt;($B$4*5/10),($B$4*5/10)*(MIN(C489,($B$4*5/10))^3-B489^3)-(MIN(C489,($B$4*5/10))^4-B489^4)/4,0)+IF(C489&gt;($B$4*5/10),($B$4*5/10)^2*(1.5*(C489^2-MAX(B489,($B$4*5/10))^2)-($B$4*5/10)*(C489-MAX(B489,($B$4*5/10)))),0))*1000,0)</f>
        <v>0</v>
      </c>
      <c r="AG489" s="120">
        <f>IF(AND(J489="OK",ISNUMBER($B$5),$B$5&gt;0,ISNUMBER($B$3),$B$3&gt;0),F489/(6*$B$3*1000000*$B$5)*(IF(B489&lt;($B$4*6/10),($B$4*6/10)*(MIN(C489,($B$4*6/10))^3-B489^3)-(MIN(C489,($B$4*6/10))^4-B489^4)/4,0)+IF(C489&gt;($B$4*6/10),($B$4*6/10)^2*(1.5*(C489^2-MAX(B489,($B$4*6/10))^2)-($B$4*6/10)*(C489-MAX(B489,($B$4*6/10)))),0))*1000,0)</f>
        <v>0</v>
      </c>
      <c r="AH489" s="120">
        <f>IF(AND(J489="OK",ISNUMBER($B$5),$B$5&gt;0,ISNUMBER($B$3),$B$3&gt;0),F489/(6*$B$3*1000000*$B$5)*(IF(B489&lt;($B$4*7/10),($B$4*7/10)*(MIN(C489,($B$4*7/10))^3-B489^3)-(MIN(C489,($B$4*7/10))^4-B489^4)/4,0)+IF(C489&gt;($B$4*7/10),($B$4*7/10)^2*(1.5*(C489^2-MAX(B489,($B$4*7/10))^2)-($B$4*7/10)*(C489-MAX(B489,($B$4*7/10)))),0))*1000,0)</f>
        <v>0</v>
      </c>
      <c r="AI489" s="120">
        <f>IF(AND(J489="OK",ISNUMBER($B$5),$B$5&gt;0,ISNUMBER($B$3),$B$3&gt;0),F489/(6*$B$3*1000000*$B$5)*(IF(B489&lt;($B$4*8/10),($B$4*8/10)*(MIN(C489,($B$4*8/10))^3-B489^3)-(MIN(C489,($B$4*8/10))^4-B489^4)/4,0)+IF(C489&gt;($B$4*8/10),($B$4*8/10)^2*(1.5*(C489^2-MAX(B489,($B$4*8/10))^2)-($B$4*8/10)*(C489-MAX(B489,($B$4*8/10)))),0))*1000,0)</f>
        <v>0</v>
      </c>
      <c r="AJ489" s="120">
        <f>IF(AND(J489="OK",ISNUMBER($B$5),$B$5&gt;0,ISNUMBER($B$3),$B$3&gt;0),F489/(6*$B$3*1000000*$B$5)*(IF(B489&lt;($B$4*9/10),($B$4*9/10)*(MIN(C489,($B$4*9/10))^3-B489^3)-(MIN(C489,($B$4*9/10))^4-B489^4)/4,0)+IF(C489&gt;($B$4*9/10),($B$4*9/10)^2*(1.5*(C489^2-MAX(B489,($B$4*9/10))^2)-($B$4*9/10)*(C489-MAX(B489,($B$4*9/10)))),0))*1000,0)</f>
        <v>0</v>
      </c>
      <c r="AK489" s="120">
        <f>IF(AND(J489="OK",ISNUMBER($B$5),$B$5&gt;0,ISNUMBER($B$3),$B$3&gt;0),F489/(6*$B$3*1000000*$B$5)*(IF(B489&lt;($B$4*10/10),($B$4*10/10)*(MIN(C489,($B$4*10/10))^3-B489^3)-(MIN(C489,($B$4*10/10))^4-B489^4)/4,0)+IF(C489&gt;($B$4*10/10),($B$4*10/10)^2*(1.5*(C489^2-MAX(B489,($B$4*10/10))^2)-($B$4*10/10)*(C489-MAX(B489,($B$4*10/10)))),0))*1000,0)</f>
        <v>0</v>
      </c>
      <c r="AM489" s="120">
        <f>IF(AND(V489="OK",ISNUMBER($N$5),$N$5&gt;0,ISNUMBER($N$3),$N$3&gt;0),R489/(6*$N$3*1000000*$N$5)*(IF(N489&lt;($N$4*0/10),($N$4*0/10)*(MIN(O489,($N$4*0/10))^3-N489^3)-(MIN(O489,($N$4*0/10))^4-N489^4)/4,0)+IF(O489&gt;($N$4*0/10),($N$4*0/10)^2*(1.5*(O489^2-MAX(N489,($N$4*0/10))^2)-($N$4*0/10)*(O489-MAX(N489,($N$4*0/10)))),0))*1000,0)</f>
        <v>0</v>
      </c>
      <c r="AN489" s="120">
        <f>IF(AND(V489="OK",ISNUMBER($N$5),$N$5&gt;0,ISNUMBER($N$3),$N$3&gt;0),R489/(6*$N$3*1000000*$N$5)*(IF(N489&lt;($N$4*1/10),($N$4*1/10)*(MIN(O489,($N$4*1/10))^3-N489^3)-(MIN(O489,($N$4*1/10))^4-N489^4)/4,0)+IF(O489&gt;($N$4*1/10),($N$4*1/10)^2*(1.5*(O489^2-MAX(N489,($N$4*1/10))^2)-($N$4*1/10)*(O489-MAX(N489,($N$4*1/10)))),0))*1000,0)</f>
        <v>0</v>
      </c>
      <c r="AO489" s="120">
        <f>IF(AND(V489="OK",ISNUMBER($N$5),$N$5&gt;0,ISNUMBER($N$3),$N$3&gt;0),R489/(6*$N$3*1000000*$N$5)*(IF(N489&lt;($N$4*2/10),($N$4*2/10)*(MIN(O489,($N$4*2/10))^3-N489^3)-(MIN(O489,($N$4*2/10))^4-N489^4)/4,0)+IF(O489&gt;($N$4*2/10),($N$4*2/10)^2*(1.5*(O489^2-MAX(N489,($N$4*2/10))^2)-($N$4*2/10)*(O489-MAX(N489,($N$4*2/10)))),0))*1000,0)</f>
        <v>0</v>
      </c>
      <c r="AP489" s="120">
        <f>IF(AND(V489="OK",ISNUMBER($N$5),$N$5&gt;0,ISNUMBER($N$3),$N$3&gt;0),R489/(6*$N$3*1000000*$N$5)*(IF(N489&lt;($N$4*3/10),($N$4*3/10)*(MIN(O489,($N$4*3/10))^3-N489^3)-(MIN(O489,($N$4*3/10))^4-N489^4)/4,0)+IF(O489&gt;($N$4*3/10),($N$4*3/10)^2*(1.5*(O489^2-MAX(N489,($N$4*3/10))^2)-($N$4*3/10)*(O489-MAX(N489,($N$4*3/10)))),0))*1000,0)</f>
        <v>0</v>
      </c>
      <c r="AQ489" s="120">
        <f>IF(AND(V489="OK",ISNUMBER($N$5),$N$5&gt;0,ISNUMBER($N$3),$N$3&gt;0),R489/(6*$N$3*1000000*$N$5)*(IF(N489&lt;($N$4*4/10),($N$4*4/10)*(MIN(O489,($N$4*4/10))^3-N489^3)-(MIN(O489,($N$4*4/10))^4-N489^4)/4,0)+IF(O489&gt;($N$4*4/10),($N$4*4/10)^2*(1.5*(O489^2-MAX(N489,($N$4*4/10))^2)-($N$4*4/10)*(O489-MAX(N489,($N$4*4/10)))),0))*1000,0)</f>
        <v>0</v>
      </c>
      <c r="AR489" s="120">
        <f>IF(AND(V489="OK",ISNUMBER($N$5),$N$5&gt;0,ISNUMBER($N$3),$N$3&gt;0),R489/(6*$N$3*1000000*$N$5)*(IF(N489&lt;($N$4*5/10),($N$4*5/10)*(MIN(O489,($N$4*5/10))^3-N489^3)-(MIN(O489,($N$4*5/10))^4-N489^4)/4,0)+IF(O489&gt;($N$4*5/10),($N$4*5/10)^2*(1.5*(O489^2-MAX(N489,($N$4*5/10))^2)-($N$4*5/10)*(O489-MAX(N489,($N$4*5/10)))),0))*1000,0)</f>
        <v>0</v>
      </c>
      <c r="AS489" s="120">
        <f>IF(AND(V489="OK",ISNUMBER($N$5),$N$5&gt;0,ISNUMBER($N$3),$N$3&gt;0),R489/(6*$N$3*1000000*$N$5)*(IF(N489&lt;($N$4*6/10),($N$4*6/10)*(MIN(O489,($N$4*6/10))^3-N489^3)-(MIN(O489,($N$4*6/10))^4-N489^4)/4,0)+IF(O489&gt;($N$4*6/10),($N$4*6/10)^2*(1.5*(O489^2-MAX(N489,($N$4*6/10))^2)-($N$4*6/10)*(O489-MAX(N489,($N$4*6/10)))),0))*1000,0)</f>
        <v>0</v>
      </c>
      <c r="AT489" s="120">
        <f>IF(AND(V489="OK",ISNUMBER($N$5),$N$5&gt;0,ISNUMBER($N$3),$N$3&gt;0),R489/(6*$N$3*1000000*$N$5)*(IF(N489&lt;($N$4*7/10),($N$4*7/10)*(MIN(O489,($N$4*7/10))^3-N489^3)-(MIN(O489,($N$4*7/10))^4-N489^4)/4,0)+IF(O489&gt;($N$4*7/10),($N$4*7/10)^2*(1.5*(O489^2-MAX(N489,($N$4*7/10))^2)-($N$4*7/10)*(O489-MAX(N489,($N$4*7/10)))),0))*1000,0)</f>
        <v>0</v>
      </c>
      <c r="AU489" s="120">
        <f>IF(AND(V489="OK",ISNUMBER($N$5),$N$5&gt;0,ISNUMBER($N$3),$N$3&gt;0),R489/(6*$N$3*1000000*$N$5)*(IF(N489&lt;($N$4*8/10),($N$4*8/10)*(MIN(O489,($N$4*8/10))^3-N489^3)-(MIN(O489,($N$4*8/10))^4-N489^4)/4,0)+IF(O489&gt;($N$4*8/10),($N$4*8/10)^2*(1.5*(O489^2-MAX(N489,($N$4*8/10))^2)-($N$4*8/10)*(O489-MAX(N489,($N$4*8/10)))),0))*1000,0)</f>
        <v>0</v>
      </c>
      <c r="AV489" s="120">
        <f>IF(AND(V489="OK",ISNUMBER($N$5),$N$5&gt;0,ISNUMBER($N$3),$N$3&gt;0),R489/(6*$N$3*1000000*$N$5)*(IF(N489&lt;($N$4*9/10),($N$4*9/10)*(MIN(O489,($N$4*9/10))^3-N489^3)-(MIN(O489,($N$4*9/10))^4-N489^4)/4,0)+IF(O489&gt;($N$4*9/10),($N$4*9/10)^2*(1.5*(O489^2-MAX(N489,($N$4*9/10))^2)-($N$4*9/10)*(O489-MAX(N489,($N$4*9/10)))),0))*1000,0)</f>
        <v>0</v>
      </c>
      <c r="AW489" s="120">
        <f>IF(AND(V489="OK",ISNUMBER($N$5),$N$5&gt;0,ISNUMBER($N$3),$N$3&gt;0),R489/(6*$N$3*1000000*$N$5)*(IF(N489&lt;($N$4*10/10),($N$4*10/10)*(MIN(O489,($N$4*10/10))^3-N489^3)-(MIN(O489,($N$4*10/10))^4-N489^4)/4,0)+IF(O489&gt;($N$4*10/10),($N$4*10/10)^2*(1.5*(O489^2-MAX(N489,($N$4*10/10))^2)-($N$4*10/10)*(O489-MAX(N489,($N$4*10/10)))),0))*1000,0)</f>
        <v>0</v>
      </c>
    </row>
    <row r="490" spans="1:49">
      <c r="A490" s="124"/>
      <c r="B490" s="125"/>
      <c r="C490" s="125"/>
      <c r="D490" s="125"/>
      <c r="E490" s="125"/>
      <c r="F490" s="126" t="str">
        <f>IF(J490="OK",D490*E490,"")</f>
        <v/>
      </c>
      <c r="G490" s="126" t="str">
        <f>IF(J490="OK",F490*(C490-B490),"")</f>
        <v/>
      </c>
      <c r="H490" s="126" t="str">
        <f>IF(J490="OK",G490*(C490+B490)/2,"")</f>
        <v/>
      </c>
      <c r="I490" s="126" t="str">
        <f>IF(AND(J490="OK",ISNUMBER($B$5),$B$5&gt;0,ISNUMBER($B$3),$B$3&gt;0),F490*(4*$B$4*(C490^3-B490^3)-(C490^4-B490^4))/(24*$B$3*1000000*$B$5)*1000,"")</f>
        <v/>
      </c>
      <c r="J490" s="120" t="str">
        <f>IF(COUNTA(A490:E490)=0,"",IF(AND(COUNT(B490:E490)=4,B490&gt;=0,C490&gt;B490,C490&lt;=$B$4,D490&gt;=0,E490&gt;0),IF(COUNTIFS($B$13:$B$489,"&lt;"&amp;C490,$C$13:$C$489,"&gt;"&amp;B490)&gt;0,"OVERLAP","OK"),"CHECK INPUTS"))</f>
        <v/>
      </c>
      <c r="M490" s="124"/>
      <c r="N490" s="125"/>
      <c r="O490" s="125"/>
      <c r="P490" s="125"/>
      <c r="Q490" s="125"/>
      <c r="R490" s="126" t="str">
        <f>IF(V490="OK",P490*Q490,"")</f>
        <v/>
      </c>
      <c r="S490" s="126" t="str">
        <f>IF(V490="OK",R490*(O490-N490),"")</f>
        <v/>
      </c>
      <c r="T490" s="126" t="str">
        <f>IF(V490="OK",S490*(O490+N490)/2,"")</f>
        <v/>
      </c>
      <c r="U490" s="126" t="str">
        <f>IF(AND(V490="OK",ISNUMBER($N$5),$N$5&gt;0,ISNUMBER($N$3),$N$3&gt;0),R490*(4*$N$4*(O490^3-N490^3)-(O490^4-N490^4))/(24*$N$3*1000000*$N$5)*1000,"")</f>
        <v/>
      </c>
      <c r="V490" s="120" t="str">
        <f>IF(COUNTA(M490:Q490)=0,"",IF(AND(COUNT(N490:Q490)=4,N490&gt;=0,O490&gt;N490,O490&lt;=$N$4,P490&gt;=0,Q490&gt;0),IF(COUNTIFS($N$13:$N$489,"&lt;"&amp;O490,$O$13:$O$489,"&gt;"&amp;N490)&gt;0,"OVERLAP","OK"),"CHECK INPUTS"))</f>
        <v/>
      </c>
      <c r="AA490" s="120">
        <f>IF(AND(J490="OK",ISNUMBER($B$5),$B$5&gt;0,ISNUMBER($B$3),$B$3&gt;0),F490/(6*$B$3*1000000*$B$5)*(IF(B490&lt;($B$4*0/10),($B$4*0/10)*(MIN(C490,($B$4*0/10))^3-B490^3)-(MIN(C490,($B$4*0/10))^4-B490^4)/4,0)+IF(C490&gt;($B$4*0/10),($B$4*0/10)^2*(1.5*(C490^2-MAX(B490,($B$4*0/10))^2)-($B$4*0/10)*(C490-MAX(B490,($B$4*0/10)))),0))*1000,0)</f>
        <v>0</v>
      </c>
      <c r="AB490" s="120">
        <f>IF(AND(J490="OK",ISNUMBER($B$5),$B$5&gt;0,ISNUMBER($B$3),$B$3&gt;0),F490/(6*$B$3*1000000*$B$5)*(IF(B490&lt;($B$4*1/10),($B$4*1/10)*(MIN(C490,($B$4*1/10))^3-B490^3)-(MIN(C490,($B$4*1/10))^4-B490^4)/4,0)+IF(C490&gt;($B$4*1/10),($B$4*1/10)^2*(1.5*(C490^2-MAX(B490,($B$4*1/10))^2)-($B$4*1/10)*(C490-MAX(B490,($B$4*1/10)))),0))*1000,0)</f>
        <v>0</v>
      </c>
      <c r="AC490" s="120">
        <f>IF(AND(J490="OK",ISNUMBER($B$5),$B$5&gt;0,ISNUMBER($B$3),$B$3&gt;0),F490/(6*$B$3*1000000*$B$5)*(IF(B490&lt;($B$4*2/10),($B$4*2/10)*(MIN(C490,($B$4*2/10))^3-B490^3)-(MIN(C490,($B$4*2/10))^4-B490^4)/4,0)+IF(C490&gt;($B$4*2/10),($B$4*2/10)^2*(1.5*(C490^2-MAX(B490,($B$4*2/10))^2)-($B$4*2/10)*(C490-MAX(B490,($B$4*2/10)))),0))*1000,0)</f>
        <v>0</v>
      </c>
      <c r="AD490" s="120">
        <f>IF(AND(J490="OK",ISNUMBER($B$5),$B$5&gt;0,ISNUMBER($B$3),$B$3&gt;0),F490/(6*$B$3*1000000*$B$5)*(IF(B490&lt;($B$4*3/10),($B$4*3/10)*(MIN(C490,($B$4*3/10))^3-B490^3)-(MIN(C490,($B$4*3/10))^4-B490^4)/4,0)+IF(C490&gt;($B$4*3/10),($B$4*3/10)^2*(1.5*(C490^2-MAX(B490,($B$4*3/10))^2)-($B$4*3/10)*(C490-MAX(B490,($B$4*3/10)))),0))*1000,0)</f>
        <v>0</v>
      </c>
      <c r="AE490" s="120">
        <f>IF(AND(J490="OK",ISNUMBER($B$5),$B$5&gt;0,ISNUMBER($B$3),$B$3&gt;0),F490/(6*$B$3*1000000*$B$5)*(IF(B490&lt;($B$4*4/10),($B$4*4/10)*(MIN(C490,($B$4*4/10))^3-B490^3)-(MIN(C490,($B$4*4/10))^4-B490^4)/4,0)+IF(C490&gt;($B$4*4/10),($B$4*4/10)^2*(1.5*(C490^2-MAX(B490,($B$4*4/10))^2)-($B$4*4/10)*(C490-MAX(B490,($B$4*4/10)))),0))*1000,0)</f>
        <v>0</v>
      </c>
      <c r="AF490" s="120">
        <f>IF(AND(J490="OK",ISNUMBER($B$5),$B$5&gt;0,ISNUMBER($B$3),$B$3&gt;0),F490/(6*$B$3*1000000*$B$5)*(IF(B490&lt;($B$4*5/10),($B$4*5/10)*(MIN(C490,($B$4*5/10))^3-B490^3)-(MIN(C490,($B$4*5/10))^4-B490^4)/4,0)+IF(C490&gt;($B$4*5/10),($B$4*5/10)^2*(1.5*(C490^2-MAX(B490,($B$4*5/10))^2)-($B$4*5/10)*(C490-MAX(B490,($B$4*5/10)))),0))*1000,0)</f>
        <v>0</v>
      </c>
      <c r="AG490" s="120">
        <f>IF(AND(J490="OK",ISNUMBER($B$5),$B$5&gt;0,ISNUMBER($B$3),$B$3&gt;0),F490/(6*$B$3*1000000*$B$5)*(IF(B490&lt;($B$4*6/10),($B$4*6/10)*(MIN(C490,($B$4*6/10))^3-B490^3)-(MIN(C490,($B$4*6/10))^4-B490^4)/4,0)+IF(C490&gt;($B$4*6/10),($B$4*6/10)^2*(1.5*(C490^2-MAX(B490,($B$4*6/10))^2)-($B$4*6/10)*(C490-MAX(B490,($B$4*6/10)))),0))*1000,0)</f>
        <v>0</v>
      </c>
      <c r="AH490" s="120">
        <f>IF(AND(J490="OK",ISNUMBER($B$5),$B$5&gt;0,ISNUMBER($B$3),$B$3&gt;0),F490/(6*$B$3*1000000*$B$5)*(IF(B490&lt;($B$4*7/10),($B$4*7/10)*(MIN(C490,($B$4*7/10))^3-B490^3)-(MIN(C490,($B$4*7/10))^4-B490^4)/4,0)+IF(C490&gt;($B$4*7/10),($B$4*7/10)^2*(1.5*(C490^2-MAX(B490,($B$4*7/10))^2)-($B$4*7/10)*(C490-MAX(B490,($B$4*7/10)))),0))*1000,0)</f>
        <v>0</v>
      </c>
      <c r="AI490" s="120">
        <f>IF(AND(J490="OK",ISNUMBER($B$5),$B$5&gt;0,ISNUMBER($B$3),$B$3&gt;0),F490/(6*$B$3*1000000*$B$5)*(IF(B490&lt;($B$4*8/10),($B$4*8/10)*(MIN(C490,($B$4*8/10))^3-B490^3)-(MIN(C490,($B$4*8/10))^4-B490^4)/4,0)+IF(C490&gt;($B$4*8/10),($B$4*8/10)^2*(1.5*(C490^2-MAX(B490,($B$4*8/10))^2)-($B$4*8/10)*(C490-MAX(B490,($B$4*8/10)))),0))*1000,0)</f>
        <v>0</v>
      </c>
      <c r="AJ490" s="120">
        <f>IF(AND(J490="OK",ISNUMBER($B$5),$B$5&gt;0,ISNUMBER($B$3),$B$3&gt;0),F490/(6*$B$3*1000000*$B$5)*(IF(B490&lt;($B$4*9/10),($B$4*9/10)*(MIN(C490,($B$4*9/10))^3-B490^3)-(MIN(C490,($B$4*9/10))^4-B490^4)/4,0)+IF(C490&gt;($B$4*9/10),($B$4*9/10)^2*(1.5*(C490^2-MAX(B490,($B$4*9/10))^2)-($B$4*9/10)*(C490-MAX(B490,($B$4*9/10)))),0))*1000,0)</f>
        <v>0</v>
      </c>
      <c r="AK490" s="120">
        <f>IF(AND(J490="OK",ISNUMBER($B$5),$B$5&gt;0,ISNUMBER($B$3),$B$3&gt;0),F490/(6*$B$3*1000000*$B$5)*(IF(B490&lt;($B$4*10/10),($B$4*10/10)*(MIN(C490,($B$4*10/10))^3-B490^3)-(MIN(C490,($B$4*10/10))^4-B490^4)/4,0)+IF(C490&gt;($B$4*10/10),($B$4*10/10)^2*(1.5*(C490^2-MAX(B490,($B$4*10/10))^2)-($B$4*10/10)*(C490-MAX(B490,($B$4*10/10)))),0))*1000,0)</f>
        <v>0</v>
      </c>
      <c r="AM490" s="120">
        <f>IF(AND(V490="OK",ISNUMBER($N$5),$N$5&gt;0,ISNUMBER($N$3),$N$3&gt;0),R490/(6*$N$3*1000000*$N$5)*(IF(N490&lt;($N$4*0/10),($N$4*0/10)*(MIN(O490,($N$4*0/10))^3-N490^3)-(MIN(O490,($N$4*0/10))^4-N490^4)/4,0)+IF(O490&gt;($N$4*0/10),($N$4*0/10)^2*(1.5*(O490^2-MAX(N490,($N$4*0/10))^2)-($N$4*0/10)*(O490-MAX(N490,($N$4*0/10)))),0))*1000,0)</f>
        <v>0</v>
      </c>
      <c r="AN490" s="120">
        <f>IF(AND(V490="OK",ISNUMBER($N$5),$N$5&gt;0,ISNUMBER($N$3),$N$3&gt;0),R490/(6*$N$3*1000000*$N$5)*(IF(N490&lt;($N$4*1/10),($N$4*1/10)*(MIN(O490,($N$4*1/10))^3-N490^3)-(MIN(O490,($N$4*1/10))^4-N490^4)/4,0)+IF(O490&gt;($N$4*1/10),($N$4*1/10)^2*(1.5*(O490^2-MAX(N490,($N$4*1/10))^2)-($N$4*1/10)*(O490-MAX(N490,($N$4*1/10)))),0))*1000,0)</f>
        <v>0</v>
      </c>
      <c r="AO490" s="120">
        <f>IF(AND(V490="OK",ISNUMBER($N$5),$N$5&gt;0,ISNUMBER($N$3),$N$3&gt;0),R490/(6*$N$3*1000000*$N$5)*(IF(N490&lt;($N$4*2/10),($N$4*2/10)*(MIN(O490,($N$4*2/10))^3-N490^3)-(MIN(O490,($N$4*2/10))^4-N490^4)/4,0)+IF(O490&gt;($N$4*2/10),($N$4*2/10)^2*(1.5*(O490^2-MAX(N490,($N$4*2/10))^2)-($N$4*2/10)*(O490-MAX(N490,($N$4*2/10)))),0))*1000,0)</f>
        <v>0</v>
      </c>
      <c r="AP490" s="120">
        <f>IF(AND(V490="OK",ISNUMBER($N$5),$N$5&gt;0,ISNUMBER($N$3),$N$3&gt;0),R490/(6*$N$3*1000000*$N$5)*(IF(N490&lt;($N$4*3/10),($N$4*3/10)*(MIN(O490,($N$4*3/10))^3-N490^3)-(MIN(O490,($N$4*3/10))^4-N490^4)/4,0)+IF(O490&gt;($N$4*3/10),($N$4*3/10)^2*(1.5*(O490^2-MAX(N490,($N$4*3/10))^2)-($N$4*3/10)*(O490-MAX(N490,($N$4*3/10)))),0))*1000,0)</f>
        <v>0</v>
      </c>
      <c r="AQ490" s="120">
        <f>IF(AND(V490="OK",ISNUMBER($N$5),$N$5&gt;0,ISNUMBER($N$3),$N$3&gt;0),R490/(6*$N$3*1000000*$N$5)*(IF(N490&lt;($N$4*4/10),($N$4*4/10)*(MIN(O490,($N$4*4/10))^3-N490^3)-(MIN(O490,($N$4*4/10))^4-N490^4)/4,0)+IF(O490&gt;($N$4*4/10),($N$4*4/10)^2*(1.5*(O490^2-MAX(N490,($N$4*4/10))^2)-($N$4*4/10)*(O490-MAX(N490,($N$4*4/10)))),0))*1000,0)</f>
        <v>0</v>
      </c>
      <c r="AR490" s="120">
        <f>IF(AND(V490="OK",ISNUMBER($N$5),$N$5&gt;0,ISNUMBER($N$3),$N$3&gt;0),R490/(6*$N$3*1000000*$N$5)*(IF(N490&lt;($N$4*5/10),($N$4*5/10)*(MIN(O490,($N$4*5/10))^3-N490^3)-(MIN(O490,($N$4*5/10))^4-N490^4)/4,0)+IF(O490&gt;($N$4*5/10),($N$4*5/10)^2*(1.5*(O490^2-MAX(N490,($N$4*5/10))^2)-($N$4*5/10)*(O490-MAX(N490,($N$4*5/10)))),0))*1000,0)</f>
        <v>0</v>
      </c>
      <c r="AS490" s="120">
        <f>IF(AND(V490="OK",ISNUMBER($N$5),$N$5&gt;0,ISNUMBER($N$3),$N$3&gt;0),R490/(6*$N$3*1000000*$N$5)*(IF(N490&lt;($N$4*6/10),($N$4*6/10)*(MIN(O490,($N$4*6/10))^3-N490^3)-(MIN(O490,($N$4*6/10))^4-N490^4)/4,0)+IF(O490&gt;($N$4*6/10),($N$4*6/10)^2*(1.5*(O490^2-MAX(N490,($N$4*6/10))^2)-($N$4*6/10)*(O490-MAX(N490,($N$4*6/10)))),0))*1000,0)</f>
        <v>0</v>
      </c>
      <c r="AT490" s="120">
        <f>IF(AND(V490="OK",ISNUMBER($N$5),$N$5&gt;0,ISNUMBER($N$3),$N$3&gt;0),R490/(6*$N$3*1000000*$N$5)*(IF(N490&lt;($N$4*7/10),($N$4*7/10)*(MIN(O490,($N$4*7/10))^3-N490^3)-(MIN(O490,($N$4*7/10))^4-N490^4)/4,0)+IF(O490&gt;($N$4*7/10),($N$4*7/10)^2*(1.5*(O490^2-MAX(N490,($N$4*7/10))^2)-($N$4*7/10)*(O490-MAX(N490,($N$4*7/10)))),0))*1000,0)</f>
        <v>0</v>
      </c>
      <c r="AU490" s="120">
        <f>IF(AND(V490="OK",ISNUMBER($N$5),$N$5&gt;0,ISNUMBER($N$3),$N$3&gt;0),R490/(6*$N$3*1000000*$N$5)*(IF(N490&lt;($N$4*8/10),($N$4*8/10)*(MIN(O490,($N$4*8/10))^3-N490^3)-(MIN(O490,($N$4*8/10))^4-N490^4)/4,0)+IF(O490&gt;($N$4*8/10),($N$4*8/10)^2*(1.5*(O490^2-MAX(N490,($N$4*8/10))^2)-($N$4*8/10)*(O490-MAX(N490,($N$4*8/10)))),0))*1000,0)</f>
        <v>0</v>
      </c>
      <c r="AV490" s="120">
        <f>IF(AND(V490="OK",ISNUMBER($N$5),$N$5&gt;0,ISNUMBER($N$3),$N$3&gt;0),R490/(6*$N$3*1000000*$N$5)*(IF(N490&lt;($N$4*9/10),($N$4*9/10)*(MIN(O490,($N$4*9/10))^3-N490^3)-(MIN(O490,($N$4*9/10))^4-N490^4)/4,0)+IF(O490&gt;($N$4*9/10),($N$4*9/10)^2*(1.5*(O490^2-MAX(N490,($N$4*9/10))^2)-($N$4*9/10)*(O490-MAX(N490,($N$4*9/10)))),0))*1000,0)</f>
        <v>0</v>
      </c>
      <c r="AW490" s="120">
        <f>IF(AND(V490="OK",ISNUMBER($N$5),$N$5&gt;0,ISNUMBER($N$3),$N$3&gt;0),R490/(6*$N$3*1000000*$N$5)*(IF(N490&lt;($N$4*10/10),($N$4*10/10)*(MIN(O490,($N$4*10/10))^3-N490^3)-(MIN(O490,($N$4*10/10))^4-N490^4)/4,0)+IF(O490&gt;($N$4*10/10),($N$4*10/10)^2*(1.5*(O490^2-MAX(N490,($N$4*10/10))^2)-($N$4*10/10)*(O490-MAX(N490,($N$4*10/10)))),0))*1000,0)</f>
        <v>0</v>
      </c>
    </row>
    <row r="491" spans="1:49">
      <c r="A491" s="124"/>
      <c r="B491" s="125"/>
      <c r="C491" s="125"/>
      <c r="D491" s="125"/>
      <c r="E491" s="125"/>
      <c r="F491" s="126" t="str">
        <f>IF(J491="OK",D491*E491,"")</f>
        <v/>
      </c>
      <c r="G491" s="126" t="str">
        <f>IF(J491="OK",F491*(C491-B491),"")</f>
        <v/>
      </c>
      <c r="H491" s="126" t="str">
        <f>IF(J491="OK",G491*(C491+B491)/2,"")</f>
        <v/>
      </c>
      <c r="I491" s="126" t="str">
        <f>IF(AND(J491="OK",ISNUMBER($B$5),$B$5&gt;0,ISNUMBER($B$3),$B$3&gt;0),F491*(4*$B$4*(C491^3-B491^3)-(C491^4-B491^4))/(24*$B$3*1000000*$B$5)*1000,"")</f>
        <v/>
      </c>
      <c r="J491" s="120" t="str">
        <f>IF(COUNTA(A491:E491)=0,"",IF(AND(COUNT(B491:E491)=4,B491&gt;=0,C491&gt;B491,C491&lt;=$B$4,D491&gt;=0,E491&gt;0),IF(COUNTIFS($B$13:$B$490,"&lt;"&amp;C491,$C$13:$C$490,"&gt;"&amp;B491)&gt;0,"OVERLAP","OK"),"CHECK INPUTS"))</f>
        <v/>
      </c>
      <c r="M491" s="124"/>
      <c r="N491" s="125"/>
      <c r="O491" s="125"/>
      <c r="P491" s="125"/>
      <c r="Q491" s="125"/>
      <c r="R491" s="126" t="str">
        <f>IF(V491="OK",P491*Q491,"")</f>
        <v/>
      </c>
      <c r="S491" s="126" t="str">
        <f>IF(V491="OK",R491*(O491-N491),"")</f>
        <v/>
      </c>
      <c r="T491" s="126" t="str">
        <f>IF(V491="OK",S491*(O491+N491)/2,"")</f>
        <v/>
      </c>
      <c r="U491" s="126" t="str">
        <f>IF(AND(V491="OK",ISNUMBER($N$5),$N$5&gt;0,ISNUMBER($N$3),$N$3&gt;0),R491*(4*$N$4*(O491^3-N491^3)-(O491^4-N491^4))/(24*$N$3*1000000*$N$5)*1000,"")</f>
        <v/>
      </c>
      <c r="V491" s="120" t="str">
        <f>IF(COUNTA(M491:Q491)=0,"",IF(AND(COUNT(N491:Q491)=4,N491&gt;=0,O491&gt;N491,O491&lt;=$N$4,P491&gt;=0,Q491&gt;0),IF(COUNTIFS($N$13:$N$490,"&lt;"&amp;O491,$O$13:$O$490,"&gt;"&amp;N491)&gt;0,"OVERLAP","OK"),"CHECK INPUTS"))</f>
        <v/>
      </c>
      <c r="AA491" s="120">
        <f>IF(AND(J491="OK",ISNUMBER($B$5),$B$5&gt;0,ISNUMBER($B$3),$B$3&gt;0),F491/(6*$B$3*1000000*$B$5)*(IF(B491&lt;($B$4*0/10),($B$4*0/10)*(MIN(C491,($B$4*0/10))^3-B491^3)-(MIN(C491,($B$4*0/10))^4-B491^4)/4,0)+IF(C491&gt;($B$4*0/10),($B$4*0/10)^2*(1.5*(C491^2-MAX(B491,($B$4*0/10))^2)-($B$4*0/10)*(C491-MAX(B491,($B$4*0/10)))),0))*1000,0)</f>
        <v>0</v>
      </c>
      <c r="AB491" s="120">
        <f>IF(AND(J491="OK",ISNUMBER($B$5),$B$5&gt;0,ISNUMBER($B$3),$B$3&gt;0),F491/(6*$B$3*1000000*$B$5)*(IF(B491&lt;($B$4*1/10),($B$4*1/10)*(MIN(C491,($B$4*1/10))^3-B491^3)-(MIN(C491,($B$4*1/10))^4-B491^4)/4,0)+IF(C491&gt;($B$4*1/10),($B$4*1/10)^2*(1.5*(C491^2-MAX(B491,($B$4*1/10))^2)-($B$4*1/10)*(C491-MAX(B491,($B$4*1/10)))),0))*1000,0)</f>
        <v>0</v>
      </c>
      <c r="AC491" s="120">
        <f>IF(AND(J491="OK",ISNUMBER($B$5),$B$5&gt;0,ISNUMBER($B$3),$B$3&gt;0),F491/(6*$B$3*1000000*$B$5)*(IF(B491&lt;($B$4*2/10),($B$4*2/10)*(MIN(C491,($B$4*2/10))^3-B491^3)-(MIN(C491,($B$4*2/10))^4-B491^4)/4,0)+IF(C491&gt;($B$4*2/10),($B$4*2/10)^2*(1.5*(C491^2-MAX(B491,($B$4*2/10))^2)-($B$4*2/10)*(C491-MAX(B491,($B$4*2/10)))),0))*1000,0)</f>
        <v>0</v>
      </c>
      <c r="AD491" s="120">
        <f>IF(AND(J491="OK",ISNUMBER($B$5),$B$5&gt;0,ISNUMBER($B$3),$B$3&gt;0),F491/(6*$B$3*1000000*$B$5)*(IF(B491&lt;($B$4*3/10),($B$4*3/10)*(MIN(C491,($B$4*3/10))^3-B491^3)-(MIN(C491,($B$4*3/10))^4-B491^4)/4,0)+IF(C491&gt;($B$4*3/10),($B$4*3/10)^2*(1.5*(C491^2-MAX(B491,($B$4*3/10))^2)-($B$4*3/10)*(C491-MAX(B491,($B$4*3/10)))),0))*1000,0)</f>
        <v>0</v>
      </c>
      <c r="AE491" s="120">
        <f>IF(AND(J491="OK",ISNUMBER($B$5),$B$5&gt;0,ISNUMBER($B$3),$B$3&gt;0),F491/(6*$B$3*1000000*$B$5)*(IF(B491&lt;($B$4*4/10),($B$4*4/10)*(MIN(C491,($B$4*4/10))^3-B491^3)-(MIN(C491,($B$4*4/10))^4-B491^4)/4,0)+IF(C491&gt;($B$4*4/10),($B$4*4/10)^2*(1.5*(C491^2-MAX(B491,($B$4*4/10))^2)-($B$4*4/10)*(C491-MAX(B491,($B$4*4/10)))),0))*1000,0)</f>
        <v>0</v>
      </c>
      <c r="AF491" s="120">
        <f>IF(AND(J491="OK",ISNUMBER($B$5),$B$5&gt;0,ISNUMBER($B$3),$B$3&gt;0),F491/(6*$B$3*1000000*$B$5)*(IF(B491&lt;($B$4*5/10),($B$4*5/10)*(MIN(C491,($B$4*5/10))^3-B491^3)-(MIN(C491,($B$4*5/10))^4-B491^4)/4,0)+IF(C491&gt;($B$4*5/10),($B$4*5/10)^2*(1.5*(C491^2-MAX(B491,($B$4*5/10))^2)-($B$4*5/10)*(C491-MAX(B491,($B$4*5/10)))),0))*1000,0)</f>
        <v>0</v>
      </c>
      <c r="AG491" s="120">
        <f>IF(AND(J491="OK",ISNUMBER($B$5),$B$5&gt;0,ISNUMBER($B$3),$B$3&gt;0),F491/(6*$B$3*1000000*$B$5)*(IF(B491&lt;($B$4*6/10),($B$4*6/10)*(MIN(C491,($B$4*6/10))^3-B491^3)-(MIN(C491,($B$4*6/10))^4-B491^4)/4,0)+IF(C491&gt;($B$4*6/10),($B$4*6/10)^2*(1.5*(C491^2-MAX(B491,($B$4*6/10))^2)-($B$4*6/10)*(C491-MAX(B491,($B$4*6/10)))),0))*1000,0)</f>
        <v>0</v>
      </c>
      <c r="AH491" s="120">
        <f>IF(AND(J491="OK",ISNUMBER($B$5),$B$5&gt;0,ISNUMBER($B$3),$B$3&gt;0),F491/(6*$B$3*1000000*$B$5)*(IF(B491&lt;($B$4*7/10),($B$4*7/10)*(MIN(C491,($B$4*7/10))^3-B491^3)-(MIN(C491,($B$4*7/10))^4-B491^4)/4,0)+IF(C491&gt;($B$4*7/10),($B$4*7/10)^2*(1.5*(C491^2-MAX(B491,($B$4*7/10))^2)-($B$4*7/10)*(C491-MAX(B491,($B$4*7/10)))),0))*1000,0)</f>
        <v>0</v>
      </c>
      <c r="AI491" s="120">
        <f>IF(AND(J491="OK",ISNUMBER($B$5),$B$5&gt;0,ISNUMBER($B$3),$B$3&gt;0),F491/(6*$B$3*1000000*$B$5)*(IF(B491&lt;($B$4*8/10),($B$4*8/10)*(MIN(C491,($B$4*8/10))^3-B491^3)-(MIN(C491,($B$4*8/10))^4-B491^4)/4,0)+IF(C491&gt;($B$4*8/10),($B$4*8/10)^2*(1.5*(C491^2-MAX(B491,($B$4*8/10))^2)-($B$4*8/10)*(C491-MAX(B491,($B$4*8/10)))),0))*1000,0)</f>
        <v>0</v>
      </c>
      <c r="AJ491" s="120">
        <f>IF(AND(J491="OK",ISNUMBER($B$5),$B$5&gt;0,ISNUMBER($B$3),$B$3&gt;0),F491/(6*$B$3*1000000*$B$5)*(IF(B491&lt;($B$4*9/10),($B$4*9/10)*(MIN(C491,($B$4*9/10))^3-B491^3)-(MIN(C491,($B$4*9/10))^4-B491^4)/4,0)+IF(C491&gt;($B$4*9/10),($B$4*9/10)^2*(1.5*(C491^2-MAX(B491,($B$4*9/10))^2)-($B$4*9/10)*(C491-MAX(B491,($B$4*9/10)))),0))*1000,0)</f>
        <v>0</v>
      </c>
      <c r="AK491" s="120">
        <f>IF(AND(J491="OK",ISNUMBER($B$5),$B$5&gt;0,ISNUMBER($B$3),$B$3&gt;0),F491/(6*$B$3*1000000*$B$5)*(IF(B491&lt;($B$4*10/10),($B$4*10/10)*(MIN(C491,($B$4*10/10))^3-B491^3)-(MIN(C491,($B$4*10/10))^4-B491^4)/4,0)+IF(C491&gt;($B$4*10/10),($B$4*10/10)^2*(1.5*(C491^2-MAX(B491,($B$4*10/10))^2)-($B$4*10/10)*(C491-MAX(B491,($B$4*10/10)))),0))*1000,0)</f>
        <v>0</v>
      </c>
      <c r="AM491" s="120">
        <f>IF(AND(V491="OK",ISNUMBER($N$5),$N$5&gt;0,ISNUMBER($N$3),$N$3&gt;0),R491/(6*$N$3*1000000*$N$5)*(IF(N491&lt;($N$4*0/10),($N$4*0/10)*(MIN(O491,($N$4*0/10))^3-N491^3)-(MIN(O491,($N$4*0/10))^4-N491^4)/4,0)+IF(O491&gt;($N$4*0/10),($N$4*0/10)^2*(1.5*(O491^2-MAX(N491,($N$4*0/10))^2)-($N$4*0/10)*(O491-MAX(N491,($N$4*0/10)))),0))*1000,0)</f>
        <v>0</v>
      </c>
      <c r="AN491" s="120">
        <f>IF(AND(V491="OK",ISNUMBER($N$5),$N$5&gt;0,ISNUMBER($N$3),$N$3&gt;0),R491/(6*$N$3*1000000*$N$5)*(IF(N491&lt;($N$4*1/10),($N$4*1/10)*(MIN(O491,($N$4*1/10))^3-N491^3)-(MIN(O491,($N$4*1/10))^4-N491^4)/4,0)+IF(O491&gt;($N$4*1/10),($N$4*1/10)^2*(1.5*(O491^2-MAX(N491,($N$4*1/10))^2)-($N$4*1/10)*(O491-MAX(N491,($N$4*1/10)))),0))*1000,0)</f>
        <v>0</v>
      </c>
      <c r="AO491" s="120">
        <f>IF(AND(V491="OK",ISNUMBER($N$5),$N$5&gt;0,ISNUMBER($N$3),$N$3&gt;0),R491/(6*$N$3*1000000*$N$5)*(IF(N491&lt;($N$4*2/10),($N$4*2/10)*(MIN(O491,($N$4*2/10))^3-N491^3)-(MIN(O491,($N$4*2/10))^4-N491^4)/4,0)+IF(O491&gt;($N$4*2/10),($N$4*2/10)^2*(1.5*(O491^2-MAX(N491,($N$4*2/10))^2)-($N$4*2/10)*(O491-MAX(N491,($N$4*2/10)))),0))*1000,0)</f>
        <v>0</v>
      </c>
      <c r="AP491" s="120">
        <f>IF(AND(V491="OK",ISNUMBER($N$5),$N$5&gt;0,ISNUMBER($N$3),$N$3&gt;0),R491/(6*$N$3*1000000*$N$5)*(IF(N491&lt;($N$4*3/10),($N$4*3/10)*(MIN(O491,($N$4*3/10))^3-N491^3)-(MIN(O491,($N$4*3/10))^4-N491^4)/4,0)+IF(O491&gt;($N$4*3/10),($N$4*3/10)^2*(1.5*(O491^2-MAX(N491,($N$4*3/10))^2)-($N$4*3/10)*(O491-MAX(N491,($N$4*3/10)))),0))*1000,0)</f>
        <v>0</v>
      </c>
      <c r="AQ491" s="120">
        <f>IF(AND(V491="OK",ISNUMBER($N$5),$N$5&gt;0,ISNUMBER($N$3),$N$3&gt;0),R491/(6*$N$3*1000000*$N$5)*(IF(N491&lt;($N$4*4/10),($N$4*4/10)*(MIN(O491,($N$4*4/10))^3-N491^3)-(MIN(O491,($N$4*4/10))^4-N491^4)/4,0)+IF(O491&gt;($N$4*4/10),($N$4*4/10)^2*(1.5*(O491^2-MAX(N491,($N$4*4/10))^2)-($N$4*4/10)*(O491-MAX(N491,($N$4*4/10)))),0))*1000,0)</f>
        <v>0</v>
      </c>
      <c r="AR491" s="120">
        <f>IF(AND(V491="OK",ISNUMBER($N$5),$N$5&gt;0,ISNUMBER($N$3),$N$3&gt;0),R491/(6*$N$3*1000000*$N$5)*(IF(N491&lt;($N$4*5/10),($N$4*5/10)*(MIN(O491,($N$4*5/10))^3-N491^3)-(MIN(O491,($N$4*5/10))^4-N491^4)/4,0)+IF(O491&gt;($N$4*5/10),($N$4*5/10)^2*(1.5*(O491^2-MAX(N491,($N$4*5/10))^2)-($N$4*5/10)*(O491-MAX(N491,($N$4*5/10)))),0))*1000,0)</f>
        <v>0</v>
      </c>
      <c r="AS491" s="120">
        <f>IF(AND(V491="OK",ISNUMBER($N$5),$N$5&gt;0,ISNUMBER($N$3),$N$3&gt;0),R491/(6*$N$3*1000000*$N$5)*(IF(N491&lt;($N$4*6/10),($N$4*6/10)*(MIN(O491,($N$4*6/10))^3-N491^3)-(MIN(O491,($N$4*6/10))^4-N491^4)/4,0)+IF(O491&gt;($N$4*6/10),($N$4*6/10)^2*(1.5*(O491^2-MAX(N491,($N$4*6/10))^2)-($N$4*6/10)*(O491-MAX(N491,($N$4*6/10)))),0))*1000,0)</f>
        <v>0</v>
      </c>
      <c r="AT491" s="120">
        <f>IF(AND(V491="OK",ISNUMBER($N$5),$N$5&gt;0,ISNUMBER($N$3),$N$3&gt;0),R491/(6*$N$3*1000000*$N$5)*(IF(N491&lt;($N$4*7/10),($N$4*7/10)*(MIN(O491,($N$4*7/10))^3-N491^3)-(MIN(O491,($N$4*7/10))^4-N491^4)/4,0)+IF(O491&gt;($N$4*7/10),($N$4*7/10)^2*(1.5*(O491^2-MAX(N491,($N$4*7/10))^2)-($N$4*7/10)*(O491-MAX(N491,($N$4*7/10)))),0))*1000,0)</f>
        <v>0</v>
      </c>
      <c r="AU491" s="120">
        <f>IF(AND(V491="OK",ISNUMBER($N$5),$N$5&gt;0,ISNUMBER($N$3),$N$3&gt;0),R491/(6*$N$3*1000000*$N$5)*(IF(N491&lt;($N$4*8/10),($N$4*8/10)*(MIN(O491,($N$4*8/10))^3-N491^3)-(MIN(O491,($N$4*8/10))^4-N491^4)/4,0)+IF(O491&gt;($N$4*8/10),($N$4*8/10)^2*(1.5*(O491^2-MAX(N491,($N$4*8/10))^2)-($N$4*8/10)*(O491-MAX(N491,($N$4*8/10)))),0))*1000,0)</f>
        <v>0</v>
      </c>
      <c r="AV491" s="120">
        <f>IF(AND(V491="OK",ISNUMBER($N$5),$N$5&gt;0,ISNUMBER($N$3),$N$3&gt;0),R491/(6*$N$3*1000000*$N$5)*(IF(N491&lt;($N$4*9/10),($N$4*9/10)*(MIN(O491,($N$4*9/10))^3-N491^3)-(MIN(O491,($N$4*9/10))^4-N491^4)/4,0)+IF(O491&gt;($N$4*9/10),($N$4*9/10)^2*(1.5*(O491^2-MAX(N491,($N$4*9/10))^2)-($N$4*9/10)*(O491-MAX(N491,($N$4*9/10)))),0))*1000,0)</f>
        <v>0</v>
      </c>
      <c r="AW491" s="120">
        <f>IF(AND(V491="OK",ISNUMBER($N$5),$N$5&gt;0,ISNUMBER($N$3),$N$3&gt;0),R491/(6*$N$3*1000000*$N$5)*(IF(N491&lt;($N$4*10/10),($N$4*10/10)*(MIN(O491,($N$4*10/10))^3-N491^3)-(MIN(O491,($N$4*10/10))^4-N491^4)/4,0)+IF(O491&gt;($N$4*10/10),($N$4*10/10)^2*(1.5*(O491^2-MAX(N491,($N$4*10/10))^2)-($N$4*10/10)*(O491-MAX(N491,($N$4*10/10)))),0))*1000,0)</f>
        <v>0</v>
      </c>
    </row>
    <row r="492" spans="1:49">
      <c r="A492" s="124"/>
      <c r="B492" s="125"/>
      <c r="C492" s="125"/>
      <c r="D492" s="125"/>
      <c r="E492" s="125"/>
      <c r="F492" s="126" t="str">
        <f>IF(J492="OK",D492*E492,"")</f>
        <v/>
      </c>
      <c r="G492" s="126" t="str">
        <f>IF(J492="OK",F492*(C492-B492),"")</f>
        <v/>
      </c>
      <c r="H492" s="126" t="str">
        <f>IF(J492="OK",G492*(C492+B492)/2,"")</f>
        <v/>
      </c>
      <c r="I492" s="126" t="str">
        <f>IF(AND(J492="OK",ISNUMBER($B$5),$B$5&gt;0,ISNUMBER($B$3),$B$3&gt;0),F492*(4*$B$4*(C492^3-B492^3)-(C492^4-B492^4))/(24*$B$3*1000000*$B$5)*1000,"")</f>
        <v/>
      </c>
      <c r="J492" s="120" t="str">
        <f>IF(COUNTA(A492:E492)=0,"",IF(AND(COUNT(B492:E492)=4,B492&gt;=0,C492&gt;B492,C492&lt;=$B$4,D492&gt;=0,E492&gt;0),IF(COUNTIFS($B$13:$B$491,"&lt;"&amp;C492,$C$13:$C$491,"&gt;"&amp;B492)&gt;0,"OVERLAP","OK"),"CHECK INPUTS"))</f>
        <v/>
      </c>
      <c r="M492" s="124"/>
      <c r="N492" s="125"/>
      <c r="O492" s="125"/>
      <c r="P492" s="125"/>
      <c r="Q492" s="125"/>
      <c r="R492" s="126" t="str">
        <f>IF(V492="OK",P492*Q492,"")</f>
        <v/>
      </c>
      <c r="S492" s="126" t="str">
        <f>IF(V492="OK",R492*(O492-N492),"")</f>
        <v/>
      </c>
      <c r="T492" s="126" t="str">
        <f>IF(V492="OK",S492*(O492+N492)/2,"")</f>
        <v/>
      </c>
      <c r="U492" s="126" t="str">
        <f>IF(AND(V492="OK",ISNUMBER($N$5),$N$5&gt;0,ISNUMBER($N$3),$N$3&gt;0),R492*(4*$N$4*(O492^3-N492^3)-(O492^4-N492^4))/(24*$N$3*1000000*$N$5)*1000,"")</f>
        <v/>
      </c>
      <c r="V492" s="120" t="str">
        <f>IF(COUNTA(M492:Q492)=0,"",IF(AND(COUNT(N492:Q492)=4,N492&gt;=0,O492&gt;N492,O492&lt;=$N$4,P492&gt;=0,Q492&gt;0),IF(COUNTIFS($N$13:$N$491,"&lt;"&amp;O492,$O$13:$O$491,"&gt;"&amp;N492)&gt;0,"OVERLAP","OK"),"CHECK INPUTS"))</f>
        <v/>
      </c>
      <c r="AA492" s="120">
        <f>IF(AND(J492="OK",ISNUMBER($B$5),$B$5&gt;0,ISNUMBER($B$3),$B$3&gt;0),F492/(6*$B$3*1000000*$B$5)*(IF(B492&lt;($B$4*0/10),($B$4*0/10)*(MIN(C492,($B$4*0/10))^3-B492^3)-(MIN(C492,($B$4*0/10))^4-B492^4)/4,0)+IF(C492&gt;($B$4*0/10),($B$4*0/10)^2*(1.5*(C492^2-MAX(B492,($B$4*0/10))^2)-($B$4*0/10)*(C492-MAX(B492,($B$4*0/10)))),0))*1000,0)</f>
        <v>0</v>
      </c>
      <c r="AB492" s="120">
        <f>IF(AND(J492="OK",ISNUMBER($B$5),$B$5&gt;0,ISNUMBER($B$3),$B$3&gt;0),F492/(6*$B$3*1000000*$B$5)*(IF(B492&lt;($B$4*1/10),($B$4*1/10)*(MIN(C492,($B$4*1/10))^3-B492^3)-(MIN(C492,($B$4*1/10))^4-B492^4)/4,0)+IF(C492&gt;($B$4*1/10),($B$4*1/10)^2*(1.5*(C492^2-MAX(B492,($B$4*1/10))^2)-($B$4*1/10)*(C492-MAX(B492,($B$4*1/10)))),0))*1000,0)</f>
        <v>0</v>
      </c>
      <c r="AC492" s="120">
        <f>IF(AND(J492="OK",ISNUMBER($B$5),$B$5&gt;0,ISNUMBER($B$3),$B$3&gt;0),F492/(6*$B$3*1000000*$B$5)*(IF(B492&lt;($B$4*2/10),($B$4*2/10)*(MIN(C492,($B$4*2/10))^3-B492^3)-(MIN(C492,($B$4*2/10))^4-B492^4)/4,0)+IF(C492&gt;($B$4*2/10),($B$4*2/10)^2*(1.5*(C492^2-MAX(B492,($B$4*2/10))^2)-($B$4*2/10)*(C492-MAX(B492,($B$4*2/10)))),0))*1000,0)</f>
        <v>0</v>
      </c>
      <c r="AD492" s="120">
        <f>IF(AND(J492="OK",ISNUMBER($B$5),$B$5&gt;0,ISNUMBER($B$3),$B$3&gt;0),F492/(6*$B$3*1000000*$B$5)*(IF(B492&lt;($B$4*3/10),($B$4*3/10)*(MIN(C492,($B$4*3/10))^3-B492^3)-(MIN(C492,($B$4*3/10))^4-B492^4)/4,0)+IF(C492&gt;($B$4*3/10),($B$4*3/10)^2*(1.5*(C492^2-MAX(B492,($B$4*3/10))^2)-($B$4*3/10)*(C492-MAX(B492,($B$4*3/10)))),0))*1000,0)</f>
        <v>0</v>
      </c>
      <c r="AE492" s="120">
        <f>IF(AND(J492="OK",ISNUMBER($B$5),$B$5&gt;0,ISNUMBER($B$3),$B$3&gt;0),F492/(6*$B$3*1000000*$B$5)*(IF(B492&lt;($B$4*4/10),($B$4*4/10)*(MIN(C492,($B$4*4/10))^3-B492^3)-(MIN(C492,($B$4*4/10))^4-B492^4)/4,0)+IF(C492&gt;($B$4*4/10),($B$4*4/10)^2*(1.5*(C492^2-MAX(B492,($B$4*4/10))^2)-($B$4*4/10)*(C492-MAX(B492,($B$4*4/10)))),0))*1000,0)</f>
        <v>0</v>
      </c>
      <c r="AF492" s="120">
        <f>IF(AND(J492="OK",ISNUMBER($B$5),$B$5&gt;0,ISNUMBER($B$3),$B$3&gt;0),F492/(6*$B$3*1000000*$B$5)*(IF(B492&lt;($B$4*5/10),($B$4*5/10)*(MIN(C492,($B$4*5/10))^3-B492^3)-(MIN(C492,($B$4*5/10))^4-B492^4)/4,0)+IF(C492&gt;($B$4*5/10),($B$4*5/10)^2*(1.5*(C492^2-MAX(B492,($B$4*5/10))^2)-($B$4*5/10)*(C492-MAX(B492,($B$4*5/10)))),0))*1000,0)</f>
        <v>0</v>
      </c>
      <c r="AG492" s="120">
        <f>IF(AND(J492="OK",ISNUMBER($B$5),$B$5&gt;0,ISNUMBER($B$3),$B$3&gt;0),F492/(6*$B$3*1000000*$B$5)*(IF(B492&lt;($B$4*6/10),($B$4*6/10)*(MIN(C492,($B$4*6/10))^3-B492^3)-(MIN(C492,($B$4*6/10))^4-B492^4)/4,0)+IF(C492&gt;($B$4*6/10),($B$4*6/10)^2*(1.5*(C492^2-MAX(B492,($B$4*6/10))^2)-($B$4*6/10)*(C492-MAX(B492,($B$4*6/10)))),0))*1000,0)</f>
        <v>0</v>
      </c>
      <c r="AH492" s="120">
        <f>IF(AND(J492="OK",ISNUMBER($B$5),$B$5&gt;0,ISNUMBER($B$3),$B$3&gt;0),F492/(6*$B$3*1000000*$B$5)*(IF(B492&lt;($B$4*7/10),($B$4*7/10)*(MIN(C492,($B$4*7/10))^3-B492^3)-(MIN(C492,($B$4*7/10))^4-B492^4)/4,0)+IF(C492&gt;($B$4*7/10),($B$4*7/10)^2*(1.5*(C492^2-MAX(B492,($B$4*7/10))^2)-($B$4*7/10)*(C492-MAX(B492,($B$4*7/10)))),0))*1000,0)</f>
        <v>0</v>
      </c>
      <c r="AI492" s="120">
        <f>IF(AND(J492="OK",ISNUMBER($B$5),$B$5&gt;0,ISNUMBER($B$3),$B$3&gt;0),F492/(6*$B$3*1000000*$B$5)*(IF(B492&lt;($B$4*8/10),($B$4*8/10)*(MIN(C492,($B$4*8/10))^3-B492^3)-(MIN(C492,($B$4*8/10))^4-B492^4)/4,0)+IF(C492&gt;($B$4*8/10),($B$4*8/10)^2*(1.5*(C492^2-MAX(B492,($B$4*8/10))^2)-($B$4*8/10)*(C492-MAX(B492,($B$4*8/10)))),0))*1000,0)</f>
        <v>0</v>
      </c>
      <c r="AJ492" s="120">
        <f>IF(AND(J492="OK",ISNUMBER($B$5),$B$5&gt;0,ISNUMBER($B$3),$B$3&gt;0),F492/(6*$B$3*1000000*$B$5)*(IF(B492&lt;($B$4*9/10),($B$4*9/10)*(MIN(C492,($B$4*9/10))^3-B492^3)-(MIN(C492,($B$4*9/10))^4-B492^4)/4,0)+IF(C492&gt;($B$4*9/10),($B$4*9/10)^2*(1.5*(C492^2-MAX(B492,($B$4*9/10))^2)-($B$4*9/10)*(C492-MAX(B492,($B$4*9/10)))),0))*1000,0)</f>
        <v>0</v>
      </c>
      <c r="AK492" s="120">
        <f>IF(AND(J492="OK",ISNUMBER($B$5),$B$5&gt;0,ISNUMBER($B$3),$B$3&gt;0),F492/(6*$B$3*1000000*$B$5)*(IF(B492&lt;($B$4*10/10),($B$4*10/10)*(MIN(C492,($B$4*10/10))^3-B492^3)-(MIN(C492,($B$4*10/10))^4-B492^4)/4,0)+IF(C492&gt;($B$4*10/10),($B$4*10/10)^2*(1.5*(C492^2-MAX(B492,($B$4*10/10))^2)-($B$4*10/10)*(C492-MAX(B492,($B$4*10/10)))),0))*1000,0)</f>
        <v>0</v>
      </c>
      <c r="AM492" s="120">
        <f>IF(AND(V492="OK",ISNUMBER($N$5),$N$5&gt;0,ISNUMBER($N$3),$N$3&gt;0),R492/(6*$N$3*1000000*$N$5)*(IF(N492&lt;($N$4*0/10),($N$4*0/10)*(MIN(O492,($N$4*0/10))^3-N492^3)-(MIN(O492,($N$4*0/10))^4-N492^4)/4,0)+IF(O492&gt;($N$4*0/10),($N$4*0/10)^2*(1.5*(O492^2-MAX(N492,($N$4*0/10))^2)-($N$4*0/10)*(O492-MAX(N492,($N$4*0/10)))),0))*1000,0)</f>
        <v>0</v>
      </c>
      <c r="AN492" s="120">
        <f>IF(AND(V492="OK",ISNUMBER($N$5),$N$5&gt;0,ISNUMBER($N$3),$N$3&gt;0),R492/(6*$N$3*1000000*$N$5)*(IF(N492&lt;($N$4*1/10),($N$4*1/10)*(MIN(O492,($N$4*1/10))^3-N492^3)-(MIN(O492,($N$4*1/10))^4-N492^4)/4,0)+IF(O492&gt;($N$4*1/10),($N$4*1/10)^2*(1.5*(O492^2-MAX(N492,($N$4*1/10))^2)-($N$4*1/10)*(O492-MAX(N492,($N$4*1/10)))),0))*1000,0)</f>
        <v>0</v>
      </c>
      <c r="AO492" s="120">
        <f>IF(AND(V492="OK",ISNUMBER($N$5),$N$5&gt;0,ISNUMBER($N$3),$N$3&gt;0),R492/(6*$N$3*1000000*$N$5)*(IF(N492&lt;($N$4*2/10),($N$4*2/10)*(MIN(O492,($N$4*2/10))^3-N492^3)-(MIN(O492,($N$4*2/10))^4-N492^4)/4,0)+IF(O492&gt;($N$4*2/10),($N$4*2/10)^2*(1.5*(O492^2-MAX(N492,($N$4*2/10))^2)-($N$4*2/10)*(O492-MAX(N492,($N$4*2/10)))),0))*1000,0)</f>
        <v>0</v>
      </c>
      <c r="AP492" s="120">
        <f>IF(AND(V492="OK",ISNUMBER($N$5),$N$5&gt;0,ISNUMBER($N$3),$N$3&gt;0),R492/(6*$N$3*1000000*$N$5)*(IF(N492&lt;($N$4*3/10),($N$4*3/10)*(MIN(O492,($N$4*3/10))^3-N492^3)-(MIN(O492,($N$4*3/10))^4-N492^4)/4,0)+IF(O492&gt;($N$4*3/10),($N$4*3/10)^2*(1.5*(O492^2-MAX(N492,($N$4*3/10))^2)-($N$4*3/10)*(O492-MAX(N492,($N$4*3/10)))),0))*1000,0)</f>
        <v>0</v>
      </c>
      <c r="AQ492" s="120">
        <f>IF(AND(V492="OK",ISNUMBER($N$5),$N$5&gt;0,ISNUMBER($N$3),$N$3&gt;0),R492/(6*$N$3*1000000*$N$5)*(IF(N492&lt;($N$4*4/10),($N$4*4/10)*(MIN(O492,($N$4*4/10))^3-N492^3)-(MIN(O492,($N$4*4/10))^4-N492^4)/4,0)+IF(O492&gt;($N$4*4/10),($N$4*4/10)^2*(1.5*(O492^2-MAX(N492,($N$4*4/10))^2)-($N$4*4/10)*(O492-MAX(N492,($N$4*4/10)))),0))*1000,0)</f>
        <v>0</v>
      </c>
      <c r="AR492" s="120">
        <f>IF(AND(V492="OK",ISNUMBER($N$5),$N$5&gt;0,ISNUMBER($N$3),$N$3&gt;0),R492/(6*$N$3*1000000*$N$5)*(IF(N492&lt;($N$4*5/10),($N$4*5/10)*(MIN(O492,($N$4*5/10))^3-N492^3)-(MIN(O492,($N$4*5/10))^4-N492^4)/4,0)+IF(O492&gt;($N$4*5/10),($N$4*5/10)^2*(1.5*(O492^2-MAX(N492,($N$4*5/10))^2)-($N$4*5/10)*(O492-MAX(N492,($N$4*5/10)))),0))*1000,0)</f>
        <v>0</v>
      </c>
      <c r="AS492" s="120">
        <f>IF(AND(V492="OK",ISNUMBER($N$5),$N$5&gt;0,ISNUMBER($N$3),$N$3&gt;0),R492/(6*$N$3*1000000*$N$5)*(IF(N492&lt;($N$4*6/10),($N$4*6/10)*(MIN(O492,($N$4*6/10))^3-N492^3)-(MIN(O492,($N$4*6/10))^4-N492^4)/4,0)+IF(O492&gt;($N$4*6/10),($N$4*6/10)^2*(1.5*(O492^2-MAX(N492,($N$4*6/10))^2)-($N$4*6/10)*(O492-MAX(N492,($N$4*6/10)))),0))*1000,0)</f>
        <v>0</v>
      </c>
      <c r="AT492" s="120">
        <f>IF(AND(V492="OK",ISNUMBER($N$5),$N$5&gt;0,ISNUMBER($N$3),$N$3&gt;0),R492/(6*$N$3*1000000*$N$5)*(IF(N492&lt;($N$4*7/10),($N$4*7/10)*(MIN(O492,($N$4*7/10))^3-N492^3)-(MIN(O492,($N$4*7/10))^4-N492^4)/4,0)+IF(O492&gt;($N$4*7/10),($N$4*7/10)^2*(1.5*(O492^2-MAX(N492,($N$4*7/10))^2)-($N$4*7/10)*(O492-MAX(N492,($N$4*7/10)))),0))*1000,0)</f>
        <v>0</v>
      </c>
      <c r="AU492" s="120">
        <f>IF(AND(V492="OK",ISNUMBER($N$5),$N$5&gt;0,ISNUMBER($N$3),$N$3&gt;0),R492/(6*$N$3*1000000*$N$5)*(IF(N492&lt;($N$4*8/10),($N$4*8/10)*(MIN(O492,($N$4*8/10))^3-N492^3)-(MIN(O492,($N$4*8/10))^4-N492^4)/4,0)+IF(O492&gt;($N$4*8/10),($N$4*8/10)^2*(1.5*(O492^2-MAX(N492,($N$4*8/10))^2)-($N$4*8/10)*(O492-MAX(N492,($N$4*8/10)))),0))*1000,0)</f>
        <v>0</v>
      </c>
      <c r="AV492" s="120">
        <f>IF(AND(V492="OK",ISNUMBER($N$5),$N$5&gt;0,ISNUMBER($N$3),$N$3&gt;0),R492/(6*$N$3*1000000*$N$5)*(IF(N492&lt;($N$4*9/10),($N$4*9/10)*(MIN(O492,($N$4*9/10))^3-N492^3)-(MIN(O492,($N$4*9/10))^4-N492^4)/4,0)+IF(O492&gt;($N$4*9/10),($N$4*9/10)^2*(1.5*(O492^2-MAX(N492,($N$4*9/10))^2)-($N$4*9/10)*(O492-MAX(N492,($N$4*9/10)))),0))*1000,0)</f>
        <v>0</v>
      </c>
      <c r="AW492" s="120">
        <f>IF(AND(V492="OK",ISNUMBER($N$5),$N$5&gt;0,ISNUMBER($N$3),$N$3&gt;0),R492/(6*$N$3*1000000*$N$5)*(IF(N492&lt;($N$4*10/10),($N$4*10/10)*(MIN(O492,($N$4*10/10))^3-N492^3)-(MIN(O492,($N$4*10/10))^4-N492^4)/4,0)+IF(O492&gt;($N$4*10/10),($N$4*10/10)^2*(1.5*(O492^2-MAX(N492,($N$4*10/10))^2)-($N$4*10/10)*(O492-MAX(N492,($N$4*10/10)))),0))*1000,0)</f>
        <v>0</v>
      </c>
    </row>
    <row r="493" spans="1:49">
      <c r="A493" s="124"/>
      <c r="B493" s="125"/>
      <c r="C493" s="125"/>
      <c r="D493" s="125"/>
      <c r="E493" s="125"/>
      <c r="F493" s="126" t="str">
        <f>IF(J493="OK",D493*E493,"")</f>
        <v/>
      </c>
      <c r="G493" s="126" t="str">
        <f>IF(J493="OK",F493*(C493-B493),"")</f>
        <v/>
      </c>
      <c r="H493" s="126" t="str">
        <f>IF(J493="OK",G493*(C493+B493)/2,"")</f>
        <v/>
      </c>
      <c r="I493" s="126" t="str">
        <f>IF(AND(J493="OK",ISNUMBER($B$5),$B$5&gt;0,ISNUMBER($B$3),$B$3&gt;0),F493*(4*$B$4*(C493^3-B493^3)-(C493^4-B493^4))/(24*$B$3*1000000*$B$5)*1000,"")</f>
        <v/>
      </c>
      <c r="J493" s="120" t="str">
        <f>IF(COUNTA(A493:E493)=0,"",IF(AND(COUNT(B493:E493)=4,B493&gt;=0,C493&gt;B493,C493&lt;=$B$4,D493&gt;=0,E493&gt;0),IF(COUNTIFS($B$13:$B$492,"&lt;"&amp;C493,$C$13:$C$492,"&gt;"&amp;B493)&gt;0,"OVERLAP","OK"),"CHECK INPUTS"))</f>
        <v/>
      </c>
      <c r="M493" s="124"/>
      <c r="N493" s="125"/>
      <c r="O493" s="125"/>
      <c r="P493" s="125"/>
      <c r="Q493" s="125"/>
      <c r="R493" s="126" t="str">
        <f>IF(V493="OK",P493*Q493,"")</f>
        <v/>
      </c>
      <c r="S493" s="126" t="str">
        <f>IF(V493="OK",R493*(O493-N493),"")</f>
        <v/>
      </c>
      <c r="T493" s="126" t="str">
        <f>IF(V493="OK",S493*(O493+N493)/2,"")</f>
        <v/>
      </c>
      <c r="U493" s="126" t="str">
        <f>IF(AND(V493="OK",ISNUMBER($N$5),$N$5&gt;0,ISNUMBER($N$3),$N$3&gt;0),R493*(4*$N$4*(O493^3-N493^3)-(O493^4-N493^4))/(24*$N$3*1000000*$N$5)*1000,"")</f>
        <v/>
      </c>
      <c r="V493" s="120" t="str">
        <f>IF(COUNTA(M493:Q493)=0,"",IF(AND(COUNT(N493:Q493)=4,N493&gt;=0,O493&gt;N493,O493&lt;=$N$4,P493&gt;=0,Q493&gt;0),IF(COUNTIFS($N$13:$N$492,"&lt;"&amp;O493,$O$13:$O$492,"&gt;"&amp;N493)&gt;0,"OVERLAP","OK"),"CHECK INPUTS"))</f>
        <v/>
      </c>
      <c r="AA493" s="120">
        <f>IF(AND(J493="OK",ISNUMBER($B$5),$B$5&gt;0,ISNUMBER($B$3),$B$3&gt;0),F493/(6*$B$3*1000000*$B$5)*(IF(B493&lt;($B$4*0/10),($B$4*0/10)*(MIN(C493,($B$4*0/10))^3-B493^3)-(MIN(C493,($B$4*0/10))^4-B493^4)/4,0)+IF(C493&gt;($B$4*0/10),($B$4*0/10)^2*(1.5*(C493^2-MAX(B493,($B$4*0/10))^2)-($B$4*0/10)*(C493-MAX(B493,($B$4*0/10)))),0))*1000,0)</f>
        <v>0</v>
      </c>
      <c r="AB493" s="120">
        <f>IF(AND(J493="OK",ISNUMBER($B$5),$B$5&gt;0,ISNUMBER($B$3),$B$3&gt;0),F493/(6*$B$3*1000000*$B$5)*(IF(B493&lt;($B$4*1/10),($B$4*1/10)*(MIN(C493,($B$4*1/10))^3-B493^3)-(MIN(C493,($B$4*1/10))^4-B493^4)/4,0)+IF(C493&gt;($B$4*1/10),($B$4*1/10)^2*(1.5*(C493^2-MAX(B493,($B$4*1/10))^2)-($B$4*1/10)*(C493-MAX(B493,($B$4*1/10)))),0))*1000,0)</f>
        <v>0</v>
      </c>
      <c r="AC493" s="120">
        <f>IF(AND(J493="OK",ISNUMBER($B$5),$B$5&gt;0,ISNUMBER($B$3),$B$3&gt;0),F493/(6*$B$3*1000000*$B$5)*(IF(B493&lt;($B$4*2/10),($B$4*2/10)*(MIN(C493,($B$4*2/10))^3-B493^3)-(MIN(C493,($B$4*2/10))^4-B493^4)/4,0)+IF(C493&gt;($B$4*2/10),($B$4*2/10)^2*(1.5*(C493^2-MAX(B493,($B$4*2/10))^2)-($B$4*2/10)*(C493-MAX(B493,($B$4*2/10)))),0))*1000,0)</f>
        <v>0</v>
      </c>
      <c r="AD493" s="120">
        <f>IF(AND(J493="OK",ISNUMBER($B$5),$B$5&gt;0,ISNUMBER($B$3),$B$3&gt;0),F493/(6*$B$3*1000000*$B$5)*(IF(B493&lt;($B$4*3/10),($B$4*3/10)*(MIN(C493,($B$4*3/10))^3-B493^3)-(MIN(C493,($B$4*3/10))^4-B493^4)/4,0)+IF(C493&gt;($B$4*3/10),($B$4*3/10)^2*(1.5*(C493^2-MAX(B493,($B$4*3/10))^2)-($B$4*3/10)*(C493-MAX(B493,($B$4*3/10)))),0))*1000,0)</f>
        <v>0</v>
      </c>
      <c r="AE493" s="120">
        <f>IF(AND(J493="OK",ISNUMBER($B$5),$B$5&gt;0,ISNUMBER($B$3),$B$3&gt;0),F493/(6*$B$3*1000000*$B$5)*(IF(B493&lt;($B$4*4/10),($B$4*4/10)*(MIN(C493,($B$4*4/10))^3-B493^3)-(MIN(C493,($B$4*4/10))^4-B493^4)/4,0)+IF(C493&gt;($B$4*4/10),($B$4*4/10)^2*(1.5*(C493^2-MAX(B493,($B$4*4/10))^2)-($B$4*4/10)*(C493-MAX(B493,($B$4*4/10)))),0))*1000,0)</f>
        <v>0</v>
      </c>
      <c r="AF493" s="120">
        <f>IF(AND(J493="OK",ISNUMBER($B$5),$B$5&gt;0,ISNUMBER($B$3),$B$3&gt;0),F493/(6*$B$3*1000000*$B$5)*(IF(B493&lt;($B$4*5/10),($B$4*5/10)*(MIN(C493,($B$4*5/10))^3-B493^3)-(MIN(C493,($B$4*5/10))^4-B493^4)/4,0)+IF(C493&gt;($B$4*5/10),($B$4*5/10)^2*(1.5*(C493^2-MAX(B493,($B$4*5/10))^2)-($B$4*5/10)*(C493-MAX(B493,($B$4*5/10)))),0))*1000,0)</f>
        <v>0</v>
      </c>
      <c r="AG493" s="120">
        <f>IF(AND(J493="OK",ISNUMBER($B$5),$B$5&gt;0,ISNUMBER($B$3),$B$3&gt;0),F493/(6*$B$3*1000000*$B$5)*(IF(B493&lt;($B$4*6/10),($B$4*6/10)*(MIN(C493,($B$4*6/10))^3-B493^3)-(MIN(C493,($B$4*6/10))^4-B493^4)/4,0)+IF(C493&gt;($B$4*6/10),($B$4*6/10)^2*(1.5*(C493^2-MAX(B493,($B$4*6/10))^2)-($B$4*6/10)*(C493-MAX(B493,($B$4*6/10)))),0))*1000,0)</f>
        <v>0</v>
      </c>
      <c r="AH493" s="120">
        <f>IF(AND(J493="OK",ISNUMBER($B$5),$B$5&gt;0,ISNUMBER($B$3),$B$3&gt;0),F493/(6*$B$3*1000000*$B$5)*(IF(B493&lt;($B$4*7/10),($B$4*7/10)*(MIN(C493,($B$4*7/10))^3-B493^3)-(MIN(C493,($B$4*7/10))^4-B493^4)/4,0)+IF(C493&gt;($B$4*7/10),($B$4*7/10)^2*(1.5*(C493^2-MAX(B493,($B$4*7/10))^2)-($B$4*7/10)*(C493-MAX(B493,($B$4*7/10)))),0))*1000,0)</f>
        <v>0</v>
      </c>
      <c r="AI493" s="120">
        <f>IF(AND(J493="OK",ISNUMBER($B$5),$B$5&gt;0,ISNUMBER($B$3),$B$3&gt;0),F493/(6*$B$3*1000000*$B$5)*(IF(B493&lt;($B$4*8/10),($B$4*8/10)*(MIN(C493,($B$4*8/10))^3-B493^3)-(MIN(C493,($B$4*8/10))^4-B493^4)/4,0)+IF(C493&gt;($B$4*8/10),($B$4*8/10)^2*(1.5*(C493^2-MAX(B493,($B$4*8/10))^2)-($B$4*8/10)*(C493-MAX(B493,($B$4*8/10)))),0))*1000,0)</f>
        <v>0</v>
      </c>
      <c r="AJ493" s="120">
        <f>IF(AND(J493="OK",ISNUMBER($B$5),$B$5&gt;0,ISNUMBER($B$3),$B$3&gt;0),F493/(6*$B$3*1000000*$B$5)*(IF(B493&lt;($B$4*9/10),($B$4*9/10)*(MIN(C493,($B$4*9/10))^3-B493^3)-(MIN(C493,($B$4*9/10))^4-B493^4)/4,0)+IF(C493&gt;($B$4*9/10),($B$4*9/10)^2*(1.5*(C493^2-MAX(B493,($B$4*9/10))^2)-($B$4*9/10)*(C493-MAX(B493,($B$4*9/10)))),0))*1000,0)</f>
        <v>0</v>
      </c>
      <c r="AK493" s="120">
        <f>IF(AND(J493="OK",ISNUMBER($B$5),$B$5&gt;0,ISNUMBER($B$3),$B$3&gt;0),F493/(6*$B$3*1000000*$B$5)*(IF(B493&lt;($B$4*10/10),($B$4*10/10)*(MIN(C493,($B$4*10/10))^3-B493^3)-(MIN(C493,($B$4*10/10))^4-B493^4)/4,0)+IF(C493&gt;($B$4*10/10),($B$4*10/10)^2*(1.5*(C493^2-MAX(B493,($B$4*10/10))^2)-($B$4*10/10)*(C493-MAX(B493,($B$4*10/10)))),0))*1000,0)</f>
        <v>0</v>
      </c>
      <c r="AM493" s="120">
        <f>IF(AND(V493="OK",ISNUMBER($N$5),$N$5&gt;0,ISNUMBER($N$3),$N$3&gt;0),R493/(6*$N$3*1000000*$N$5)*(IF(N493&lt;($N$4*0/10),($N$4*0/10)*(MIN(O493,($N$4*0/10))^3-N493^3)-(MIN(O493,($N$4*0/10))^4-N493^4)/4,0)+IF(O493&gt;($N$4*0/10),($N$4*0/10)^2*(1.5*(O493^2-MAX(N493,($N$4*0/10))^2)-($N$4*0/10)*(O493-MAX(N493,($N$4*0/10)))),0))*1000,0)</f>
        <v>0</v>
      </c>
      <c r="AN493" s="120">
        <f>IF(AND(V493="OK",ISNUMBER($N$5),$N$5&gt;0,ISNUMBER($N$3),$N$3&gt;0),R493/(6*$N$3*1000000*$N$5)*(IF(N493&lt;($N$4*1/10),($N$4*1/10)*(MIN(O493,($N$4*1/10))^3-N493^3)-(MIN(O493,($N$4*1/10))^4-N493^4)/4,0)+IF(O493&gt;($N$4*1/10),($N$4*1/10)^2*(1.5*(O493^2-MAX(N493,($N$4*1/10))^2)-($N$4*1/10)*(O493-MAX(N493,($N$4*1/10)))),0))*1000,0)</f>
        <v>0</v>
      </c>
      <c r="AO493" s="120">
        <f>IF(AND(V493="OK",ISNUMBER($N$5),$N$5&gt;0,ISNUMBER($N$3),$N$3&gt;0),R493/(6*$N$3*1000000*$N$5)*(IF(N493&lt;($N$4*2/10),($N$4*2/10)*(MIN(O493,($N$4*2/10))^3-N493^3)-(MIN(O493,($N$4*2/10))^4-N493^4)/4,0)+IF(O493&gt;($N$4*2/10),($N$4*2/10)^2*(1.5*(O493^2-MAX(N493,($N$4*2/10))^2)-($N$4*2/10)*(O493-MAX(N493,($N$4*2/10)))),0))*1000,0)</f>
        <v>0</v>
      </c>
      <c r="AP493" s="120">
        <f>IF(AND(V493="OK",ISNUMBER($N$5),$N$5&gt;0,ISNUMBER($N$3),$N$3&gt;0),R493/(6*$N$3*1000000*$N$5)*(IF(N493&lt;($N$4*3/10),($N$4*3/10)*(MIN(O493,($N$4*3/10))^3-N493^3)-(MIN(O493,($N$4*3/10))^4-N493^4)/4,0)+IF(O493&gt;($N$4*3/10),($N$4*3/10)^2*(1.5*(O493^2-MAX(N493,($N$4*3/10))^2)-($N$4*3/10)*(O493-MAX(N493,($N$4*3/10)))),0))*1000,0)</f>
        <v>0</v>
      </c>
      <c r="AQ493" s="120">
        <f>IF(AND(V493="OK",ISNUMBER($N$5),$N$5&gt;0,ISNUMBER($N$3),$N$3&gt;0),R493/(6*$N$3*1000000*$N$5)*(IF(N493&lt;($N$4*4/10),($N$4*4/10)*(MIN(O493,($N$4*4/10))^3-N493^3)-(MIN(O493,($N$4*4/10))^4-N493^4)/4,0)+IF(O493&gt;($N$4*4/10),($N$4*4/10)^2*(1.5*(O493^2-MAX(N493,($N$4*4/10))^2)-($N$4*4/10)*(O493-MAX(N493,($N$4*4/10)))),0))*1000,0)</f>
        <v>0</v>
      </c>
      <c r="AR493" s="120">
        <f>IF(AND(V493="OK",ISNUMBER($N$5),$N$5&gt;0,ISNUMBER($N$3),$N$3&gt;0),R493/(6*$N$3*1000000*$N$5)*(IF(N493&lt;($N$4*5/10),($N$4*5/10)*(MIN(O493,($N$4*5/10))^3-N493^3)-(MIN(O493,($N$4*5/10))^4-N493^4)/4,0)+IF(O493&gt;($N$4*5/10),($N$4*5/10)^2*(1.5*(O493^2-MAX(N493,($N$4*5/10))^2)-($N$4*5/10)*(O493-MAX(N493,($N$4*5/10)))),0))*1000,0)</f>
        <v>0</v>
      </c>
      <c r="AS493" s="120">
        <f>IF(AND(V493="OK",ISNUMBER($N$5),$N$5&gt;0,ISNUMBER($N$3),$N$3&gt;0),R493/(6*$N$3*1000000*$N$5)*(IF(N493&lt;($N$4*6/10),($N$4*6/10)*(MIN(O493,($N$4*6/10))^3-N493^3)-(MIN(O493,($N$4*6/10))^4-N493^4)/4,0)+IF(O493&gt;($N$4*6/10),($N$4*6/10)^2*(1.5*(O493^2-MAX(N493,($N$4*6/10))^2)-($N$4*6/10)*(O493-MAX(N493,($N$4*6/10)))),0))*1000,0)</f>
        <v>0</v>
      </c>
      <c r="AT493" s="120">
        <f>IF(AND(V493="OK",ISNUMBER($N$5),$N$5&gt;0,ISNUMBER($N$3),$N$3&gt;0),R493/(6*$N$3*1000000*$N$5)*(IF(N493&lt;($N$4*7/10),($N$4*7/10)*(MIN(O493,($N$4*7/10))^3-N493^3)-(MIN(O493,($N$4*7/10))^4-N493^4)/4,0)+IF(O493&gt;($N$4*7/10),($N$4*7/10)^2*(1.5*(O493^2-MAX(N493,($N$4*7/10))^2)-($N$4*7/10)*(O493-MAX(N493,($N$4*7/10)))),0))*1000,0)</f>
        <v>0</v>
      </c>
      <c r="AU493" s="120">
        <f>IF(AND(V493="OK",ISNUMBER($N$5),$N$5&gt;0,ISNUMBER($N$3),$N$3&gt;0),R493/(6*$N$3*1000000*$N$5)*(IF(N493&lt;($N$4*8/10),($N$4*8/10)*(MIN(O493,($N$4*8/10))^3-N493^3)-(MIN(O493,($N$4*8/10))^4-N493^4)/4,0)+IF(O493&gt;($N$4*8/10),($N$4*8/10)^2*(1.5*(O493^2-MAX(N493,($N$4*8/10))^2)-($N$4*8/10)*(O493-MAX(N493,($N$4*8/10)))),0))*1000,0)</f>
        <v>0</v>
      </c>
      <c r="AV493" s="120">
        <f>IF(AND(V493="OK",ISNUMBER($N$5),$N$5&gt;0,ISNUMBER($N$3),$N$3&gt;0),R493/(6*$N$3*1000000*$N$5)*(IF(N493&lt;($N$4*9/10),($N$4*9/10)*(MIN(O493,($N$4*9/10))^3-N493^3)-(MIN(O493,($N$4*9/10))^4-N493^4)/4,0)+IF(O493&gt;($N$4*9/10),($N$4*9/10)^2*(1.5*(O493^2-MAX(N493,($N$4*9/10))^2)-($N$4*9/10)*(O493-MAX(N493,($N$4*9/10)))),0))*1000,0)</f>
        <v>0</v>
      </c>
      <c r="AW493" s="120">
        <f>IF(AND(V493="OK",ISNUMBER($N$5),$N$5&gt;0,ISNUMBER($N$3),$N$3&gt;0),R493/(6*$N$3*1000000*$N$5)*(IF(N493&lt;($N$4*10/10),($N$4*10/10)*(MIN(O493,($N$4*10/10))^3-N493^3)-(MIN(O493,($N$4*10/10))^4-N493^4)/4,0)+IF(O493&gt;($N$4*10/10),($N$4*10/10)^2*(1.5*(O493^2-MAX(N493,($N$4*10/10))^2)-($N$4*10/10)*(O493-MAX(N493,($N$4*10/10)))),0))*1000,0)</f>
        <v>0</v>
      </c>
    </row>
    <row r="494" spans="1:49">
      <c r="A494" s="124"/>
      <c r="B494" s="125"/>
      <c r="C494" s="125"/>
      <c r="D494" s="125"/>
      <c r="E494" s="125"/>
      <c r="F494" s="126" t="str">
        <f>IF(J494="OK",D494*E494,"")</f>
        <v/>
      </c>
      <c r="G494" s="126" t="str">
        <f>IF(J494="OK",F494*(C494-B494),"")</f>
        <v/>
      </c>
      <c r="H494" s="126" t="str">
        <f>IF(J494="OK",G494*(C494+B494)/2,"")</f>
        <v/>
      </c>
      <c r="I494" s="126" t="str">
        <f>IF(AND(J494="OK",ISNUMBER($B$5),$B$5&gt;0,ISNUMBER($B$3),$B$3&gt;0),F494*(4*$B$4*(C494^3-B494^3)-(C494^4-B494^4))/(24*$B$3*1000000*$B$5)*1000,"")</f>
        <v/>
      </c>
      <c r="J494" s="120" t="str">
        <f>IF(COUNTA(A494:E494)=0,"",IF(AND(COUNT(B494:E494)=4,B494&gt;=0,C494&gt;B494,C494&lt;=$B$4,D494&gt;=0,E494&gt;0),IF(COUNTIFS($B$13:$B$493,"&lt;"&amp;C494,$C$13:$C$493,"&gt;"&amp;B494)&gt;0,"OVERLAP","OK"),"CHECK INPUTS"))</f>
        <v/>
      </c>
      <c r="M494" s="124"/>
      <c r="N494" s="125"/>
      <c r="O494" s="125"/>
      <c r="P494" s="125"/>
      <c r="Q494" s="125"/>
      <c r="R494" s="126" t="str">
        <f>IF(V494="OK",P494*Q494,"")</f>
        <v/>
      </c>
      <c r="S494" s="126" t="str">
        <f>IF(V494="OK",R494*(O494-N494),"")</f>
        <v/>
      </c>
      <c r="T494" s="126" t="str">
        <f>IF(V494="OK",S494*(O494+N494)/2,"")</f>
        <v/>
      </c>
      <c r="U494" s="126" t="str">
        <f>IF(AND(V494="OK",ISNUMBER($N$5),$N$5&gt;0,ISNUMBER($N$3),$N$3&gt;0),R494*(4*$N$4*(O494^3-N494^3)-(O494^4-N494^4))/(24*$N$3*1000000*$N$5)*1000,"")</f>
        <v/>
      </c>
      <c r="V494" s="120" t="str">
        <f>IF(COUNTA(M494:Q494)=0,"",IF(AND(COUNT(N494:Q494)=4,N494&gt;=0,O494&gt;N494,O494&lt;=$N$4,P494&gt;=0,Q494&gt;0),IF(COUNTIFS($N$13:$N$493,"&lt;"&amp;O494,$O$13:$O$493,"&gt;"&amp;N494)&gt;0,"OVERLAP","OK"),"CHECK INPUTS"))</f>
        <v/>
      </c>
      <c r="AA494" s="120">
        <f>IF(AND(J494="OK",ISNUMBER($B$5),$B$5&gt;0,ISNUMBER($B$3),$B$3&gt;0),F494/(6*$B$3*1000000*$B$5)*(IF(B494&lt;($B$4*0/10),($B$4*0/10)*(MIN(C494,($B$4*0/10))^3-B494^3)-(MIN(C494,($B$4*0/10))^4-B494^4)/4,0)+IF(C494&gt;($B$4*0/10),($B$4*0/10)^2*(1.5*(C494^2-MAX(B494,($B$4*0/10))^2)-($B$4*0/10)*(C494-MAX(B494,($B$4*0/10)))),0))*1000,0)</f>
        <v>0</v>
      </c>
      <c r="AB494" s="120">
        <f>IF(AND(J494="OK",ISNUMBER($B$5),$B$5&gt;0,ISNUMBER($B$3),$B$3&gt;0),F494/(6*$B$3*1000000*$B$5)*(IF(B494&lt;($B$4*1/10),($B$4*1/10)*(MIN(C494,($B$4*1/10))^3-B494^3)-(MIN(C494,($B$4*1/10))^4-B494^4)/4,0)+IF(C494&gt;($B$4*1/10),($B$4*1/10)^2*(1.5*(C494^2-MAX(B494,($B$4*1/10))^2)-($B$4*1/10)*(C494-MAX(B494,($B$4*1/10)))),0))*1000,0)</f>
        <v>0</v>
      </c>
      <c r="AC494" s="120">
        <f>IF(AND(J494="OK",ISNUMBER($B$5),$B$5&gt;0,ISNUMBER($B$3),$B$3&gt;0),F494/(6*$B$3*1000000*$B$5)*(IF(B494&lt;($B$4*2/10),($B$4*2/10)*(MIN(C494,($B$4*2/10))^3-B494^3)-(MIN(C494,($B$4*2/10))^4-B494^4)/4,0)+IF(C494&gt;($B$4*2/10),($B$4*2/10)^2*(1.5*(C494^2-MAX(B494,($B$4*2/10))^2)-($B$4*2/10)*(C494-MAX(B494,($B$4*2/10)))),0))*1000,0)</f>
        <v>0</v>
      </c>
      <c r="AD494" s="120">
        <f>IF(AND(J494="OK",ISNUMBER($B$5),$B$5&gt;0,ISNUMBER($B$3),$B$3&gt;0),F494/(6*$B$3*1000000*$B$5)*(IF(B494&lt;($B$4*3/10),($B$4*3/10)*(MIN(C494,($B$4*3/10))^3-B494^3)-(MIN(C494,($B$4*3/10))^4-B494^4)/4,0)+IF(C494&gt;($B$4*3/10),($B$4*3/10)^2*(1.5*(C494^2-MAX(B494,($B$4*3/10))^2)-($B$4*3/10)*(C494-MAX(B494,($B$4*3/10)))),0))*1000,0)</f>
        <v>0</v>
      </c>
      <c r="AE494" s="120">
        <f>IF(AND(J494="OK",ISNUMBER($B$5),$B$5&gt;0,ISNUMBER($B$3),$B$3&gt;0),F494/(6*$B$3*1000000*$B$5)*(IF(B494&lt;($B$4*4/10),($B$4*4/10)*(MIN(C494,($B$4*4/10))^3-B494^3)-(MIN(C494,($B$4*4/10))^4-B494^4)/4,0)+IF(C494&gt;($B$4*4/10),($B$4*4/10)^2*(1.5*(C494^2-MAX(B494,($B$4*4/10))^2)-($B$4*4/10)*(C494-MAX(B494,($B$4*4/10)))),0))*1000,0)</f>
        <v>0</v>
      </c>
      <c r="AF494" s="120">
        <f>IF(AND(J494="OK",ISNUMBER($B$5),$B$5&gt;0,ISNUMBER($B$3),$B$3&gt;0),F494/(6*$B$3*1000000*$B$5)*(IF(B494&lt;($B$4*5/10),($B$4*5/10)*(MIN(C494,($B$4*5/10))^3-B494^3)-(MIN(C494,($B$4*5/10))^4-B494^4)/4,0)+IF(C494&gt;($B$4*5/10),($B$4*5/10)^2*(1.5*(C494^2-MAX(B494,($B$4*5/10))^2)-($B$4*5/10)*(C494-MAX(B494,($B$4*5/10)))),0))*1000,0)</f>
        <v>0</v>
      </c>
      <c r="AG494" s="120">
        <f>IF(AND(J494="OK",ISNUMBER($B$5),$B$5&gt;0,ISNUMBER($B$3),$B$3&gt;0),F494/(6*$B$3*1000000*$B$5)*(IF(B494&lt;($B$4*6/10),($B$4*6/10)*(MIN(C494,($B$4*6/10))^3-B494^3)-(MIN(C494,($B$4*6/10))^4-B494^4)/4,0)+IF(C494&gt;($B$4*6/10),($B$4*6/10)^2*(1.5*(C494^2-MAX(B494,($B$4*6/10))^2)-($B$4*6/10)*(C494-MAX(B494,($B$4*6/10)))),0))*1000,0)</f>
        <v>0</v>
      </c>
      <c r="AH494" s="120">
        <f>IF(AND(J494="OK",ISNUMBER($B$5),$B$5&gt;0,ISNUMBER($B$3),$B$3&gt;0),F494/(6*$B$3*1000000*$B$5)*(IF(B494&lt;($B$4*7/10),($B$4*7/10)*(MIN(C494,($B$4*7/10))^3-B494^3)-(MIN(C494,($B$4*7/10))^4-B494^4)/4,0)+IF(C494&gt;($B$4*7/10),($B$4*7/10)^2*(1.5*(C494^2-MAX(B494,($B$4*7/10))^2)-($B$4*7/10)*(C494-MAX(B494,($B$4*7/10)))),0))*1000,0)</f>
        <v>0</v>
      </c>
      <c r="AI494" s="120">
        <f>IF(AND(J494="OK",ISNUMBER($B$5),$B$5&gt;0,ISNUMBER($B$3),$B$3&gt;0),F494/(6*$B$3*1000000*$B$5)*(IF(B494&lt;($B$4*8/10),($B$4*8/10)*(MIN(C494,($B$4*8/10))^3-B494^3)-(MIN(C494,($B$4*8/10))^4-B494^4)/4,0)+IF(C494&gt;($B$4*8/10),($B$4*8/10)^2*(1.5*(C494^2-MAX(B494,($B$4*8/10))^2)-($B$4*8/10)*(C494-MAX(B494,($B$4*8/10)))),0))*1000,0)</f>
        <v>0</v>
      </c>
      <c r="AJ494" s="120">
        <f>IF(AND(J494="OK",ISNUMBER($B$5),$B$5&gt;0,ISNUMBER($B$3),$B$3&gt;0),F494/(6*$B$3*1000000*$B$5)*(IF(B494&lt;($B$4*9/10),($B$4*9/10)*(MIN(C494,($B$4*9/10))^3-B494^3)-(MIN(C494,($B$4*9/10))^4-B494^4)/4,0)+IF(C494&gt;($B$4*9/10),($B$4*9/10)^2*(1.5*(C494^2-MAX(B494,($B$4*9/10))^2)-($B$4*9/10)*(C494-MAX(B494,($B$4*9/10)))),0))*1000,0)</f>
        <v>0</v>
      </c>
      <c r="AK494" s="120">
        <f>IF(AND(J494="OK",ISNUMBER($B$5),$B$5&gt;0,ISNUMBER($B$3),$B$3&gt;0),F494/(6*$B$3*1000000*$B$5)*(IF(B494&lt;($B$4*10/10),($B$4*10/10)*(MIN(C494,($B$4*10/10))^3-B494^3)-(MIN(C494,($B$4*10/10))^4-B494^4)/4,0)+IF(C494&gt;($B$4*10/10),($B$4*10/10)^2*(1.5*(C494^2-MAX(B494,($B$4*10/10))^2)-($B$4*10/10)*(C494-MAX(B494,($B$4*10/10)))),0))*1000,0)</f>
        <v>0</v>
      </c>
      <c r="AM494" s="120">
        <f>IF(AND(V494="OK",ISNUMBER($N$5),$N$5&gt;0,ISNUMBER($N$3),$N$3&gt;0),R494/(6*$N$3*1000000*$N$5)*(IF(N494&lt;($N$4*0/10),($N$4*0/10)*(MIN(O494,($N$4*0/10))^3-N494^3)-(MIN(O494,($N$4*0/10))^4-N494^4)/4,0)+IF(O494&gt;($N$4*0/10),($N$4*0/10)^2*(1.5*(O494^2-MAX(N494,($N$4*0/10))^2)-($N$4*0/10)*(O494-MAX(N494,($N$4*0/10)))),0))*1000,0)</f>
        <v>0</v>
      </c>
      <c r="AN494" s="120">
        <f>IF(AND(V494="OK",ISNUMBER($N$5),$N$5&gt;0,ISNUMBER($N$3),$N$3&gt;0),R494/(6*$N$3*1000000*$N$5)*(IF(N494&lt;($N$4*1/10),($N$4*1/10)*(MIN(O494,($N$4*1/10))^3-N494^3)-(MIN(O494,($N$4*1/10))^4-N494^4)/4,0)+IF(O494&gt;($N$4*1/10),($N$4*1/10)^2*(1.5*(O494^2-MAX(N494,($N$4*1/10))^2)-($N$4*1/10)*(O494-MAX(N494,($N$4*1/10)))),0))*1000,0)</f>
        <v>0</v>
      </c>
      <c r="AO494" s="120">
        <f>IF(AND(V494="OK",ISNUMBER($N$5),$N$5&gt;0,ISNUMBER($N$3),$N$3&gt;0),R494/(6*$N$3*1000000*$N$5)*(IF(N494&lt;($N$4*2/10),($N$4*2/10)*(MIN(O494,($N$4*2/10))^3-N494^3)-(MIN(O494,($N$4*2/10))^4-N494^4)/4,0)+IF(O494&gt;($N$4*2/10),($N$4*2/10)^2*(1.5*(O494^2-MAX(N494,($N$4*2/10))^2)-($N$4*2/10)*(O494-MAX(N494,($N$4*2/10)))),0))*1000,0)</f>
        <v>0</v>
      </c>
      <c r="AP494" s="120">
        <f>IF(AND(V494="OK",ISNUMBER($N$5),$N$5&gt;0,ISNUMBER($N$3),$N$3&gt;0),R494/(6*$N$3*1000000*$N$5)*(IF(N494&lt;($N$4*3/10),($N$4*3/10)*(MIN(O494,($N$4*3/10))^3-N494^3)-(MIN(O494,($N$4*3/10))^4-N494^4)/4,0)+IF(O494&gt;($N$4*3/10),($N$4*3/10)^2*(1.5*(O494^2-MAX(N494,($N$4*3/10))^2)-($N$4*3/10)*(O494-MAX(N494,($N$4*3/10)))),0))*1000,0)</f>
        <v>0</v>
      </c>
      <c r="AQ494" s="120">
        <f>IF(AND(V494="OK",ISNUMBER($N$5),$N$5&gt;0,ISNUMBER($N$3),$N$3&gt;0),R494/(6*$N$3*1000000*$N$5)*(IF(N494&lt;($N$4*4/10),($N$4*4/10)*(MIN(O494,($N$4*4/10))^3-N494^3)-(MIN(O494,($N$4*4/10))^4-N494^4)/4,0)+IF(O494&gt;($N$4*4/10),($N$4*4/10)^2*(1.5*(O494^2-MAX(N494,($N$4*4/10))^2)-($N$4*4/10)*(O494-MAX(N494,($N$4*4/10)))),0))*1000,0)</f>
        <v>0</v>
      </c>
      <c r="AR494" s="120">
        <f>IF(AND(V494="OK",ISNUMBER($N$5),$N$5&gt;0,ISNUMBER($N$3),$N$3&gt;0),R494/(6*$N$3*1000000*$N$5)*(IF(N494&lt;($N$4*5/10),($N$4*5/10)*(MIN(O494,($N$4*5/10))^3-N494^3)-(MIN(O494,($N$4*5/10))^4-N494^4)/4,0)+IF(O494&gt;($N$4*5/10),($N$4*5/10)^2*(1.5*(O494^2-MAX(N494,($N$4*5/10))^2)-($N$4*5/10)*(O494-MAX(N494,($N$4*5/10)))),0))*1000,0)</f>
        <v>0</v>
      </c>
      <c r="AS494" s="120">
        <f>IF(AND(V494="OK",ISNUMBER($N$5),$N$5&gt;0,ISNUMBER($N$3),$N$3&gt;0),R494/(6*$N$3*1000000*$N$5)*(IF(N494&lt;($N$4*6/10),($N$4*6/10)*(MIN(O494,($N$4*6/10))^3-N494^3)-(MIN(O494,($N$4*6/10))^4-N494^4)/4,0)+IF(O494&gt;($N$4*6/10),($N$4*6/10)^2*(1.5*(O494^2-MAX(N494,($N$4*6/10))^2)-($N$4*6/10)*(O494-MAX(N494,($N$4*6/10)))),0))*1000,0)</f>
        <v>0</v>
      </c>
      <c r="AT494" s="120">
        <f>IF(AND(V494="OK",ISNUMBER($N$5),$N$5&gt;0,ISNUMBER($N$3),$N$3&gt;0),R494/(6*$N$3*1000000*$N$5)*(IF(N494&lt;($N$4*7/10),($N$4*7/10)*(MIN(O494,($N$4*7/10))^3-N494^3)-(MIN(O494,($N$4*7/10))^4-N494^4)/4,0)+IF(O494&gt;($N$4*7/10),($N$4*7/10)^2*(1.5*(O494^2-MAX(N494,($N$4*7/10))^2)-($N$4*7/10)*(O494-MAX(N494,($N$4*7/10)))),0))*1000,0)</f>
        <v>0</v>
      </c>
      <c r="AU494" s="120">
        <f>IF(AND(V494="OK",ISNUMBER($N$5),$N$5&gt;0,ISNUMBER($N$3),$N$3&gt;0),R494/(6*$N$3*1000000*$N$5)*(IF(N494&lt;($N$4*8/10),($N$4*8/10)*(MIN(O494,($N$4*8/10))^3-N494^3)-(MIN(O494,($N$4*8/10))^4-N494^4)/4,0)+IF(O494&gt;($N$4*8/10),($N$4*8/10)^2*(1.5*(O494^2-MAX(N494,($N$4*8/10))^2)-($N$4*8/10)*(O494-MAX(N494,($N$4*8/10)))),0))*1000,0)</f>
        <v>0</v>
      </c>
      <c r="AV494" s="120">
        <f>IF(AND(V494="OK",ISNUMBER($N$5),$N$5&gt;0,ISNUMBER($N$3),$N$3&gt;0),R494/(6*$N$3*1000000*$N$5)*(IF(N494&lt;($N$4*9/10),($N$4*9/10)*(MIN(O494,($N$4*9/10))^3-N494^3)-(MIN(O494,($N$4*9/10))^4-N494^4)/4,0)+IF(O494&gt;($N$4*9/10),($N$4*9/10)^2*(1.5*(O494^2-MAX(N494,($N$4*9/10))^2)-($N$4*9/10)*(O494-MAX(N494,($N$4*9/10)))),0))*1000,0)</f>
        <v>0</v>
      </c>
      <c r="AW494" s="120">
        <f>IF(AND(V494="OK",ISNUMBER($N$5),$N$5&gt;0,ISNUMBER($N$3),$N$3&gt;0),R494/(6*$N$3*1000000*$N$5)*(IF(N494&lt;($N$4*10/10),($N$4*10/10)*(MIN(O494,($N$4*10/10))^3-N494^3)-(MIN(O494,($N$4*10/10))^4-N494^4)/4,0)+IF(O494&gt;($N$4*10/10),($N$4*10/10)^2*(1.5*(O494^2-MAX(N494,($N$4*10/10))^2)-($N$4*10/10)*(O494-MAX(N494,($N$4*10/10)))),0))*1000,0)</f>
        <v>0</v>
      </c>
    </row>
    <row r="495" spans="1:49">
      <c r="A495" s="124"/>
      <c r="B495" s="125"/>
      <c r="C495" s="125"/>
      <c r="D495" s="125"/>
      <c r="E495" s="125"/>
      <c r="F495" s="126" t="str">
        <f>IF(J495="OK",D495*E495,"")</f>
        <v/>
      </c>
      <c r="G495" s="126" t="str">
        <f>IF(J495="OK",F495*(C495-B495),"")</f>
        <v/>
      </c>
      <c r="H495" s="126" t="str">
        <f>IF(J495="OK",G495*(C495+B495)/2,"")</f>
        <v/>
      </c>
      <c r="I495" s="126" t="str">
        <f>IF(AND(J495="OK",ISNUMBER($B$5),$B$5&gt;0,ISNUMBER($B$3),$B$3&gt;0),F495*(4*$B$4*(C495^3-B495^3)-(C495^4-B495^4))/(24*$B$3*1000000*$B$5)*1000,"")</f>
        <v/>
      </c>
      <c r="J495" s="120" t="str">
        <f>IF(COUNTA(A495:E495)=0,"",IF(AND(COUNT(B495:E495)=4,B495&gt;=0,C495&gt;B495,C495&lt;=$B$4,D495&gt;=0,E495&gt;0),IF(COUNTIFS($B$13:$B$494,"&lt;"&amp;C495,$C$13:$C$494,"&gt;"&amp;B495)&gt;0,"OVERLAP","OK"),"CHECK INPUTS"))</f>
        <v/>
      </c>
      <c r="M495" s="124"/>
      <c r="N495" s="125"/>
      <c r="O495" s="125"/>
      <c r="P495" s="125"/>
      <c r="Q495" s="125"/>
      <c r="R495" s="126" t="str">
        <f>IF(V495="OK",P495*Q495,"")</f>
        <v/>
      </c>
      <c r="S495" s="126" t="str">
        <f>IF(V495="OK",R495*(O495-N495),"")</f>
        <v/>
      </c>
      <c r="T495" s="126" t="str">
        <f>IF(V495="OK",S495*(O495+N495)/2,"")</f>
        <v/>
      </c>
      <c r="U495" s="126" t="str">
        <f>IF(AND(V495="OK",ISNUMBER($N$5),$N$5&gt;0,ISNUMBER($N$3),$N$3&gt;0),R495*(4*$N$4*(O495^3-N495^3)-(O495^4-N495^4))/(24*$N$3*1000000*$N$5)*1000,"")</f>
        <v/>
      </c>
      <c r="V495" s="120" t="str">
        <f>IF(COUNTA(M495:Q495)=0,"",IF(AND(COUNT(N495:Q495)=4,N495&gt;=0,O495&gt;N495,O495&lt;=$N$4,P495&gt;=0,Q495&gt;0),IF(COUNTIFS($N$13:$N$494,"&lt;"&amp;O495,$O$13:$O$494,"&gt;"&amp;N495)&gt;0,"OVERLAP","OK"),"CHECK INPUTS"))</f>
        <v/>
      </c>
      <c r="AA495" s="120">
        <f>IF(AND(J495="OK",ISNUMBER($B$5),$B$5&gt;0,ISNUMBER($B$3),$B$3&gt;0),F495/(6*$B$3*1000000*$B$5)*(IF(B495&lt;($B$4*0/10),($B$4*0/10)*(MIN(C495,($B$4*0/10))^3-B495^3)-(MIN(C495,($B$4*0/10))^4-B495^4)/4,0)+IF(C495&gt;($B$4*0/10),($B$4*0/10)^2*(1.5*(C495^2-MAX(B495,($B$4*0/10))^2)-($B$4*0/10)*(C495-MAX(B495,($B$4*0/10)))),0))*1000,0)</f>
        <v>0</v>
      </c>
      <c r="AB495" s="120">
        <f>IF(AND(J495="OK",ISNUMBER($B$5),$B$5&gt;0,ISNUMBER($B$3),$B$3&gt;0),F495/(6*$B$3*1000000*$B$5)*(IF(B495&lt;($B$4*1/10),($B$4*1/10)*(MIN(C495,($B$4*1/10))^3-B495^3)-(MIN(C495,($B$4*1/10))^4-B495^4)/4,0)+IF(C495&gt;($B$4*1/10),($B$4*1/10)^2*(1.5*(C495^2-MAX(B495,($B$4*1/10))^2)-($B$4*1/10)*(C495-MAX(B495,($B$4*1/10)))),0))*1000,0)</f>
        <v>0</v>
      </c>
      <c r="AC495" s="120">
        <f>IF(AND(J495="OK",ISNUMBER($B$5),$B$5&gt;0,ISNUMBER($B$3),$B$3&gt;0),F495/(6*$B$3*1000000*$B$5)*(IF(B495&lt;($B$4*2/10),($B$4*2/10)*(MIN(C495,($B$4*2/10))^3-B495^3)-(MIN(C495,($B$4*2/10))^4-B495^4)/4,0)+IF(C495&gt;($B$4*2/10),($B$4*2/10)^2*(1.5*(C495^2-MAX(B495,($B$4*2/10))^2)-($B$4*2/10)*(C495-MAX(B495,($B$4*2/10)))),0))*1000,0)</f>
        <v>0</v>
      </c>
      <c r="AD495" s="120">
        <f>IF(AND(J495="OK",ISNUMBER($B$5),$B$5&gt;0,ISNUMBER($B$3),$B$3&gt;0),F495/(6*$B$3*1000000*$B$5)*(IF(B495&lt;($B$4*3/10),($B$4*3/10)*(MIN(C495,($B$4*3/10))^3-B495^3)-(MIN(C495,($B$4*3/10))^4-B495^4)/4,0)+IF(C495&gt;($B$4*3/10),($B$4*3/10)^2*(1.5*(C495^2-MAX(B495,($B$4*3/10))^2)-($B$4*3/10)*(C495-MAX(B495,($B$4*3/10)))),0))*1000,0)</f>
        <v>0</v>
      </c>
      <c r="AE495" s="120">
        <f>IF(AND(J495="OK",ISNUMBER($B$5),$B$5&gt;0,ISNUMBER($B$3),$B$3&gt;0),F495/(6*$B$3*1000000*$B$5)*(IF(B495&lt;($B$4*4/10),($B$4*4/10)*(MIN(C495,($B$4*4/10))^3-B495^3)-(MIN(C495,($B$4*4/10))^4-B495^4)/4,0)+IF(C495&gt;($B$4*4/10),($B$4*4/10)^2*(1.5*(C495^2-MAX(B495,($B$4*4/10))^2)-($B$4*4/10)*(C495-MAX(B495,($B$4*4/10)))),0))*1000,0)</f>
        <v>0</v>
      </c>
      <c r="AF495" s="120">
        <f>IF(AND(J495="OK",ISNUMBER($B$5),$B$5&gt;0,ISNUMBER($B$3),$B$3&gt;0),F495/(6*$B$3*1000000*$B$5)*(IF(B495&lt;($B$4*5/10),($B$4*5/10)*(MIN(C495,($B$4*5/10))^3-B495^3)-(MIN(C495,($B$4*5/10))^4-B495^4)/4,0)+IF(C495&gt;($B$4*5/10),($B$4*5/10)^2*(1.5*(C495^2-MAX(B495,($B$4*5/10))^2)-($B$4*5/10)*(C495-MAX(B495,($B$4*5/10)))),0))*1000,0)</f>
        <v>0</v>
      </c>
      <c r="AG495" s="120">
        <f>IF(AND(J495="OK",ISNUMBER($B$5),$B$5&gt;0,ISNUMBER($B$3),$B$3&gt;0),F495/(6*$B$3*1000000*$B$5)*(IF(B495&lt;($B$4*6/10),($B$4*6/10)*(MIN(C495,($B$4*6/10))^3-B495^3)-(MIN(C495,($B$4*6/10))^4-B495^4)/4,0)+IF(C495&gt;($B$4*6/10),($B$4*6/10)^2*(1.5*(C495^2-MAX(B495,($B$4*6/10))^2)-($B$4*6/10)*(C495-MAX(B495,($B$4*6/10)))),0))*1000,0)</f>
        <v>0</v>
      </c>
      <c r="AH495" s="120">
        <f>IF(AND(J495="OK",ISNUMBER($B$5),$B$5&gt;0,ISNUMBER($B$3),$B$3&gt;0),F495/(6*$B$3*1000000*$B$5)*(IF(B495&lt;($B$4*7/10),($B$4*7/10)*(MIN(C495,($B$4*7/10))^3-B495^3)-(MIN(C495,($B$4*7/10))^4-B495^4)/4,0)+IF(C495&gt;($B$4*7/10),($B$4*7/10)^2*(1.5*(C495^2-MAX(B495,($B$4*7/10))^2)-($B$4*7/10)*(C495-MAX(B495,($B$4*7/10)))),0))*1000,0)</f>
        <v>0</v>
      </c>
      <c r="AI495" s="120">
        <f>IF(AND(J495="OK",ISNUMBER($B$5),$B$5&gt;0,ISNUMBER($B$3),$B$3&gt;0),F495/(6*$B$3*1000000*$B$5)*(IF(B495&lt;($B$4*8/10),($B$4*8/10)*(MIN(C495,($B$4*8/10))^3-B495^3)-(MIN(C495,($B$4*8/10))^4-B495^4)/4,0)+IF(C495&gt;($B$4*8/10),($B$4*8/10)^2*(1.5*(C495^2-MAX(B495,($B$4*8/10))^2)-($B$4*8/10)*(C495-MAX(B495,($B$4*8/10)))),0))*1000,0)</f>
        <v>0</v>
      </c>
      <c r="AJ495" s="120">
        <f>IF(AND(J495="OK",ISNUMBER($B$5),$B$5&gt;0,ISNUMBER($B$3),$B$3&gt;0),F495/(6*$B$3*1000000*$B$5)*(IF(B495&lt;($B$4*9/10),($B$4*9/10)*(MIN(C495,($B$4*9/10))^3-B495^3)-(MIN(C495,($B$4*9/10))^4-B495^4)/4,0)+IF(C495&gt;($B$4*9/10),($B$4*9/10)^2*(1.5*(C495^2-MAX(B495,($B$4*9/10))^2)-($B$4*9/10)*(C495-MAX(B495,($B$4*9/10)))),0))*1000,0)</f>
        <v>0</v>
      </c>
      <c r="AK495" s="120">
        <f>IF(AND(J495="OK",ISNUMBER($B$5),$B$5&gt;0,ISNUMBER($B$3),$B$3&gt;0),F495/(6*$B$3*1000000*$B$5)*(IF(B495&lt;($B$4*10/10),($B$4*10/10)*(MIN(C495,($B$4*10/10))^3-B495^3)-(MIN(C495,($B$4*10/10))^4-B495^4)/4,0)+IF(C495&gt;($B$4*10/10),($B$4*10/10)^2*(1.5*(C495^2-MAX(B495,($B$4*10/10))^2)-($B$4*10/10)*(C495-MAX(B495,($B$4*10/10)))),0))*1000,0)</f>
        <v>0</v>
      </c>
      <c r="AM495" s="120">
        <f>IF(AND(V495="OK",ISNUMBER($N$5),$N$5&gt;0,ISNUMBER($N$3),$N$3&gt;0),R495/(6*$N$3*1000000*$N$5)*(IF(N495&lt;($N$4*0/10),($N$4*0/10)*(MIN(O495,($N$4*0/10))^3-N495^3)-(MIN(O495,($N$4*0/10))^4-N495^4)/4,0)+IF(O495&gt;($N$4*0/10),($N$4*0/10)^2*(1.5*(O495^2-MAX(N495,($N$4*0/10))^2)-($N$4*0/10)*(O495-MAX(N495,($N$4*0/10)))),0))*1000,0)</f>
        <v>0</v>
      </c>
      <c r="AN495" s="120">
        <f>IF(AND(V495="OK",ISNUMBER($N$5),$N$5&gt;0,ISNUMBER($N$3),$N$3&gt;0),R495/(6*$N$3*1000000*$N$5)*(IF(N495&lt;($N$4*1/10),($N$4*1/10)*(MIN(O495,($N$4*1/10))^3-N495^3)-(MIN(O495,($N$4*1/10))^4-N495^4)/4,0)+IF(O495&gt;($N$4*1/10),($N$4*1/10)^2*(1.5*(O495^2-MAX(N495,($N$4*1/10))^2)-($N$4*1/10)*(O495-MAX(N495,($N$4*1/10)))),0))*1000,0)</f>
        <v>0</v>
      </c>
      <c r="AO495" s="120">
        <f>IF(AND(V495="OK",ISNUMBER($N$5),$N$5&gt;0,ISNUMBER($N$3),$N$3&gt;0),R495/(6*$N$3*1000000*$N$5)*(IF(N495&lt;($N$4*2/10),($N$4*2/10)*(MIN(O495,($N$4*2/10))^3-N495^3)-(MIN(O495,($N$4*2/10))^4-N495^4)/4,0)+IF(O495&gt;($N$4*2/10),($N$4*2/10)^2*(1.5*(O495^2-MAX(N495,($N$4*2/10))^2)-($N$4*2/10)*(O495-MAX(N495,($N$4*2/10)))),0))*1000,0)</f>
        <v>0</v>
      </c>
      <c r="AP495" s="120">
        <f>IF(AND(V495="OK",ISNUMBER($N$5),$N$5&gt;0,ISNUMBER($N$3),$N$3&gt;0),R495/(6*$N$3*1000000*$N$5)*(IF(N495&lt;($N$4*3/10),($N$4*3/10)*(MIN(O495,($N$4*3/10))^3-N495^3)-(MIN(O495,($N$4*3/10))^4-N495^4)/4,0)+IF(O495&gt;($N$4*3/10),($N$4*3/10)^2*(1.5*(O495^2-MAX(N495,($N$4*3/10))^2)-($N$4*3/10)*(O495-MAX(N495,($N$4*3/10)))),0))*1000,0)</f>
        <v>0</v>
      </c>
      <c r="AQ495" s="120">
        <f>IF(AND(V495="OK",ISNUMBER($N$5),$N$5&gt;0,ISNUMBER($N$3),$N$3&gt;0),R495/(6*$N$3*1000000*$N$5)*(IF(N495&lt;($N$4*4/10),($N$4*4/10)*(MIN(O495,($N$4*4/10))^3-N495^3)-(MIN(O495,($N$4*4/10))^4-N495^4)/4,0)+IF(O495&gt;($N$4*4/10),($N$4*4/10)^2*(1.5*(O495^2-MAX(N495,($N$4*4/10))^2)-($N$4*4/10)*(O495-MAX(N495,($N$4*4/10)))),0))*1000,0)</f>
        <v>0</v>
      </c>
      <c r="AR495" s="120">
        <f>IF(AND(V495="OK",ISNUMBER($N$5),$N$5&gt;0,ISNUMBER($N$3),$N$3&gt;0),R495/(6*$N$3*1000000*$N$5)*(IF(N495&lt;($N$4*5/10),($N$4*5/10)*(MIN(O495,($N$4*5/10))^3-N495^3)-(MIN(O495,($N$4*5/10))^4-N495^4)/4,0)+IF(O495&gt;($N$4*5/10),($N$4*5/10)^2*(1.5*(O495^2-MAX(N495,($N$4*5/10))^2)-($N$4*5/10)*(O495-MAX(N495,($N$4*5/10)))),0))*1000,0)</f>
        <v>0</v>
      </c>
      <c r="AS495" s="120">
        <f>IF(AND(V495="OK",ISNUMBER($N$5),$N$5&gt;0,ISNUMBER($N$3),$N$3&gt;0),R495/(6*$N$3*1000000*$N$5)*(IF(N495&lt;($N$4*6/10),($N$4*6/10)*(MIN(O495,($N$4*6/10))^3-N495^3)-(MIN(O495,($N$4*6/10))^4-N495^4)/4,0)+IF(O495&gt;($N$4*6/10),($N$4*6/10)^2*(1.5*(O495^2-MAX(N495,($N$4*6/10))^2)-($N$4*6/10)*(O495-MAX(N495,($N$4*6/10)))),0))*1000,0)</f>
        <v>0</v>
      </c>
      <c r="AT495" s="120">
        <f>IF(AND(V495="OK",ISNUMBER($N$5),$N$5&gt;0,ISNUMBER($N$3),$N$3&gt;0),R495/(6*$N$3*1000000*$N$5)*(IF(N495&lt;($N$4*7/10),($N$4*7/10)*(MIN(O495,($N$4*7/10))^3-N495^3)-(MIN(O495,($N$4*7/10))^4-N495^4)/4,0)+IF(O495&gt;($N$4*7/10),($N$4*7/10)^2*(1.5*(O495^2-MAX(N495,($N$4*7/10))^2)-($N$4*7/10)*(O495-MAX(N495,($N$4*7/10)))),0))*1000,0)</f>
        <v>0</v>
      </c>
      <c r="AU495" s="120">
        <f>IF(AND(V495="OK",ISNUMBER($N$5),$N$5&gt;0,ISNUMBER($N$3),$N$3&gt;0),R495/(6*$N$3*1000000*$N$5)*(IF(N495&lt;($N$4*8/10),($N$4*8/10)*(MIN(O495,($N$4*8/10))^3-N495^3)-(MIN(O495,($N$4*8/10))^4-N495^4)/4,0)+IF(O495&gt;($N$4*8/10),($N$4*8/10)^2*(1.5*(O495^2-MAX(N495,($N$4*8/10))^2)-($N$4*8/10)*(O495-MAX(N495,($N$4*8/10)))),0))*1000,0)</f>
        <v>0</v>
      </c>
      <c r="AV495" s="120">
        <f>IF(AND(V495="OK",ISNUMBER($N$5),$N$5&gt;0,ISNUMBER($N$3),$N$3&gt;0),R495/(6*$N$3*1000000*$N$5)*(IF(N495&lt;($N$4*9/10),($N$4*9/10)*(MIN(O495,($N$4*9/10))^3-N495^3)-(MIN(O495,($N$4*9/10))^4-N495^4)/4,0)+IF(O495&gt;($N$4*9/10),($N$4*9/10)^2*(1.5*(O495^2-MAX(N495,($N$4*9/10))^2)-($N$4*9/10)*(O495-MAX(N495,($N$4*9/10)))),0))*1000,0)</f>
        <v>0</v>
      </c>
      <c r="AW495" s="120">
        <f>IF(AND(V495="OK",ISNUMBER($N$5),$N$5&gt;0,ISNUMBER($N$3),$N$3&gt;0),R495/(6*$N$3*1000000*$N$5)*(IF(N495&lt;($N$4*10/10),($N$4*10/10)*(MIN(O495,($N$4*10/10))^3-N495^3)-(MIN(O495,($N$4*10/10))^4-N495^4)/4,0)+IF(O495&gt;($N$4*10/10),($N$4*10/10)^2*(1.5*(O495^2-MAX(N495,($N$4*10/10))^2)-($N$4*10/10)*(O495-MAX(N495,($N$4*10/10)))),0))*1000,0)</f>
        <v>0</v>
      </c>
    </row>
    <row r="496" spans="1:49">
      <c r="A496" s="124"/>
      <c r="B496" s="125"/>
      <c r="C496" s="125"/>
      <c r="D496" s="125"/>
      <c r="E496" s="125"/>
      <c r="F496" s="126" t="str">
        <f>IF(J496="OK",D496*E496,"")</f>
        <v/>
      </c>
      <c r="G496" s="126" t="str">
        <f>IF(J496="OK",F496*(C496-B496),"")</f>
        <v/>
      </c>
      <c r="H496" s="126" t="str">
        <f>IF(J496="OK",G496*(C496+B496)/2,"")</f>
        <v/>
      </c>
      <c r="I496" s="126" t="str">
        <f>IF(AND(J496="OK",ISNUMBER($B$5),$B$5&gt;0,ISNUMBER($B$3),$B$3&gt;0),F496*(4*$B$4*(C496^3-B496^3)-(C496^4-B496^4))/(24*$B$3*1000000*$B$5)*1000,"")</f>
        <v/>
      </c>
      <c r="J496" s="120" t="str">
        <f>IF(COUNTA(A496:E496)=0,"",IF(AND(COUNT(B496:E496)=4,B496&gt;=0,C496&gt;B496,C496&lt;=$B$4,D496&gt;=0,E496&gt;0),IF(COUNTIFS($B$13:$B$495,"&lt;"&amp;C496,$C$13:$C$495,"&gt;"&amp;B496)&gt;0,"OVERLAP","OK"),"CHECK INPUTS"))</f>
        <v/>
      </c>
      <c r="M496" s="124"/>
      <c r="N496" s="125"/>
      <c r="O496" s="125"/>
      <c r="P496" s="125"/>
      <c r="Q496" s="125"/>
      <c r="R496" s="126" t="str">
        <f>IF(V496="OK",P496*Q496,"")</f>
        <v/>
      </c>
      <c r="S496" s="126" t="str">
        <f>IF(V496="OK",R496*(O496-N496),"")</f>
        <v/>
      </c>
      <c r="T496" s="126" t="str">
        <f>IF(V496="OK",S496*(O496+N496)/2,"")</f>
        <v/>
      </c>
      <c r="U496" s="126" t="str">
        <f>IF(AND(V496="OK",ISNUMBER($N$5),$N$5&gt;0,ISNUMBER($N$3),$N$3&gt;0),R496*(4*$N$4*(O496^3-N496^3)-(O496^4-N496^4))/(24*$N$3*1000000*$N$5)*1000,"")</f>
        <v/>
      </c>
      <c r="V496" s="120" t="str">
        <f>IF(COUNTA(M496:Q496)=0,"",IF(AND(COUNT(N496:Q496)=4,N496&gt;=0,O496&gt;N496,O496&lt;=$N$4,P496&gt;=0,Q496&gt;0),IF(COUNTIFS($N$13:$N$495,"&lt;"&amp;O496,$O$13:$O$495,"&gt;"&amp;N496)&gt;0,"OVERLAP","OK"),"CHECK INPUTS"))</f>
        <v/>
      </c>
      <c r="AA496" s="120">
        <f>IF(AND(J496="OK",ISNUMBER($B$5),$B$5&gt;0,ISNUMBER($B$3),$B$3&gt;0),F496/(6*$B$3*1000000*$B$5)*(IF(B496&lt;($B$4*0/10),($B$4*0/10)*(MIN(C496,($B$4*0/10))^3-B496^3)-(MIN(C496,($B$4*0/10))^4-B496^4)/4,0)+IF(C496&gt;($B$4*0/10),($B$4*0/10)^2*(1.5*(C496^2-MAX(B496,($B$4*0/10))^2)-($B$4*0/10)*(C496-MAX(B496,($B$4*0/10)))),0))*1000,0)</f>
        <v>0</v>
      </c>
      <c r="AB496" s="120">
        <f>IF(AND(J496="OK",ISNUMBER($B$5),$B$5&gt;0,ISNUMBER($B$3),$B$3&gt;0),F496/(6*$B$3*1000000*$B$5)*(IF(B496&lt;($B$4*1/10),($B$4*1/10)*(MIN(C496,($B$4*1/10))^3-B496^3)-(MIN(C496,($B$4*1/10))^4-B496^4)/4,0)+IF(C496&gt;($B$4*1/10),($B$4*1/10)^2*(1.5*(C496^2-MAX(B496,($B$4*1/10))^2)-($B$4*1/10)*(C496-MAX(B496,($B$4*1/10)))),0))*1000,0)</f>
        <v>0</v>
      </c>
      <c r="AC496" s="120">
        <f>IF(AND(J496="OK",ISNUMBER($B$5),$B$5&gt;0,ISNUMBER($B$3),$B$3&gt;0),F496/(6*$B$3*1000000*$B$5)*(IF(B496&lt;($B$4*2/10),($B$4*2/10)*(MIN(C496,($B$4*2/10))^3-B496^3)-(MIN(C496,($B$4*2/10))^4-B496^4)/4,0)+IF(C496&gt;($B$4*2/10),($B$4*2/10)^2*(1.5*(C496^2-MAX(B496,($B$4*2/10))^2)-($B$4*2/10)*(C496-MAX(B496,($B$4*2/10)))),0))*1000,0)</f>
        <v>0</v>
      </c>
      <c r="AD496" s="120">
        <f>IF(AND(J496="OK",ISNUMBER($B$5),$B$5&gt;0,ISNUMBER($B$3),$B$3&gt;0),F496/(6*$B$3*1000000*$B$5)*(IF(B496&lt;($B$4*3/10),($B$4*3/10)*(MIN(C496,($B$4*3/10))^3-B496^3)-(MIN(C496,($B$4*3/10))^4-B496^4)/4,0)+IF(C496&gt;($B$4*3/10),($B$4*3/10)^2*(1.5*(C496^2-MAX(B496,($B$4*3/10))^2)-($B$4*3/10)*(C496-MAX(B496,($B$4*3/10)))),0))*1000,0)</f>
        <v>0</v>
      </c>
      <c r="AE496" s="120">
        <f>IF(AND(J496="OK",ISNUMBER($B$5),$B$5&gt;0,ISNUMBER($B$3),$B$3&gt;0),F496/(6*$B$3*1000000*$B$5)*(IF(B496&lt;($B$4*4/10),($B$4*4/10)*(MIN(C496,($B$4*4/10))^3-B496^3)-(MIN(C496,($B$4*4/10))^4-B496^4)/4,0)+IF(C496&gt;($B$4*4/10),($B$4*4/10)^2*(1.5*(C496^2-MAX(B496,($B$4*4/10))^2)-($B$4*4/10)*(C496-MAX(B496,($B$4*4/10)))),0))*1000,0)</f>
        <v>0</v>
      </c>
      <c r="AF496" s="120">
        <f>IF(AND(J496="OK",ISNUMBER($B$5),$B$5&gt;0,ISNUMBER($B$3),$B$3&gt;0),F496/(6*$B$3*1000000*$B$5)*(IF(B496&lt;($B$4*5/10),($B$4*5/10)*(MIN(C496,($B$4*5/10))^3-B496^3)-(MIN(C496,($B$4*5/10))^4-B496^4)/4,0)+IF(C496&gt;($B$4*5/10),($B$4*5/10)^2*(1.5*(C496^2-MAX(B496,($B$4*5/10))^2)-($B$4*5/10)*(C496-MAX(B496,($B$4*5/10)))),0))*1000,0)</f>
        <v>0</v>
      </c>
      <c r="AG496" s="120">
        <f>IF(AND(J496="OK",ISNUMBER($B$5),$B$5&gt;0,ISNUMBER($B$3),$B$3&gt;0),F496/(6*$B$3*1000000*$B$5)*(IF(B496&lt;($B$4*6/10),($B$4*6/10)*(MIN(C496,($B$4*6/10))^3-B496^3)-(MIN(C496,($B$4*6/10))^4-B496^4)/4,0)+IF(C496&gt;($B$4*6/10),($B$4*6/10)^2*(1.5*(C496^2-MAX(B496,($B$4*6/10))^2)-($B$4*6/10)*(C496-MAX(B496,($B$4*6/10)))),0))*1000,0)</f>
        <v>0</v>
      </c>
      <c r="AH496" s="120">
        <f>IF(AND(J496="OK",ISNUMBER($B$5),$B$5&gt;0,ISNUMBER($B$3),$B$3&gt;0),F496/(6*$B$3*1000000*$B$5)*(IF(B496&lt;($B$4*7/10),($B$4*7/10)*(MIN(C496,($B$4*7/10))^3-B496^3)-(MIN(C496,($B$4*7/10))^4-B496^4)/4,0)+IF(C496&gt;($B$4*7/10),($B$4*7/10)^2*(1.5*(C496^2-MAX(B496,($B$4*7/10))^2)-($B$4*7/10)*(C496-MAX(B496,($B$4*7/10)))),0))*1000,0)</f>
        <v>0</v>
      </c>
      <c r="AI496" s="120">
        <f>IF(AND(J496="OK",ISNUMBER($B$5),$B$5&gt;0,ISNUMBER($B$3),$B$3&gt;0),F496/(6*$B$3*1000000*$B$5)*(IF(B496&lt;($B$4*8/10),($B$4*8/10)*(MIN(C496,($B$4*8/10))^3-B496^3)-(MIN(C496,($B$4*8/10))^4-B496^4)/4,0)+IF(C496&gt;($B$4*8/10),($B$4*8/10)^2*(1.5*(C496^2-MAX(B496,($B$4*8/10))^2)-($B$4*8/10)*(C496-MAX(B496,($B$4*8/10)))),0))*1000,0)</f>
        <v>0</v>
      </c>
      <c r="AJ496" s="120">
        <f>IF(AND(J496="OK",ISNUMBER($B$5),$B$5&gt;0,ISNUMBER($B$3),$B$3&gt;0),F496/(6*$B$3*1000000*$B$5)*(IF(B496&lt;($B$4*9/10),($B$4*9/10)*(MIN(C496,($B$4*9/10))^3-B496^3)-(MIN(C496,($B$4*9/10))^4-B496^4)/4,0)+IF(C496&gt;($B$4*9/10),($B$4*9/10)^2*(1.5*(C496^2-MAX(B496,($B$4*9/10))^2)-($B$4*9/10)*(C496-MAX(B496,($B$4*9/10)))),0))*1000,0)</f>
        <v>0</v>
      </c>
      <c r="AK496" s="120">
        <f>IF(AND(J496="OK",ISNUMBER($B$5),$B$5&gt;0,ISNUMBER($B$3),$B$3&gt;0),F496/(6*$B$3*1000000*$B$5)*(IF(B496&lt;($B$4*10/10),($B$4*10/10)*(MIN(C496,($B$4*10/10))^3-B496^3)-(MIN(C496,($B$4*10/10))^4-B496^4)/4,0)+IF(C496&gt;($B$4*10/10),($B$4*10/10)^2*(1.5*(C496^2-MAX(B496,($B$4*10/10))^2)-($B$4*10/10)*(C496-MAX(B496,($B$4*10/10)))),0))*1000,0)</f>
        <v>0</v>
      </c>
      <c r="AM496" s="120">
        <f>IF(AND(V496="OK",ISNUMBER($N$5),$N$5&gt;0,ISNUMBER($N$3),$N$3&gt;0),R496/(6*$N$3*1000000*$N$5)*(IF(N496&lt;($N$4*0/10),($N$4*0/10)*(MIN(O496,($N$4*0/10))^3-N496^3)-(MIN(O496,($N$4*0/10))^4-N496^4)/4,0)+IF(O496&gt;($N$4*0/10),($N$4*0/10)^2*(1.5*(O496^2-MAX(N496,($N$4*0/10))^2)-($N$4*0/10)*(O496-MAX(N496,($N$4*0/10)))),0))*1000,0)</f>
        <v>0</v>
      </c>
      <c r="AN496" s="120">
        <f>IF(AND(V496="OK",ISNUMBER($N$5),$N$5&gt;0,ISNUMBER($N$3),$N$3&gt;0),R496/(6*$N$3*1000000*$N$5)*(IF(N496&lt;($N$4*1/10),($N$4*1/10)*(MIN(O496,($N$4*1/10))^3-N496^3)-(MIN(O496,($N$4*1/10))^4-N496^4)/4,0)+IF(O496&gt;($N$4*1/10),($N$4*1/10)^2*(1.5*(O496^2-MAX(N496,($N$4*1/10))^2)-($N$4*1/10)*(O496-MAX(N496,($N$4*1/10)))),0))*1000,0)</f>
        <v>0</v>
      </c>
      <c r="AO496" s="120">
        <f>IF(AND(V496="OK",ISNUMBER($N$5),$N$5&gt;0,ISNUMBER($N$3),$N$3&gt;0),R496/(6*$N$3*1000000*$N$5)*(IF(N496&lt;($N$4*2/10),($N$4*2/10)*(MIN(O496,($N$4*2/10))^3-N496^3)-(MIN(O496,($N$4*2/10))^4-N496^4)/4,0)+IF(O496&gt;($N$4*2/10),($N$4*2/10)^2*(1.5*(O496^2-MAX(N496,($N$4*2/10))^2)-($N$4*2/10)*(O496-MAX(N496,($N$4*2/10)))),0))*1000,0)</f>
        <v>0</v>
      </c>
      <c r="AP496" s="120">
        <f>IF(AND(V496="OK",ISNUMBER($N$5),$N$5&gt;0,ISNUMBER($N$3),$N$3&gt;0),R496/(6*$N$3*1000000*$N$5)*(IF(N496&lt;($N$4*3/10),($N$4*3/10)*(MIN(O496,($N$4*3/10))^3-N496^3)-(MIN(O496,($N$4*3/10))^4-N496^4)/4,0)+IF(O496&gt;($N$4*3/10),($N$4*3/10)^2*(1.5*(O496^2-MAX(N496,($N$4*3/10))^2)-($N$4*3/10)*(O496-MAX(N496,($N$4*3/10)))),0))*1000,0)</f>
        <v>0</v>
      </c>
      <c r="AQ496" s="120">
        <f>IF(AND(V496="OK",ISNUMBER($N$5),$N$5&gt;0,ISNUMBER($N$3),$N$3&gt;0),R496/(6*$N$3*1000000*$N$5)*(IF(N496&lt;($N$4*4/10),($N$4*4/10)*(MIN(O496,($N$4*4/10))^3-N496^3)-(MIN(O496,($N$4*4/10))^4-N496^4)/4,0)+IF(O496&gt;($N$4*4/10),($N$4*4/10)^2*(1.5*(O496^2-MAX(N496,($N$4*4/10))^2)-($N$4*4/10)*(O496-MAX(N496,($N$4*4/10)))),0))*1000,0)</f>
        <v>0</v>
      </c>
      <c r="AR496" s="120">
        <f>IF(AND(V496="OK",ISNUMBER($N$5),$N$5&gt;0,ISNUMBER($N$3),$N$3&gt;0),R496/(6*$N$3*1000000*$N$5)*(IF(N496&lt;($N$4*5/10),($N$4*5/10)*(MIN(O496,($N$4*5/10))^3-N496^3)-(MIN(O496,($N$4*5/10))^4-N496^4)/4,0)+IF(O496&gt;($N$4*5/10),($N$4*5/10)^2*(1.5*(O496^2-MAX(N496,($N$4*5/10))^2)-($N$4*5/10)*(O496-MAX(N496,($N$4*5/10)))),0))*1000,0)</f>
        <v>0</v>
      </c>
      <c r="AS496" s="120">
        <f>IF(AND(V496="OK",ISNUMBER($N$5),$N$5&gt;0,ISNUMBER($N$3),$N$3&gt;0),R496/(6*$N$3*1000000*$N$5)*(IF(N496&lt;($N$4*6/10),($N$4*6/10)*(MIN(O496,($N$4*6/10))^3-N496^3)-(MIN(O496,($N$4*6/10))^4-N496^4)/4,0)+IF(O496&gt;($N$4*6/10),($N$4*6/10)^2*(1.5*(O496^2-MAX(N496,($N$4*6/10))^2)-($N$4*6/10)*(O496-MAX(N496,($N$4*6/10)))),0))*1000,0)</f>
        <v>0</v>
      </c>
      <c r="AT496" s="120">
        <f>IF(AND(V496="OK",ISNUMBER($N$5),$N$5&gt;0,ISNUMBER($N$3),$N$3&gt;0),R496/(6*$N$3*1000000*$N$5)*(IF(N496&lt;($N$4*7/10),($N$4*7/10)*(MIN(O496,($N$4*7/10))^3-N496^3)-(MIN(O496,($N$4*7/10))^4-N496^4)/4,0)+IF(O496&gt;($N$4*7/10),($N$4*7/10)^2*(1.5*(O496^2-MAX(N496,($N$4*7/10))^2)-($N$4*7/10)*(O496-MAX(N496,($N$4*7/10)))),0))*1000,0)</f>
        <v>0</v>
      </c>
      <c r="AU496" s="120">
        <f>IF(AND(V496="OK",ISNUMBER($N$5),$N$5&gt;0,ISNUMBER($N$3),$N$3&gt;0),R496/(6*$N$3*1000000*$N$5)*(IF(N496&lt;($N$4*8/10),($N$4*8/10)*(MIN(O496,($N$4*8/10))^3-N496^3)-(MIN(O496,($N$4*8/10))^4-N496^4)/4,0)+IF(O496&gt;($N$4*8/10),($N$4*8/10)^2*(1.5*(O496^2-MAX(N496,($N$4*8/10))^2)-($N$4*8/10)*(O496-MAX(N496,($N$4*8/10)))),0))*1000,0)</f>
        <v>0</v>
      </c>
      <c r="AV496" s="120">
        <f>IF(AND(V496="OK",ISNUMBER($N$5),$N$5&gt;0,ISNUMBER($N$3),$N$3&gt;0),R496/(6*$N$3*1000000*$N$5)*(IF(N496&lt;($N$4*9/10),($N$4*9/10)*(MIN(O496,($N$4*9/10))^3-N496^3)-(MIN(O496,($N$4*9/10))^4-N496^4)/4,0)+IF(O496&gt;($N$4*9/10),($N$4*9/10)^2*(1.5*(O496^2-MAX(N496,($N$4*9/10))^2)-($N$4*9/10)*(O496-MAX(N496,($N$4*9/10)))),0))*1000,0)</f>
        <v>0</v>
      </c>
      <c r="AW496" s="120">
        <f>IF(AND(V496="OK",ISNUMBER($N$5),$N$5&gt;0,ISNUMBER($N$3),$N$3&gt;0),R496/(6*$N$3*1000000*$N$5)*(IF(N496&lt;($N$4*10/10),($N$4*10/10)*(MIN(O496,($N$4*10/10))^3-N496^3)-(MIN(O496,($N$4*10/10))^4-N496^4)/4,0)+IF(O496&gt;($N$4*10/10),($N$4*10/10)^2*(1.5*(O496^2-MAX(N496,($N$4*10/10))^2)-($N$4*10/10)*(O496-MAX(N496,($N$4*10/10)))),0))*1000,0)</f>
        <v>0</v>
      </c>
    </row>
    <row r="497" spans="1:49">
      <c r="A497" s="124"/>
      <c r="B497" s="125"/>
      <c r="C497" s="125"/>
      <c r="D497" s="125"/>
      <c r="E497" s="125"/>
      <c r="F497" s="126" t="str">
        <f>IF(J497="OK",D497*E497,"")</f>
        <v/>
      </c>
      <c r="G497" s="126" t="str">
        <f>IF(J497="OK",F497*(C497-B497),"")</f>
        <v/>
      </c>
      <c r="H497" s="126" t="str">
        <f>IF(J497="OK",G497*(C497+B497)/2,"")</f>
        <v/>
      </c>
      <c r="I497" s="126" t="str">
        <f>IF(AND(J497="OK",ISNUMBER($B$5),$B$5&gt;0,ISNUMBER($B$3),$B$3&gt;0),F497*(4*$B$4*(C497^3-B497^3)-(C497^4-B497^4))/(24*$B$3*1000000*$B$5)*1000,"")</f>
        <v/>
      </c>
      <c r="J497" s="120" t="str">
        <f>IF(COUNTA(A497:E497)=0,"",IF(AND(COUNT(B497:E497)=4,B497&gt;=0,C497&gt;B497,C497&lt;=$B$4,D497&gt;=0,E497&gt;0),IF(COUNTIFS($B$13:$B$496,"&lt;"&amp;C497,$C$13:$C$496,"&gt;"&amp;B497)&gt;0,"OVERLAP","OK"),"CHECK INPUTS"))</f>
        <v/>
      </c>
      <c r="M497" s="124"/>
      <c r="N497" s="125"/>
      <c r="O497" s="125"/>
      <c r="P497" s="125"/>
      <c r="Q497" s="125"/>
      <c r="R497" s="126" t="str">
        <f>IF(V497="OK",P497*Q497,"")</f>
        <v/>
      </c>
      <c r="S497" s="126" t="str">
        <f>IF(V497="OK",R497*(O497-N497),"")</f>
        <v/>
      </c>
      <c r="T497" s="126" t="str">
        <f>IF(V497="OK",S497*(O497+N497)/2,"")</f>
        <v/>
      </c>
      <c r="U497" s="126" t="str">
        <f>IF(AND(V497="OK",ISNUMBER($N$5),$N$5&gt;0,ISNUMBER($N$3),$N$3&gt;0),R497*(4*$N$4*(O497^3-N497^3)-(O497^4-N497^4))/(24*$N$3*1000000*$N$5)*1000,"")</f>
        <v/>
      </c>
      <c r="V497" s="120" t="str">
        <f>IF(COUNTA(M497:Q497)=0,"",IF(AND(COUNT(N497:Q497)=4,N497&gt;=0,O497&gt;N497,O497&lt;=$N$4,P497&gt;=0,Q497&gt;0),IF(COUNTIFS($N$13:$N$496,"&lt;"&amp;O497,$O$13:$O$496,"&gt;"&amp;N497)&gt;0,"OVERLAP","OK"),"CHECK INPUTS"))</f>
        <v/>
      </c>
      <c r="AA497" s="120">
        <f>IF(AND(J497="OK",ISNUMBER($B$5),$B$5&gt;0,ISNUMBER($B$3),$B$3&gt;0),F497/(6*$B$3*1000000*$B$5)*(IF(B497&lt;($B$4*0/10),($B$4*0/10)*(MIN(C497,($B$4*0/10))^3-B497^3)-(MIN(C497,($B$4*0/10))^4-B497^4)/4,0)+IF(C497&gt;($B$4*0/10),($B$4*0/10)^2*(1.5*(C497^2-MAX(B497,($B$4*0/10))^2)-($B$4*0/10)*(C497-MAX(B497,($B$4*0/10)))),0))*1000,0)</f>
        <v>0</v>
      </c>
      <c r="AB497" s="120">
        <f>IF(AND(J497="OK",ISNUMBER($B$5),$B$5&gt;0,ISNUMBER($B$3),$B$3&gt;0),F497/(6*$B$3*1000000*$B$5)*(IF(B497&lt;($B$4*1/10),($B$4*1/10)*(MIN(C497,($B$4*1/10))^3-B497^3)-(MIN(C497,($B$4*1/10))^4-B497^4)/4,0)+IF(C497&gt;($B$4*1/10),($B$4*1/10)^2*(1.5*(C497^2-MAX(B497,($B$4*1/10))^2)-($B$4*1/10)*(C497-MAX(B497,($B$4*1/10)))),0))*1000,0)</f>
        <v>0</v>
      </c>
      <c r="AC497" s="120">
        <f>IF(AND(J497="OK",ISNUMBER($B$5),$B$5&gt;0,ISNUMBER($B$3),$B$3&gt;0),F497/(6*$B$3*1000000*$B$5)*(IF(B497&lt;($B$4*2/10),($B$4*2/10)*(MIN(C497,($B$4*2/10))^3-B497^3)-(MIN(C497,($B$4*2/10))^4-B497^4)/4,0)+IF(C497&gt;($B$4*2/10),($B$4*2/10)^2*(1.5*(C497^2-MAX(B497,($B$4*2/10))^2)-($B$4*2/10)*(C497-MAX(B497,($B$4*2/10)))),0))*1000,0)</f>
        <v>0</v>
      </c>
      <c r="AD497" s="120">
        <f>IF(AND(J497="OK",ISNUMBER($B$5),$B$5&gt;0,ISNUMBER($B$3),$B$3&gt;0),F497/(6*$B$3*1000000*$B$5)*(IF(B497&lt;($B$4*3/10),($B$4*3/10)*(MIN(C497,($B$4*3/10))^3-B497^3)-(MIN(C497,($B$4*3/10))^4-B497^4)/4,0)+IF(C497&gt;($B$4*3/10),($B$4*3/10)^2*(1.5*(C497^2-MAX(B497,($B$4*3/10))^2)-($B$4*3/10)*(C497-MAX(B497,($B$4*3/10)))),0))*1000,0)</f>
        <v>0</v>
      </c>
      <c r="AE497" s="120">
        <f>IF(AND(J497="OK",ISNUMBER($B$5),$B$5&gt;0,ISNUMBER($B$3),$B$3&gt;0),F497/(6*$B$3*1000000*$B$5)*(IF(B497&lt;($B$4*4/10),($B$4*4/10)*(MIN(C497,($B$4*4/10))^3-B497^3)-(MIN(C497,($B$4*4/10))^4-B497^4)/4,0)+IF(C497&gt;($B$4*4/10),($B$4*4/10)^2*(1.5*(C497^2-MAX(B497,($B$4*4/10))^2)-($B$4*4/10)*(C497-MAX(B497,($B$4*4/10)))),0))*1000,0)</f>
        <v>0</v>
      </c>
      <c r="AF497" s="120">
        <f>IF(AND(J497="OK",ISNUMBER($B$5),$B$5&gt;0,ISNUMBER($B$3),$B$3&gt;0),F497/(6*$B$3*1000000*$B$5)*(IF(B497&lt;($B$4*5/10),($B$4*5/10)*(MIN(C497,($B$4*5/10))^3-B497^3)-(MIN(C497,($B$4*5/10))^4-B497^4)/4,0)+IF(C497&gt;($B$4*5/10),($B$4*5/10)^2*(1.5*(C497^2-MAX(B497,($B$4*5/10))^2)-($B$4*5/10)*(C497-MAX(B497,($B$4*5/10)))),0))*1000,0)</f>
        <v>0</v>
      </c>
      <c r="AG497" s="120">
        <f>IF(AND(J497="OK",ISNUMBER($B$5),$B$5&gt;0,ISNUMBER($B$3),$B$3&gt;0),F497/(6*$B$3*1000000*$B$5)*(IF(B497&lt;($B$4*6/10),($B$4*6/10)*(MIN(C497,($B$4*6/10))^3-B497^3)-(MIN(C497,($B$4*6/10))^4-B497^4)/4,0)+IF(C497&gt;($B$4*6/10),($B$4*6/10)^2*(1.5*(C497^2-MAX(B497,($B$4*6/10))^2)-($B$4*6/10)*(C497-MAX(B497,($B$4*6/10)))),0))*1000,0)</f>
        <v>0</v>
      </c>
      <c r="AH497" s="120">
        <f>IF(AND(J497="OK",ISNUMBER($B$5),$B$5&gt;0,ISNUMBER($B$3),$B$3&gt;0),F497/(6*$B$3*1000000*$B$5)*(IF(B497&lt;($B$4*7/10),($B$4*7/10)*(MIN(C497,($B$4*7/10))^3-B497^3)-(MIN(C497,($B$4*7/10))^4-B497^4)/4,0)+IF(C497&gt;($B$4*7/10),($B$4*7/10)^2*(1.5*(C497^2-MAX(B497,($B$4*7/10))^2)-($B$4*7/10)*(C497-MAX(B497,($B$4*7/10)))),0))*1000,0)</f>
        <v>0</v>
      </c>
      <c r="AI497" s="120">
        <f>IF(AND(J497="OK",ISNUMBER($B$5),$B$5&gt;0,ISNUMBER($B$3),$B$3&gt;0),F497/(6*$B$3*1000000*$B$5)*(IF(B497&lt;($B$4*8/10),($B$4*8/10)*(MIN(C497,($B$4*8/10))^3-B497^3)-(MIN(C497,($B$4*8/10))^4-B497^4)/4,0)+IF(C497&gt;($B$4*8/10),($B$4*8/10)^2*(1.5*(C497^2-MAX(B497,($B$4*8/10))^2)-($B$4*8/10)*(C497-MAX(B497,($B$4*8/10)))),0))*1000,0)</f>
        <v>0</v>
      </c>
      <c r="AJ497" s="120">
        <f>IF(AND(J497="OK",ISNUMBER($B$5),$B$5&gt;0,ISNUMBER($B$3),$B$3&gt;0),F497/(6*$B$3*1000000*$B$5)*(IF(B497&lt;($B$4*9/10),($B$4*9/10)*(MIN(C497,($B$4*9/10))^3-B497^3)-(MIN(C497,($B$4*9/10))^4-B497^4)/4,0)+IF(C497&gt;($B$4*9/10),($B$4*9/10)^2*(1.5*(C497^2-MAX(B497,($B$4*9/10))^2)-($B$4*9/10)*(C497-MAX(B497,($B$4*9/10)))),0))*1000,0)</f>
        <v>0</v>
      </c>
      <c r="AK497" s="120">
        <f>IF(AND(J497="OK",ISNUMBER($B$5),$B$5&gt;0,ISNUMBER($B$3),$B$3&gt;0),F497/(6*$B$3*1000000*$B$5)*(IF(B497&lt;($B$4*10/10),($B$4*10/10)*(MIN(C497,($B$4*10/10))^3-B497^3)-(MIN(C497,($B$4*10/10))^4-B497^4)/4,0)+IF(C497&gt;($B$4*10/10),($B$4*10/10)^2*(1.5*(C497^2-MAX(B497,($B$4*10/10))^2)-($B$4*10/10)*(C497-MAX(B497,($B$4*10/10)))),0))*1000,0)</f>
        <v>0</v>
      </c>
      <c r="AM497" s="120">
        <f>IF(AND(V497="OK",ISNUMBER($N$5),$N$5&gt;0,ISNUMBER($N$3),$N$3&gt;0),R497/(6*$N$3*1000000*$N$5)*(IF(N497&lt;($N$4*0/10),($N$4*0/10)*(MIN(O497,($N$4*0/10))^3-N497^3)-(MIN(O497,($N$4*0/10))^4-N497^4)/4,0)+IF(O497&gt;($N$4*0/10),($N$4*0/10)^2*(1.5*(O497^2-MAX(N497,($N$4*0/10))^2)-($N$4*0/10)*(O497-MAX(N497,($N$4*0/10)))),0))*1000,0)</f>
        <v>0</v>
      </c>
      <c r="AN497" s="120">
        <f>IF(AND(V497="OK",ISNUMBER($N$5),$N$5&gt;0,ISNUMBER($N$3),$N$3&gt;0),R497/(6*$N$3*1000000*$N$5)*(IF(N497&lt;($N$4*1/10),($N$4*1/10)*(MIN(O497,($N$4*1/10))^3-N497^3)-(MIN(O497,($N$4*1/10))^4-N497^4)/4,0)+IF(O497&gt;($N$4*1/10),($N$4*1/10)^2*(1.5*(O497^2-MAX(N497,($N$4*1/10))^2)-($N$4*1/10)*(O497-MAX(N497,($N$4*1/10)))),0))*1000,0)</f>
        <v>0</v>
      </c>
      <c r="AO497" s="120">
        <f>IF(AND(V497="OK",ISNUMBER($N$5),$N$5&gt;0,ISNUMBER($N$3),$N$3&gt;0),R497/(6*$N$3*1000000*$N$5)*(IF(N497&lt;($N$4*2/10),($N$4*2/10)*(MIN(O497,($N$4*2/10))^3-N497^3)-(MIN(O497,($N$4*2/10))^4-N497^4)/4,0)+IF(O497&gt;($N$4*2/10),($N$4*2/10)^2*(1.5*(O497^2-MAX(N497,($N$4*2/10))^2)-($N$4*2/10)*(O497-MAX(N497,($N$4*2/10)))),0))*1000,0)</f>
        <v>0</v>
      </c>
      <c r="AP497" s="120">
        <f>IF(AND(V497="OK",ISNUMBER($N$5),$N$5&gt;0,ISNUMBER($N$3),$N$3&gt;0),R497/(6*$N$3*1000000*$N$5)*(IF(N497&lt;($N$4*3/10),($N$4*3/10)*(MIN(O497,($N$4*3/10))^3-N497^3)-(MIN(O497,($N$4*3/10))^4-N497^4)/4,0)+IF(O497&gt;($N$4*3/10),($N$4*3/10)^2*(1.5*(O497^2-MAX(N497,($N$4*3/10))^2)-($N$4*3/10)*(O497-MAX(N497,($N$4*3/10)))),0))*1000,0)</f>
        <v>0</v>
      </c>
      <c r="AQ497" s="120">
        <f>IF(AND(V497="OK",ISNUMBER($N$5),$N$5&gt;0,ISNUMBER($N$3),$N$3&gt;0),R497/(6*$N$3*1000000*$N$5)*(IF(N497&lt;($N$4*4/10),($N$4*4/10)*(MIN(O497,($N$4*4/10))^3-N497^3)-(MIN(O497,($N$4*4/10))^4-N497^4)/4,0)+IF(O497&gt;($N$4*4/10),($N$4*4/10)^2*(1.5*(O497^2-MAX(N497,($N$4*4/10))^2)-($N$4*4/10)*(O497-MAX(N497,($N$4*4/10)))),0))*1000,0)</f>
        <v>0</v>
      </c>
      <c r="AR497" s="120">
        <f>IF(AND(V497="OK",ISNUMBER($N$5),$N$5&gt;0,ISNUMBER($N$3),$N$3&gt;0),R497/(6*$N$3*1000000*$N$5)*(IF(N497&lt;($N$4*5/10),($N$4*5/10)*(MIN(O497,($N$4*5/10))^3-N497^3)-(MIN(O497,($N$4*5/10))^4-N497^4)/4,0)+IF(O497&gt;($N$4*5/10),($N$4*5/10)^2*(1.5*(O497^2-MAX(N497,($N$4*5/10))^2)-($N$4*5/10)*(O497-MAX(N497,($N$4*5/10)))),0))*1000,0)</f>
        <v>0</v>
      </c>
      <c r="AS497" s="120">
        <f>IF(AND(V497="OK",ISNUMBER($N$5),$N$5&gt;0,ISNUMBER($N$3),$N$3&gt;0),R497/(6*$N$3*1000000*$N$5)*(IF(N497&lt;($N$4*6/10),($N$4*6/10)*(MIN(O497,($N$4*6/10))^3-N497^3)-(MIN(O497,($N$4*6/10))^4-N497^4)/4,0)+IF(O497&gt;($N$4*6/10),($N$4*6/10)^2*(1.5*(O497^2-MAX(N497,($N$4*6/10))^2)-($N$4*6/10)*(O497-MAX(N497,($N$4*6/10)))),0))*1000,0)</f>
        <v>0</v>
      </c>
      <c r="AT497" s="120">
        <f>IF(AND(V497="OK",ISNUMBER($N$5),$N$5&gt;0,ISNUMBER($N$3),$N$3&gt;0),R497/(6*$N$3*1000000*$N$5)*(IF(N497&lt;($N$4*7/10),($N$4*7/10)*(MIN(O497,($N$4*7/10))^3-N497^3)-(MIN(O497,($N$4*7/10))^4-N497^4)/4,0)+IF(O497&gt;($N$4*7/10),($N$4*7/10)^2*(1.5*(O497^2-MAX(N497,($N$4*7/10))^2)-($N$4*7/10)*(O497-MAX(N497,($N$4*7/10)))),0))*1000,0)</f>
        <v>0</v>
      </c>
      <c r="AU497" s="120">
        <f>IF(AND(V497="OK",ISNUMBER($N$5),$N$5&gt;0,ISNUMBER($N$3),$N$3&gt;0),R497/(6*$N$3*1000000*$N$5)*(IF(N497&lt;($N$4*8/10),($N$4*8/10)*(MIN(O497,($N$4*8/10))^3-N497^3)-(MIN(O497,($N$4*8/10))^4-N497^4)/4,0)+IF(O497&gt;($N$4*8/10),($N$4*8/10)^2*(1.5*(O497^2-MAX(N497,($N$4*8/10))^2)-($N$4*8/10)*(O497-MAX(N497,($N$4*8/10)))),0))*1000,0)</f>
        <v>0</v>
      </c>
      <c r="AV497" s="120">
        <f>IF(AND(V497="OK",ISNUMBER($N$5),$N$5&gt;0,ISNUMBER($N$3),$N$3&gt;0),R497/(6*$N$3*1000000*$N$5)*(IF(N497&lt;($N$4*9/10),($N$4*9/10)*(MIN(O497,($N$4*9/10))^3-N497^3)-(MIN(O497,($N$4*9/10))^4-N497^4)/4,0)+IF(O497&gt;($N$4*9/10),($N$4*9/10)^2*(1.5*(O497^2-MAX(N497,($N$4*9/10))^2)-($N$4*9/10)*(O497-MAX(N497,($N$4*9/10)))),0))*1000,0)</f>
        <v>0</v>
      </c>
      <c r="AW497" s="120">
        <f>IF(AND(V497="OK",ISNUMBER($N$5),$N$5&gt;0,ISNUMBER($N$3),$N$3&gt;0),R497/(6*$N$3*1000000*$N$5)*(IF(N497&lt;($N$4*10/10),($N$4*10/10)*(MIN(O497,($N$4*10/10))^3-N497^3)-(MIN(O497,($N$4*10/10))^4-N497^4)/4,0)+IF(O497&gt;($N$4*10/10),($N$4*10/10)^2*(1.5*(O497^2-MAX(N497,($N$4*10/10))^2)-($N$4*10/10)*(O497-MAX(N497,($N$4*10/10)))),0))*1000,0)</f>
        <v>0</v>
      </c>
    </row>
    <row r="498" spans="1:49">
      <c r="A498" s="124"/>
      <c r="B498" s="125"/>
      <c r="C498" s="125"/>
      <c r="D498" s="125"/>
      <c r="E498" s="125"/>
      <c r="F498" s="126" t="str">
        <f>IF(J498="OK",D498*E498,"")</f>
        <v/>
      </c>
      <c r="G498" s="126" t="str">
        <f>IF(J498="OK",F498*(C498-B498),"")</f>
        <v/>
      </c>
      <c r="H498" s="126" t="str">
        <f>IF(J498="OK",G498*(C498+B498)/2,"")</f>
        <v/>
      </c>
      <c r="I498" s="126" t="str">
        <f>IF(AND(J498="OK",ISNUMBER($B$5),$B$5&gt;0,ISNUMBER($B$3),$B$3&gt;0),F498*(4*$B$4*(C498^3-B498^3)-(C498^4-B498^4))/(24*$B$3*1000000*$B$5)*1000,"")</f>
        <v/>
      </c>
      <c r="J498" s="120" t="str">
        <f>IF(COUNTA(A498:E498)=0,"",IF(AND(COUNT(B498:E498)=4,B498&gt;=0,C498&gt;B498,C498&lt;=$B$4,D498&gt;=0,E498&gt;0),IF(COUNTIFS($B$13:$B$497,"&lt;"&amp;C498,$C$13:$C$497,"&gt;"&amp;B498)&gt;0,"OVERLAP","OK"),"CHECK INPUTS"))</f>
        <v/>
      </c>
      <c r="M498" s="124"/>
      <c r="N498" s="125"/>
      <c r="O498" s="125"/>
      <c r="P498" s="125"/>
      <c r="Q498" s="125"/>
      <c r="R498" s="126" t="str">
        <f>IF(V498="OK",P498*Q498,"")</f>
        <v/>
      </c>
      <c r="S498" s="126" t="str">
        <f>IF(V498="OK",R498*(O498-N498),"")</f>
        <v/>
      </c>
      <c r="T498" s="126" t="str">
        <f>IF(V498="OK",S498*(O498+N498)/2,"")</f>
        <v/>
      </c>
      <c r="U498" s="126" t="str">
        <f>IF(AND(V498="OK",ISNUMBER($N$5),$N$5&gt;0,ISNUMBER($N$3),$N$3&gt;0),R498*(4*$N$4*(O498^3-N498^3)-(O498^4-N498^4))/(24*$N$3*1000000*$N$5)*1000,"")</f>
        <v/>
      </c>
      <c r="V498" s="120" t="str">
        <f>IF(COUNTA(M498:Q498)=0,"",IF(AND(COUNT(N498:Q498)=4,N498&gt;=0,O498&gt;N498,O498&lt;=$N$4,P498&gt;=0,Q498&gt;0),IF(COUNTIFS($N$13:$N$497,"&lt;"&amp;O498,$O$13:$O$497,"&gt;"&amp;N498)&gt;0,"OVERLAP","OK"),"CHECK INPUTS"))</f>
        <v/>
      </c>
      <c r="AA498" s="120">
        <f>IF(AND(J498="OK",ISNUMBER($B$5),$B$5&gt;0,ISNUMBER($B$3),$B$3&gt;0),F498/(6*$B$3*1000000*$B$5)*(IF(B498&lt;($B$4*0/10),($B$4*0/10)*(MIN(C498,($B$4*0/10))^3-B498^3)-(MIN(C498,($B$4*0/10))^4-B498^4)/4,0)+IF(C498&gt;($B$4*0/10),($B$4*0/10)^2*(1.5*(C498^2-MAX(B498,($B$4*0/10))^2)-($B$4*0/10)*(C498-MAX(B498,($B$4*0/10)))),0))*1000,0)</f>
        <v>0</v>
      </c>
      <c r="AB498" s="120">
        <f>IF(AND(J498="OK",ISNUMBER($B$5),$B$5&gt;0,ISNUMBER($B$3),$B$3&gt;0),F498/(6*$B$3*1000000*$B$5)*(IF(B498&lt;($B$4*1/10),($B$4*1/10)*(MIN(C498,($B$4*1/10))^3-B498^3)-(MIN(C498,($B$4*1/10))^4-B498^4)/4,0)+IF(C498&gt;($B$4*1/10),($B$4*1/10)^2*(1.5*(C498^2-MAX(B498,($B$4*1/10))^2)-($B$4*1/10)*(C498-MAX(B498,($B$4*1/10)))),0))*1000,0)</f>
        <v>0</v>
      </c>
      <c r="AC498" s="120">
        <f>IF(AND(J498="OK",ISNUMBER($B$5),$B$5&gt;0,ISNUMBER($B$3),$B$3&gt;0),F498/(6*$B$3*1000000*$B$5)*(IF(B498&lt;($B$4*2/10),($B$4*2/10)*(MIN(C498,($B$4*2/10))^3-B498^3)-(MIN(C498,($B$4*2/10))^4-B498^4)/4,0)+IF(C498&gt;($B$4*2/10),($B$4*2/10)^2*(1.5*(C498^2-MAX(B498,($B$4*2/10))^2)-($B$4*2/10)*(C498-MAX(B498,($B$4*2/10)))),0))*1000,0)</f>
        <v>0</v>
      </c>
      <c r="AD498" s="120">
        <f>IF(AND(J498="OK",ISNUMBER($B$5),$B$5&gt;0,ISNUMBER($B$3),$B$3&gt;0),F498/(6*$B$3*1000000*$B$5)*(IF(B498&lt;($B$4*3/10),($B$4*3/10)*(MIN(C498,($B$4*3/10))^3-B498^3)-(MIN(C498,($B$4*3/10))^4-B498^4)/4,0)+IF(C498&gt;($B$4*3/10),($B$4*3/10)^2*(1.5*(C498^2-MAX(B498,($B$4*3/10))^2)-($B$4*3/10)*(C498-MAX(B498,($B$4*3/10)))),0))*1000,0)</f>
        <v>0</v>
      </c>
      <c r="AE498" s="120">
        <f>IF(AND(J498="OK",ISNUMBER($B$5),$B$5&gt;0,ISNUMBER($B$3),$B$3&gt;0),F498/(6*$B$3*1000000*$B$5)*(IF(B498&lt;($B$4*4/10),($B$4*4/10)*(MIN(C498,($B$4*4/10))^3-B498^3)-(MIN(C498,($B$4*4/10))^4-B498^4)/4,0)+IF(C498&gt;($B$4*4/10),($B$4*4/10)^2*(1.5*(C498^2-MAX(B498,($B$4*4/10))^2)-($B$4*4/10)*(C498-MAX(B498,($B$4*4/10)))),0))*1000,0)</f>
        <v>0</v>
      </c>
      <c r="AF498" s="120">
        <f>IF(AND(J498="OK",ISNUMBER($B$5),$B$5&gt;0,ISNUMBER($B$3),$B$3&gt;0),F498/(6*$B$3*1000000*$B$5)*(IF(B498&lt;($B$4*5/10),($B$4*5/10)*(MIN(C498,($B$4*5/10))^3-B498^3)-(MIN(C498,($B$4*5/10))^4-B498^4)/4,0)+IF(C498&gt;($B$4*5/10),($B$4*5/10)^2*(1.5*(C498^2-MAX(B498,($B$4*5/10))^2)-($B$4*5/10)*(C498-MAX(B498,($B$4*5/10)))),0))*1000,0)</f>
        <v>0</v>
      </c>
      <c r="AG498" s="120">
        <f>IF(AND(J498="OK",ISNUMBER($B$5),$B$5&gt;0,ISNUMBER($B$3),$B$3&gt;0),F498/(6*$B$3*1000000*$B$5)*(IF(B498&lt;($B$4*6/10),($B$4*6/10)*(MIN(C498,($B$4*6/10))^3-B498^3)-(MIN(C498,($B$4*6/10))^4-B498^4)/4,0)+IF(C498&gt;($B$4*6/10),($B$4*6/10)^2*(1.5*(C498^2-MAX(B498,($B$4*6/10))^2)-($B$4*6/10)*(C498-MAX(B498,($B$4*6/10)))),0))*1000,0)</f>
        <v>0</v>
      </c>
      <c r="AH498" s="120">
        <f>IF(AND(J498="OK",ISNUMBER($B$5),$B$5&gt;0,ISNUMBER($B$3),$B$3&gt;0),F498/(6*$B$3*1000000*$B$5)*(IF(B498&lt;($B$4*7/10),($B$4*7/10)*(MIN(C498,($B$4*7/10))^3-B498^3)-(MIN(C498,($B$4*7/10))^4-B498^4)/4,0)+IF(C498&gt;($B$4*7/10),($B$4*7/10)^2*(1.5*(C498^2-MAX(B498,($B$4*7/10))^2)-($B$4*7/10)*(C498-MAX(B498,($B$4*7/10)))),0))*1000,0)</f>
        <v>0</v>
      </c>
      <c r="AI498" s="120">
        <f>IF(AND(J498="OK",ISNUMBER($B$5),$B$5&gt;0,ISNUMBER($B$3),$B$3&gt;0),F498/(6*$B$3*1000000*$B$5)*(IF(B498&lt;($B$4*8/10),($B$4*8/10)*(MIN(C498,($B$4*8/10))^3-B498^3)-(MIN(C498,($B$4*8/10))^4-B498^4)/4,0)+IF(C498&gt;($B$4*8/10),($B$4*8/10)^2*(1.5*(C498^2-MAX(B498,($B$4*8/10))^2)-($B$4*8/10)*(C498-MAX(B498,($B$4*8/10)))),0))*1000,0)</f>
        <v>0</v>
      </c>
      <c r="AJ498" s="120">
        <f>IF(AND(J498="OK",ISNUMBER($B$5),$B$5&gt;0,ISNUMBER($B$3),$B$3&gt;0),F498/(6*$B$3*1000000*$B$5)*(IF(B498&lt;($B$4*9/10),($B$4*9/10)*(MIN(C498,($B$4*9/10))^3-B498^3)-(MIN(C498,($B$4*9/10))^4-B498^4)/4,0)+IF(C498&gt;($B$4*9/10),($B$4*9/10)^2*(1.5*(C498^2-MAX(B498,($B$4*9/10))^2)-($B$4*9/10)*(C498-MAX(B498,($B$4*9/10)))),0))*1000,0)</f>
        <v>0</v>
      </c>
      <c r="AK498" s="120">
        <f>IF(AND(J498="OK",ISNUMBER($B$5),$B$5&gt;0,ISNUMBER($B$3),$B$3&gt;0),F498/(6*$B$3*1000000*$B$5)*(IF(B498&lt;($B$4*10/10),($B$4*10/10)*(MIN(C498,($B$4*10/10))^3-B498^3)-(MIN(C498,($B$4*10/10))^4-B498^4)/4,0)+IF(C498&gt;($B$4*10/10),($B$4*10/10)^2*(1.5*(C498^2-MAX(B498,($B$4*10/10))^2)-($B$4*10/10)*(C498-MAX(B498,($B$4*10/10)))),0))*1000,0)</f>
        <v>0</v>
      </c>
      <c r="AM498" s="120">
        <f>IF(AND(V498="OK",ISNUMBER($N$5),$N$5&gt;0,ISNUMBER($N$3),$N$3&gt;0),R498/(6*$N$3*1000000*$N$5)*(IF(N498&lt;($N$4*0/10),($N$4*0/10)*(MIN(O498,($N$4*0/10))^3-N498^3)-(MIN(O498,($N$4*0/10))^4-N498^4)/4,0)+IF(O498&gt;($N$4*0/10),($N$4*0/10)^2*(1.5*(O498^2-MAX(N498,($N$4*0/10))^2)-($N$4*0/10)*(O498-MAX(N498,($N$4*0/10)))),0))*1000,0)</f>
        <v>0</v>
      </c>
      <c r="AN498" s="120">
        <f>IF(AND(V498="OK",ISNUMBER($N$5),$N$5&gt;0,ISNUMBER($N$3),$N$3&gt;0),R498/(6*$N$3*1000000*$N$5)*(IF(N498&lt;($N$4*1/10),($N$4*1/10)*(MIN(O498,($N$4*1/10))^3-N498^3)-(MIN(O498,($N$4*1/10))^4-N498^4)/4,0)+IF(O498&gt;($N$4*1/10),($N$4*1/10)^2*(1.5*(O498^2-MAX(N498,($N$4*1/10))^2)-($N$4*1/10)*(O498-MAX(N498,($N$4*1/10)))),0))*1000,0)</f>
        <v>0</v>
      </c>
      <c r="AO498" s="120">
        <f>IF(AND(V498="OK",ISNUMBER($N$5),$N$5&gt;0,ISNUMBER($N$3),$N$3&gt;0),R498/(6*$N$3*1000000*$N$5)*(IF(N498&lt;($N$4*2/10),($N$4*2/10)*(MIN(O498,($N$4*2/10))^3-N498^3)-(MIN(O498,($N$4*2/10))^4-N498^4)/4,0)+IF(O498&gt;($N$4*2/10),($N$4*2/10)^2*(1.5*(O498^2-MAX(N498,($N$4*2/10))^2)-($N$4*2/10)*(O498-MAX(N498,($N$4*2/10)))),0))*1000,0)</f>
        <v>0</v>
      </c>
      <c r="AP498" s="120">
        <f>IF(AND(V498="OK",ISNUMBER($N$5),$N$5&gt;0,ISNUMBER($N$3),$N$3&gt;0),R498/(6*$N$3*1000000*$N$5)*(IF(N498&lt;($N$4*3/10),($N$4*3/10)*(MIN(O498,($N$4*3/10))^3-N498^3)-(MIN(O498,($N$4*3/10))^4-N498^4)/4,0)+IF(O498&gt;($N$4*3/10),($N$4*3/10)^2*(1.5*(O498^2-MAX(N498,($N$4*3/10))^2)-($N$4*3/10)*(O498-MAX(N498,($N$4*3/10)))),0))*1000,0)</f>
        <v>0</v>
      </c>
      <c r="AQ498" s="120">
        <f>IF(AND(V498="OK",ISNUMBER($N$5),$N$5&gt;0,ISNUMBER($N$3),$N$3&gt;0),R498/(6*$N$3*1000000*$N$5)*(IF(N498&lt;($N$4*4/10),($N$4*4/10)*(MIN(O498,($N$4*4/10))^3-N498^3)-(MIN(O498,($N$4*4/10))^4-N498^4)/4,0)+IF(O498&gt;($N$4*4/10),($N$4*4/10)^2*(1.5*(O498^2-MAX(N498,($N$4*4/10))^2)-($N$4*4/10)*(O498-MAX(N498,($N$4*4/10)))),0))*1000,0)</f>
        <v>0</v>
      </c>
      <c r="AR498" s="120">
        <f>IF(AND(V498="OK",ISNUMBER($N$5),$N$5&gt;0,ISNUMBER($N$3),$N$3&gt;0),R498/(6*$N$3*1000000*$N$5)*(IF(N498&lt;($N$4*5/10),($N$4*5/10)*(MIN(O498,($N$4*5/10))^3-N498^3)-(MIN(O498,($N$4*5/10))^4-N498^4)/4,0)+IF(O498&gt;($N$4*5/10),($N$4*5/10)^2*(1.5*(O498^2-MAX(N498,($N$4*5/10))^2)-($N$4*5/10)*(O498-MAX(N498,($N$4*5/10)))),0))*1000,0)</f>
        <v>0</v>
      </c>
      <c r="AS498" s="120">
        <f>IF(AND(V498="OK",ISNUMBER($N$5),$N$5&gt;0,ISNUMBER($N$3),$N$3&gt;0),R498/(6*$N$3*1000000*$N$5)*(IF(N498&lt;($N$4*6/10),($N$4*6/10)*(MIN(O498,($N$4*6/10))^3-N498^3)-(MIN(O498,($N$4*6/10))^4-N498^4)/4,0)+IF(O498&gt;($N$4*6/10),($N$4*6/10)^2*(1.5*(O498^2-MAX(N498,($N$4*6/10))^2)-($N$4*6/10)*(O498-MAX(N498,($N$4*6/10)))),0))*1000,0)</f>
        <v>0</v>
      </c>
      <c r="AT498" s="120">
        <f>IF(AND(V498="OK",ISNUMBER($N$5),$N$5&gt;0,ISNUMBER($N$3),$N$3&gt;0),R498/(6*$N$3*1000000*$N$5)*(IF(N498&lt;($N$4*7/10),($N$4*7/10)*(MIN(O498,($N$4*7/10))^3-N498^3)-(MIN(O498,($N$4*7/10))^4-N498^4)/4,0)+IF(O498&gt;($N$4*7/10),($N$4*7/10)^2*(1.5*(O498^2-MAX(N498,($N$4*7/10))^2)-($N$4*7/10)*(O498-MAX(N498,($N$4*7/10)))),0))*1000,0)</f>
        <v>0</v>
      </c>
      <c r="AU498" s="120">
        <f>IF(AND(V498="OK",ISNUMBER($N$5),$N$5&gt;0,ISNUMBER($N$3),$N$3&gt;0),R498/(6*$N$3*1000000*$N$5)*(IF(N498&lt;($N$4*8/10),($N$4*8/10)*(MIN(O498,($N$4*8/10))^3-N498^3)-(MIN(O498,($N$4*8/10))^4-N498^4)/4,0)+IF(O498&gt;($N$4*8/10),($N$4*8/10)^2*(1.5*(O498^2-MAX(N498,($N$4*8/10))^2)-($N$4*8/10)*(O498-MAX(N498,($N$4*8/10)))),0))*1000,0)</f>
        <v>0</v>
      </c>
      <c r="AV498" s="120">
        <f>IF(AND(V498="OK",ISNUMBER($N$5),$N$5&gt;0,ISNUMBER($N$3),$N$3&gt;0),R498/(6*$N$3*1000000*$N$5)*(IF(N498&lt;($N$4*9/10),($N$4*9/10)*(MIN(O498,($N$4*9/10))^3-N498^3)-(MIN(O498,($N$4*9/10))^4-N498^4)/4,0)+IF(O498&gt;($N$4*9/10),($N$4*9/10)^2*(1.5*(O498^2-MAX(N498,($N$4*9/10))^2)-($N$4*9/10)*(O498-MAX(N498,($N$4*9/10)))),0))*1000,0)</f>
        <v>0</v>
      </c>
      <c r="AW498" s="120">
        <f>IF(AND(V498="OK",ISNUMBER($N$5),$N$5&gt;0,ISNUMBER($N$3),$N$3&gt;0),R498/(6*$N$3*1000000*$N$5)*(IF(N498&lt;($N$4*10/10),($N$4*10/10)*(MIN(O498,($N$4*10/10))^3-N498^3)-(MIN(O498,($N$4*10/10))^4-N498^4)/4,0)+IF(O498&gt;($N$4*10/10),($N$4*10/10)^2*(1.5*(O498^2-MAX(N498,($N$4*10/10))^2)-($N$4*10/10)*(O498-MAX(N498,($N$4*10/10)))),0))*1000,0)</f>
        <v>0</v>
      </c>
    </row>
    <row r="499" spans="1:49">
      <c r="A499" s="124"/>
      <c r="B499" s="125"/>
      <c r="C499" s="125"/>
      <c r="D499" s="125"/>
      <c r="E499" s="125"/>
      <c r="F499" s="126" t="str">
        <f>IF(J499="OK",D499*E499,"")</f>
        <v/>
      </c>
      <c r="G499" s="126" t="str">
        <f>IF(J499="OK",F499*(C499-B499),"")</f>
        <v/>
      </c>
      <c r="H499" s="126" t="str">
        <f>IF(J499="OK",G499*(C499+B499)/2,"")</f>
        <v/>
      </c>
      <c r="I499" s="126" t="str">
        <f>IF(AND(J499="OK",ISNUMBER($B$5),$B$5&gt;0,ISNUMBER($B$3),$B$3&gt;0),F499*(4*$B$4*(C499^3-B499^3)-(C499^4-B499^4))/(24*$B$3*1000000*$B$5)*1000,"")</f>
        <v/>
      </c>
      <c r="J499" s="120" t="str">
        <f>IF(COUNTA(A499:E499)=0,"",IF(AND(COUNT(B499:E499)=4,B499&gt;=0,C499&gt;B499,C499&lt;=$B$4,D499&gt;=0,E499&gt;0),IF(COUNTIFS($B$13:$B$498,"&lt;"&amp;C499,$C$13:$C$498,"&gt;"&amp;B499)&gt;0,"OVERLAP","OK"),"CHECK INPUTS"))</f>
        <v/>
      </c>
      <c r="M499" s="124"/>
      <c r="N499" s="125"/>
      <c r="O499" s="125"/>
      <c r="P499" s="125"/>
      <c r="Q499" s="125"/>
      <c r="R499" s="126" t="str">
        <f>IF(V499="OK",P499*Q499,"")</f>
        <v/>
      </c>
      <c r="S499" s="126" t="str">
        <f>IF(V499="OK",R499*(O499-N499),"")</f>
        <v/>
      </c>
      <c r="T499" s="126" t="str">
        <f>IF(V499="OK",S499*(O499+N499)/2,"")</f>
        <v/>
      </c>
      <c r="U499" s="126" t="str">
        <f>IF(AND(V499="OK",ISNUMBER($N$5),$N$5&gt;0,ISNUMBER($N$3),$N$3&gt;0),R499*(4*$N$4*(O499^3-N499^3)-(O499^4-N499^4))/(24*$N$3*1000000*$N$5)*1000,"")</f>
        <v/>
      </c>
      <c r="V499" s="120" t="str">
        <f>IF(COUNTA(M499:Q499)=0,"",IF(AND(COUNT(N499:Q499)=4,N499&gt;=0,O499&gt;N499,O499&lt;=$N$4,P499&gt;=0,Q499&gt;0),IF(COUNTIFS($N$13:$N$498,"&lt;"&amp;O499,$O$13:$O$498,"&gt;"&amp;N499)&gt;0,"OVERLAP","OK"),"CHECK INPUTS"))</f>
        <v/>
      </c>
      <c r="AA499" s="120">
        <f>IF(AND(J499="OK",ISNUMBER($B$5),$B$5&gt;0,ISNUMBER($B$3),$B$3&gt;0),F499/(6*$B$3*1000000*$B$5)*(IF(B499&lt;($B$4*0/10),($B$4*0/10)*(MIN(C499,($B$4*0/10))^3-B499^3)-(MIN(C499,($B$4*0/10))^4-B499^4)/4,0)+IF(C499&gt;($B$4*0/10),($B$4*0/10)^2*(1.5*(C499^2-MAX(B499,($B$4*0/10))^2)-($B$4*0/10)*(C499-MAX(B499,($B$4*0/10)))),0))*1000,0)</f>
        <v>0</v>
      </c>
      <c r="AB499" s="120">
        <f>IF(AND(J499="OK",ISNUMBER($B$5),$B$5&gt;0,ISNUMBER($B$3),$B$3&gt;0),F499/(6*$B$3*1000000*$B$5)*(IF(B499&lt;($B$4*1/10),($B$4*1/10)*(MIN(C499,($B$4*1/10))^3-B499^3)-(MIN(C499,($B$4*1/10))^4-B499^4)/4,0)+IF(C499&gt;($B$4*1/10),($B$4*1/10)^2*(1.5*(C499^2-MAX(B499,($B$4*1/10))^2)-($B$4*1/10)*(C499-MAX(B499,($B$4*1/10)))),0))*1000,0)</f>
        <v>0</v>
      </c>
      <c r="AC499" s="120">
        <f>IF(AND(J499="OK",ISNUMBER($B$5),$B$5&gt;0,ISNUMBER($B$3),$B$3&gt;0),F499/(6*$B$3*1000000*$B$5)*(IF(B499&lt;($B$4*2/10),($B$4*2/10)*(MIN(C499,($B$4*2/10))^3-B499^3)-(MIN(C499,($B$4*2/10))^4-B499^4)/4,0)+IF(C499&gt;($B$4*2/10),($B$4*2/10)^2*(1.5*(C499^2-MAX(B499,($B$4*2/10))^2)-($B$4*2/10)*(C499-MAX(B499,($B$4*2/10)))),0))*1000,0)</f>
        <v>0</v>
      </c>
      <c r="AD499" s="120">
        <f>IF(AND(J499="OK",ISNUMBER($B$5),$B$5&gt;0,ISNUMBER($B$3),$B$3&gt;0),F499/(6*$B$3*1000000*$B$5)*(IF(B499&lt;($B$4*3/10),($B$4*3/10)*(MIN(C499,($B$4*3/10))^3-B499^3)-(MIN(C499,($B$4*3/10))^4-B499^4)/4,0)+IF(C499&gt;($B$4*3/10),($B$4*3/10)^2*(1.5*(C499^2-MAX(B499,($B$4*3/10))^2)-($B$4*3/10)*(C499-MAX(B499,($B$4*3/10)))),0))*1000,0)</f>
        <v>0</v>
      </c>
      <c r="AE499" s="120">
        <f>IF(AND(J499="OK",ISNUMBER($B$5),$B$5&gt;0,ISNUMBER($B$3),$B$3&gt;0),F499/(6*$B$3*1000000*$B$5)*(IF(B499&lt;($B$4*4/10),($B$4*4/10)*(MIN(C499,($B$4*4/10))^3-B499^3)-(MIN(C499,($B$4*4/10))^4-B499^4)/4,0)+IF(C499&gt;($B$4*4/10),($B$4*4/10)^2*(1.5*(C499^2-MAX(B499,($B$4*4/10))^2)-($B$4*4/10)*(C499-MAX(B499,($B$4*4/10)))),0))*1000,0)</f>
        <v>0</v>
      </c>
      <c r="AF499" s="120">
        <f>IF(AND(J499="OK",ISNUMBER($B$5),$B$5&gt;0,ISNUMBER($B$3),$B$3&gt;0),F499/(6*$B$3*1000000*$B$5)*(IF(B499&lt;($B$4*5/10),($B$4*5/10)*(MIN(C499,($B$4*5/10))^3-B499^3)-(MIN(C499,($B$4*5/10))^4-B499^4)/4,0)+IF(C499&gt;($B$4*5/10),($B$4*5/10)^2*(1.5*(C499^2-MAX(B499,($B$4*5/10))^2)-($B$4*5/10)*(C499-MAX(B499,($B$4*5/10)))),0))*1000,0)</f>
        <v>0</v>
      </c>
      <c r="AG499" s="120">
        <f>IF(AND(J499="OK",ISNUMBER($B$5),$B$5&gt;0,ISNUMBER($B$3),$B$3&gt;0),F499/(6*$B$3*1000000*$B$5)*(IF(B499&lt;($B$4*6/10),($B$4*6/10)*(MIN(C499,($B$4*6/10))^3-B499^3)-(MIN(C499,($B$4*6/10))^4-B499^4)/4,0)+IF(C499&gt;($B$4*6/10),($B$4*6/10)^2*(1.5*(C499^2-MAX(B499,($B$4*6/10))^2)-($B$4*6/10)*(C499-MAX(B499,($B$4*6/10)))),0))*1000,0)</f>
        <v>0</v>
      </c>
      <c r="AH499" s="120">
        <f>IF(AND(J499="OK",ISNUMBER($B$5),$B$5&gt;0,ISNUMBER($B$3),$B$3&gt;0),F499/(6*$B$3*1000000*$B$5)*(IF(B499&lt;($B$4*7/10),($B$4*7/10)*(MIN(C499,($B$4*7/10))^3-B499^3)-(MIN(C499,($B$4*7/10))^4-B499^4)/4,0)+IF(C499&gt;($B$4*7/10),($B$4*7/10)^2*(1.5*(C499^2-MAX(B499,($B$4*7/10))^2)-($B$4*7/10)*(C499-MAX(B499,($B$4*7/10)))),0))*1000,0)</f>
        <v>0</v>
      </c>
      <c r="AI499" s="120">
        <f>IF(AND(J499="OK",ISNUMBER($B$5),$B$5&gt;0,ISNUMBER($B$3),$B$3&gt;0),F499/(6*$B$3*1000000*$B$5)*(IF(B499&lt;($B$4*8/10),($B$4*8/10)*(MIN(C499,($B$4*8/10))^3-B499^3)-(MIN(C499,($B$4*8/10))^4-B499^4)/4,0)+IF(C499&gt;($B$4*8/10),($B$4*8/10)^2*(1.5*(C499^2-MAX(B499,($B$4*8/10))^2)-($B$4*8/10)*(C499-MAX(B499,($B$4*8/10)))),0))*1000,0)</f>
        <v>0</v>
      </c>
      <c r="AJ499" s="120">
        <f>IF(AND(J499="OK",ISNUMBER($B$5),$B$5&gt;0,ISNUMBER($B$3),$B$3&gt;0),F499/(6*$B$3*1000000*$B$5)*(IF(B499&lt;($B$4*9/10),($B$4*9/10)*(MIN(C499,($B$4*9/10))^3-B499^3)-(MIN(C499,($B$4*9/10))^4-B499^4)/4,0)+IF(C499&gt;($B$4*9/10),($B$4*9/10)^2*(1.5*(C499^2-MAX(B499,($B$4*9/10))^2)-($B$4*9/10)*(C499-MAX(B499,($B$4*9/10)))),0))*1000,0)</f>
        <v>0</v>
      </c>
      <c r="AK499" s="120">
        <f>IF(AND(J499="OK",ISNUMBER($B$5),$B$5&gt;0,ISNUMBER($B$3),$B$3&gt;0),F499/(6*$B$3*1000000*$B$5)*(IF(B499&lt;($B$4*10/10),($B$4*10/10)*(MIN(C499,($B$4*10/10))^3-B499^3)-(MIN(C499,($B$4*10/10))^4-B499^4)/4,0)+IF(C499&gt;($B$4*10/10),($B$4*10/10)^2*(1.5*(C499^2-MAX(B499,($B$4*10/10))^2)-($B$4*10/10)*(C499-MAX(B499,($B$4*10/10)))),0))*1000,0)</f>
        <v>0</v>
      </c>
      <c r="AM499" s="120">
        <f>IF(AND(V499="OK",ISNUMBER($N$5),$N$5&gt;0,ISNUMBER($N$3),$N$3&gt;0),R499/(6*$N$3*1000000*$N$5)*(IF(N499&lt;($N$4*0/10),($N$4*0/10)*(MIN(O499,($N$4*0/10))^3-N499^3)-(MIN(O499,($N$4*0/10))^4-N499^4)/4,0)+IF(O499&gt;($N$4*0/10),($N$4*0/10)^2*(1.5*(O499^2-MAX(N499,($N$4*0/10))^2)-($N$4*0/10)*(O499-MAX(N499,($N$4*0/10)))),0))*1000,0)</f>
        <v>0</v>
      </c>
      <c r="AN499" s="120">
        <f>IF(AND(V499="OK",ISNUMBER($N$5),$N$5&gt;0,ISNUMBER($N$3),$N$3&gt;0),R499/(6*$N$3*1000000*$N$5)*(IF(N499&lt;($N$4*1/10),($N$4*1/10)*(MIN(O499,($N$4*1/10))^3-N499^3)-(MIN(O499,($N$4*1/10))^4-N499^4)/4,0)+IF(O499&gt;($N$4*1/10),($N$4*1/10)^2*(1.5*(O499^2-MAX(N499,($N$4*1/10))^2)-($N$4*1/10)*(O499-MAX(N499,($N$4*1/10)))),0))*1000,0)</f>
        <v>0</v>
      </c>
      <c r="AO499" s="120">
        <f>IF(AND(V499="OK",ISNUMBER($N$5),$N$5&gt;0,ISNUMBER($N$3),$N$3&gt;0),R499/(6*$N$3*1000000*$N$5)*(IF(N499&lt;($N$4*2/10),($N$4*2/10)*(MIN(O499,($N$4*2/10))^3-N499^3)-(MIN(O499,($N$4*2/10))^4-N499^4)/4,0)+IF(O499&gt;($N$4*2/10),($N$4*2/10)^2*(1.5*(O499^2-MAX(N499,($N$4*2/10))^2)-($N$4*2/10)*(O499-MAX(N499,($N$4*2/10)))),0))*1000,0)</f>
        <v>0</v>
      </c>
      <c r="AP499" s="120">
        <f>IF(AND(V499="OK",ISNUMBER($N$5),$N$5&gt;0,ISNUMBER($N$3),$N$3&gt;0),R499/(6*$N$3*1000000*$N$5)*(IF(N499&lt;($N$4*3/10),($N$4*3/10)*(MIN(O499,($N$4*3/10))^3-N499^3)-(MIN(O499,($N$4*3/10))^4-N499^4)/4,0)+IF(O499&gt;($N$4*3/10),($N$4*3/10)^2*(1.5*(O499^2-MAX(N499,($N$4*3/10))^2)-($N$4*3/10)*(O499-MAX(N499,($N$4*3/10)))),0))*1000,0)</f>
        <v>0</v>
      </c>
      <c r="AQ499" s="120">
        <f>IF(AND(V499="OK",ISNUMBER($N$5),$N$5&gt;0,ISNUMBER($N$3),$N$3&gt;0),R499/(6*$N$3*1000000*$N$5)*(IF(N499&lt;($N$4*4/10),($N$4*4/10)*(MIN(O499,($N$4*4/10))^3-N499^3)-(MIN(O499,($N$4*4/10))^4-N499^4)/4,0)+IF(O499&gt;($N$4*4/10),($N$4*4/10)^2*(1.5*(O499^2-MAX(N499,($N$4*4/10))^2)-($N$4*4/10)*(O499-MAX(N499,($N$4*4/10)))),0))*1000,0)</f>
        <v>0</v>
      </c>
      <c r="AR499" s="120">
        <f>IF(AND(V499="OK",ISNUMBER($N$5),$N$5&gt;0,ISNUMBER($N$3),$N$3&gt;0),R499/(6*$N$3*1000000*$N$5)*(IF(N499&lt;($N$4*5/10),($N$4*5/10)*(MIN(O499,($N$4*5/10))^3-N499^3)-(MIN(O499,($N$4*5/10))^4-N499^4)/4,0)+IF(O499&gt;($N$4*5/10),($N$4*5/10)^2*(1.5*(O499^2-MAX(N499,($N$4*5/10))^2)-($N$4*5/10)*(O499-MAX(N499,($N$4*5/10)))),0))*1000,0)</f>
        <v>0</v>
      </c>
      <c r="AS499" s="120">
        <f>IF(AND(V499="OK",ISNUMBER($N$5),$N$5&gt;0,ISNUMBER($N$3),$N$3&gt;0),R499/(6*$N$3*1000000*$N$5)*(IF(N499&lt;($N$4*6/10),($N$4*6/10)*(MIN(O499,($N$4*6/10))^3-N499^3)-(MIN(O499,($N$4*6/10))^4-N499^4)/4,0)+IF(O499&gt;($N$4*6/10),($N$4*6/10)^2*(1.5*(O499^2-MAX(N499,($N$4*6/10))^2)-($N$4*6/10)*(O499-MAX(N499,($N$4*6/10)))),0))*1000,0)</f>
        <v>0</v>
      </c>
      <c r="AT499" s="120">
        <f>IF(AND(V499="OK",ISNUMBER($N$5),$N$5&gt;0,ISNUMBER($N$3),$N$3&gt;0),R499/(6*$N$3*1000000*$N$5)*(IF(N499&lt;($N$4*7/10),($N$4*7/10)*(MIN(O499,($N$4*7/10))^3-N499^3)-(MIN(O499,($N$4*7/10))^4-N499^4)/4,0)+IF(O499&gt;($N$4*7/10),($N$4*7/10)^2*(1.5*(O499^2-MAX(N499,($N$4*7/10))^2)-($N$4*7/10)*(O499-MAX(N499,($N$4*7/10)))),0))*1000,0)</f>
        <v>0</v>
      </c>
      <c r="AU499" s="120">
        <f>IF(AND(V499="OK",ISNUMBER($N$5),$N$5&gt;0,ISNUMBER($N$3),$N$3&gt;0),R499/(6*$N$3*1000000*$N$5)*(IF(N499&lt;($N$4*8/10),($N$4*8/10)*(MIN(O499,($N$4*8/10))^3-N499^3)-(MIN(O499,($N$4*8/10))^4-N499^4)/4,0)+IF(O499&gt;($N$4*8/10),($N$4*8/10)^2*(1.5*(O499^2-MAX(N499,($N$4*8/10))^2)-($N$4*8/10)*(O499-MAX(N499,($N$4*8/10)))),0))*1000,0)</f>
        <v>0</v>
      </c>
      <c r="AV499" s="120">
        <f>IF(AND(V499="OK",ISNUMBER($N$5),$N$5&gt;0,ISNUMBER($N$3),$N$3&gt;0),R499/(6*$N$3*1000000*$N$5)*(IF(N499&lt;($N$4*9/10),($N$4*9/10)*(MIN(O499,($N$4*9/10))^3-N499^3)-(MIN(O499,($N$4*9/10))^4-N499^4)/4,0)+IF(O499&gt;($N$4*9/10),($N$4*9/10)^2*(1.5*(O499^2-MAX(N499,($N$4*9/10))^2)-($N$4*9/10)*(O499-MAX(N499,($N$4*9/10)))),0))*1000,0)</f>
        <v>0</v>
      </c>
      <c r="AW499" s="120">
        <f>IF(AND(V499="OK",ISNUMBER($N$5),$N$5&gt;0,ISNUMBER($N$3),$N$3&gt;0),R499/(6*$N$3*1000000*$N$5)*(IF(N499&lt;($N$4*10/10),($N$4*10/10)*(MIN(O499,($N$4*10/10))^3-N499^3)-(MIN(O499,($N$4*10/10))^4-N499^4)/4,0)+IF(O499&gt;($N$4*10/10),($N$4*10/10)^2*(1.5*(O499^2-MAX(N499,($N$4*10/10))^2)-($N$4*10/10)*(O499-MAX(N499,($N$4*10/10)))),0))*1000,0)</f>
        <v>0</v>
      </c>
    </row>
    <row r="500" spans="1:49">
      <c r="A500" s="124"/>
      <c r="B500" s="125"/>
      <c r="C500" s="125"/>
      <c r="D500" s="125"/>
      <c r="E500" s="125"/>
      <c r="F500" s="126" t="str">
        <f>IF(J500="OK",D500*E500,"")</f>
        <v/>
      </c>
      <c r="G500" s="126" t="str">
        <f>IF(J500="OK",F500*(C500-B500),"")</f>
        <v/>
      </c>
      <c r="H500" s="126" t="str">
        <f>IF(J500="OK",G500*(C500+B500)/2,"")</f>
        <v/>
      </c>
      <c r="I500" s="126" t="str">
        <f>IF(AND(J500="OK",ISNUMBER($B$5),$B$5&gt;0,ISNUMBER($B$3),$B$3&gt;0),F500*(4*$B$4*(C500^3-B500^3)-(C500^4-B500^4))/(24*$B$3*1000000*$B$5)*1000,"")</f>
        <v/>
      </c>
      <c r="J500" s="120" t="str">
        <f>IF(COUNTA(A500:E500)=0,"",IF(AND(COUNT(B500:E500)=4,B500&gt;=0,C500&gt;B500,C500&lt;=$B$4,D500&gt;=0,E500&gt;0),IF(COUNTIFS($B$13:$B$499,"&lt;"&amp;C500,$C$13:$C$499,"&gt;"&amp;B500)&gt;0,"OVERLAP","OK"),"CHECK INPUTS"))</f>
        <v/>
      </c>
      <c r="M500" s="124"/>
      <c r="N500" s="125"/>
      <c r="O500" s="125"/>
      <c r="P500" s="125"/>
      <c r="Q500" s="125"/>
      <c r="R500" s="126" t="str">
        <f>IF(V500="OK",P500*Q500,"")</f>
        <v/>
      </c>
      <c r="S500" s="126" t="str">
        <f>IF(V500="OK",R500*(O500-N500),"")</f>
        <v/>
      </c>
      <c r="T500" s="126" t="str">
        <f>IF(V500="OK",S500*(O500+N500)/2,"")</f>
        <v/>
      </c>
      <c r="U500" s="126" t="str">
        <f>IF(AND(V500="OK",ISNUMBER($N$5),$N$5&gt;0,ISNUMBER($N$3),$N$3&gt;0),R500*(4*$N$4*(O500^3-N500^3)-(O500^4-N500^4))/(24*$N$3*1000000*$N$5)*1000,"")</f>
        <v/>
      </c>
      <c r="V500" s="120" t="str">
        <f>IF(COUNTA(M500:Q500)=0,"",IF(AND(COUNT(N500:Q500)=4,N500&gt;=0,O500&gt;N500,O500&lt;=$N$4,P500&gt;=0,Q500&gt;0),IF(COUNTIFS($N$13:$N$499,"&lt;"&amp;O500,$O$13:$O$499,"&gt;"&amp;N500)&gt;0,"OVERLAP","OK"),"CHECK INPUTS"))</f>
        <v/>
      </c>
      <c r="AA500" s="120">
        <f>IF(AND(J500="OK",ISNUMBER($B$5),$B$5&gt;0,ISNUMBER($B$3),$B$3&gt;0),F500/(6*$B$3*1000000*$B$5)*(IF(B500&lt;($B$4*0/10),($B$4*0/10)*(MIN(C500,($B$4*0/10))^3-B500^3)-(MIN(C500,($B$4*0/10))^4-B500^4)/4,0)+IF(C500&gt;($B$4*0/10),($B$4*0/10)^2*(1.5*(C500^2-MAX(B500,($B$4*0/10))^2)-($B$4*0/10)*(C500-MAX(B500,($B$4*0/10)))),0))*1000,0)</f>
        <v>0</v>
      </c>
      <c r="AB500" s="120">
        <f>IF(AND(J500="OK",ISNUMBER($B$5),$B$5&gt;0,ISNUMBER($B$3),$B$3&gt;0),F500/(6*$B$3*1000000*$B$5)*(IF(B500&lt;($B$4*1/10),($B$4*1/10)*(MIN(C500,($B$4*1/10))^3-B500^3)-(MIN(C500,($B$4*1/10))^4-B500^4)/4,0)+IF(C500&gt;($B$4*1/10),($B$4*1/10)^2*(1.5*(C500^2-MAX(B500,($B$4*1/10))^2)-($B$4*1/10)*(C500-MAX(B500,($B$4*1/10)))),0))*1000,0)</f>
        <v>0</v>
      </c>
      <c r="AC500" s="120">
        <f>IF(AND(J500="OK",ISNUMBER($B$5),$B$5&gt;0,ISNUMBER($B$3),$B$3&gt;0),F500/(6*$B$3*1000000*$B$5)*(IF(B500&lt;($B$4*2/10),($B$4*2/10)*(MIN(C500,($B$4*2/10))^3-B500^3)-(MIN(C500,($B$4*2/10))^4-B500^4)/4,0)+IF(C500&gt;($B$4*2/10),($B$4*2/10)^2*(1.5*(C500^2-MAX(B500,($B$4*2/10))^2)-($B$4*2/10)*(C500-MAX(B500,($B$4*2/10)))),0))*1000,0)</f>
        <v>0</v>
      </c>
      <c r="AD500" s="120">
        <f>IF(AND(J500="OK",ISNUMBER($B$5),$B$5&gt;0,ISNUMBER($B$3),$B$3&gt;0),F500/(6*$B$3*1000000*$B$5)*(IF(B500&lt;($B$4*3/10),($B$4*3/10)*(MIN(C500,($B$4*3/10))^3-B500^3)-(MIN(C500,($B$4*3/10))^4-B500^4)/4,0)+IF(C500&gt;($B$4*3/10),($B$4*3/10)^2*(1.5*(C500^2-MAX(B500,($B$4*3/10))^2)-($B$4*3/10)*(C500-MAX(B500,($B$4*3/10)))),0))*1000,0)</f>
        <v>0</v>
      </c>
      <c r="AE500" s="120">
        <f>IF(AND(J500="OK",ISNUMBER($B$5),$B$5&gt;0,ISNUMBER($B$3),$B$3&gt;0),F500/(6*$B$3*1000000*$B$5)*(IF(B500&lt;($B$4*4/10),($B$4*4/10)*(MIN(C500,($B$4*4/10))^3-B500^3)-(MIN(C500,($B$4*4/10))^4-B500^4)/4,0)+IF(C500&gt;($B$4*4/10),($B$4*4/10)^2*(1.5*(C500^2-MAX(B500,($B$4*4/10))^2)-($B$4*4/10)*(C500-MAX(B500,($B$4*4/10)))),0))*1000,0)</f>
        <v>0</v>
      </c>
      <c r="AF500" s="120">
        <f>IF(AND(J500="OK",ISNUMBER($B$5),$B$5&gt;0,ISNUMBER($B$3),$B$3&gt;0),F500/(6*$B$3*1000000*$B$5)*(IF(B500&lt;($B$4*5/10),($B$4*5/10)*(MIN(C500,($B$4*5/10))^3-B500^3)-(MIN(C500,($B$4*5/10))^4-B500^4)/4,0)+IF(C500&gt;($B$4*5/10),($B$4*5/10)^2*(1.5*(C500^2-MAX(B500,($B$4*5/10))^2)-($B$4*5/10)*(C500-MAX(B500,($B$4*5/10)))),0))*1000,0)</f>
        <v>0</v>
      </c>
      <c r="AG500" s="120">
        <f>IF(AND(J500="OK",ISNUMBER($B$5),$B$5&gt;0,ISNUMBER($B$3),$B$3&gt;0),F500/(6*$B$3*1000000*$B$5)*(IF(B500&lt;($B$4*6/10),($B$4*6/10)*(MIN(C500,($B$4*6/10))^3-B500^3)-(MIN(C500,($B$4*6/10))^4-B500^4)/4,0)+IF(C500&gt;($B$4*6/10),($B$4*6/10)^2*(1.5*(C500^2-MAX(B500,($B$4*6/10))^2)-($B$4*6/10)*(C500-MAX(B500,($B$4*6/10)))),0))*1000,0)</f>
        <v>0</v>
      </c>
      <c r="AH500" s="120">
        <f>IF(AND(J500="OK",ISNUMBER($B$5),$B$5&gt;0,ISNUMBER($B$3),$B$3&gt;0),F500/(6*$B$3*1000000*$B$5)*(IF(B500&lt;($B$4*7/10),($B$4*7/10)*(MIN(C500,($B$4*7/10))^3-B500^3)-(MIN(C500,($B$4*7/10))^4-B500^4)/4,0)+IF(C500&gt;($B$4*7/10),($B$4*7/10)^2*(1.5*(C500^2-MAX(B500,($B$4*7/10))^2)-($B$4*7/10)*(C500-MAX(B500,($B$4*7/10)))),0))*1000,0)</f>
        <v>0</v>
      </c>
      <c r="AI500" s="120">
        <f>IF(AND(J500="OK",ISNUMBER($B$5),$B$5&gt;0,ISNUMBER($B$3),$B$3&gt;0),F500/(6*$B$3*1000000*$B$5)*(IF(B500&lt;($B$4*8/10),($B$4*8/10)*(MIN(C500,($B$4*8/10))^3-B500^3)-(MIN(C500,($B$4*8/10))^4-B500^4)/4,0)+IF(C500&gt;($B$4*8/10),($B$4*8/10)^2*(1.5*(C500^2-MAX(B500,($B$4*8/10))^2)-($B$4*8/10)*(C500-MAX(B500,($B$4*8/10)))),0))*1000,0)</f>
        <v>0</v>
      </c>
      <c r="AJ500" s="120">
        <f>IF(AND(J500="OK",ISNUMBER($B$5),$B$5&gt;0,ISNUMBER($B$3),$B$3&gt;0),F500/(6*$B$3*1000000*$B$5)*(IF(B500&lt;($B$4*9/10),($B$4*9/10)*(MIN(C500,($B$4*9/10))^3-B500^3)-(MIN(C500,($B$4*9/10))^4-B500^4)/4,0)+IF(C500&gt;($B$4*9/10),($B$4*9/10)^2*(1.5*(C500^2-MAX(B500,($B$4*9/10))^2)-($B$4*9/10)*(C500-MAX(B500,($B$4*9/10)))),0))*1000,0)</f>
        <v>0</v>
      </c>
      <c r="AK500" s="120">
        <f>IF(AND(J500="OK",ISNUMBER($B$5),$B$5&gt;0,ISNUMBER($B$3),$B$3&gt;0),F500/(6*$B$3*1000000*$B$5)*(IF(B500&lt;($B$4*10/10),($B$4*10/10)*(MIN(C500,($B$4*10/10))^3-B500^3)-(MIN(C500,($B$4*10/10))^4-B500^4)/4,0)+IF(C500&gt;($B$4*10/10),($B$4*10/10)^2*(1.5*(C500^2-MAX(B500,($B$4*10/10))^2)-($B$4*10/10)*(C500-MAX(B500,($B$4*10/10)))),0))*1000,0)</f>
        <v>0</v>
      </c>
      <c r="AM500" s="120">
        <f>IF(AND(V500="OK",ISNUMBER($N$5),$N$5&gt;0,ISNUMBER($N$3),$N$3&gt;0),R500/(6*$N$3*1000000*$N$5)*(IF(N500&lt;($N$4*0/10),($N$4*0/10)*(MIN(O500,($N$4*0/10))^3-N500^3)-(MIN(O500,($N$4*0/10))^4-N500^4)/4,0)+IF(O500&gt;($N$4*0/10),($N$4*0/10)^2*(1.5*(O500^2-MAX(N500,($N$4*0/10))^2)-($N$4*0/10)*(O500-MAX(N500,($N$4*0/10)))),0))*1000,0)</f>
        <v>0</v>
      </c>
      <c r="AN500" s="120">
        <f>IF(AND(V500="OK",ISNUMBER($N$5),$N$5&gt;0,ISNUMBER($N$3),$N$3&gt;0),R500/(6*$N$3*1000000*$N$5)*(IF(N500&lt;($N$4*1/10),($N$4*1/10)*(MIN(O500,($N$4*1/10))^3-N500^3)-(MIN(O500,($N$4*1/10))^4-N500^4)/4,0)+IF(O500&gt;($N$4*1/10),($N$4*1/10)^2*(1.5*(O500^2-MAX(N500,($N$4*1/10))^2)-($N$4*1/10)*(O500-MAX(N500,($N$4*1/10)))),0))*1000,0)</f>
        <v>0</v>
      </c>
      <c r="AO500" s="120">
        <f>IF(AND(V500="OK",ISNUMBER($N$5),$N$5&gt;0,ISNUMBER($N$3),$N$3&gt;0),R500/(6*$N$3*1000000*$N$5)*(IF(N500&lt;($N$4*2/10),($N$4*2/10)*(MIN(O500,($N$4*2/10))^3-N500^3)-(MIN(O500,($N$4*2/10))^4-N500^4)/4,0)+IF(O500&gt;($N$4*2/10),($N$4*2/10)^2*(1.5*(O500^2-MAX(N500,($N$4*2/10))^2)-($N$4*2/10)*(O500-MAX(N500,($N$4*2/10)))),0))*1000,0)</f>
        <v>0</v>
      </c>
      <c r="AP500" s="120">
        <f>IF(AND(V500="OK",ISNUMBER($N$5),$N$5&gt;0,ISNUMBER($N$3),$N$3&gt;0),R500/(6*$N$3*1000000*$N$5)*(IF(N500&lt;($N$4*3/10),($N$4*3/10)*(MIN(O500,($N$4*3/10))^3-N500^3)-(MIN(O500,($N$4*3/10))^4-N500^4)/4,0)+IF(O500&gt;($N$4*3/10),($N$4*3/10)^2*(1.5*(O500^2-MAX(N500,($N$4*3/10))^2)-($N$4*3/10)*(O500-MAX(N500,($N$4*3/10)))),0))*1000,0)</f>
        <v>0</v>
      </c>
      <c r="AQ500" s="120">
        <f>IF(AND(V500="OK",ISNUMBER($N$5),$N$5&gt;0,ISNUMBER($N$3),$N$3&gt;0),R500/(6*$N$3*1000000*$N$5)*(IF(N500&lt;($N$4*4/10),($N$4*4/10)*(MIN(O500,($N$4*4/10))^3-N500^3)-(MIN(O500,($N$4*4/10))^4-N500^4)/4,0)+IF(O500&gt;($N$4*4/10),($N$4*4/10)^2*(1.5*(O500^2-MAX(N500,($N$4*4/10))^2)-($N$4*4/10)*(O500-MAX(N500,($N$4*4/10)))),0))*1000,0)</f>
        <v>0</v>
      </c>
      <c r="AR500" s="120">
        <f>IF(AND(V500="OK",ISNUMBER($N$5),$N$5&gt;0,ISNUMBER($N$3),$N$3&gt;0),R500/(6*$N$3*1000000*$N$5)*(IF(N500&lt;($N$4*5/10),($N$4*5/10)*(MIN(O500,($N$4*5/10))^3-N500^3)-(MIN(O500,($N$4*5/10))^4-N500^4)/4,0)+IF(O500&gt;($N$4*5/10),($N$4*5/10)^2*(1.5*(O500^2-MAX(N500,($N$4*5/10))^2)-($N$4*5/10)*(O500-MAX(N500,($N$4*5/10)))),0))*1000,0)</f>
        <v>0</v>
      </c>
      <c r="AS500" s="120">
        <f>IF(AND(V500="OK",ISNUMBER($N$5),$N$5&gt;0,ISNUMBER($N$3),$N$3&gt;0),R500/(6*$N$3*1000000*$N$5)*(IF(N500&lt;($N$4*6/10),($N$4*6/10)*(MIN(O500,($N$4*6/10))^3-N500^3)-(MIN(O500,($N$4*6/10))^4-N500^4)/4,0)+IF(O500&gt;($N$4*6/10),($N$4*6/10)^2*(1.5*(O500^2-MAX(N500,($N$4*6/10))^2)-($N$4*6/10)*(O500-MAX(N500,($N$4*6/10)))),0))*1000,0)</f>
        <v>0</v>
      </c>
      <c r="AT500" s="120">
        <f>IF(AND(V500="OK",ISNUMBER($N$5),$N$5&gt;0,ISNUMBER($N$3),$N$3&gt;0),R500/(6*$N$3*1000000*$N$5)*(IF(N500&lt;($N$4*7/10),($N$4*7/10)*(MIN(O500,($N$4*7/10))^3-N500^3)-(MIN(O500,($N$4*7/10))^4-N500^4)/4,0)+IF(O500&gt;($N$4*7/10),($N$4*7/10)^2*(1.5*(O500^2-MAX(N500,($N$4*7/10))^2)-($N$4*7/10)*(O500-MAX(N500,($N$4*7/10)))),0))*1000,0)</f>
        <v>0</v>
      </c>
      <c r="AU500" s="120">
        <f>IF(AND(V500="OK",ISNUMBER($N$5),$N$5&gt;0,ISNUMBER($N$3),$N$3&gt;0),R500/(6*$N$3*1000000*$N$5)*(IF(N500&lt;($N$4*8/10),($N$4*8/10)*(MIN(O500,($N$4*8/10))^3-N500^3)-(MIN(O500,($N$4*8/10))^4-N500^4)/4,0)+IF(O500&gt;($N$4*8/10),($N$4*8/10)^2*(1.5*(O500^2-MAX(N500,($N$4*8/10))^2)-($N$4*8/10)*(O500-MAX(N500,($N$4*8/10)))),0))*1000,0)</f>
        <v>0</v>
      </c>
      <c r="AV500" s="120">
        <f>IF(AND(V500="OK",ISNUMBER($N$5),$N$5&gt;0,ISNUMBER($N$3),$N$3&gt;0),R500/(6*$N$3*1000000*$N$5)*(IF(N500&lt;($N$4*9/10),($N$4*9/10)*(MIN(O500,($N$4*9/10))^3-N500^3)-(MIN(O500,($N$4*9/10))^4-N500^4)/4,0)+IF(O500&gt;($N$4*9/10),($N$4*9/10)^2*(1.5*(O500^2-MAX(N500,($N$4*9/10))^2)-($N$4*9/10)*(O500-MAX(N500,($N$4*9/10)))),0))*1000,0)</f>
        <v>0</v>
      </c>
      <c r="AW500" s="120">
        <f>IF(AND(V500="OK",ISNUMBER($N$5),$N$5&gt;0,ISNUMBER($N$3),$N$3&gt;0),R500/(6*$N$3*1000000*$N$5)*(IF(N500&lt;($N$4*10/10),($N$4*10/10)*(MIN(O500,($N$4*10/10))^3-N500^3)-(MIN(O500,($N$4*10/10))^4-N500^4)/4,0)+IF(O500&gt;($N$4*10/10),($N$4*10/10)^2*(1.5*(O500^2-MAX(N500,($N$4*10/10))^2)-($N$4*10/10)*(O500-MAX(N500,($N$4*10/10)))),0))*1000,0)</f>
        <v>0</v>
      </c>
    </row>
    <row r="501" spans="1:49">
      <c r="A501" s="124"/>
      <c r="B501" s="125"/>
      <c r="C501" s="125"/>
      <c r="D501" s="125"/>
      <c r="E501" s="125"/>
      <c r="F501" s="126" t="str">
        <f>IF(J501="OK",D501*E501,"")</f>
        <v/>
      </c>
      <c r="G501" s="126" t="str">
        <f>IF(J501="OK",F501*(C501-B501),"")</f>
        <v/>
      </c>
      <c r="H501" s="126" t="str">
        <f>IF(J501="OK",G501*(C501+B501)/2,"")</f>
        <v/>
      </c>
      <c r="I501" s="126" t="str">
        <f>IF(AND(J501="OK",ISNUMBER($B$5),$B$5&gt;0,ISNUMBER($B$3),$B$3&gt;0),F501*(4*$B$4*(C501^3-B501^3)-(C501^4-B501^4))/(24*$B$3*1000000*$B$5)*1000,"")</f>
        <v/>
      </c>
      <c r="J501" s="120" t="str">
        <f>IF(COUNTA(A501:E501)=0,"",IF(AND(COUNT(B501:E501)=4,B501&gt;=0,C501&gt;B501,C501&lt;=$B$4,D501&gt;=0,E501&gt;0),IF(COUNTIFS($B$13:$B$500,"&lt;"&amp;C501,$C$13:$C$500,"&gt;"&amp;B501)&gt;0,"OVERLAP","OK"),"CHECK INPUTS"))</f>
        <v/>
      </c>
      <c r="M501" s="124"/>
      <c r="N501" s="125"/>
      <c r="O501" s="125"/>
      <c r="P501" s="125"/>
      <c r="Q501" s="125"/>
      <c r="R501" s="126" t="str">
        <f>IF(V501="OK",P501*Q501,"")</f>
        <v/>
      </c>
      <c r="S501" s="126" t="str">
        <f>IF(V501="OK",R501*(O501-N501),"")</f>
        <v/>
      </c>
      <c r="T501" s="126" t="str">
        <f>IF(V501="OK",S501*(O501+N501)/2,"")</f>
        <v/>
      </c>
      <c r="U501" s="126" t="str">
        <f>IF(AND(V501="OK",ISNUMBER($N$5),$N$5&gt;0,ISNUMBER($N$3),$N$3&gt;0),R501*(4*$N$4*(O501^3-N501^3)-(O501^4-N501^4))/(24*$N$3*1000000*$N$5)*1000,"")</f>
        <v/>
      </c>
      <c r="V501" s="120" t="str">
        <f>IF(COUNTA(M501:Q501)=0,"",IF(AND(COUNT(N501:Q501)=4,N501&gt;=0,O501&gt;N501,O501&lt;=$N$4,P501&gt;=0,Q501&gt;0),IF(COUNTIFS($N$13:$N$500,"&lt;"&amp;O501,$O$13:$O$500,"&gt;"&amp;N501)&gt;0,"OVERLAP","OK"),"CHECK INPUTS"))</f>
        <v/>
      </c>
      <c r="AA501" s="120">
        <f>IF(AND(J501="OK",ISNUMBER($B$5),$B$5&gt;0,ISNUMBER($B$3),$B$3&gt;0),F501/(6*$B$3*1000000*$B$5)*(IF(B501&lt;($B$4*0/10),($B$4*0/10)*(MIN(C501,($B$4*0/10))^3-B501^3)-(MIN(C501,($B$4*0/10))^4-B501^4)/4,0)+IF(C501&gt;($B$4*0/10),($B$4*0/10)^2*(1.5*(C501^2-MAX(B501,($B$4*0/10))^2)-($B$4*0/10)*(C501-MAX(B501,($B$4*0/10)))),0))*1000,0)</f>
        <v>0</v>
      </c>
      <c r="AB501" s="120">
        <f>IF(AND(J501="OK",ISNUMBER($B$5),$B$5&gt;0,ISNUMBER($B$3),$B$3&gt;0),F501/(6*$B$3*1000000*$B$5)*(IF(B501&lt;($B$4*1/10),($B$4*1/10)*(MIN(C501,($B$4*1/10))^3-B501^3)-(MIN(C501,($B$4*1/10))^4-B501^4)/4,0)+IF(C501&gt;($B$4*1/10),($B$4*1/10)^2*(1.5*(C501^2-MAX(B501,($B$4*1/10))^2)-($B$4*1/10)*(C501-MAX(B501,($B$4*1/10)))),0))*1000,0)</f>
        <v>0</v>
      </c>
      <c r="AC501" s="120">
        <f>IF(AND(J501="OK",ISNUMBER($B$5),$B$5&gt;0,ISNUMBER($B$3),$B$3&gt;0),F501/(6*$B$3*1000000*$B$5)*(IF(B501&lt;($B$4*2/10),($B$4*2/10)*(MIN(C501,($B$4*2/10))^3-B501^3)-(MIN(C501,($B$4*2/10))^4-B501^4)/4,0)+IF(C501&gt;($B$4*2/10),($B$4*2/10)^2*(1.5*(C501^2-MAX(B501,($B$4*2/10))^2)-($B$4*2/10)*(C501-MAX(B501,($B$4*2/10)))),0))*1000,0)</f>
        <v>0</v>
      </c>
      <c r="AD501" s="120">
        <f>IF(AND(J501="OK",ISNUMBER($B$5),$B$5&gt;0,ISNUMBER($B$3),$B$3&gt;0),F501/(6*$B$3*1000000*$B$5)*(IF(B501&lt;($B$4*3/10),($B$4*3/10)*(MIN(C501,($B$4*3/10))^3-B501^3)-(MIN(C501,($B$4*3/10))^4-B501^4)/4,0)+IF(C501&gt;($B$4*3/10),($B$4*3/10)^2*(1.5*(C501^2-MAX(B501,($B$4*3/10))^2)-($B$4*3/10)*(C501-MAX(B501,($B$4*3/10)))),0))*1000,0)</f>
        <v>0</v>
      </c>
      <c r="AE501" s="120">
        <f>IF(AND(J501="OK",ISNUMBER($B$5),$B$5&gt;0,ISNUMBER($B$3),$B$3&gt;0),F501/(6*$B$3*1000000*$B$5)*(IF(B501&lt;($B$4*4/10),($B$4*4/10)*(MIN(C501,($B$4*4/10))^3-B501^3)-(MIN(C501,($B$4*4/10))^4-B501^4)/4,0)+IF(C501&gt;($B$4*4/10),($B$4*4/10)^2*(1.5*(C501^2-MAX(B501,($B$4*4/10))^2)-($B$4*4/10)*(C501-MAX(B501,($B$4*4/10)))),0))*1000,0)</f>
        <v>0</v>
      </c>
      <c r="AF501" s="120">
        <f>IF(AND(J501="OK",ISNUMBER($B$5),$B$5&gt;0,ISNUMBER($B$3),$B$3&gt;0),F501/(6*$B$3*1000000*$B$5)*(IF(B501&lt;($B$4*5/10),($B$4*5/10)*(MIN(C501,($B$4*5/10))^3-B501^3)-(MIN(C501,($B$4*5/10))^4-B501^4)/4,0)+IF(C501&gt;($B$4*5/10),($B$4*5/10)^2*(1.5*(C501^2-MAX(B501,($B$4*5/10))^2)-($B$4*5/10)*(C501-MAX(B501,($B$4*5/10)))),0))*1000,0)</f>
        <v>0</v>
      </c>
      <c r="AG501" s="120">
        <f>IF(AND(J501="OK",ISNUMBER($B$5),$B$5&gt;0,ISNUMBER($B$3),$B$3&gt;0),F501/(6*$B$3*1000000*$B$5)*(IF(B501&lt;($B$4*6/10),($B$4*6/10)*(MIN(C501,($B$4*6/10))^3-B501^3)-(MIN(C501,($B$4*6/10))^4-B501^4)/4,0)+IF(C501&gt;($B$4*6/10),($B$4*6/10)^2*(1.5*(C501^2-MAX(B501,($B$4*6/10))^2)-($B$4*6/10)*(C501-MAX(B501,($B$4*6/10)))),0))*1000,0)</f>
        <v>0</v>
      </c>
      <c r="AH501" s="120">
        <f>IF(AND(J501="OK",ISNUMBER($B$5),$B$5&gt;0,ISNUMBER($B$3),$B$3&gt;0),F501/(6*$B$3*1000000*$B$5)*(IF(B501&lt;($B$4*7/10),($B$4*7/10)*(MIN(C501,($B$4*7/10))^3-B501^3)-(MIN(C501,($B$4*7/10))^4-B501^4)/4,0)+IF(C501&gt;($B$4*7/10),($B$4*7/10)^2*(1.5*(C501^2-MAX(B501,($B$4*7/10))^2)-($B$4*7/10)*(C501-MAX(B501,($B$4*7/10)))),0))*1000,0)</f>
        <v>0</v>
      </c>
      <c r="AI501" s="120">
        <f>IF(AND(J501="OK",ISNUMBER($B$5),$B$5&gt;0,ISNUMBER($B$3),$B$3&gt;0),F501/(6*$B$3*1000000*$B$5)*(IF(B501&lt;($B$4*8/10),($B$4*8/10)*(MIN(C501,($B$4*8/10))^3-B501^3)-(MIN(C501,($B$4*8/10))^4-B501^4)/4,0)+IF(C501&gt;($B$4*8/10),($B$4*8/10)^2*(1.5*(C501^2-MAX(B501,($B$4*8/10))^2)-($B$4*8/10)*(C501-MAX(B501,($B$4*8/10)))),0))*1000,0)</f>
        <v>0</v>
      </c>
      <c r="AJ501" s="120">
        <f>IF(AND(J501="OK",ISNUMBER($B$5),$B$5&gt;0,ISNUMBER($B$3),$B$3&gt;0),F501/(6*$B$3*1000000*$B$5)*(IF(B501&lt;($B$4*9/10),($B$4*9/10)*(MIN(C501,($B$4*9/10))^3-B501^3)-(MIN(C501,($B$4*9/10))^4-B501^4)/4,0)+IF(C501&gt;($B$4*9/10),($B$4*9/10)^2*(1.5*(C501^2-MAX(B501,($B$4*9/10))^2)-($B$4*9/10)*(C501-MAX(B501,($B$4*9/10)))),0))*1000,0)</f>
        <v>0</v>
      </c>
      <c r="AK501" s="120">
        <f>IF(AND(J501="OK",ISNUMBER($B$5),$B$5&gt;0,ISNUMBER($B$3),$B$3&gt;0),F501/(6*$B$3*1000000*$B$5)*(IF(B501&lt;($B$4*10/10),($B$4*10/10)*(MIN(C501,($B$4*10/10))^3-B501^3)-(MIN(C501,($B$4*10/10))^4-B501^4)/4,0)+IF(C501&gt;($B$4*10/10),($B$4*10/10)^2*(1.5*(C501^2-MAX(B501,($B$4*10/10))^2)-($B$4*10/10)*(C501-MAX(B501,($B$4*10/10)))),0))*1000,0)</f>
        <v>0</v>
      </c>
      <c r="AM501" s="120">
        <f>IF(AND(V501="OK",ISNUMBER($N$5),$N$5&gt;0,ISNUMBER($N$3),$N$3&gt;0),R501/(6*$N$3*1000000*$N$5)*(IF(N501&lt;($N$4*0/10),($N$4*0/10)*(MIN(O501,($N$4*0/10))^3-N501^3)-(MIN(O501,($N$4*0/10))^4-N501^4)/4,0)+IF(O501&gt;($N$4*0/10),($N$4*0/10)^2*(1.5*(O501^2-MAX(N501,($N$4*0/10))^2)-($N$4*0/10)*(O501-MAX(N501,($N$4*0/10)))),0))*1000,0)</f>
        <v>0</v>
      </c>
      <c r="AN501" s="120">
        <f>IF(AND(V501="OK",ISNUMBER($N$5),$N$5&gt;0,ISNUMBER($N$3),$N$3&gt;0),R501/(6*$N$3*1000000*$N$5)*(IF(N501&lt;($N$4*1/10),($N$4*1/10)*(MIN(O501,($N$4*1/10))^3-N501^3)-(MIN(O501,($N$4*1/10))^4-N501^4)/4,0)+IF(O501&gt;($N$4*1/10),($N$4*1/10)^2*(1.5*(O501^2-MAX(N501,($N$4*1/10))^2)-($N$4*1/10)*(O501-MAX(N501,($N$4*1/10)))),0))*1000,0)</f>
        <v>0</v>
      </c>
      <c r="AO501" s="120">
        <f>IF(AND(V501="OK",ISNUMBER($N$5),$N$5&gt;0,ISNUMBER($N$3),$N$3&gt;0),R501/(6*$N$3*1000000*$N$5)*(IF(N501&lt;($N$4*2/10),($N$4*2/10)*(MIN(O501,($N$4*2/10))^3-N501^3)-(MIN(O501,($N$4*2/10))^4-N501^4)/4,0)+IF(O501&gt;($N$4*2/10),($N$4*2/10)^2*(1.5*(O501^2-MAX(N501,($N$4*2/10))^2)-($N$4*2/10)*(O501-MAX(N501,($N$4*2/10)))),0))*1000,0)</f>
        <v>0</v>
      </c>
      <c r="AP501" s="120">
        <f>IF(AND(V501="OK",ISNUMBER($N$5),$N$5&gt;0,ISNUMBER($N$3),$N$3&gt;0),R501/(6*$N$3*1000000*$N$5)*(IF(N501&lt;($N$4*3/10),($N$4*3/10)*(MIN(O501,($N$4*3/10))^3-N501^3)-(MIN(O501,($N$4*3/10))^4-N501^4)/4,0)+IF(O501&gt;($N$4*3/10),($N$4*3/10)^2*(1.5*(O501^2-MAX(N501,($N$4*3/10))^2)-($N$4*3/10)*(O501-MAX(N501,($N$4*3/10)))),0))*1000,0)</f>
        <v>0</v>
      </c>
      <c r="AQ501" s="120">
        <f>IF(AND(V501="OK",ISNUMBER($N$5),$N$5&gt;0,ISNUMBER($N$3),$N$3&gt;0),R501/(6*$N$3*1000000*$N$5)*(IF(N501&lt;($N$4*4/10),($N$4*4/10)*(MIN(O501,($N$4*4/10))^3-N501^3)-(MIN(O501,($N$4*4/10))^4-N501^4)/4,0)+IF(O501&gt;($N$4*4/10),($N$4*4/10)^2*(1.5*(O501^2-MAX(N501,($N$4*4/10))^2)-($N$4*4/10)*(O501-MAX(N501,($N$4*4/10)))),0))*1000,0)</f>
        <v>0</v>
      </c>
      <c r="AR501" s="120">
        <f>IF(AND(V501="OK",ISNUMBER($N$5),$N$5&gt;0,ISNUMBER($N$3),$N$3&gt;0),R501/(6*$N$3*1000000*$N$5)*(IF(N501&lt;($N$4*5/10),($N$4*5/10)*(MIN(O501,($N$4*5/10))^3-N501^3)-(MIN(O501,($N$4*5/10))^4-N501^4)/4,0)+IF(O501&gt;($N$4*5/10),($N$4*5/10)^2*(1.5*(O501^2-MAX(N501,($N$4*5/10))^2)-($N$4*5/10)*(O501-MAX(N501,($N$4*5/10)))),0))*1000,0)</f>
        <v>0</v>
      </c>
      <c r="AS501" s="120">
        <f>IF(AND(V501="OK",ISNUMBER($N$5),$N$5&gt;0,ISNUMBER($N$3),$N$3&gt;0),R501/(6*$N$3*1000000*$N$5)*(IF(N501&lt;($N$4*6/10),($N$4*6/10)*(MIN(O501,($N$4*6/10))^3-N501^3)-(MIN(O501,($N$4*6/10))^4-N501^4)/4,0)+IF(O501&gt;($N$4*6/10),($N$4*6/10)^2*(1.5*(O501^2-MAX(N501,($N$4*6/10))^2)-($N$4*6/10)*(O501-MAX(N501,($N$4*6/10)))),0))*1000,0)</f>
        <v>0</v>
      </c>
      <c r="AT501" s="120">
        <f>IF(AND(V501="OK",ISNUMBER($N$5),$N$5&gt;0,ISNUMBER($N$3),$N$3&gt;0),R501/(6*$N$3*1000000*$N$5)*(IF(N501&lt;($N$4*7/10),($N$4*7/10)*(MIN(O501,($N$4*7/10))^3-N501^3)-(MIN(O501,($N$4*7/10))^4-N501^4)/4,0)+IF(O501&gt;($N$4*7/10),($N$4*7/10)^2*(1.5*(O501^2-MAX(N501,($N$4*7/10))^2)-($N$4*7/10)*(O501-MAX(N501,($N$4*7/10)))),0))*1000,0)</f>
        <v>0</v>
      </c>
      <c r="AU501" s="120">
        <f>IF(AND(V501="OK",ISNUMBER($N$5),$N$5&gt;0,ISNUMBER($N$3),$N$3&gt;0),R501/(6*$N$3*1000000*$N$5)*(IF(N501&lt;($N$4*8/10),($N$4*8/10)*(MIN(O501,($N$4*8/10))^3-N501^3)-(MIN(O501,($N$4*8/10))^4-N501^4)/4,0)+IF(O501&gt;($N$4*8/10),($N$4*8/10)^2*(1.5*(O501^2-MAX(N501,($N$4*8/10))^2)-($N$4*8/10)*(O501-MAX(N501,($N$4*8/10)))),0))*1000,0)</f>
        <v>0</v>
      </c>
      <c r="AV501" s="120">
        <f>IF(AND(V501="OK",ISNUMBER($N$5),$N$5&gt;0,ISNUMBER($N$3),$N$3&gt;0),R501/(6*$N$3*1000000*$N$5)*(IF(N501&lt;($N$4*9/10),($N$4*9/10)*(MIN(O501,($N$4*9/10))^3-N501^3)-(MIN(O501,($N$4*9/10))^4-N501^4)/4,0)+IF(O501&gt;($N$4*9/10),($N$4*9/10)^2*(1.5*(O501^2-MAX(N501,($N$4*9/10))^2)-($N$4*9/10)*(O501-MAX(N501,($N$4*9/10)))),0))*1000,0)</f>
        <v>0</v>
      </c>
      <c r="AW501" s="120">
        <f>IF(AND(V501="OK",ISNUMBER($N$5),$N$5&gt;0,ISNUMBER($N$3),$N$3&gt;0),R501/(6*$N$3*1000000*$N$5)*(IF(N501&lt;($N$4*10/10),($N$4*10/10)*(MIN(O501,($N$4*10/10))^3-N501^3)-(MIN(O501,($N$4*10/10))^4-N501^4)/4,0)+IF(O501&gt;($N$4*10/10),($N$4*10/10)^2*(1.5*(O501^2-MAX(N501,($N$4*10/10))^2)-($N$4*10/10)*(O501-MAX(N501,($N$4*10/10)))),0))*1000,0)</f>
        <v>0</v>
      </c>
    </row>
    <row r="502" spans="1:49">
      <c r="A502" s="124"/>
      <c r="B502" s="125"/>
      <c r="C502" s="125"/>
      <c r="D502" s="125"/>
      <c r="E502" s="125"/>
      <c r="F502" s="126" t="str">
        <f>IF(J502="OK",D502*E502,"")</f>
        <v/>
      </c>
      <c r="G502" s="126" t="str">
        <f>IF(J502="OK",F502*(C502-B502),"")</f>
        <v/>
      </c>
      <c r="H502" s="126" t="str">
        <f>IF(J502="OK",G502*(C502+B502)/2,"")</f>
        <v/>
      </c>
      <c r="I502" s="126" t="str">
        <f>IF(AND(J502="OK",ISNUMBER($B$5),$B$5&gt;0,ISNUMBER($B$3),$B$3&gt;0),F502*(4*$B$4*(C502^3-B502^3)-(C502^4-B502^4))/(24*$B$3*1000000*$B$5)*1000,"")</f>
        <v/>
      </c>
      <c r="J502" s="120" t="str">
        <f>IF(COUNTA(A502:E502)=0,"",IF(AND(COUNT(B502:E502)=4,B502&gt;=0,C502&gt;B502,C502&lt;=$B$4,D502&gt;=0,E502&gt;0),IF(COUNTIFS($B$13:$B$501,"&lt;"&amp;C502,$C$13:$C$501,"&gt;"&amp;B502)&gt;0,"OVERLAP","OK"),"CHECK INPUTS"))</f>
        <v/>
      </c>
      <c r="M502" s="124"/>
      <c r="N502" s="125"/>
      <c r="O502" s="125"/>
      <c r="P502" s="125"/>
      <c r="Q502" s="125"/>
      <c r="R502" s="126" t="str">
        <f>IF(V502="OK",P502*Q502,"")</f>
        <v/>
      </c>
      <c r="S502" s="126" t="str">
        <f>IF(V502="OK",R502*(O502-N502),"")</f>
        <v/>
      </c>
      <c r="T502" s="126" t="str">
        <f>IF(V502="OK",S502*(O502+N502)/2,"")</f>
        <v/>
      </c>
      <c r="U502" s="126" t="str">
        <f>IF(AND(V502="OK",ISNUMBER($N$5),$N$5&gt;0,ISNUMBER($N$3),$N$3&gt;0),R502*(4*$N$4*(O502^3-N502^3)-(O502^4-N502^4))/(24*$N$3*1000000*$N$5)*1000,"")</f>
        <v/>
      </c>
      <c r="V502" s="120" t="str">
        <f>IF(COUNTA(M502:Q502)=0,"",IF(AND(COUNT(N502:Q502)=4,N502&gt;=0,O502&gt;N502,O502&lt;=$N$4,P502&gt;=0,Q502&gt;0),IF(COUNTIFS($N$13:$N$501,"&lt;"&amp;O502,$O$13:$O$501,"&gt;"&amp;N502)&gt;0,"OVERLAP","OK"),"CHECK INPUTS"))</f>
        <v/>
      </c>
      <c r="AA502" s="120">
        <f>IF(AND(J502="OK",ISNUMBER($B$5),$B$5&gt;0,ISNUMBER($B$3),$B$3&gt;0),F502/(6*$B$3*1000000*$B$5)*(IF(B502&lt;($B$4*0/10),($B$4*0/10)*(MIN(C502,($B$4*0/10))^3-B502^3)-(MIN(C502,($B$4*0/10))^4-B502^4)/4,0)+IF(C502&gt;($B$4*0/10),($B$4*0/10)^2*(1.5*(C502^2-MAX(B502,($B$4*0/10))^2)-($B$4*0/10)*(C502-MAX(B502,($B$4*0/10)))),0))*1000,0)</f>
        <v>0</v>
      </c>
      <c r="AB502" s="120">
        <f>IF(AND(J502="OK",ISNUMBER($B$5),$B$5&gt;0,ISNUMBER($B$3),$B$3&gt;0),F502/(6*$B$3*1000000*$B$5)*(IF(B502&lt;($B$4*1/10),($B$4*1/10)*(MIN(C502,($B$4*1/10))^3-B502^3)-(MIN(C502,($B$4*1/10))^4-B502^4)/4,0)+IF(C502&gt;($B$4*1/10),($B$4*1/10)^2*(1.5*(C502^2-MAX(B502,($B$4*1/10))^2)-($B$4*1/10)*(C502-MAX(B502,($B$4*1/10)))),0))*1000,0)</f>
        <v>0</v>
      </c>
      <c r="AC502" s="120">
        <f>IF(AND(J502="OK",ISNUMBER($B$5),$B$5&gt;0,ISNUMBER($B$3),$B$3&gt;0),F502/(6*$B$3*1000000*$B$5)*(IF(B502&lt;($B$4*2/10),($B$4*2/10)*(MIN(C502,($B$4*2/10))^3-B502^3)-(MIN(C502,($B$4*2/10))^4-B502^4)/4,0)+IF(C502&gt;($B$4*2/10),($B$4*2/10)^2*(1.5*(C502^2-MAX(B502,($B$4*2/10))^2)-($B$4*2/10)*(C502-MAX(B502,($B$4*2/10)))),0))*1000,0)</f>
        <v>0</v>
      </c>
      <c r="AD502" s="120">
        <f>IF(AND(J502="OK",ISNUMBER($B$5),$B$5&gt;0,ISNUMBER($B$3),$B$3&gt;0),F502/(6*$B$3*1000000*$B$5)*(IF(B502&lt;($B$4*3/10),($B$4*3/10)*(MIN(C502,($B$4*3/10))^3-B502^3)-(MIN(C502,($B$4*3/10))^4-B502^4)/4,0)+IF(C502&gt;($B$4*3/10),($B$4*3/10)^2*(1.5*(C502^2-MAX(B502,($B$4*3/10))^2)-($B$4*3/10)*(C502-MAX(B502,($B$4*3/10)))),0))*1000,0)</f>
        <v>0</v>
      </c>
      <c r="AE502" s="120">
        <f>IF(AND(J502="OK",ISNUMBER($B$5),$B$5&gt;0,ISNUMBER($B$3),$B$3&gt;0),F502/(6*$B$3*1000000*$B$5)*(IF(B502&lt;($B$4*4/10),($B$4*4/10)*(MIN(C502,($B$4*4/10))^3-B502^3)-(MIN(C502,($B$4*4/10))^4-B502^4)/4,0)+IF(C502&gt;($B$4*4/10),($B$4*4/10)^2*(1.5*(C502^2-MAX(B502,($B$4*4/10))^2)-($B$4*4/10)*(C502-MAX(B502,($B$4*4/10)))),0))*1000,0)</f>
        <v>0</v>
      </c>
      <c r="AF502" s="120">
        <f>IF(AND(J502="OK",ISNUMBER($B$5),$B$5&gt;0,ISNUMBER($B$3),$B$3&gt;0),F502/(6*$B$3*1000000*$B$5)*(IF(B502&lt;($B$4*5/10),($B$4*5/10)*(MIN(C502,($B$4*5/10))^3-B502^3)-(MIN(C502,($B$4*5/10))^4-B502^4)/4,0)+IF(C502&gt;($B$4*5/10),($B$4*5/10)^2*(1.5*(C502^2-MAX(B502,($B$4*5/10))^2)-($B$4*5/10)*(C502-MAX(B502,($B$4*5/10)))),0))*1000,0)</f>
        <v>0</v>
      </c>
      <c r="AG502" s="120">
        <f>IF(AND(J502="OK",ISNUMBER($B$5),$B$5&gt;0,ISNUMBER($B$3),$B$3&gt;0),F502/(6*$B$3*1000000*$B$5)*(IF(B502&lt;($B$4*6/10),($B$4*6/10)*(MIN(C502,($B$4*6/10))^3-B502^3)-(MIN(C502,($B$4*6/10))^4-B502^4)/4,0)+IF(C502&gt;($B$4*6/10),($B$4*6/10)^2*(1.5*(C502^2-MAX(B502,($B$4*6/10))^2)-($B$4*6/10)*(C502-MAX(B502,($B$4*6/10)))),0))*1000,0)</f>
        <v>0</v>
      </c>
      <c r="AH502" s="120">
        <f>IF(AND(J502="OK",ISNUMBER($B$5),$B$5&gt;0,ISNUMBER($B$3),$B$3&gt;0),F502/(6*$B$3*1000000*$B$5)*(IF(B502&lt;($B$4*7/10),($B$4*7/10)*(MIN(C502,($B$4*7/10))^3-B502^3)-(MIN(C502,($B$4*7/10))^4-B502^4)/4,0)+IF(C502&gt;($B$4*7/10),($B$4*7/10)^2*(1.5*(C502^2-MAX(B502,($B$4*7/10))^2)-($B$4*7/10)*(C502-MAX(B502,($B$4*7/10)))),0))*1000,0)</f>
        <v>0</v>
      </c>
      <c r="AI502" s="120">
        <f>IF(AND(J502="OK",ISNUMBER($B$5),$B$5&gt;0,ISNUMBER($B$3),$B$3&gt;0),F502/(6*$B$3*1000000*$B$5)*(IF(B502&lt;($B$4*8/10),($B$4*8/10)*(MIN(C502,($B$4*8/10))^3-B502^3)-(MIN(C502,($B$4*8/10))^4-B502^4)/4,0)+IF(C502&gt;($B$4*8/10),($B$4*8/10)^2*(1.5*(C502^2-MAX(B502,($B$4*8/10))^2)-($B$4*8/10)*(C502-MAX(B502,($B$4*8/10)))),0))*1000,0)</f>
        <v>0</v>
      </c>
      <c r="AJ502" s="120">
        <f>IF(AND(J502="OK",ISNUMBER($B$5),$B$5&gt;0,ISNUMBER($B$3),$B$3&gt;0),F502/(6*$B$3*1000000*$B$5)*(IF(B502&lt;($B$4*9/10),($B$4*9/10)*(MIN(C502,($B$4*9/10))^3-B502^3)-(MIN(C502,($B$4*9/10))^4-B502^4)/4,0)+IF(C502&gt;($B$4*9/10),($B$4*9/10)^2*(1.5*(C502^2-MAX(B502,($B$4*9/10))^2)-($B$4*9/10)*(C502-MAX(B502,($B$4*9/10)))),0))*1000,0)</f>
        <v>0</v>
      </c>
      <c r="AK502" s="120">
        <f>IF(AND(J502="OK",ISNUMBER($B$5),$B$5&gt;0,ISNUMBER($B$3),$B$3&gt;0),F502/(6*$B$3*1000000*$B$5)*(IF(B502&lt;($B$4*10/10),($B$4*10/10)*(MIN(C502,($B$4*10/10))^3-B502^3)-(MIN(C502,($B$4*10/10))^4-B502^4)/4,0)+IF(C502&gt;($B$4*10/10),($B$4*10/10)^2*(1.5*(C502^2-MAX(B502,($B$4*10/10))^2)-($B$4*10/10)*(C502-MAX(B502,($B$4*10/10)))),0))*1000,0)</f>
        <v>0</v>
      </c>
      <c r="AM502" s="120">
        <f>IF(AND(V502="OK",ISNUMBER($N$5),$N$5&gt;0,ISNUMBER($N$3),$N$3&gt;0),R502/(6*$N$3*1000000*$N$5)*(IF(N502&lt;($N$4*0/10),($N$4*0/10)*(MIN(O502,($N$4*0/10))^3-N502^3)-(MIN(O502,($N$4*0/10))^4-N502^4)/4,0)+IF(O502&gt;($N$4*0/10),($N$4*0/10)^2*(1.5*(O502^2-MAX(N502,($N$4*0/10))^2)-($N$4*0/10)*(O502-MAX(N502,($N$4*0/10)))),0))*1000,0)</f>
        <v>0</v>
      </c>
      <c r="AN502" s="120">
        <f>IF(AND(V502="OK",ISNUMBER($N$5),$N$5&gt;0,ISNUMBER($N$3),$N$3&gt;0),R502/(6*$N$3*1000000*$N$5)*(IF(N502&lt;($N$4*1/10),($N$4*1/10)*(MIN(O502,($N$4*1/10))^3-N502^3)-(MIN(O502,($N$4*1/10))^4-N502^4)/4,0)+IF(O502&gt;($N$4*1/10),($N$4*1/10)^2*(1.5*(O502^2-MAX(N502,($N$4*1/10))^2)-($N$4*1/10)*(O502-MAX(N502,($N$4*1/10)))),0))*1000,0)</f>
        <v>0</v>
      </c>
      <c r="AO502" s="120">
        <f>IF(AND(V502="OK",ISNUMBER($N$5),$N$5&gt;0,ISNUMBER($N$3),$N$3&gt;0),R502/(6*$N$3*1000000*$N$5)*(IF(N502&lt;($N$4*2/10),($N$4*2/10)*(MIN(O502,($N$4*2/10))^3-N502^3)-(MIN(O502,($N$4*2/10))^4-N502^4)/4,0)+IF(O502&gt;($N$4*2/10),($N$4*2/10)^2*(1.5*(O502^2-MAX(N502,($N$4*2/10))^2)-($N$4*2/10)*(O502-MAX(N502,($N$4*2/10)))),0))*1000,0)</f>
        <v>0</v>
      </c>
      <c r="AP502" s="120">
        <f>IF(AND(V502="OK",ISNUMBER($N$5),$N$5&gt;0,ISNUMBER($N$3),$N$3&gt;0),R502/(6*$N$3*1000000*$N$5)*(IF(N502&lt;($N$4*3/10),($N$4*3/10)*(MIN(O502,($N$4*3/10))^3-N502^3)-(MIN(O502,($N$4*3/10))^4-N502^4)/4,0)+IF(O502&gt;($N$4*3/10),($N$4*3/10)^2*(1.5*(O502^2-MAX(N502,($N$4*3/10))^2)-($N$4*3/10)*(O502-MAX(N502,($N$4*3/10)))),0))*1000,0)</f>
        <v>0</v>
      </c>
      <c r="AQ502" s="120">
        <f>IF(AND(V502="OK",ISNUMBER($N$5),$N$5&gt;0,ISNUMBER($N$3),$N$3&gt;0),R502/(6*$N$3*1000000*$N$5)*(IF(N502&lt;($N$4*4/10),($N$4*4/10)*(MIN(O502,($N$4*4/10))^3-N502^3)-(MIN(O502,($N$4*4/10))^4-N502^4)/4,0)+IF(O502&gt;($N$4*4/10),($N$4*4/10)^2*(1.5*(O502^2-MAX(N502,($N$4*4/10))^2)-($N$4*4/10)*(O502-MAX(N502,($N$4*4/10)))),0))*1000,0)</f>
        <v>0</v>
      </c>
      <c r="AR502" s="120">
        <f>IF(AND(V502="OK",ISNUMBER($N$5),$N$5&gt;0,ISNUMBER($N$3),$N$3&gt;0),R502/(6*$N$3*1000000*$N$5)*(IF(N502&lt;($N$4*5/10),($N$4*5/10)*(MIN(O502,($N$4*5/10))^3-N502^3)-(MIN(O502,($N$4*5/10))^4-N502^4)/4,0)+IF(O502&gt;($N$4*5/10),($N$4*5/10)^2*(1.5*(O502^2-MAX(N502,($N$4*5/10))^2)-($N$4*5/10)*(O502-MAX(N502,($N$4*5/10)))),0))*1000,0)</f>
        <v>0</v>
      </c>
      <c r="AS502" s="120">
        <f>IF(AND(V502="OK",ISNUMBER($N$5),$N$5&gt;0,ISNUMBER($N$3),$N$3&gt;0),R502/(6*$N$3*1000000*$N$5)*(IF(N502&lt;($N$4*6/10),($N$4*6/10)*(MIN(O502,($N$4*6/10))^3-N502^3)-(MIN(O502,($N$4*6/10))^4-N502^4)/4,0)+IF(O502&gt;($N$4*6/10),($N$4*6/10)^2*(1.5*(O502^2-MAX(N502,($N$4*6/10))^2)-($N$4*6/10)*(O502-MAX(N502,($N$4*6/10)))),0))*1000,0)</f>
        <v>0</v>
      </c>
      <c r="AT502" s="120">
        <f>IF(AND(V502="OK",ISNUMBER($N$5),$N$5&gt;0,ISNUMBER($N$3),$N$3&gt;0),R502/(6*$N$3*1000000*$N$5)*(IF(N502&lt;($N$4*7/10),($N$4*7/10)*(MIN(O502,($N$4*7/10))^3-N502^3)-(MIN(O502,($N$4*7/10))^4-N502^4)/4,0)+IF(O502&gt;($N$4*7/10),($N$4*7/10)^2*(1.5*(O502^2-MAX(N502,($N$4*7/10))^2)-($N$4*7/10)*(O502-MAX(N502,($N$4*7/10)))),0))*1000,0)</f>
        <v>0</v>
      </c>
      <c r="AU502" s="120">
        <f>IF(AND(V502="OK",ISNUMBER($N$5),$N$5&gt;0,ISNUMBER($N$3),$N$3&gt;0),R502/(6*$N$3*1000000*$N$5)*(IF(N502&lt;($N$4*8/10),($N$4*8/10)*(MIN(O502,($N$4*8/10))^3-N502^3)-(MIN(O502,($N$4*8/10))^4-N502^4)/4,0)+IF(O502&gt;($N$4*8/10),($N$4*8/10)^2*(1.5*(O502^2-MAX(N502,($N$4*8/10))^2)-($N$4*8/10)*(O502-MAX(N502,($N$4*8/10)))),0))*1000,0)</f>
        <v>0</v>
      </c>
      <c r="AV502" s="120">
        <f>IF(AND(V502="OK",ISNUMBER($N$5),$N$5&gt;0,ISNUMBER($N$3),$N$3&gt;0),R502/(6*$N$3*1000000*$N$5)*(IF(N502&lt;($N$4*9/10),($N$4*9/10)*(MIN(O502,($N$4*9/10))^3-N502^3)-(MIN(O502,($N$4*9/10))^4-N502^4)/4,0)+IF(O502&gt;($N$4*9/10),($N$4*9/10)^2*(1.5*(O502^2-MAX(N502,($N$4*9/10))^2)-($N$4*9/10)*(O502-MAX(N502,($N$4*9/10)))),0))*1000,0)</f>
        <v>0</v>
      </c>
      <c r="AW502" s="120">
        <f>IF(AND(V502="OK",ISNUMBER($N$5),$N$5&gt;0,ISNUMBER($N$3),$N$3&gt;0),R502/(6*$N$3*1000000*$N$5)*(IF(N502&lt;($N$4*10/10),($N$4*10/10)*(MIN(O502,($N$4*10/10))^3-N502^3)-(MIN(O502,($N$4*10/10))^4-N502^4)/4,0)+IF(O502&gt;($N$4*10/10),($N$4*10/10)^2*(1.5*(O502^2-MAX(N502,($N$4*10/10))^2)-($N$4*10/10)*(O502-MAX(N502,($N$4*10/10)))),0))*1000,0)</f>
        <v>0</v>
      </c>
    </row>
    <row r="503" spans="1:49">
      <c r="A503" s="124"/>
      <c r="B503" s="125"/>
      <c r="C503" s="125"/>
      <c r="D503" s="125"/>
      <c r="E503" s="125"/>
      <c r="F503" s="126" t="str">
        <f>IF(J503="OK",D503*E503,"")</f>
        <v/>
      </c>
      <c r="G503" s="126" t="str">
        <f>IF(J503="OK",F503*(C503-B503),"")</f>
        <v/>
      </c>
      <c r="H503" s="126" t="str">
        <f>IF(J503="OK",G503*(C503+B503)/2,"")</f>
        <v/>
      </c>
      <c r="I503" s="126" t="str">
        <f>IF(AND(J503="OK",ISNUMBER($B$5),$B$5&gt;0,ISNUMBER($B$3),$B$3&gt;0),F503*(4*$B$4*(C503^3-B503^3)-(C503^4-B503^4))/(24*$B$3*1000000*$B$5)*1000,"")</f>
        <v/>
      </c>
      <c r="J503" s="120" t="str">
        <f>IF(COUNTA(A503:E503)=0,"",IF(AND(COUNT(B503:E503)=4,B503&gt;=0,C503&gt;B503,C503&lt;=$B$4,D503&gt;=0,E503&gt;0),IF(COUNTIFS($B$13:$B$502,"&lt;"&amp;C503,$C$13:$C$502,"&gt;"&amp;B503)&gt;0,"OVERLAP","OK"),"CHECK INPUTS"))</f>
        <v/>
      </c>
      <c r="M503" s="124"/>
      <c r="N503" s="125"/>
      <c r="O503" s="125"/>
      <c r="P503" s="125"/>
      <c r="Q503" s="125"/>
      <c r="R503" s="126" t="str">
        <f>IF(V503="OK",P503*Q503,"")</f>
        <v/>
      </c>
      <c r="S503" s="126" t="str">
        <f>IF(V503="OK",R503*(O503-N503),"")</f>
        <v/>
      </c>
      <c r="T503" s="126" t="str">
        <f>IF(V503="OK",S503*(O503+N503)/2,"")</f>
        <v/>
      </c>
      <c r="U503" s="126" t="str">
        <f>IF(AND(V503="OK",ISNUMBER($N$5),$N$5&gt;0,ISNUMBER($N$3),$N$3&gt;0),R503*(4*$N$4*(O503^3-N503^3)-(O503^4-N503^4))/(24*$N$3*1000000*$N$5)*1000,"")</f>
        <v/>
      </c>
      <c r="V503" s="120" t="str">
        <f>IF(COUNTA(M503:Q503)=0,"",IF(AND(COUNT(N503:Q503)=4,N503&gt;=0,O503&gt;N503,O503&lt;=$N$4,P503&gt;=0,Q503&gt;0),IF(COUNTIFS($N$13:$N$502,"&lt;"&amp;O503,$O$13:$O$502,"&gt;"&amp;N503)&gt;0,"OVERLAP","OK"),"CHECK INPUTS"))</f>
        <v/>
      </c>
      <c r="AA503" s="120">
        <f>IF(AND(J503="OK",ISNUMBER($B$5),$B$5&gt;0,ISNUMBER($B$3),$B$3&gt;0),F503/(6*$B$3*1000000*$B$5)*(IF(B503&lt;($B$4*0/10),($B$4*0/10)*(MIN(C503,($B$4*0/10))^3-B503^3)-(MIN(C503,($B$4*0/10))^4-B503^4)/4,0)+IF(C503&gt;($B$4*0/10),($B$4*0/10)^2*(1.5*(C503^2-MAX(B503,($B$4*0/10))^2)-($B$4*0/10)*(C503-MAX(B503,($B$4*0/10)))),0))*1000,0)</f>
        <v>0</v>
      </c>
      <c r="AB503" s="120">
        <f>IF(AND(J503="OK",ISNUMBER($B$5),$B$5&gt;0,ISNUMBER($B$3),$B$3&gt;0),F503/(6*$B$3*1000000*$B$5)*(IF(B503&lt;($B$4*1/10),($B$4*1/10)*(MIN(C503,($B$4*1/10))^3-B503^3)-(MIN(C503,($B$4*1/10))^4-B503^4)/4,0)+IF(C503&gt;($B$4*1/10),($B$4*1/10)^2*(1.5*(C503^2-MAX(B503,($B$4*1/10))^2)-($B$4*1/10)*(C503-MAX(B503,($B$4*1/10)))),0))*1000,0)</f>
        <v>0</v>
      </c>
      <c r="AC503" s="120">
        <f>IF(AND(J503="OK",ISNUMBER($B$5),$B$5&gt;0,ISNUMBER($B$3),$B$3&gt;0),F503/(6*$B$3*1000000*$B$5)*(IF(B503&lt;($B$4*2/10),($B$4*2/10)*(MIN(C503,($B$4*2/10))^3-B503^3)-(MIN(C503,($B$4*2/10))^4-B503^4)/4,0)+IF(C503&gt;($B$4*2/10),($B$4*2/10)^2*(1.5*(C503^2-MAX(B503,($B$4*2/10))^2)-($B$4*2/10)*(C503-MAX(B503,($B$4*2/10)))),0))*1000,0)</f>
        <v>0</v>
      </c>
      <c r="AD503" s="120">
        <f>IF(AND(J503="OK",ISNUMBER($B$5),$B$5&gt;0,ISNUMBER($B$3),$B$3&gt;0),F503/(6*$B$3*1000000*$B$5)*(IF(B503&lt;($B$4*3/10),($B$4*3/10)*(MIN(C503,($B$4*3/10))^3-B503^3)-(MIN(C503,($B$4*3/10))^4-B503^4)/4,0)+IF(C503&gt;($B$4*3/10),($B$4*3/10)^2*(1.5*(C503^2-MAX(B503,($B$4*3/10))^2)-($B$4*3/10)*(C503-MAX(B503,($B$4*3/10)))),0))*1000,0)</f>
        <v>0</v>
      </c>
      <c r="AE503" s="120">
        <f>IF(AND(J503="OK",ISNUMBER($B$5),$B$5&gt;0,ISNUMBER($B$3),$B$3&gt;0),F503/(6*$B$3*1000000*$B$5)*(IF(B503&lt;($B$4*4/10),($B$4*4/10)*(MIN(C503,($B$4*4/10))^3-B503^3)-(MIN(C503,($B$4*4/10))^4-B503^4)/4,0)+IF(C503&gt;($B$4*4/10),($B$4*4/10)^2*(1.5*(C503^2-MAX(B503,($B$4*4/10))^2)-($B$4*4/10)*(C503-MAX(B503,($B$4*4/10)))),0))*1000,0)</f>
        <v>0</v>
      </c>
      <c r="AF503" s="120">
        <f>IF(AND(J503="OK",ISNUMBER($B$5),$B$5&gt;0,ISNUMBER($B$3),$B$3&gt;0),F503/(6*$B$3*1000000*$B$5)*(IF(B503&lt;($B$4*5/10),($B$4*5/10)*(MIN(C503,($B$4*5/10))^3-B503^3)-(MIN(C503,($B$4*5/10))^4-B503^4)/4,0)+IF(C503&gt;($B$4*5/10),($B$4*5/10)^2*(1.5*(C503^2-MAX(B503,($B$4*5/10))^2)-($B$4*5/10)*(C503-MAX(B503,($B$4*5/10)))),0))*1000,0)</f>
        <v>0</v>
      </c>
      <c r="AG503" s="120">
        <f>IF(AND(J503="OK",ISNUMBER($B$5),$B$5&gt;0,ISNUMBER($B$3),$B$3&gt;0),F503/(6*$B$3*1000000*$B$5)*(IF(B503&lt;($B$4*6/10),($B$4*6/10)*(MIN(C503,($B$4*6/10))^3-B503^3)-(MIN(C503,($B$4*6/10))^4-B503^4)/4,0)+IF(C503&gt;($B$4*6/10),($B$4*6/10)^2*(1.5*(C503^2-MAX(B503,($B$4*6/10))^2)-($B$4*6/10)*(C503-MAX(B503,($B$4*6/10)))),0))*1000,0)</f>
        <v>0</v>
      </c>
      <c r="AH503" s="120">
        <f>IF(AND(J503="OK",ISNUMBER($B$5),$B$5&gt;0,ISNUMBER($B$3),$B$3&gt;0),F503/(6*$B$3*1000000*$B$5)*(IF(B503&lt;($B$4*7/10),($B$4*7/10)*(MIN(C503,($B$4*7/10))^3-B503^3)-(MIN(C503,($B$4*7/10))^4-B503^4)/4,0)+IF(C503&gt;($B$4*7/10),($B$4*7/10)^2*(1.5*(C503^2-MAX(B503,($B$4*7/10))^2)-($B$4*7/10)*(C503-MAX(B503,($B$4*7/10)))),0))*1000,0)</f>
        <v>0</v>
      </c>
      <c r="AI503" s="120">
        <f>IF(AND(J503="OK",ISNUMBER($B$5),$B$5&gt;0,ISNUMBER($B$3),$B$3&gt;0),F503/(6*$B$3*1000000*$B$5)*(IF(B503&lt;($B$4*8/10),($B$4*8/10)*(MIN(C503,($B$4*8/10))^3-B503^3)-(MIN(C503,($B$4*8/10))^4-B503^4)/4,0)+IF(C503&gt;($B$4*8/10),($B$4*8/10)^2*(1.5*(C503^2-MAX(B503,($B$4*8/10))^2)-($B$4*8/10)*(C503-MAX(B503,($B$4*8/10)))),0))*1000,0)</f>
        <v>0</v>
      </c>
      <c r="AJ503" s="120">
        <f>IF(AND(J503="OK",ISNUMBER($B$5),$B$5&gt;0,ISNUMBER($B$3),$B$3&gt;0),F503/(6*$B$3*1000000*$B$5)*(IF(B503&lt;($B$4*9/10),($B$4*9/10)*(MIN(C503,($B$4*9/10))^3-B503^3)-(MIN(C503,($B$4*9/10))^4-B503^4)/4,0)+IF(C503&gt;($B$4*9/10),($B$4*9/10)^2*(1.5*(C503^2-MAX(B503,($B$4*9/10))^2)-($B$4*9/10)*(C503-MAX(B503,($B$4*9/10)))),0))*1000,0)</f>
        <v>0</v>
      </c>
      <c r="AK503" s="120">
        <f>IF(AND(J503="OK",ISNUMBER($B$5),$B$5&gt;0,ISNUMBER($B$3),$B$3&gt;0),F503/(6*$B$3*1000000*$B$5)*(IF(B503&lt;($B$4*10/10),($B$4*10/10)*(MIN(C503,($B$4*10/10))^3-B503^3)-(MIN(C503,($B$4*10/10))^4-B503^4)/4,0)+IF(C503&gt;($B$4*10/10),($B$4*10/10)^2*(1.5*(C503^2-MAX(B503,($B$4*10/10))^2)-($B$4*10/10)*(C503-MAX(B503,($B$4*10/10)))),0))*1000,0)</f>
        <v>0</v>
      </c>
      <c r="AM503" s="120">
        <f>IF(AND(V503="OK",ISNUMBER($N$5),$N$5&gt;0,ISNUMBER($N$3),$N$3&gt;0),R503/(6*$N$3*1000000*$N$5)*(IF(N503&lt;($N$4*0/10),($N$4*0/10)*(MIN(O503,($N$4*0/10))^3-N503^3)-(MIN(O503,($N$4*0/10))^4-N503^4)/4,0)+IF(O503&gt;($N$4*0/10),($N$4*0/10)^2*(1.5*(O503^2-MAX(N503,($N$4*0/10))^2)-($N$4*0/10)*(O503-MAX(N503,($N$4*0/10)))),0))*1000,0)</f>
        <v>0</v>
      </c>
      <c r="AN503" s="120">
        <f>IF(AND(V503="OK",ISNUMBER($N$5),$N$5&gt;0,ISNUMBER($N$3),$N$3&gt;0),R503/(6*$N$3*1000000*$N$5)*(IF(N503&lt;($N$4*1/10),($N$4*1/10)*(MIN(O503,($N$4*1/10))^3-N503^3)-(MIN(O503,($N$4*1/10))^4-N503^4)/4,0)+IF(O503&gt;($N$4*1/10),($N$4*1/10)^2*(1.5*(O503^2-MAX(N503,($N$4*1/10))^2)-($N$4*1/10)*(O503-MAX(N503,($N$4*1/10)))),0))*1000,0)</f>
        <v>0</v>
      </c>
      <c r="AO503" s="120">
        <f>IF(AND(V503="OK",ISNUMBER($N$5),$N$5&gt;0,ISNUMBER($N$3),$N$3&gt;0),R503/(6*$N$3*1000000*$N$5)*(IF(N503&lt;($N$4*2/10),($N$4*2/10)*(MIN(O503,($N$4*2/10))^3-N503^3)-(MIN(O503,($N$4*2/10))^4-N503^4)/4,0)+IF(O503&gt;($N$4*2/10),($N$4*2/10)^2*(1.5*(O503^2-MAX(N503,($N$4*2/10))^2)-($N$4*2/10)*(O503-MAX(N503,($N$4*2/10)))),0))*1000,0)</f>
        <v>0</v>
      </c>
      <c r="AP503" s="120">
        <f>IF(AND(V503="OK",ISNUMBER($N$5),$N$5&gt;0,ISNUMBER($N$3),$N$3&gt;0),R503/(6*$N$3*1000000*$N$5)*(IF(N503&lt;($N$4*3/10),($N$4*3/10)*(MIN(O503,($N$4*3/10))^3-N503^3)-(MIN(O503,($N$4*3/10))^4-N503^4)/4,0)+IF(O503&gt;($N$4*3/10),($N$4*3/10)^2*(1.5*(O503^2-MAX(N503,($N$4*3/10))^2)-($N$4*3/10)*(O503-MAX(N503,($N$4*3/10)))),0))*1000,0)</f>
        <v>0</v>
      </c>
      <c r="AQ503" s="120">
        <f>IF(AND(V503="OK",ISNUMBER($N$5),$N$5&gt;0,ISNUMBER($N$3),$N$3&gt;0),R503/(6*$N$3*1000000*$N$5)*(IF(N503&lt;($N$4*4/10),($N$4*4/10)*(MIN(O503,($N$4*4/10))^3-N503^3)-(MIN(O503,($N$4*4/10))^4-N503^4)/4,0)+IF(O503&gt;($N$4*4/10),($N$4*4/10)^2*(1.5*(O503^2-MAX(N503,($N$4*4/10))^2)-($N$4*4/10)*(O503-MAX(N503,($N$4*4/10)))),0))*1000,0)</f>
        <v>0</v>
      </c>
      <c r="AR503" s="120">
        <f>IF(AND(V503="OK",ISNUMBER($N$5),$N$5&gt;0,ISNUMBER($N$3),$N$3&gt;0),R503/(6*$N$3*1000000*$N$5)*(IF(N503&lt;($N$4*5/10),($N$4*5/10)*(MIN(O503,($N$4*5/10))^3-N503^3)-(MIN(O503,($N$4*5/10))^4-N503^4)/4,0)+IF(O503&gt;($N$4*5/10),($N$4*5/10)^2*(1.5*(O503^2-MAX(N503,($N$4*5/10))^2)-($N$4*5/10)*(O503-MAX(N503,($N$4*5/10)))),0))*1000,0)</f>
        <v>0</v>
      </c>
      <c r="AS503" s="120">
        <f>IF(AND(V503="OK",ISNUMBER($N$5),$N$5&gt;0,ISNUMBER($N$3),$N$3&gt;0),R503/(6*$N$3*1000000*$N$5)*(IF(N503&lt;($N$4*6/10),($N$4*6/10)*(MIN(O503,($N$4*6/10))^3-N503^3)-(MIN(O503,($N$4*6/10))^4-N503^4)/4,0)+IF(O503&gt;($N$4*6/10),($N$4*6/10)^2*(1.5*(O503^2-MAX(N503,($N$4*6/10))^2)-($N$4*6/10)*(O503-MAX(N503,($N$4*6/10)))),0))*1000,0)</f>
        <v>0</v>
      </c>
      <c r="AT503" s="120">
        <f>IF(AND(V503="OK",ISNUMBER($N$5),$N$5&gt;0,ISNUMBER($N$3),$N$3&gt;0),R503/(6*$N$3*1000000*$N$5)*(IF(N503&lt;($N$4*7/10),($N$4*7/10)*(MIN(O503,($N$4*7/10))^3-N503^3)-(MIN(O503,($N$4*7/10))^4-N503^4)/4,0)+IF(O503&gt;($N$4*7/10),($N$4*7/10)^2*(1.5*(O503^2-MAX(N503,($N$4*7/10))^2)-($N$4*7/10)*(O503-MAX(N503,($N$4*7/10)))),0))*1000,0)</f>
        <v>0</v>
      </c>
      <c r="AU503" s="120">
        <f>IF(AND(V503="OK",ISNUMBER($N$5),$N$5&gt;0,ISNUMBER($N$3),$N$3&gt;0),R503/(6*$N$3*1000000*$N$5)*(IF(N503&lt;($N$4*8/10),($N$4*8/10)*(MIN(O503,($N$4*8/10))^3-N503^3)-(MIN(O503,($N$4*8/10))^4-N503^4)/4,0)+IF(O503&gt;($N$4*8/10),($N$4*8/10)^2*(1.5*(O503^2-MAX(N503,($N$4*8/10))^2)-($N$4*8/10)*(O503-MAX(N503,($N$4*8/10)))),0))*1000,0)</f>
        <v>0</v>
      </c>
      <c r="AV503" s="120">
        <f>IF(AND(V503="OK",ISNUMBER($N$5),$N$5&gt;0,ISNUMBER($N$3),$N$3&gt;0),R503/(6*$N$3*1000000*$N$5)*(IF(N503&lt;($N$4*9/10),($N$4*9/10)*(MIN(O503,($N$4*9/10))^3-N503^3)-(MIN(O503,($N$4*9/10))^4-N503^4)/4,0)+IF(O503&gt;($N$4*9/10),($N$4*9/10)^2*(1.5*(O503^2-MAX(N503,($N$4*9/10))^2)-($N$4*9/10)*(O503-MAX(N503,($N$4*9/10)))),0))*1000,0)</f>
        <v>0</v>
      </c>
      <c r="AW503" s="120">
        <f>IF(AND(V503="OK",ISNUMBER($N$5),$N$5&gt;0,ISNUMBER($N$3),$N$3&gt;0),R503/(6*$N$3*1000000*$N$5)*(IF(N503&lt;($N$4*10/10),($N$4*10/10)*(MIN(O503,($N$4*10/10))^3-N503^3)-(MIN(O503,($N$4*10/10))^4-N503^4)/4,0)+IF(O503&gt;($N$4*10/10),($N$4*10/10)^2*(1.5*(O503^2-MAX(N503,($N$4*10/10))^2)-($N$4*10/10)*(O503-MAX(N503,($N$4*10/10)))),0))*1000,0)</f>
        <v>0</v>
      </c>
    </row>
    <row r="504" spans="1:49">
      <c r="A504" s="124"/>
      <c r="B504" s="125"/>
      <c r="C504" s="125"/>
      <c r="D504" s="125"/>
      <c r="E504" s="125"/>
      <c r="F504" s="126" t="str">
        <f>IF(J504="OK",D504*E504,"")</f>
        <v/>
      </c>
      <c r="G504" s="126" t="str">
        <f>IF(J504="OK",F504*(C504-B504),"")</f>
        <v/>
      </c>
      <c r="H504" s="126" t="str">
        <f>IF(J504="OK",G504*(C504+B504)/2,"")</f>
        <v/>
      </c>
      <c r="I504" s="126" t="str">
        <f>IF(AND(J504="OK",ISNUMBER($B$5),$B$5&gt;0,ISNUMBER($B$3),$B$3&gt;0),F504*(4*$B$4*(C504^3-B504^3)-(C504^4-B504^4))/(24*$B$3*1000000*$B$5)*1000,"")</f>
        <v/>
      </c>
      <c r="J504" s="120" t="str">
        <f>IF(COUNTA(A504:E504)=0,"",IF(AND(COUNT(B504:E504)=4,B504&gt;=0,C504&gt;B504,C504&lt;=$B$4,D504&gt;=0,E504&gt;0),IF(COUNTIFS($B$13:$B$503,"&lt;"&amp;C504,$C$13:$C$503,"&gt;"&amp;B504)&gt;0,"OVERLAP","OK"),"CHECK INPUTS"))</f>
        <v/>
      </c>
      <c r="M504" s="124"/>
      <c r="N504" s="125"/>
      <c r="O504" s="125"/>
      <c r="P504" s="125"/>
      <c r="Q504" s="125"/>
      <c r="R504" s="126" t="str">
        <f>IF(V504="OK",P504*Q504,"")</f>
        <v/>
      </c>
      <c r="S504" s="126" t="str">
        <f>IF(V504="OK",R504*(O504-N504),"")</f>
        <v/>
      </c>
      <c r="T504" s="126" t="str">
        <f>IF(V504="OK",S504*(O504+N504)/2,"")</f>
        <v/>
      </c>
      <c r="U504" s="126" t="str">
        <f>IF(AND(V504="OK",ISNUMBER($N$5),$N$5&gt;0,ISNUMBER($N$3),$N$3&gt;0),R504*(4*$N$4*(O504^3-N504^3)-(O504^4-N504^4))/(24*$N$3*1000000*$N$5)*1000,"")</f>
        <v/>
      </c>
      <c r="V504" s="120" t="str">
        <f>IF(COUNTA(M504:Q504)=0,"",IF(AND(COUNT(N504:Q504)=4,N504&gt;=0,O504&gt;N504,O504&lt;=$N$4,P504&gt;=0,Q504&gt;0),IF(COUNTIFS($N$13:$N$503,"&lt;"&amp;O504,$O$13:$O$503,"&gt;"&amp;N504)&gt;0,"OVERLAP","OK"),"CHECK INPUTS"))</f>
        <v/>
      </c>
      <c r="AA504" s="120">
        <f>IF(AND(J504="OK",ISNUMBER($B$5),$B$5&gt;0,ISNUMBER($B$3),$B$3&gt;0),F504/(6*$B$3*1000000*$B$5)*(IF(B504&lt;($B$4*0/10),($B$4*0/10)*(MIN(C504,($B$4*0/10))^3-B504^3)-(MIN(C504,($B$4*0/10))^4-B504^4)/4,0)+IF(C504&gt;($B$4*0/10),($B$4*0/10)^2*(1.5*(C504^2-MAX(B504,($B$4*0/10))^2)-($B$4*0/10)*(C504-MAX(B504,($B$4*0/10)))),0))*1000,0)</f>
        <v>0</v>
      </c>
      <c r="AB504" s="120">
        <f>IF(AND(J504="OK",ISNUMBER($B$5),$B$5&gt;0,ISNUMBER($B$3),$B$3&gt;0),F504/(6*$B$3*1000000*$B$5)*(IF(B504&lt;($B$4*1/10),($B$4*1/10)*(MIN(C504,($B$4*1/10))^3-B504^3)-(MIN(C504,($B$4*1/10))^4-B504^4)/4,0)+IF(C504&gt;($B$4*1/10),($B$4*1/10)^2*(1.5*(C504^2-MAX(B504,($B$4*1/10))^2)-($B$4*1/10)*(C504-MAX(B504,($B$4*1/10)))),0))*1000,0)</f>
        <v>0</v>
      </c>
      <c r="AC504" s="120">
        <f>IF(AND(J504="OK",ISNUMBER($B$5),$B$5&gt;0,ISNUMBER($B$3),$B$3&gt;0),F504/(6*$B$3*1000000*$B$5)*(IF(B504&lt;($B$4*2/10),($B$4*2/10)*(MIN(C504,($B$4*2/10))^3-B504^3)-(MIN(C504,($B$4*2/10))^4-B504^4)/4,0)+IF(C504&gt;($B$4*2/10),($B$4*2/10)^2*(1.5*(C504^2-MAX(B504,($B$4*2/10))^2)-($B$4*2/10)*(C504-MAX(B504,($B$4*2/10)))),0))*1000,0)</f>
        <v>0</v>
      </c>
      <c r="AD504" s="120">
        <f>IF(AND(J504="OK",ISNUMBER($B$5),$B$5&gt;0,ISNUMBER($B$3),$B$3&gt;0),F504/(6*$B$3*1000000*$B$5)*(IF(B504&lt;($B$4*3/10),($B$4*3/10)*(MIN(C504,($B$4*3/10))^3-B504^3)-(MIN(C504,($B$4*3/10))^4-B504^4)/4,0)+IF(C504&gt;($B$4*3/10),($B$4*3/10)^2*(1.5*(C504^2-MAX(B504,($B$4*3/10))^2)-($B$4*3/10)*(C504-MAX(B504,($B$4*3/10)))),0))*1000,0)</f>
        <v>0</v>
      </c>
      <c r="AE504" s="120">
        <f>IF(AND(J504="OK",ISNUMBER($B$5),$B$5&gt;0,ISNUMBER($B$3),$B$3&gt;0),F504/(6*$B$3*1000000*$B$5)*(IF(B504&lt;($B$4*4/10),($B$4*4/10)*(MIN(C504,($B$4*4/10))^3-B504^3)-(MIN(C504,($B$4*4/10))^4-B504^4)/4,0)+IF(C504&gt;($B$4*4/10),($B$4*4/10)^2*(1.5*(C504^2-MAX(B504,($B$4*4/10))^2)-($B$4*4/10)*(C504-MAX(B504,($B$4*4/10)))),0))*1000,0)</f>
        <v>0</v>
      </c>
      <c r="AF504" s="120">
        <f>IF(AND(J504="OK",ISNUMBER($B$5),$B$5&gt;0,ISNUMBER($B$3),$B$3&gt;0),F504/(6*$B$3*1000000*$B$5)*(IF(B504&lt;($B$4*5/10),($B$4*5/10)*(MIN(C504,($B$4*5/10))^3-B504^3)-(MIN(C504,($B$4*5/10))^4-B504^4)/4,0)+IF(C504&gt;($B$4*5/10),($B$4*5/10)^2*(1.5*(C504^2-MAX(B504,($B$4*5/10))^2)-($B$4*5/10)*(C504-MAX(B504,($B$4*5/10)))),0))*1000,0)</f>
        <v>0</v>
      </c>
      <c r="AG504" s="120">
        <f>IF(AND(J504="OK",ISNUMBER($B$5),$B$5&gt;0,ISNUMBER($B$3),$B$3&gt;0),F504/(6*$B$3*1000000*$B$5)*(IF(B504&lt;($B$4*6/10),($B$4*6/10)*(MIN(C504,($B$4*6/10))^3-B504^3)-(MIN(C504,($B$4*6/10))^4-B504^4)/4,0)+IF(C504&gt;($B$4*6/10),($B$4*6/10)^2*(1.5*(C504^2-MAX(B504,($B$4*6/10))^2)-($B$4*6/10)*(C504-MAX(B504,($B$4*6/10)))),0))*1000,0)</f>
        <v>0</v>
      </c>
      <c r="AH504" s="120">
        <f>IF(AND(J504="OK",ISNUMBER($B$5),$B$5&gt;0,ISNUMBER($B$3),$B$3&gt;0),F504/(6*$B$3*1000000*$B$5)*(IF(B504&lt;($B$4*7/10),($B$4*7/10)*(MIN(C504,($B$4*7/10))^3-B504^3)-(MIN(C504,($B$4*7/10))^4-B504^4)/4,0)+IF(C504&gt;($B$4*7/10),($B$4*7/10)^2*(1.5*(C504^2-MAX(B504,($B$4*7/10))^2)-($B$4*7/10)*(C504-MAX(B504,($B$4*7/10)))),0))*1000,0)</f>
        <v>0</v>
      </c>
      <c r="AI504" s="120">
        <f>IF(AND(J504="OK",ISNUMBER($B$5),$B$5&gt;0,ISNUMBER($B$3),$B$3&gt;0),F504/(6*$B$3*1000000*$B$5)*(IF(B504&lt;($B$4*8/10),($B$4*8/10)*(MIN(C504,($B$4*8/10))^3-B504^3)-(MIN(C504,($B$4*8/10))^4-B504^4)/4,0)+IF(C504&gt;($B$4*8/10),($B$4*8/10)^2*(1.5*(C504^2-MAX(B504,($B$4*8/10))^2)-($B$4*8/10)*(C504-MAX(B504,($B$4*8/10)))),0))*1000,0)</f>
        <v>0</v>
      </c>
      <c r="AJ504" s="120">
        <f>IF(AND(J504="OK",ISNUMBER($B$5),$B$5&gt;0,ISNUMBER($B$3),$B$3&gt;0),F504/(6*$B$3*1000000*$B$5)*(IF(B504&lt;($B$4*9/10),($B$4*9/10)*(MIN(C504,($B$4*9/10))^3-B504^3)-(MIN(C504,($B$4*9/10))^4-B504^4)/4,0)+IF(C504&gt;($B$4*9/10),($B$4*9/10)^2*(1.5*(C504^2-MAX(B504,($B$4*9/10))^2)-($B$4*9/10)*(C504-MAX(B504,($B$4*9/10)))),0))*1000,0)</f>
        <v>0</v>
      </c>
      <c r="AK504" s="120">
        <f>IF(AND(J504="OK",ISNUMBER($B$5),$B$5&gt;0,ISNUMBER($B$3),$B$3&gt;0),F504/(6*$B$3*1000000*$B$5)*(IF(B504&lt;($B$4*10/10),($B$4*10/10)*(MIN(C504,($B$4*10/10))^3-B504^3)-(MIN(C504,($B$4*10/10))^4-B504^4)/4,0)+IF(C504&gt;($B$4*10/10),($B$4*10/10)^2*(1.5*(C504^2-MAX(B504,($B$4*10/10))^2)-($B$4*10/10)*(C504-MAX(B504,($B$4*10/10)))),0))*1000,0)</f>
        <v>0</v>
      </c>
      <c r="AM504" s="120">
        <f>IF(AND(V504="OK",ISNUMBER($N$5),$N$5&gt;0,ISNUMBER($N$3),$N$3&gt;0),R504/(6*$N$3*1000000*$N$5)*(IF(N504&lt;($N$4*0/10),($N$4*0/10)*(MIN(O504,($N$4*0/10))^3-N504^3)-(MIN(O504,($N$4*0/10))^4-N504^4)/4,0)+IF(O504&gt;($N$4*0/10),($N$4*0/10)^2*(1.5*(O504^2-MAX(N504,($N$4*0/10))^2)-($N$4*0/10)*(O504-MAX(N504,($N$4*0/10)))),0))*1000,0)</f>
        <v>0</v>
      </c>
      <c r="AN504" s="120">
        <f>IF(AND(V504="OK",ISNUMBER($N$5),$N$5&gt;0,ISNUMBER($N$3),$N$3&gt;0),R504/(6*$N$3*1000000*$N$5)*(IF(N504&lt;($N$4*1/10),($N$4*1/10)*(MIN(O504,($N$4*1/10))^3-N504^3)-(MIN(O504,($N$4*1/10))^4-N504^4)/4,0)+IF(O504&gt;($N$4*1/10),($N$4*1/10)^2*(1.5*(O504^2-MAX(N504,($N$4*1/10))^2)-($N$4*1/10)*(O504-MAX(N504,($N$4*1/10)))),0))*1000,0)</f>
        <v>0</v>
      </c>
      <c r="AO504" s="120">
        <f>IF(AND(V504="OK",ISNUMBER($N$5),$N$5&gt;0,ISNUMBER($N$3),$N$3&gt;0),R504/(6*$N$3*1000000*$N$5)*(IF(N504&lt;($N$4*2/10),($N$4*2/10)*(MIN(O504,($N$4*2/10))^3-N504^3)-(MIN(O504,($N$4*2/10))^4-N504^4)/4,0)+IF(O504&gt;($N$4*2/10),($N$4*2/10)^2*(1.5*(O504^2-MAX(N504,($N$4*2/10))^2)-($N$4*2/10)*(O504-MAX(N504,($N$4*2/10)))),0))*1000,0)</f>
        <v>0</v>
      </c>
      <c r="AP504" s="120">
        <f>IF(AND(V504="OK",ISNUMBER($N$5),$N$5&gt;0,ISNUMBER($N$3),$N$3&gt;0),R504/(6*$N$3*1000000*$N$5)*(IF(N504&lt;($N$4*3/10),($N$4*3/10)*(MIN(O504,($N$4*3/10))^3-N504^3)-(MIN(O504,($N$4*3/10))^4-N504^4)/4,0)+IF(O504&gt;($N$4*3/10),($N$4*3/10)^2*(1.5*(O504^2-MAX(N504,($N$4*3/10))^2)-($N$4*3/10)*(O504-MAX(N504,($N$4*3/10)))),0))*1000,0)</f>
        <v>0</v>
      </c>
      <c r="AQ504" s="120">
        <f>IF(AND(V504="OK",ISNUMBER($N$5),$N$5&gt;0,ISNUMBER($N$3),$N$3&gt;0),R504/(6*$N$3*1000000*$N$5)*(IF(N504&lt;($N$4*4/10),($N$4*4/10)*(MIN(O504,($N$4*4/10))^3-N504^3)-(MIN(O504,($N$4*4/10))^4-N504^4)/4,0)+IF(O504&gt;($N$4*4/10),($N$4*4/10)^2*(1.5*(O504^2-MAX(N504,($N$4*4/10))^2)-($N$4*4/10)*(O504-MAX(N504,($N$4*4/10)))),0))*1000,0)</f>
        <v>0</v>
      </c>
      <c r="AR504" s="120">
        <f>IF(AND(V504="OK",ISNUMBER($N$5),$N$5&gt;0,ISNUMBER($N$3),$N$3&gt;0),R504/(6*$N$3*1000000*$N$5)*(IF(N504&lt;($N$4*5/10),($N$4*5/10)*(MIN(O504,($N$4*5/10))^3-N504^3)-(MIN(O504,($N$4*5/10))^4-N504^4)/4,0)+IF(O504&gt;($N$4*5/10),($N$4*5/10)^2*(1.5*(O504^2-MAX(N504,($N$4*5/10))^2)-($N$4*5/10)*(O504-MAX(N504,($N$4*5/10)))),0))*1000,0)</f>
        <v>0</v>
      </c>
      <c r="AS504" s="120">
        <f>IF(AND(V504="OK",ISNUMBER($N$5),$N$5&gt;0,ISNUMBER($N$3),$N$3&gt;0),R504/(6*$N$3*1000000*$N$5)*(IF(N504&lt;($N$4*6/10),($N$4*6/10)*(MIN(O504,($N$4*6/10))^3-N504^3)-(MIN(O504,($N$4*6/10))^4-N504^4)/4,0)+IF(O504&gt;($N$4*6/10),($N$4*6/10)^2*(1.5*(O504^2-MAX(N504,($N$4*6/10))^2)-($N$4*6/10)*(O504-MAX(N504,($N$4*6/10)))),0))*1000,0)</f>
        <v>0</v>
      </c>
      <c r="AT504" s="120">
        <f>IF(AND(V504="OK",ISNUMBER($N$5),$N$5&gt;0,ISNUMBER($N$3),$N$3&gt;0),R504/(6*$N$3*1000000*$N$5)*(IF(N504&lt;($N$4*7/10),($N$4*7/10)*(MIN(O504,($N$4*7/10))^3-N504^3)-(MIN(O504,($N$4*7/10))^4-N504^4)/4,0)+IF(O504&gt;($N$4*7/10),($N$4*7/10)^2*(1.5*(O504^2-MAX(N504,($N$4*7/10))^2)-($N$4*7/10)*(O504-MAX(N504,($N$4*7/10)))),0))*1000,0)</f>
        <v>0</v>
      </c>
      <c r="AU504" s="120">
        <f>IF(AND(V504="OK",ISNUMBER($N$5),$N$5&gt;0,ISNUMBER($N$3),$N$3&gt;0),R504/(6*$N$3*1000000*$N$5)*(IF(N504&lt;($N$4*8/10),($N$4*8/10)*(MIN(O504,($N$4*8/10))^3-N504^3)-(MIN(O504,($N$4*8/10))^4-N504^4)/4,0)+IF(O504&gt;($N$4*8/10),($N$4*8/10)^2*(1.5*(O504^2-MAX(N504,($N$4*8/10))^2)-($N$4*8/10)*(O504-MAX(N504,($N$4*8/10)))),0))*1000,0)</f>
        <v>0</v>
      </c>
      <c r="AV504" s="120">
        <f>IF(AND(V504="OK",ISNUMBER($N$5),$N$5&gt;0,ISNUMBER($N$3),$N$3&gt;0),R504/(6*$N$3*1000000*$N$5)*(IF(N504&lt;($N$4*9/10),($N$4*9/10)*(MIN(O504,($N$4*9/10))^3-N504^3)-(MIN(O504,($N$4*9/10))^4-N504^4)/4,0)+IF(O504&gt;($N$4*9/10),($N$4*9/10)^2*(1.5*(O504^2-MAX(N504,($N$4*9/10))^2)-($N$4*9/10)*(O504-MAX(N504,($N$4*9/10)))),0))*1000,0)</f>
        <v>0</v>
      </c>
      <c r="AW504" s="120">
        <f>IF(AND(V504="OK",ISNUMBER($N$5),$N$5&gt;0,ISNUMBER($N$3),$N$3&gt;0),R504/(6*$N$3*1000000*$N$5)*(IF(N504&lt;($N$4*10/10),($N$4*10/10)*(MIN(O504,($N$4*10/10))^3-N504^3)-(MIN(O504,($N$4*10/10))^4-N504^4)/4,0)+IF(O504&gt;($N$4*10/10),($N$4*10/10)^2*(1.5*(O504^2-MAX(N504,($N$4*10/10))^2)-($N$4*10/10)*(O504-MAX(N504,($N$4*10/10)))),0))*1000,0)</f>
        <v>0</v>
      </c>
    </row>
    <row r="505" spans="1:49">
      <c r="A505" s="124"/>
      <c r="B505" s="125"/>
      <c r="C505" s="125"/>
      <c r="D505" s="125"/>
      <c r="E505" s="125"/>
      <c r="F505" s="126" t="str">
        <f>IF(J505="OK",D505*E505,"")</f>
        <v/>
      </c>
      <c r="G505" s="126" t="str">
        <f>IF(J505="OK",F505*(C505-B505),"")</f>
        <v/>
      </c>
      <c r="H505" s="126" t="str">
        <f>IF(J505="OK",G505*(C505+B505)/2,"")</f>
        <v/>
      </c>
      <c r="I505" s="126" t="str">
        <f>IF(AND(J505="OK",ISNUMBER($B$5),$B$5&gt;0,ISNUMBER($B$3),$B$3&gt;0),F505*(4*$B$4*(C505^3-B505^3)-(C505^4-B505^4))/(24*$B$3*1000000*$B$5)*1000,"")</f>
        <v/>
      </c>
      <c r="J505" s="120" t="str">
        <f>IF(COUNTA(A505:E505)=0,"",IF(AND(COUNT(B505:E505)=4,B505&gt;=0,C505&gt;B505,C505&lt;=$B$4,D505&gt;=0,E505&gt;0),IF(COUNTIFS($B$13:$B$504,"&lt;"&amp;C505,$C$13:$C$504,"&gt;"&amp;B505)&gt;0,"OVERLAP","OK"),"CHECK INPUTS"))</f>
        <v/>
      </c>
      <c r="M505" s="124"/>
      <c r="N505" s="125"/>
      <c r="O505" s="125"/>
      <c r="P505" s="125"/>
      <c r="Q505" s="125"/>
      <c r="R505" s="126" t="str">
        <f>IF(V505="OK",P505*Q505,"")</f>
        <v/>
      </c>
      <c r="S505" s="126" t="str">
        <f>IF(V505="OK",R505*(O505-N505),"")</f>
        <v/>
      </c>
      <c r="T505" s="126" t="str">
        <f>IF(V505="OK",S505*(O505+N505)/2,"")</f>
        <v/>
      </c>
      <c r="U505" s="126" t="str">
        <f>IF(AND(V505="OK",ISNUMBER($N$5),$N$5&gt;0,ISNUMBER($N$3),$N$3&gt;0),R505*(4*$N$4*(O505^3-N505^3)-(O505^4-N505^4))/(24*$N$3*1000000*$N$5)*1000,"")</f>
        <v/>
      </c>
      <c r="V505" s="120" t="str">
        <f>IF(COUNTA(M505:Q505)=0,"",IF(AND(COUNT(N505:Q505)=4,N505&gt;=0,O505&gt;N505,O505&lt;=$N$4,P505&gt;=0,Q505&gt;0),IF(COUNTIFS($N$13:$N$504,"&lt;"&amp;O505,$O$13:$O$504,"&gt;"&amp;N505)&gt;0,"OVERLAP","OK"),"CHECK INPUTS"))</f>
        <v/>
      </c>
      <c r="AA505" s="120">
        <f>IF(AND(J505="OK",ISNUMBER($B$5),$B$5&gt;0,ISNUMBER($B$3),$B$3&gt;0),F505/(6*$B$3*1000000*$B$5)*(IF(B505&lt;($B$4*0/10),($B$4*0/10)*(MIN(C505,($B$4*0/10))^3-B505^3)-(MIN(C505,($B$4*0/10))^4-B505^4)/4,0)+IF(C505&gt;($B$4*0/10),($B$4*0/10)^2*(1.5*(C505^2-MAX(B505,($B$4*0/10))^2)-($B$4*0/10)*(C505-MAX(B505,($B$4*0/10)))),0))*1000,0)</f>
        <v>0</v>
      </c>
      <c r="AB505" s="120">
        <f>IF(AND(J505="OK",ISNUMBER($B$5),$B$5&gt;0,ISNUMBER($B$3),$B$3&gt;0),F505/(6*$B$3*1000000*$B$5)*(IF(B505&lt;($B$4*1/10),($B$4*1/10)*(MIN(C505,($B$4*1/10))^3-B505^3)-(MIN(C505,($B$4*1/10))^4-B505^4)/4,0)+IF(C505&gt;($B$4*1/10),($B$4*1/10)^2*(1.5*(C505^2-MAX(B505,($B$4*1/10))^2)-($B$4*1/10)*(C505-MAX(B505,($B$4*1/10)))),0))*1000,0)</f>
        <v>0</v>
      </c>
      <c r="AC505" s="120">
        <f>IF(AND(J505="OK",ISNUMBER($B$5),$B$5&gt;0,ISNUMBER($B$3),$B$3&gt;0),F505/(6*$B$3*1000000*$B$5)*(IF(B505&lt;($B$4*2/10),($B$4*2/10)*(MIN(C505,($B$4*2/10))^3-B505^3)-(MIN(C505,($B$4*2/10))^4-B505^4)/4,0)+IF(C505&gt;($B$4*2/10),($B$4*2/10)^2*(1.5*(C505^2-MAX(B505,($B$4*2/10))^2)-($B$4*2/10)*(C505-MAX(B505,($B$4*2/10)))),0))*1000,0)</f>
        <v>0</v>
      </c>
      <c r="AD505" s="120">
        <f>IF(AND(J505="OK",ISNUMBER($B$5),$B$5&gt;0,ISNUMBER($B$3),$B$3&gt;0),F505/(6*$B$3*1000000*$B$5)*(IF(B505&lt;($B$4*3/10),($B$4*3/10)*(MIN(C505,($B$4*3/10))^3-B505^3)-(MIN(C505,($B$4*3/10))^4-B505^4)/4,0)+IF(C505&gt;($B$4*3/10),($B$4*3/10)^2*(1.5*(C505^2-MAX(B505,($B$4*3/10))^2)-($B$4*3/10)*(C505-MAX(B505,($B$4*3/10)))),0))*1000,0)</f>
        <v>0</v>
      </c>
      <c r="AE505" s="120">
        <f>IF(AND(J505="OK",ISNUMBER($B$5),$B$5&gt;0,ISNUMBER($B$3),$B$3&gt;0),F505/(6*$B$3*1000000*$B$5)*(IF(B505&lt;($B$4*4/10),($B$4*4/10)*(MIN(C505,($B$4*4/10))^3-B505^3)-(MIN(C505,($B$4*4/10))^4-B505^4)/4,0)+IF(C505&gt;($B$4*4/10),($B$4*4/10)^2*(1.5*(C505^2-MAX(B505,($B$4*4/10))^2)-($B$4*4/10)*(C505-MAX(B505,($B$4*4/10)))),0))*1000,0)</f>
        <v>0</v>
      </c>
      <c r="AF505" s="120">
        <f>IF(AND(J505="OK",ISNUMBER($B$5),$B$5&gt;0,ISNUMBER($B$3),$B$3&gt;0),F505/(6*$B$3*1000000*$B$5)*(IF(B505&lt;($B$4*5/10),($B$4*5/10)*(MIN(C505,($B$4*5/10))^3-B505^3)-(MIN(C505,($B$4*5/10))^4-B505^4)/4,0)+IF(C505&gt;($B$4*5/10),($B$4*5/10)^2*(1.5*(C505^2-MAX(B505,($B$4*5/10))^2)-($B$4*5/10)*(C505-MAX(B505,($B$4*5/10)))),0))*1000,0)</f>
        <v>0</v>
      </c>
      <c r="AG505" s="120">
        <f>IF(AND(J505="OK",ISNUMBER($B$5),$B$5&gt;0,ISNUMBER($B$3),$B$3&gt;0),F505/(6*$B$3*1000000*$B$5)*(IF(B505&lt;($B$4*6/10),($B$4*6/10)*(MIN(C505,($B$4*6/10))^3-B505^3)-(MIN(C505,($B$4*6/10))^4-B505^4)/4,0)+IF(C505&gt;($B$4*6/10),($B$4*6/10)^2*(1.5*(C505^2-MAX(B505,($B$4*6/10))^2)-($B$4*6/10)*(C505-MAX(B505,($B$4*6/10)))),0))*1000,0)</f>
        <v>0</v>
      </c>
      <c r="AH505" s="120">
        <f>IF(AND(J505="OK",ISNUMBER($B$5),$B$5&gt;0,ISNUMBER($B$3),$B$3&gt;0),F505/(6*$B$3*1000000*$B$5)*(IF(B505&lt;($B$4*7/10),($B$4*7/10)*(MIN(C505,($B$4*7/10))^3-B505^3)-(MIN(C505,($B$4*7/10))^4-B505^4)/4,0)+IF(C505&gt;($B$4*7/10),($B$4*7/10)^2*(1.5*(C505^2-MAX(B505,($B$4*7/10))^2)-($B$4*7/10)*(C505-MAX(B505,($B$4*7/10)))),0))*1000,0)</f>
        <v>0</v>
      </c>
      <c r="AI505" s="120">
        <f>IF(AND(J505="OK",ISNUMBER($B$5),$B$5&gt;0,ISNUMBER($B$3),$B$3&gt;0),F505/(6*$B$3*1000000*$B$5)*(IF(B505&lt;($B$4*8/10),($B$4*8/10)*(MIN(C505,($B$4*8/10))^3-B505^3)-(MIN(C505,($B$4*8/10))^4-B505^4)/4,0)+IF(C505&gt;($B$4*8/10),($B$4*8/10)^2*(1.5*(C505^2-MAX(B505,($B$4*8/10))^2)-($B$4*8/10)*(C505-MAX(B505,($B$4*8/10)))),0))*1000,0)</f>
        <v>0</v>
      </c>
      <c r="AJ505" s="120">
        <f>IF(AND(J505="OK",ISNUMBER($B$5),$B$5&gt;0,ISNUMBER($B$3),$B$3&gt;0),F505/(6*$B$3*1000000*$B$5)*(IF(B505&lt;($B$4*9/10),($B$4*9/10)*(MIN(C505,($B$4*9/10))^3-B505^3)-(MIN(C505,($B$4*9/10))^4-B505^4)/4,0)+IF(C505&gt;($B$4*9/10),($B$4*9/10)^2*(1.5*(C505^2-MAX(B505,($B$4*9/10))^2)-($B$4*9/10)*(C505-MAX(B505,($B$4*9/10)))),0))*1000,0)</f>
        <v>0</v>
      </c>
      <c r="AK505" s="120">
        <f>IF(AND(J505="OK",ISNUMBER($B$5),$B$5&gt;0,ISNUMBER($B$3),$B$3&gt;0),F505/(6*$B$3*1000000*$B$5)*(IF(B505&lt;($B$4*10/10),($B$4*10/10)*(MIN(C505,($B$4*10/10))^3-B505^3)-(MIN(C505,($B$4*10/10))^4-B505^4)/4,0)+IF(C505&gt;($B$4*10/10),($B$4*10/10)^2*(1.5*(C505^2-MAX(B505,($B$4*10/10))^2)-($B$4*10/10)*(C505-MAX(B505,($B$4*10/10)))),0))*1000,0)</f>
        <v>0</v>
      </c>
      <c r="AM505" s="120">
        <f>IF(AND(V505="OK",ISNUMBER($N$5),$N$5&gt;0,ISNUMBER($N$3),$N$3&gt;0),R505/(6*$N$3*1000000*$N$5)*(IF(N505&lt;($N$4*0/10),($N$4*0/10)*(MIN(O505,($N$4*0/10))^3-N505^3)-(MIN(O505,($N$4*0/10))^4-N505^4)/4,0)+IF(O505&gt;($N$4*0/10),($N$4*0/10)^2*(1.5*(O505^2-MAX(N505,($N$4*0/10))^2)-($N$4*0/10)*(O505-MAX(N505,($N$4*0/10)))),0))*1000,0)</f>
        <v>0</v>
      </c>
      <c r="AN505" s="120">
        <f>IF(AND(V505="OK",ISNUMBER($N$5),$N$5&gt;0,ISNUMBER($N$3),$N$3&gt;0),R505/(6*$N$3*1000000*$N$5)*(IF(N505&lt;($N$4*1/10),($N$4*1/10)*(MIN(O505,($N$4*1/10))^3-N505^3)-(MIN(O505,($N$4*1/10))^4-N505^4)/4,0)+IF(O505&gt;($N$4*1/10),($N$4*1/10)^2*(1.5*(O505^2-MAX(N505,($N$4*1/10))^2)-($N$4*1/10)*(O505-MAX(N505,($N$4*1/10)))),0))*1000,0)</f>
        <v>0</v>
      </c>
      <c r="AO505" s="120">
        <f>IF(AND(V505="OK",ISNUMBER($N$5),$N$5&gt;0,ISNUMBER($N$3),$N$3&gt;0),R505/(6*$N$3*1000000*$N$5)*(IF(N505&lt;($N$4*2/10),($N$4*2/10)*(MIN(O505,($N$4*2/10))^3-N505^3)-(MIN(O505,($N$4*2/10))^4-N505^4)/4,0)+IF(O505&gt;($N$4*2/10),($N$4*2/10)^2*(1.5*(O505^2-MAX(N505,($N$4*2/10))^2)-($N$4*2/10)*(O505-MAX(N505,($N$4*2/10)))),0))*1000,0)</f>
        <v>0</v>
      </c>
      <c r="AP505" s="120">
        <f>IF(AND(V505="OK",ISNUMBER($N$5),$N$5&gt;0,ISNUMBER($N$3),$N$3&gt;0),R505/(6*$N$3*1000000*$N$5)*(IF(N505&lt;($N$4*3/10),($N$4*3/10)*(MIN(O505,($N$4*3/10))^3-N505^3)-(MIN(O505,($N$4*3/10))^4-N505^4)/4,0)+IF(O505&gt;($N$4*3/10),($N$4*3/10)^2*(1.5*(O505^2-MAX(N505,($N$4*3/10))^2)-($N$4*3/10)*(O505-MAX(N505,($N$4*3/10)))),0))*1000,0)</f>
        <v>0</v>
      </c>
      <c r="AQ505" s="120">
        <f>IF(AND(V505="OK",ISNUMBER($N$5),$N$5&gt;0,ISNUMBER($N$3),$N$3&gt;0),R505/(6*$N$3*1000000*$N$5)*(IF(N505&lt;($N$4*4/10),($N$4*4/10)*(MIN(O505,($N$4*4/10))^3-N505^3)-(MIN(O505,($N$4*4/10))^4-N505^4)/4,0)+IF(O505&gt;($N$4*4/10),($N$4*4/10)^2*(1.5*(O505^2-MAX(N505,($N$4*4/10))^2)-($N$4*4/10)*(O505-MAX(N505,($N$4*4/10)))),0))*1000,0)</f>
        <v>0</v>
      </c>
      <c r="AR505" s="120">
        <f>IF(AND(V505="OK",ISNUMBER($N$5),$N$5&gt;0,ISNUMBER($N$3),$N$3&gt;0),R505/(6*$N$3*1000000*$N$5)*(IF(N505&lt;($N$4*5/10),($N$4*5/10)*(MIN(O505,($N$4*5/10))^3-N505^3)-(MIN(O505,($N$4*5/10))^4-N505^4)/4,0)+IF(O505&gt;($N$4*5/10),($N$4*5/10)^2*(1.5*(O505^2-MAX(N505,($N$4*5/10))^2)-($N$4*5/10)*(O505-MAX(N505,($N$4*5/10)))),0))*1000,0)</f>
        <v>0</v>
      </c>
      <c r="AS505" s="120">
        <f>IF(AND(V505="OK",ISNUMBER($N$5),$N$5&gt;0,ISNUMBER($N$3),$N$3&gt;0),R505/(6*$N$3*1000000*$N$5)*(IF(N505&lt;($N$4*6/10),($N$4*6/10)*(MIN(O505,($N$4*6/10))^3-N505^3)-(MIN(O505,($N$4*6/10))^4-N505^4)/4,0)+IF(O505&gt;($N$4*6/10),($N$4*6/10)^2*(1.5*(O505^2-MAX(N505,($N$4*6/10))^2)-($N$4*6/10)*(O505-MAX(N505,($N$4*6/10)))),0))*1000,0)</f>
        <v>0</v>
      </c>
      <c r="AT505" s="120">
        <f>IF(AND(V505="OK",ISNUMBER($N$5),$N$5&gt;0,ISNUMBER($N$3),$N$3&gt;0),R505/(6*$N$3*1000000*$N$5)*(IF(N505&lt;($N$4*7/10),($N$4*7/10)*(MIN(O505,($N$4*7/10))^3-N505^3)-(MIN(O505,($N$4*7/10))^4-N505^4)/4,0)+IF(O505&gt;($N$4*7/10),($N$4*7/10)^2*(1.5*(O505^2-MAX(N505,($N$4*7/10))^2)-($N$4*7/10)*(O505-MAX(N505,($N$4*7/10)))),0))*1000,0)</f>
        <v>0</v>
      </c>
      <c r="AU505" s="120">
        <f>IF(AND(V505="OK",ISNUMBER($N$5),$N$5&gt;0,ISNUMBER($N$3),$N$3&gt;0),R505/(6*$N$3*1000000*$N$5)*(IF(N505&lt;($N$4*8/10),($N$4*8/10)*(MIN(O505,($N$4*8/10))^3-N505^3)-(MIN(O505,($N$4*8/10))^4-N505^4)/4,0)+IF(O505&gt;($N$4*8/10),($N$4*8/10)^2*(1.5*(O505^2-MAX(N505,($N$4*8/10))^2)-($N$4*8/10)*(O505-MAX(N505,($N$4*8/10)))),0))*1000,0)</f>
        <v>0</v>
      </c>
      <c r="AV505" s="120">
        <f>IF(AND(V505="OK",ISNUMBER($N$5),$N$5&gt;0,ISNUMBER($N$3),$N$3&gt;0),R505/(6*$N$3*1000000*$N$5)*(IF(N505&lt;($N$4*9/10),($N$4*9/10)*(MIN(O505,($N$4*9/10))^3-N505^3)-(MIN(O505,($N$4*9/10))^4-N505^4)/4,0)+IF(O505&gt;($N$4*9/10),($N$4*9/10)^2*(1.5*(O505^2-MAX(N505,($N$4*9/10))^2)-($N$4*9/10)*(O505-MAX(N505,($N$4*9/10)))),0))*1000,0)</f>
        <v>0</v>
      </c>
      <c r="AW505" s="120">
        <f>IF(AND(V505="OK",ISNUMBER($N$5),$N$5&gt;0,ISNUMBER($N$3),$N$3&gt;0),R505/(6*$N$3*1000000*$N$5)*(IF(N505&lt;($N$4*10/10),($N$4*10/10)*(MIN(O505,($N$4*10/10))^3-N505^3)-(MIN(O505,($N$4*10/10))^4-N505^4)/4,0)+IF(O505&gt;($N$4*10/10),($N$4*10/10)^2*(1.5*(O505^2-MAX(N505,($N$4*10/10))^2)-($N$4*10/10)*(O505-MAX(N505,($N$4*10/10)))),0))*1000,0)</f>
        <v>0</v>
      </c>
    </row>
    <row r="506" spans="1:49">
      <c r="A506" s="124"/>
      <c r="B506" s="125"/>
      <c r="C506" s="125"/>
      <c r="D506" s="125"/>
      <c r="E506" s="125"/>
      <c r="F506" s="126" t="str">
        <f>IF(J506="OK",D506*E506,"")</f>
        <v/>
      </c>
      <c r="G506" s="126" t="str">
        <f>IF(J506="OK",F506*(C506-B506),"")</f>
        <v/>
      </c>
      <c r="H506" s="126" t="str">
        <f>IF(J506="OK",G506*(C506+B506)/2,"")</f>
        <v/>
      </c>
      <c r="I506" s="126" t="str">
        <f>IF(AND(J506="OK",ISNUMBER($B$5),$B$5&gt;0,ISNUMBER($B$3),$B$3&gt;0),F506*(4*$B$4*(C506^3-B506^3)-(C506^4-B506^4))/(24*$B$3*1000000*$B$5)*1000,"")</f>
        <v/>
      </c>
      <c r="J506" s="120" t="str">
        <f>IF(COUNTA(A506:E506)=0,"",IF(AND(COUNT(B506:E506)=4,B506&gt;=0,C506&gt;B506,C506&lt;=$B$4,D506&gt;=0,E506&gt;0),IF(COUNTIFS($B$13:$B$505,"&lt;"&amp;C506,$C$13:$C$505,"&gt;"&amp;B506)&gt;0,"OVERLAP","OK"),"CHECK INPUTS"))</f>
        <v/>
      </c>
      <c r="M506" s="124"/>
      <c r="N506" s="125"/>
      <c r="O506" s="125"/>
      <c r="P506" s="125"/>
      <c r="Q506" s="125"/>
      <c r="R506" s="126" t="str">
        <f>IF(V506="OK",P506*Q506,"")</f>
        <v/>
      </c>
      <c r="S506" s="126" t="str">
        <f>IF(V506="OK",R506*(O506-N506),"")</f>
        <v/>
      </c>
      <c r="T506" s="126" t="str">
        <f>IF(V506="OK",S506*(O506+N506)/2,"")</f>
        <v/>
      </c>
      <c r="U506" s="126" t="str">
        <f>IF(AND(V506="OK",ISNUMBER($N$5),$N$5&gt;0,ISNUMBER($N$3),$N$3&gt;0),R506*(4*$N$4*(O506^3-N506^3)-(O506^4-N506^4))/(24*$N$3*1000000*$N$5)*1000,"")</f>
        <v/>
      </c>
      <c r="V506" s="120" t="str">
        <f>IF(COUNTA(M506:Q506)=0,"",IF(AND(COUNT(N506:Q506)=4,N506&gt;=0,O506&gt;N506,O506&lt;=$N$4,P506&gt;=0,Q506&gt;0),IF(COUNTIFS($N$13:$N$505,"&lt;"&amp;O506,$O$13:$O$505,"&gt;"&amp;N506)&gt;0,"OVERLAP","OK"),"CHECK INPUTS"))</f>
        <v/>
      </c>
      <c r="AA506" s="120">
        <f>IF(AND(J506="OK",ISNUMBER($B$5),$B$5&gt;0,ISNUMBER($B$3),$B$3&gt;0),F506/(6*$B$3*1000000*$B$5)*(IF(B506&lt;($B$4*0/10),($B$4*0/10)*(MIN(C506,($B$4*0/10))^3-B506^3)-(MIN(C506,($B$4*0/10))^4-B506^4)/4,0)+IF(C506&gt;($B$4*0/10),($B$4*0/10)^2*(1.5*(C506^2-MAX(B506,($B$4*0/10))^2)-($B$4*0/10)*(C506-MAX(B506,($B$4*0/10)))),0))*1000,0)</f>
        <v>0</v>
      </c>
      <c r="AB506" s="120">
        <f>IF(AND(J506="OK",ISNUMBER($B$5),$B$5&gt;0,ISNUMBER($B$3),$B$3&gt;0),F506/(6*$B$3*1000000*$B$5)*(IF(B506&lt;($B$4*1/10),($B$4*1/10)*(MIN(C506,($B$4*1/10))^3-B506^3)-(MIN(C506,($B$4*1/10))^4-B506^4)/4,0)+IF(C506&gt;($B$4*1/10),($B$4*1/10)^2*(1.5*(C506^2-MAX(B506,($B$4*1/10))^2)-($B$4*1/10)*(C506-MAX(B506,($B$4*1/10)))),0))*1000,0)</f>
        <v>0</v>
      </c>
      <c r="AC506" s="120">
        <f>IF(AND(J506="OK",ISNUMBER($B$5),$B$5&gt;0,ISNUMBER($B$3),$B$3&gt;0),F506/(6*$B$3*1000000*$B$5)*(IF(B506&lt;($B$4*2/10),($B$4*2/10)*(MIN(C506,($B$4*2/10))^3-B506^3)-(MIN(C506,($B$4*2/10))^4-B506^4)/4,0)+IF(C506&gt;($B$4*2/10),($B$4*2/10)^2*(1.5*(C506^2-MAX(B506,($B$4*2/10))^2)-($B$4*2/10)*(C506-MAX(B506,($B$4*2/10)))),0))*1000,0)</f>
        <v>0</v>
      </c>
      <c r="AD506" s="120">
        <f>IF(AND(J506="OK",ISNUMBER($B$5),$B$5&gt;0,ISNUMBER($B$3),$B$3&gt;0),F506/(6*$B$3*1000000*$B$5)*(IF(B506&lt;($B$4*3/10),($B$4*3/10)*(MIN(C506,($B$4*3/10))^3-B506^3)-(MIN(C506,($B$4*3/10))^4-B506^4)/4,0)+IF(C506&gt;($B$4*3/10),($B$4*3/10)^2*(1.5*(C506^2-MAX(B506,($B$4*3/10))^2)-($B$4*3/10)*(C506-MAX(B506,($B$4*3/10)))),0))*1000,0)</f>
        <v>0</v>
      </c>
      <c r="AE506" s="120">
        <f>IF(AND(J506="OK",ISNUMBER($B$5),$B$5&gt;0,ISNUMBER($B$3),$B$3&gt;0),F506/(6*$B$3*1000000*$B$5)*(IF(B506&lt;($B$4*4/10),($B$4*4/10)*(MIN(C506,($B$4*4/10))^3-B506^3)-(MIN(C506,($B$4*4/10))^4-B506^4)/4,0)+IF(C506&gt;($B$4*4/10),($B$4*4/10)^2*(1.5*(C506^2-MAX(B506,($B$4*4/10))^2)-($B$4*4/10)*(C506-MAX(B506,($B$4*4/10)))),0))*1000,0)</f>
        <v>0</v>
      </c>
      <c r="AF506" s="120">
        <f>IF(AND(J506="OK",ISNUMBER($B$5),$B$5&gt;0,ISNUMBER($B$3),$B$3&gt;0),F506/(6*$B$3*1000000*$B$5)*(IF(B506&lt;($B$4*5/10),($B$4*5/10)*(MIN(C506,($B$4*5/10))^3-B506^3)-(MIN(C506,($B$4*5/10))^4-B506^4)/4,0)+IF(C506&gt;($B$4*5/10),($B$4*5/10)^2*(1.5*(C506^2-MAX(B506,($B$4*5/10))^2)-($B$4*5/10)*(C506-MAX(B506,($B$4*5/10)))),0))*1000,0)</f>
        <v>0</v>
      </c>
      <c r="AG506" s="120">
        <f>IF(AND(J506="OK",ISNUMBER($B$5),$B$5&gt;0,ISNUMBER($B$3),$B$3&gt;0),F506/(6*$B$3*1000000*$B$5)*(IF(B506&lt;($B$4*6/10),($B$4*6/10)*(MIN(C506,($B$4*6/10))^3-B506^3)-(MIN(C506,($B$4*6/10))^4-B506^4)/4,0)+IF(C506&gt;($B$4*6/10),($B$4*6/10)^2*(1.5*(C506^2-MAX(B506,($B$4*6/10))^2)-($B$4*6/10)*(C506-MAX(B506,($B$4*6/10)))),0))*1000,0)</f>
        <v>0</v>
      </c>
      <c r="AH506" s="120">
        <f>IF(AND(J506="OK",ISNUMBER($B$5),$B$5&gt;0,ISNUMBER($B$3),$B$3&gt;0),F506/(6*$B$3*1000000*$B$5)*(IF(B506&lt;($B$4*7/10),($B$4*7/10)*(MIN(C506,($B$4*7/10))^3-B506^3)-(MIN(C506,($B$4*7/10))^4-B506^4)/4,0)+IF(C506&gt;($B$4*7/10),($B$4*7/10)^2*(1.5*(C506^2-MAX(B506,($B$4*7/10))^2)-($B$4*7/10)*(C506-MAX(B506,($B$4*7/10)))),0))*1000,0)</f>
        <v>0</v>
      </c>
      <c r="AI506" s="120">
        <f>IF(AND(J506="OK",ISNUMBER($B$5),$B$5&gt;0,ISNUMBER($B$3),$B$3&gt;0),F506/(6*$B$3*1000000*$B$5)*(IF(B506&lt;($B$4*8/10),($B$4*8/10)*(MIN(C506,($B$4*8/10))^3-B506^3)-(MIN(C506,($B$4*8/10))^4-B506^4)/4,0)+IF(C506&gt;($B$4*8/10),($B$4*8/10)^2*(1.5*(C506^2-MAX(B506,($B$4*8/10))^2)-($B$4*8/10)*(C506-MAX(B506,($B$4*8/10)))),0))*1000,0)</f>
        <v>0</v>
      </c>
      <c r="AJ506" s="120">
        <f>IF(AND(J506="OK",ISNUMBER($B$5),$B$5&gt;0,ISNUMBER($B$3),$B$3&gt;0),F506/(6*$B$3*1000000*$B$5)*(IF(B506&lt;($B$4*9/10),($B$4*9/10)*(MIN(C506,($B$4*9/10))^3-B506^3)-(MIN(C506,($B$4*9/10))^4-B506^4)/4,0)+IF(C506&gt;($B$4*9/10),($B$4*9/10)^2*(1.5*(C506^2-MAX(B506,($B$4*9/10))^2)-($B$4*9/10)*(C506-MAX(B506,($B$4*9/10)))),0))*1000,0)</f>
        <v>0</v>
      </c>
      <c r="AK506" s="120">
        <f>IF(AND(J506="OK",ISNUMBER($B$5),$B$5&gt;0,ISNUMBER($B$3),$B$3&gt;0),F506/(6*$B$3*1000000*$B$5)*(IF(B506&lt;($B$4*10/10),($B$4*10/10)*(MIN(C506,($B$4*10/10))^3-B506^3)-(MIN(C506,($B$4*10/10))^4-B506^4)/4,0)+IF(C506&gt;($B$4*10/10),($B$4*10/10)^2*(1.5*(C506^2-MAX(B506,($B$4*10/10))^2)-($B$4*10/10)*(C506-MAX(B506,($B$4*10/10)))),0))*1000,0)</f>
        <v>0</v>
      </c>
      <c r="AM506" s="120">
        <f>IF(AND(V506="OK",ISNUMBER($N$5),$N$5&gt;0,ISNUMBER($N$3),$N$3&gt;0),R506/(6*$N$3*1000000*$N$5)*(IF(N506&lt;($N$4*0/10),($N$4*0/10)*(MIN(O506,($N$4*0/10))^3-N506^3)-(MIN(O506,($N$4*0/10))^4-N506^4)/4,0)+IF(O506&gt;($N$4*0/10),($N$4*0/10)^2*(1.5*(O506^2-MAX(N506,($N$4*0/10))^2)-($N$4*0/10)*(O506-MAX(N506,($N$4*0/10)))),0))*1000,0)</f>
        <v>0</v>
      </c>
      <c r="AN506" s="120">
        <f>IF(AND(V506="OK",ISNUMBER($N$5),$N$5&gt;0,ISNUMBER($N$3),$N$3&gt;0),R506/(6*$N$3*1000000*$N$5)*(IF(N506&lt;($N$4*1/10),($N$4*1/10)*(MIN(O506,($N$4*1/10))^3-N506^3)-(MIN(O506,($N$4*1/10))^4-N506^4)/4,0)+IF(O506&gt;($N$4*1/10),($N$4*1/10)^2*(1.5*(O506^2-MAX(N506,($N$4*1/10))^2)-($N$4*1/10)*(O506-MAX(N506,($N$4*1/10)))),0))*1000,0)</f>
        <v>0</v>
      </c>
      <c r="AO506" s="120">
        <f>IF(AND(V506="OK",ISNUMBER($N$5),$N$5&gt;0,ISNUMBER($N$3),$N$3&gt;0),R506/(6*$N$3*1000000*$N$5)*(IF(N506&lt;($N$4*2/10),($N$4*2/10)*(MIN(O506,($N$4*2/10))^3-N506^3)-(MIN(O506,($N$4*2/10))^4-N506^4)/4,0)+IF(O506&gt;($N$4*2/10),($N$4*2/10)^2*(1.5*(O506^2-MAX(N506,($N$4*2/10))^2)-($N$4*2/10)*(O506-MAX(N506,($N$4*2/10)))),0))*1000,0)</f>
        <v>0</v>
      </c>
      <c r="AP506" s="120">
        <f>IF(AND(V506="OK",ISNUMBER($N$5),$N$5&gt;0,ISNUMBER($N$3),$N$3&gt;0),R506/(6*$N$3*1000000*$N$5)*(IF(N506&lt;($N$4*3/10),($N$4*3/10)*(MIN(O506,($N$4*3/10))^3-N506^3)-(MIN(O506,($N$4*3/10))^4-N506^4)/4,0)+IF(O506&gt;($N$4*3/10),($N$4*3/10)^2*(1.5*(O506^2-MAX(N506,($N$4*3/10))^2)-($N$4*3/10)*(O506-MAX(N506,($N$4*3/10)))),0))*1000,0)</f>
        <v>0</v>
      </c>
      <c r="AQ506" s="120">
        <f>IF(AND(V506="OK",ISNUMBER($N$5),$N$5&gt;0,ISNUMBER($N$3),$N$3&gt;0),R506/(6*$N$3*1000000*$N$5)*(IF(N506&lt;($N$4*4/10),($N$4*4/10)*(MIN(O506,($N$4*4/10))^3-N506^3)-(MIN(O506,($N$4*4/10))^4-N506^4)/4,0)+IF(O506&gt;($N$4*4/10),($N$4*4/10)^2*(1.5*(O506^2-MAX(N506,($N$4*4/10))^2)-($N$4*4/10)*(O506-MAX(N506,($N$4*4/10)))),0))*1000,0)</f>
        <v>0</v>
      </c>
      <c r="AR506" s="120">
        <f>IF(AND(V506="OK",ISNUMBER($N$5),$N$5&gt;0,ISNUMBER($N$3),$N$3&gt;0),R506/(6*$N$3*1000000*$N$5)*(IF(N506&lt;($N$4*5/10),($N$4*5/10)*(MIN(O506,($N$4*5/10))^3-N506^3)-(MIN(O506,($N$4*5/10))^4-N506^4)/4,0)+IF(O506&gt;($N$4*5/10),($N$4*5/10)^2*(1.5*(O506^2-MAX(N506,($N$4*5/10))^2)-($N$4*5/10)*(O506-MAX(N506,($N$4*5/10)))),0))*1000,0)</f>
        <v>0</v>
      </c>
      <c r="AS506" s="120">
        <f>IF(AND(V506="OK",ISNUMBER($N$5),$N$5&gt;0,ISNUMBER($N$3),$N$3&gt;0),R506/(6*$N$3*1000000*$N$5)*(IF(N506&lt;($N$4*6/10),($N$4*6/10)*(MIN(O506,($N$4*6/10))^3-N506^3)-(MIN(O506,($N$4*6/10))^4-N506^4)/4,0)+IF(O506&gt;($N$4*6/10),($N$4*6/10)^2*(1.5*(O506^2-MAX(N506,($N$4*6/10))^2)-($N$4*6/10)*(O506-MAX(N506,($N$4*6/10)))),0))*1000,0)</f>
        <v>0</v>
      </c>
      <c r="AT506" s="120">
        <f>IF(AND(V506="OK",ISNUMBER($N$5),$N$5&gt;0,ISNUMBER($N$3),$N$3&gt;0),R506/(6*$N$3*1000000*$N$5)*(IF(N506&lt;($N$4*7/10),($N$4*7/10)*(MIN(O506,($N$4*7/10))^3-N506^3)-(MIN(O506,($N$4*7/10))^4-N506^4)/4,0)+IF(O506&gt;($N$4*7/10),($N$4*7/10)^2*(1.5*(O506^2-MAX(N506,($N$4*7/10))^2)-($N$4*7/10)*(O506-MAX(N506,($N$4*7/10)))),0))*1000,0)</f>
        <v>0</v>
      </c>
      <c r="AU506" s="120">
        <f>IF(AND(V506="OK",ISNUMBER($N$5),$N$5&gt;0,ISNUMBER($N$3),$N$3&gt;0),R506/(6*$N$3*1000000*$N$5)*(IF(N506&lt;($N$4*8/10),($N$4*8/10)*(MIN(O506,($N$4*8/10))^3-N506^3)-(MIN(O506,($N$4*8/10))^4-N506^4)/4,0)+IF(O506&gt;($N$4*8/10),($N$4*8/10)^2*(1.5*(O506^2-MAX(N506,($N$4*8/10))^2)-($N$4*8/10)*(O506-MAX(N506,($N$4*8/10)))),0))*1000,0)</f>
        <v>0</v>
      </c>
      <c r="AV506" s="120">
        <f>IF(AND(V506="OK",ISNUMBER($N$5),$N$5&gt;0,ISNUMBER($N$3),$N$3&gt;0),R506/(6*$N$3*1000000*$N$5)*(IF(N506&lt;($N$4*9/10),($N$4*9/10)*(MIN(O506,($N$4*9/10))^3-N506^3)-(MIN(O506,($N$4*9/10))^4-N506^4)/4,0)+IF(O506&gt;($N$4*9/10),($N$4*9/10)^2*(1.5*(O506^2-MAX(N506,($N$4*9/10))^2)-($N$4*9/10)*(O506-MAX(N506,($N$4*9/10)))),0))*1000,0)</f>
        <v>0</v>
      </c>
      <c r="AW506" s="120">
        <f>IF(AND(V506="OK",ISNUMBER($N$5),$N$5&gt;0,ISNUMBER($N$3),$N$3&gt;0),R506/(6*$N$3*1000000*$N$5)*(IF(N506&lt;($N$4*10/10),($N$4*10/10)*(MIN(O506,($N$4*10/10))^3-N506^3)-(MIN(O506,($N$4*10/10))^4-N506^4)/4,0)+IF(O506&gt;($N$4*10/10),($N$4*10/10)^2*(1.5*(O506^2-MAX(N506,($N$4*10/10))^2)-($N$4*10/10)*(O506-MAX(N506,($N$4*10/10)))),0))*1000,0)</f>
        <v>0</v>
      </c>
    </row>
    <row r="507" spans="1:49">
      <c r="A507" s="124"/>
      <c r="B507" s="125"/>
      <c r="C507" s="125"/>
      <c r="D507" s="125"/>
      <c r="E507" s="125"/>
      <c r="F507" s="126" t="str">
        <f>IF(J507="OK",D507*E507,"")</f>
        <v/>
      </c>
      <c r="G507" s="126" t="str">
        <f>IF(J507="OK",F507*(C507-B507),"")</f>
        <v/>
      </c>
      <c r="H507" s="126" t="str">
        <f>IF(J507="OK",G507*(C507+B507)/2,"")</f>
        <v/>
      </c>
      <c r="I507" s="126" t="str">
        <f>IF(AND(J507="OK",ISNUMBER($B$5),$B$5&gt;0,ISNUMBER($B$3),$B$3&gt;0),F507*(4*$B$4*(C507^3-B507^3)-(C507^4-B507^4))/(24*$B$3*1000000*$B$5)*1000,"")</f>
        <v/>
      </c>
      <c r="J507" s="120" t="str">
        <f>IF(COUNTA(A507:E507)=0,"",IF(AND(COUNT(B507:E507)=4,B507&gt;=0,C507&gt;B507,C507&lt;=$B$4,D507&gt;=0,E507&gt;0),IF(COUNTIFS($B$13:$B$506,"&lt;"&amp;C507,$C$13:$C$506,"&gt;"&amp;B507)&gt;0,"OVERLAP","OK"),"CHECK INPUTS"))</f>
        <v/>
      </c>
      <c r="M507" s="124"/>
      <c r="N507" s="125"/>
      <c r="O507" s="125"/>
      <c r="P507" s="125"/>
      <c r="Q507" s="125"/>
      <c r="R507" s="126" t="str">
        <f>IF(V507="OK",P507*Q507,"")</f>
        <v/>
      </c>
      <c r="S507" s="126" t="str">
        <f>IF(V507="OK",R507*(O507-N507),"")</f>
        <v/>
      </c>
      <c r="T507" s="126" t="str">
        <f>IF(V507="OK",S507*(O507+N507)/2,"")</f>
        <v/>
      </c>
      <c r="U507" s="126" t="str">
        <f>IF(AND(V507="OK",ISNUMBER($N$5),$N$5&gt;0,ISNUMBER($N$3),$N$3&gt;0),R507*(4*$N$4*(O507^3-N507^3)-(O507^4-N507^4))/(24*$N$3*1000000*$N$5)*1000,"")</f>
        <v/>
      </c>
      <c r="V507" s="120" t="str">
        <f>IF(COUNTA(M507:Q507)=0,"",IF(AND(COUNT(N507:Q507)=4,N507&gt;=0,O507&gt;N507,O507&lt;=$N$4,P507&gt;=0,Q507&gt;0),IF(COUNTIFS($N$13:$N$506,"&lt;"&amp;O507,$O$13:$O$506,"&gt;"&amp;N507)&gt;0,"OVERLAP","OK"),"CHECK INPUTS"))</f>
        <v/>
      </c>
      <c r="AA507" s="120">
        <f>IF(AND(J507="OK",ISNUMBER($B$5),$B$5&gt;0,ISNUMBER($B$3),$B$3&gt;0),F507/(6*$B$3*1000000*$B$5)*(IF(B507&lt;($B$4*0/10),($B$4*0/10)*(MIN(C507,($B$4*0/10))^3-B507^3)-(MIN(C507,($B$4*0/10))^4-B507^4)/4,0)+IF(C507&gt;($B$4*0/10),($B$4*0/10)^2*(1.5*(C507^2-MAX(B507,($B$4*0/10))^2)-($B$4*0/10)*(C507-MAX(B507,($B$4*0/10)))),0))*1000,0)</f>
        <v>0</v>
      </c>
      <c r="AB507" s="120">
        <f>IF(AND(J507="OK",ISNUMBER($B$5),$B$5&gt;0,ISNUMBER($B$3),$B$3&gt;0),F507/(6*$B$3*1000000*$B$5)*(IF(B507&lt;($B$4*1/10),($B$4*1/10)*(MIN(C507,($B$4*1/10))^3-B507^3)-(MIN(C507,($B$4*1/10))^4-B507^4)/4,0)+IF(C507&gt;($B$4*1/10),($B$4*1/10)^2*(1.5*(C507^2-MAX(B507,($B$4*1/10))^2)-($B$4*1/10)*(C507-MAX(B507,($B$4*1/10)))),0))*1000,0)</f>
        <v>0</v>
      </c>
      <c r="AC507" s="120">
        <f>IF(AND(J507="OK",ISNUMBER($B$5),$B$5&gt;0,ISNUMBER($B$3),$B$3&gt;0),F507/(6*$B$3*1000000*$B$5)*(IF(B507&lt;($B$4*2/10),($B$4*2/10)*(MIN(C507,($B$4*2/10))^3-B507^3)-(MIN(C507,($B$4*2/10))^4-B507^4)/4,0)+IF(C507&gt;($B$4*2/10),($B$4*2/10)^2*(1.5*(C507^2-MAX(B507,($B$4*2/10))^2)-($B$4*2/10)*(C507-MAX(B507,($B$4*2/10)))),0))*1000,0)</f>
        <v>0</v>
      </c>
      <c r="AD507" s="120">
        <f>IF(AND(J507="OK",ISNUMBER($B$5),$B$5&gt;0,ISNUMBER($B$3),$B$3&gt;0),F507/(6*$B$3*1000000*$B$5)*(IF(B507&lt;($B$4*3/10),($B$4*3/10)*(MIN(C507,($B$4*3/10))^3-B507^3)-(MIN(C507,($B$4*3/10))^4-B507^4)/4,0)+IF(C507&gt;($B$4*3/10),($B$4*3/10)^2*(1.5*(C507^2-MAX(B507,($B$4*3/10))^2)-($B$4*3/10)*(C507-MAX(B507,($B$4*3/10)))),0))*1000,0)</f>
        <v>0</v>
      </c>
      <c r="AE507" s="120">
        <f>IF(AND(J507="OK",ISNUMBER($B$5),$B$5&gt;0,ISNUMBER($B$3),$B$3&gt;0),F507/(6*$B$3*1000000*$B$5)*(IF(B507&lt;($B$4*4/10),($B$4*4/10)*(MIN(C507,($B$4*4/10))^3-B507^3)-(MIN(C507,($B$4*4/10))^4-B507^4)/4,0)+IF(C507&gt;($B$4*4/10),($B$4*4/10)^2*(1.5*(C507^2-MAX(B507,($B$4*4/10))^2)-($B$4*4/10)*(C507-MAX(B507,($B$4*4/10)))),0))*1000,0)</f>
        <v>0</v>
      </c>
      <c r="AF507" s="120">
        <f>IF(AND(J507="OK",ISNUMBER($B$5),$B$5&gt;0,ISNUMBER($B$3),$B$3&gt;0),F507/(6*$B$3*1000000*$B$5)*(IF(B507&lt;($B$4*5/10),($B$4*5/10)*(MIN(C507,($B$4*5/10))^3-B507^3)-(MIN(C507,($B$4*5/10))^4-B507^4)/4,0)+IF(C507&gt;($B$4*5/10),($B$4*5/10)^2*(1.5*(C507^2-MAX(B507,($B$4*5/10))^2)-($B$4*5/10)*(C507-MAX(B507,($B$4*5/10)))),0))*1000,0)</f>
        <v>0</v>
      </c>
      <c r="AG507" s="120">
        <f>IF(AND(J507="OK",ISNUMBER($B$5),$B$5&gt;0,ISNUMBER($B$3),$B$3&gt;0),F507/(6*$B$3*1000000*$B$5)*(IF(B507&lt;($B$4*6/10),($B$4*6/10)*(MIN(C507,($B$4*6/10))^3-B507^3)-(MIN(C507,($B$4*6/10))^4-B507^4)/4,0)+IF(C507&gt;($B$4*6/10),($B$4*6/10)^2*(1.5*(C507^2-MAX(B507,($B$4*6/10))^2)-($B$4*6/10)*(C507-MAX(B507,($B$4*6/10)))),0))*1000,0)</f>
        <v>0</v>
      </c>
      <c r="AH507" s="120">
        <f>IF(AND(J507="OK",ISNUMBER($B$5),$B$5&gt;0,ISNUMBER($B$3),$B$3&gt;0),F507/(6*$B$3*1000000*$B$5)*(IF(B507&lt;($B$4*7/10),($B$4*7/10)*(MIN(C507,($B$4*7/10))^3-B507^3)-(MIN(C507,($B$4*7/10))^4-B507^4)/4,0)+IF(C507&gt;($B$4*7/10),($B$4*7/10)^2*(1.5*(C507^2-MAX(B507,($B$4*7/10))^2)-($B$4*7/10)*(C507-MAX(B507,($B$4*7/10)))),0))*1000,0)</f>
        <v>0</v>
      </c>
      <c r="AI507" s="120">
        <f>IF(AND(J507="OK",ISNUMBER($B$5),$B$5&gt;0,ISNUMBER($B$3),$B$3&gt;0),F507/(6*$B$3*1000000*$B$5)*(IF(B507&lt;($B$4*8/10),($B$4*8/10)*(MIN(C507,($B$4*8/10))^3-B507^3)-(MIN(C507,($B$4*8/10))^4-B507^4)/4,0)+IF(C507&gt;($B$4*8/10),($B$4*8/10)^2*(1.5*(C507^2-MAX(B507,($B$4*8/10))^2)-($B$4*8/10)*(C507-MAX(B507,($B$4*8/10)))),0))*1000,0)</f>
        <v>0</v>
      </c>
      <c r="AJ507" s="120">
        <f>IF(AND(J507="OK",ISNUMBER($B$5),$B$5&gt;0,ISNUMBER($B$3),$B$3&gt;0),F507/(6*$B$3*1000000*$B$5)*(IF(B507&lt;($B$4*9/10),($B$4*9/10)*(MIN(C507,($B$4*9/10))^3-B507^3)-(MIN(C507,($B$4*9/10))^4-B507^4)/4,0)+IF(C507&gt;($B$4*9/10),($B$4*9/10)^2*(1.5*(C507^2-MAX(B507,($B$4*9/10))^2)-($B$4*9/10)*(C507-MAX(B507,($B$4*9/10)))),0))*1000,0)</f>
        <v>0</v>
      </c>
      <c r="AK507" s="120">
        <f>IF(AND(J507="OK",ISNUMBER($B$5),$B$5&gt;0,ISNUMBER($B$3),$B$3&gt;0),F507/(6*$B$3*1000000*$B$5)*(IF(B507&lt;($B$4*10/10),($B$4*10/10)*(MIN(C507,($B$4*10/10))^3-B507^3)-(MIN(C507,($B$4*10/10))^4-B507^4)/4,0)+IF(C507&gt;($B$4*10/10),($B$4*10/10)^2*(1.5*(C507^2-MAX(B507,($B$4*10/10))^2)-($B$4*10/10)*(C507-MAX(B507,($B$4*10/10)))),0))*1000,0)</f>
        <v>0</v>
      </c>
      <c r="AM507" s="120">
        <f>IF(AND(V507="OK",ISNUMBER($N$5),$N$5&gt;0,ISNUMBER($N$3),$N$3&gt;0),R507/(6*$N$3*1000000*$N$5)*(IF(N507&lt;($N$4*0/10),($N$4*0/10)*(MIN(O507,($N$4*0/10))^3-N507^3)-(MIN(O507,($N$4*0/10))^4-N507^4)/4,0)+IF(O507&gt;($N$4*0/10),($N$4*0/10)^2*(1.5*(O507^2-MAX(N507,($N$4*0/10))^2)-($N$4*0/10)*(O507-MAX(N507,($N$4*0/10)))),0))*1000,0)</f>
        <v>0</v>
      </c>
      <c r="AN507" s="120">
        <f>IF(AND(V507="OK",ISNUMBER($N$5),$N$5&gt;0,ISNUMBER($N$3),$N$3&gt;0),R507/(6*$N$3*1000000*$N$5)*(IF(N507&lt;($N$4*1/10),($N$4*1/10)*(MIN(O507,($N$4*1/10))^3-N507^3)-(MIN(O507,($N$4*1/10))^4-N507^4)/4,0)+IF(O507&gt;($N$4*1/10),($N$4*1/10)^2*(1.5*(O507^2-MAX(N507,($N$4*1/10))^2)-($N$4*1/10)*(O507-MAX(N507,($N$4*1/10)))),0))*1000,0)</f>
        <v>0</v>
      </c>
      <c r="AO507" s="120">
        <f>IF(AND(V507="OK",ISNUMBER($N$5),$N$5&gt;0,ISNUMBER($N$3),$N$3&gt;0),R507/(6*$N$3*1000000*$N$5)*(IF(N507&lt;($N$4*2/10),($N$4*2/10)*(MIN(O507,($N$4*2/10))^3-N507^3)-(MIN(O507,($N$4*2/10))^4-N507^4)/4,0)+IF(O507&gt;($N$4*2/10),($N$4*2/10)^2*(1.5*(O507^2-MAX(N507,($N$4*2/10))^2)-($N$4*2/10)*(O507-MAX(N507,($N$4*2/10)))),0))*1000,0)</f>
        <v>0</v>
      </c>
      <c r="AP507" s="120">
        <f>IF(AND(V507="OK",ISNUMBER($N$5),$N$5&gt;0,ISNUMBER($N$3),$N$3&gt;0),R507/(6*$N$3*1000000*$N$5)*(IF(N507&lt;($N$4*3/10),($N$4*3/10)*(MIN(O507,($N$4*3/10))^3-N507^3)-(MIN(O507,($N$4*3/10))^4-N507^4)/4,0)+IF(O507&gt;($N$4*3/10),($N$4*3/10)^2*(1.5*(O507^2-MAX(N507,($N$4*3/10))^2)-($N$4*3/10)*(O507-MAX(N507,($N$4*3/10)))),0))*1000,0)</f>
        <v>0</v>
      </c>
      <c r="AQ507" s="120">
        <f>IF(AND(V507="OK",ISNUMBER($N$5),$N$5&gt;0,ISNUMBER($N$3),$N$3&gt;0),R507/(6*$N$3*1000000*$N$5)*(IF(N507&lt;($N$4*4/10),($N$4*4/10)*(MIN(O507,($N$4*4/10))^3-N507^3)-(MIN(O507,($N$4*4/10))^4-N507^4)/4,0)+IF(O507&gt;($N$4*4/10),($N$4*4/10)^2*(1.5*(O507^2-MAX(N507,($N$4*4/10))^2)-($N$4*4/10)*(O507-MAX(N507,($N$4*4/10)))),0))*1000,0)</f>
        <v>0</v>
      </c>
      <c r="AR507" s="120">
        <f>IF(AND(V507="OK",ISNUMBER($N$5),$N$5&gt;0,ISNUMBER($N$3),$N$3&gt;0),R507/(6*$N$3*1000000*$N$5)*(IF(N507&lt;($N$4*5/10),($N$4*5/10)*(MIN(O507,($N$4*5/10))^3-N507^3)-(MIN(O507,($N$4*5/10))^4-N507^4)/4,0)+IF(O507&gt;($N$4*5/10),($N$4*5/10)^2*(1.5*(O507^2-MAX(N507,($N$4*5/10))^2)-($N$4*5/10)*(O507-MAX(N507,($N$4*5/10)))),0))*1000,0)</f>
        <v>0</v>
      </c>
      <c r="AS507" s="120">
        <f>IF(AND(V507="OK",ISNUMBER($N$5),$N$5&gt;0,ISNUMBER($N$3),$N$3&gt;0),R507/(6*$N$3*1000000*$N$5)*(IF(N507&lt;($N$4*6/10),($N$4*6/10)*(MIN(O507,($N$4*6/10))^3-N507^3)-(MIN(O507,($N$4*6/10))^4-N507^4)/4,0)+IF(O507&gt;($N$4*6/10),($N$4*6/10)^2*(1.5*(O507^2-MAX(N507,($N$4*6/10))^2)-($N$4*6/10)*(O507-MAX(N507,($N$4*6/10)))),0))*1000,0)</f>
        <v>0</v>
      </c>
      <c r="AT507" s="120">
        <f>IF(AND(V507="OK",ISNUMBER($N$5),$N$5&gt;0,ISNUMBER($N$3),$N$3&gt;0),R507/(6*$N$3*1000000*$N$5)*(IF(N507&lt;($N$4*7/10),($N$4*7/10)*(MIN(O507,($N$4*7/10))^3-N507^3)-(MIN(O507,($N$4*7/10))^4-N507^4)/4,0)+IF(O507&gt;($N$4*7/10),($N$4*7/10)^2*(1.5*(O507^2-MAX(N507,($N$4*7/10))^2)-($N$4*7/10)*(O507-MAX(N507,($N$4*7/10)))),0))*1000,0)</f>
        <v>0</v>
      </c>
      <c r="AU507" s="120">
        <f>IF(AND(V507="OK",ISNUMBER($N$5),$N$5&gt;0,ISNUMBER($N$3),$N$3&gt;0),R507/(6*$N$3*1000000*$N$5)*(IF(N507&lt;($N$4*8/10),($N$4*8/10)*(MIN(O507,($N$4*8/10))^3-N507^3)-(MIN(O507,($N$4*8/10))^4-N507^4)/4,0)+IF(O507&gt;($N$4*8/10),($N$4*8/10)^2*(1.5*(O507^2-MAX(N507,($N$4*8/10))^2)-($N$4*8/10)*(O507-MAX(N507,($N$4*8/10)))),0))*1000,0)</f>
        <v>0</v>
      </c>
      <c r="AV507" s="120">
        <f>IF(AND(V507="OK",ISNUMBER($N$5),$N$5&gt;0,ISNUMBER($N$3),$N$3&gt;0),R507/(6*$N$3*1000000*$N$5)*(IF(N507&lt;($N$4*9/10),($N$4*9/10)*(MIN(O507,($N$4*9/10))^3-N507^3)-(MIN(O507,($N$4*9/10))^4-N507^4)/4,0)+IF(O507&gt;($N$4*9/10),($N$4*9/10)^2*(1.5*(O507^2-MAX(N507,($N$4*9/10))^2)-($N$4*9/10)*(O507-MAX(N507,($N$4*9/10)))),0))*1000,0)</f>
        <v>0</v>
      </c>
      <c r="AW507" s="120">
        <f>IF(AND(V507="OK",ISNUMBER($N$5),$N$5&gt;0,ISNUMBER($N$3),$N$3&gt;0),R507/(6*$N$3*1000000*$N$5)*(IF(N507&lt;($N$4*10/10),($N$4*10/10)*(MIN(O507,($N$4*10/10))^3-N507^3)-(MIN(O507,($N$4*10/10))^4-N507^4)/4,0)+IF(O507&gt;($N$4*10/10),($N$4*10/10)^2*(1.5*(O507^2-MAX(N507,($N$4*10/10))^2)-($N$4*10/10)*(O507-MAX(N507,($N$4*10/10)))),0))*1000,0)</f>
        <v>0</v>
      </c>
    </row>
    <row r="508" spans="1:49">
      <c r="A508" s="124"/>
      <c r="B508" s="125"/>
      <c r="C508" s="125"/>
      <c r="D508" s="125"/>
      <c r="E508" s="125"/>
      <c r="F508" s="126" t="str">
        <f>IF(J508="OK",D508*E508,"")</f>
        <v/>
      </c>
      <c r="G508" s="126" t="str">
        <f>IF(J508="OK",F508*(C508-B508),"")</f>
        <v/>
      </c>
      <c r="H508" s="126" t="str">
        <f>IF(J508="OK",G508*(C508+B508)/2,"")</f>
        <v/>
      </c>
      <c r="I508" s="126" t="str">
        <f>IF(AND(J508="OK",ISNUMBER($B$5),$B$5&gt;0,ISNUMBER($B$3),$B$3&gt;0),F508*(4*$B$4*(C508^3-B508^3)-(C508^4-B508^4))/(24*$B$3*1000000*$B$5)*1000,"")</f>
        <v/>
      </c>
      <c r="J508" s="120" t="str">
        <f>IF(COUNTA(A508:E508)=0,"",IF(AND(COUNT(B508:E508)=4,B508&gt;=0,C508&gt;B508,C508&lt;=$B$4,D508&gt;=0,E508&gt;0),IF(COUNTIFS($B$13:$B$507,"&lt;"&amp;C508,$C$13:$C$507,"&gt;"&amp;B508)&gt;0,"OVERLAP","OK"),"CHECK INPUTS"))</f>
        <v/>
      </c>
      <c r="M508" s="124"/>
      <c r="N508" s="125"/>
      <c r="O508" s="125"/>
      <c r="P508" s="125"/>
      <c r="Q508" s="125"/>
      <c r="R508" s="126" t="str">
        <f>IF(V508="OK",P508*Q508,"")</f>
        <v/>
      </c>
      <c r="S508" s="126" t="str">
        <f>IF(V508="OK",R508*(O508-N508),"")</f>
        <v/>
      </c>
      <c r="T508" s="126" t="str">
        <f>IF(V508="OK",S508*(O508+N508)/2,"")</f>
        <v/>
      </c>
      <c r="U508" s="126" t="str">
        <f>IF(AND(V508="OK",ISNUMBER($N$5),$N$5&gt;0,ISNUMBER($N$3),$N$3&gt;0),R508*(4*$N$4*(O508^3-N508^3)-(O508^4-N508^4))/(24*$N$3*1000000*$N$5)*1000,"")</f>
        <v/>
      </c>
      <c r="V508" s="120" t="str">
        <f>IF(COUNTA(M508:Q508)=0,"",IF(AND(COUNT(N508:Q508)=4,N508&gt;=0,O508&gt;N508,O508&lt;=$N$4,P508&gt;=0,Q508&gt;0),IF(COUNTIFS($N$13:$N$507,"&lt;"&amp;O508,$O$13:$O$507,"&gt;"&amp;N508)&gt;0,"OVERLAP","OK"),"CHECK INPUTS"))</f>
        <v/>
      </c>
      <c r="AA508" s="120">
        <f>IF(AND(J508="OK",ISNUMBER($B$5),$B$5&gt;0,ISNUMBER($B$3),$B$3&gt;0),F508/(6*$B$3*1000000*$B$5)*(IF(B508&lt;($B$4*0/10),($B$4*0/10)*(MIN(C508,($B$4*0/10))^3-B508^3)-(MIN(C508,($B$4*0/10))^4-B508^4)/4,0)+IF(C508&gt;($B$4*0/10),($B$4*0/10)^2*(1.5*(C508^2-MAX(B508,($B$4*0/10))^2)-($B$4*0/10)*(C508-MAX(B508,($B$4*0/10)))),0))*1000,0)</f>
        <v>0</v>
      </c>
      <c r="AB508" s="120">
        <f>IF(AND(J508="OK",ISNUMBER($B$5),$B$5&gt;0,ISNUMBER($B$3),$B$3&gt;0),F508/(6*$B$3*1000000*$B$5)*(IF(B508&lt;($B$4*1/10),($B$4*1/10)*(MIN(C508,($B$4*1/10))^3-B508^3)-(MIN(C508,($B$4*1/10))^4-B508^4)/4,0)+IF(C508&gt;($B$4*1/10),($B$4*1/10)^2*(1.5*(C508^2-MAX(B508,($B$4*1/10))^2)-($B$4*1/10)*(C508-MAX(B508,($B$4*1/10)))),0))*1000,0)</f>
        <v>0</v>
      </c>
      <c r="AC508" s="120">
        <f>IF(AND(J508="OK",ISNUMBER($B$5),$B$5&gt;0,ISNUMBER($B$3),$B$3&gt;0),F508/(6*$B$3*1000000*$B$5)*(IF(B508&lt;($B$4*2/10),($B$4*2/10)*(MIN(C508,($B$4*2/10))^3-B508^3)-(MIN(C508,($B$4*2/10))^4-B508^4)/4,0)+IF(C508&gt;($B$4*2/10),($B$4*2/10)^2*(1.5*(C508^2-MAX(B508,($B$4*2/10))^2)-($B$4*2/10)*(C508-MAX(B508,($B$4*2/10)))),0))*1000,0)</f>
        <v>0</v>
      </c>
      <c r="AD508" s="120">
        <f>IF(AND(J508="OK",ISNUMBER($B$5),$B$5&gt;0,ISNUMBER($B$3),$B$3&gt;0),F508/(6*$B$3*1000000*$B$5)*(IF(B508&lt;($B$4*3/10),($B$4*3/10)*(MIN(C508,($B$4*3/10))^3-B508^3)-(MIN(C508,($B$4*3/10))^4-B508^4)/4,0)+IF(C508&gt;($B$4*3/10),($B$4*3/10)^2*(1.5*(C508^2-MAX(B508,($B$4*3/10))^2)-($B$4*3/10)*(C508-MAX(B508,($B$4*3/10)))),0))*1000,0)</f>
        <v>0</v>
      </c>
      <c r="AE508" s="120">
        <f>IF(AND(J508="OK",ISNUMBER($B$5),$B$5&gt;0,ISNUMBER($B$3),$B$3&gt;0),F508/(6*$B$3*1000000*$B$5)*(IF(B508&lt;($B$4*4/10),($B$4*4/10)*(MIN(C508,($B$4*4/10))^3-B508^3)-(MIN(C508,($B$4*4/10))^4-B508^4)/4,0)+IF(C508&gt;($B$4*4/10),($B$4*4/10)^2*(1.5*(C508^2-MAX(B508,($B$4*4/10))^2)-($B$4*4/10)*(C508-MAX(B508,($B$4*4/10)))),0))*1000,0)</f>
        <v>0</v>
      </c>
      <c r="AF508" s="120">
        <f>IF(AND(J508="OK",ISNUMBER($B$5),$B$5&gt;0,ISNUMBER($B$3),$B$3&gt;0),F508/(6*$B$3*1000000*$B$5)*(IF(B508&lt;($B$4*5/10),($B$4*5/10)*(MIN(C508,($B$4*5/10))^3-B508^3)-(MIN(C508,($B$4*5/10))^4-B508^4)/4,0)+IF(C508&gt;($B$4*5/10),($B$4*5/10)^2*(1.5*(C508^2-MAX(B508,($B$4*5/10))^2)-($B$4*5/10)*(C508-MAX(B508,($B$4*5/10)))),0))*1000,0)</f>
        <v>0</v>
      </c>
      <c r="AG508" s="120">
        <f>IF(AND(J508="OK",ISNUMBER($B$5),$B$5&gt;0,ISNUMBER($B$3),$B$3&gt;0),F508/(6*$B$3*1000000*$B$5)*(IF(B508&lt;($B$4*6/10),($B$4*6/10)*(MIN(C508,($B$4*6/10))^3-B508^3)-(MIN(C508,($B$4*6/10))^4-B508^4)/4,0)+IF(C508&gt;($B$4*6/10),($B$4*6/10)^2*(1.5*(C508^2-MAX(B508,($B$4*6/10))^2)-($B$4*6/10)*(C508-MAX(B508,($B$4*6/10)))),0))*1000,0)</f>
        <v>0</v>
      </c>
      <c r="AH508" s="120">
        <f>IF(AND(J508="OK",ISNUMBER($B$5),$B$5&gt;0,ISNUMBER($B$3),$B$3&gt;0),F508/(6*$B$3*1000000*$B$5)*(IF(B508&lt;($B$4*7/10),($B$4*7/10)*(MIN(C508,($B$4*7/10))^3-B508^3)-(MIN(C508,($B$4*7/10))^4-B508^4)/4,0)+IF(C508&gt;($B$4*7/10),($B$4*7/10)^2*(1.5*(C508^2-MAX(B508,($B$4*7/10))^2)-($B$4*7/10)*(C508-MAX(B508,($B$4*7/10)))),0))*1000,0)</f>
        <v>0</v>
      </c>
      <c r="AI508" s="120">
        <f>IF(AND(J508="OK",ISNUMBER($B$5),$B$5&gt;0,ISNUMBER($B$3),$B$3&gt;0),F508/(6*$B$3*1000000*$B$5)*(IF(B508&lt;($B$4*8/10),($B$4*8/10)*(MIN(C508,($B$4*8/10))^3-B508^3)-(MIN(C508,($B$4*8/10))^4-B508^4)/4,0)+IF(C508&gt;($B$4*8/10),($B$4*8/10)^2*(1.5*(C508^2-MAX(B508,($B$4*8/10))^2)-($B$4*8/10)*(C508-MAX(B508,($B$4*8/10)))),0))*1000,0)</f>
        <v>0</v>
      </c>
      <c r="AJ508" s="120">
        <f>IF(AND(J508="OK",ISNUMBER($B$5),$B$5&gt;0,ISNUMBER($B$3),$B$3&gt;0),F508/(6*$B$3*1000000*$B$5)*(IF(B508&lt;($B$4*9/10),($B$4*9/10)*(MIN(C508,($B$4*9/10))^3-B508^3)-(MIN(C508,($B$4*9/10))^4-B508^4)/4,0)+IF(C508&gt;($B$4*9/10),($B$4*9/10)^2*(1.5*(C508^2-MAX(B508,($B$4*9/10))^2)-($B$4*9/10)*(C508-MAX(B508,($B$4*9/10)))),0))*1000,0)</f>
        <v>0</v>
      </c>
      <c r="AK508" s="120">
        <f>IF(AND(J508="OK",ISNUMBER($B$5),$B$5&gt;0,ISNUMBER($B$3),$B$3&gt;0),F508/(6*$B$3*1000000*$B$5)*(IF(B508&lt;($B$4*10/10),($B$4*10/10)*(MIN(C508,($B$4*10/10))^3-B508^3)-(MIN(C508,($B$4*10/10))^4-B508^4)/4,0)+IF(C508&gt;($B$4*10/10),($B$4*10/10)^2*(1.5*(C508^2-MAX(B508,($B$4*10/10))^2)-($B$4*10/10)*(C508-MAX(B508,($B$4*10/10)))),0))*1000,0)</f>
        <v>0</v>
      </c>
      <c r="AM508" s="120">
        <f>IF(AND(V508="OK",ISNUMBER($N$5),$N$5&gt;0,ISNUMBER($N$3),$N$3&gt;0),R508/(6*$N$3*1000000*$N$5)*(IF(N508&lt;($N$4*0/10),($N$4*0/10)*(MIN(O508,($N$4*0/10))^3-N508^3)-(MIN(O508,($N$4*0/10))^4-N508^4)/4,0)+IF(O508&gt;($N$4*0/10),($N$4*0/10)^2*(1.5*(O508^2-MAX(N508,($N$4*0/10))^2)-($N$4*0/10)*(O508-MAX(N508,($N$4*0/10)))),0))*1000,0)</f>
        <v>0</v>
      </c>
      <c r="AN508" s="120">
        <f>IF(AND(V508="OK",ISNUMBER($N$5),$N$5&gt;0,ISNUMBER($N$3),$N$3&gt;0),R508/(6*$N$3*1000000*$N$5)*(IF(N508&lt;($N$4*1/10),($N$4*1/10)*(MIN(O508,($N$4*1/10))^3-N508^3)-(MIN(O508,($N$4*1/10))^4-N508^4)/4,0)+IF(O508&gt;($N$4*1/10),($N$4*1/10)^2*(1.5*(O508^2-MAX(N508,($N$4*1/10))^2)-($N$4*1/10)*(O508-MAX(N508,($N$4*1/10)))),0))*1000,0)</f>
        <v>0</v>
      </c>
      <c r="AO508" s="120">
        <f>IF(AND(V508="OK",ISNUMBER($N$5),$N$5&gt;0,ISNUMBER($N$3),$N$3&gt;0),R508/(6*$N$3*1000000*$N$5)*(IF(N508&lt;($N$4*2/10),($N$4*2/10)*(MIN(O508,($N$4*2/10))^3-N508^3)-(MIN(O508,($N$4*2/10))^4-N508^4)/4,0)+IF(O508&gt;($N$4*2/10),($N$4*2/10)^2*(1.5*(O508^2-MAX(N508,($N$4*2/10))^2)-($N$4*2/10)*(O508-MAX(N508,($N$4*2/10)))),0))*1000,0)</f>
        <v>0</v>
      </c>
      <c r="AP508" s="120">
        <f>IF(AND(V508="OK",ISNUMBER($N$5),$N$5&gt;0,ISNUMBER($N$3),$N$3&gt;0),R508/(6*$N$3*1000000*$N$5)*(IF(N508&lt;($N$4*3/10),($N$4*3/10)*(MIN(O508,($N$4*3/10))^3-N508^3)-(MIN(O508,($N$4*3/10))^4-N508^4)/4,0)+IF(O508&gt;($N$4*3/10),($N$4*3/10)^2*(1.5*(O508^2-MAX(N508,($N$4*3/10))^2)-($N$4*3/10)*(O508-MAX(N508,($N$4*3/10)))),0))*1000,0)</f>
        <v>0</v>
      </c>
      <c r="AQ508" s="120">
        <f>IF(AND(V508="OK",ISNUMBER($N$5),$N$5&gt;0,ISNUMBER($N$3),$N$3&gt;0),R508/(6*$N$3*1000000*$N$5)*(IF(N508&lt;($N$4*4/10),($N$4*4/10)*(MIN(O508,($N$4*4/10))^3-N508^3)-(MIN(O508,($N$4*4/10))^4-N508^4)/4,0)+IF(O508&gt;($N$4*4/10),($N$4*4/10)^2*(1.5*(O508^2-MAX(N508,($N$4*4/10))^2)-($N$4*4/10)*(O508-MAX(N508,($N$4*4/10)))),0))*1000,0)</f>
        <v>0</v>
      </c>
      <c r="AR508" s="120">
        <f>IF(AND(V508="OK",ISNUMBER($N$5),$N$5&gt;0,ISNUMBER($N$3),$N$3&gt;0),R508/(6*$N$3*1000000*$N$5)*(IF(N508&lt;($N$4*5/10),($N$4*5/10)*(MIN(O508,($N$4*5/10))^3-N508^3)-(MIN(O508,($N$4*5/10))^4-N508^4)/4,0)+IF(O508&gt;($N$4*5/10),($N$4*5/10)^2*(1.5*(O508^2-MAX(N508,($N$4*5/10))^2)-($N$4*5/10)*(O508-MAX(N508,($N$4*5/10)))),0))*1000,0)</f>
        <v>0</v>
      </c>
      <c r="AS508" s="120">
        <f>IF(AND(V508="OK",ISNUMBER($N$5),$N$5&gt;0,ISNUMBER($N$3),$N$3&gt;0),R508/(6*$N$3*1000000*$N$5)*(IF(N508&lt;($N$4*6/10),($N$4*6/10)*(MIN(O508,($N$4*6/10))^3-N508^3)-(MIN(O508,($N$4*6/10))^4-N508^4)/4,0)+IF(O508&gt;($N$4*6/10),($N$4*6/10)^2*(1.5*(O508^2-MAX(N508,($N$4*6/10))^2)-($N$4*6/10)*(O508-MAX(N508,($N$4*6/10)))),0))*1000,0)</f>
        <v>0</v>
      </c>
      <c r="AT508" s="120">
        <f>IF(AND(V508="OK",ISNUMBER($N$5),$N$5&gt;0,ISNUMBER($N$3),$N$3&gt;0),R508/(6*$N$3*1000000*$N$5)*(IF(N508&lt;($N$4*7/10),($N$4*7/10)*(MIN(O508,($N$4*7/10))^3-N508^3)-(MIN(O508,($N$4*7/10))^4-N508^4)/4,0)+IF(O508&gt;($N$4*7/10),($N$4*7/10)^2*(1.5*(O508^2-MAX(N508,($N$4*7/10))^2)-($N$4*7/10)*(O508-MAX(N508,($N$4*7/10)))),0))*1000,0)</f>
        <v>0</v>
      </c>
      <c r="AU508" s="120">
        <f>IF(AND(V508="OK",ISNUMBER($N$5),$N$5&gt;0,ISNUMBER($N$3),$N$3&gt;0),R508/(6*$N$3*1000000*$N$5)*(IF(N508&lt;($N$4*8/10),($N$4*8/10)*(MIN(O508,($N$4*8/10))^3-N508^3)-(MIN(O508,($N$4*8/10))^4-N508^4)/4,0)+IF(O508&gt;($N$4*8/10),($N$4*8/10)^2*(1.5*(O508^2-MAX(N508,($N$4*8/10))^2)-($N$4*8/10)*(O508-MAX(N508,($N$4*8/10)))),0))*1000,0)</f>
        <v>0</v>
      </c>
      <c r="AV508" s="120">
        <f>IF(AND(V508="OK",ISNUMBER($N$5),$N$5&gt;0,ISNUMBER($N$3),$N$3&gt;0),R508/(6*$N$3*1000000*$N$5)*(IF(N508&lt;($N$4*9/10),($N$4*9/10)*(MIN(O508,($N$4*9/10))^3-N508^3)-(MIN(O508,($N$4*9/10))^4-N508^4)/4,0)+IF(O508&gt;($N$4*9/10),($N$4*9/10)^2*(1.5*(O508^2-MAX(N508,($N$4*9/10))^2)-($N$4*9/10)*(O508-MAX(N508,($N$4*9/10)))),0))*1000,0)</f>
        <v>0</v>
      </c>
      <c r="AW508" s="120">
        <f>IF(AND(V508="OK",ISNUMBER($N$5),$N$5&gt;0,ISNUMBER($N$3),$N$3&gt;0),R508/(6*$N$3*1000000*$N$5)*(IF(N508&lt;($N$4*10/10),($N$4*10/10)*(MIN(O508,($N$4*10/10))^3-N508^3)-(MIN(O508,($N$4*10/10))^4-N508^4)/4,0)+IF(O508&gt;($N$4*10/10),($N$4*10/10)^2*(1.5*(O508^2-MAX(N508,($N$4*10/10))^2)-($N$4*10/10)*(O508-MAX(N508,($N$4*10/10)))),0))*1000,0)</f>
        <v>0</v>
      </c>
    </row>
    <row r="509" spans="1:49">
      <c r="A509" s="124"/>
      <c r="B509" s="125"/>
      <c r="C509" s="125"/>
      <c r="D509" s="125"/>
      <c r="E509" s="125"/>
      <c r="F509" s="126" t="str">
        <f>IF(J509="OK",D509*E509,"")</f>
        <v/>
      </c>
      <c r="G509" s="126" t="str">
        <f>IF(J509="OK",F509*(C509-B509),"")</f>
        <v/>
      </c>
      <c r="H509" s="126" t="str">
        <f>IF(J509="OK",G509*(C509+B509)/2,"")</f>
        <v/>
      </c>
      <c r="I509" s="126" t="str">
        <f>IF(AND(J509="OK",ISNUMBER($B$5),$B$5&gt;0,ISNUMBER($B$3),$B$3&gt;0),F509*(4*$B$4*(C509^3-B509^3)-(C509^4-B509^4))/(24*$B$3*1000000*$B$5)*1000,"")</f>
        <v/>
      </c>
      <c r="J509" s="120" t="str">
        <f>IF(COUNTA(A509:E509)=0,"",IF(AND(COUNT(B509:E509)=4,B509&gt;=0,C509&gt;B509,C509&lt;=$B$4,D509&gt;=0,E509&gt;0),IF(COUNTIFS($B$13:$B$508,"&lt;"&amp;C509,$C$13:$C$508,"&gt;"&amp;B509)&gt;0,"OVERLAP","OK"),"CHECK INPUTS"))</f>
        <v/>
      </c>
      <c r="M509" s="124"/>
      <c r="N509" s="125"/>
      <c r="O509" s="125"/>
      <c r="P509" s="125"/>
      <c r="Q509" s="125"/>
      <c r="R509" s="126" t="str">
        <f>IF(V509="OK",P509*Q509,"")</f>
        <v/>
      </c>
      <c r="S509" s="126" t="str">
        <f>IF(V509="OK",R509*(O509-N509),"")</f>
        <v/>
      </c>
      <c r="T509" s="126" t="str">
        <f>IF(V509="OK",S509*(O509+N509)/2,"")</f>
        <v/>
      </c>
      <c r="U509" s="126" t="str">
        <f>IF(AND(V509="OK",ISNUMBER($N$5),$N$5&gt;0,ISNUMBER($N$3),$N$3&gt;0),R509*(4*$N$4*(O509^3-N509^3)-(O509^4-N509^4))/(24*$N$3*1000000*$N$5)*1000,"")</f>
        <v/>
      </c>
      <c r="V509" s="120" t="str">
        <f>IF(COUNTA(M509:Q509)=0,"",IF(AND(COUNT(N509:Q509)=4,N509&gt;=0,O509&gt;N509,O509&lt;=$N$4,P509&gt;=0,Q509&gt;0),IF(COUNTIFS($N$13:$N$508,"&lt;"&amp;O509,$O$13:$O$508,"&gt;"&amp;N509)&gt;0,"OVERLAP","OK"),"CHECK INPUTS"))</f>
        <v/>
      </c>
      <c r="AA509" s="120">
        <f>IF(AND(J509="OK",ISNUMBER($B$5),$B$5&gt;0,ISNUMBER($B$3),$B$3&gt;0),F509/(6*$B$3*1000000*$B$5)*(IF(B509&lt;($B$4*0/10),($B$4*0/10)*(MIN(C509,($B$4*0/10))^3-B509^3)-(MIN(C509,($B$4*0/10))^4-B509^4)/4,0)+IF(C509&gt;($B$4*0/10),($B$4*0/10)^2*(1.5*(C509^2-MAX(B509,($B$4*0/10))^2)-($B$4*0/10)*(C509-MAX(B509,($B$4*0/10)))),0))*1000,0)</f>
        <v>0</v>
      </c>
      <c r="AB509" s="120">
        <f>IF(AND(J509="OK",ISNUMBER($B$5),$B$5&gt;0,ISNUMBER($B$3),$B$3&gt;0),F509/(6*$B$3*1000000*$B$5)*(IF(B509&lt;($B$4*1/10),($B$4*1/10)*(MIN(C509,($B$4*1/10))^3-B509^3)-(MIN(C509,($B$4*1/10))^4-B509^4)/4,0)+IF(C509&gt;($B$4*1/10),($B$4*1/10)^2*(1.5*(C509^2-MAX(B509,($B$4*1/10))^2)-($B$4*1/10)*(C509-MAX(B509,($B$4*1/10)))),0))*1000,0)</f>
        <v>0</v>
      </c>
      <c r="AC509" s="120">
        <f>IF(AND(J509="OK",ISNUMBER($B$5),$B$5&gt;0,ISNUMBER($B$3),$B$3&gt;0),F509/(6*$B$3*1000000*$B$5)*(IF(B509&lt;($B$4*2/10),($B$4*2/10)*(MIN(C509,($B$4*2/10))^3-B509^3)-(MIN(C509,($B$4*2/10))^4-B509^4)/4,0)+IF(C509&gt;($B$4*2/10),($B$4*2/10)^2*(1.5*(C509^2-MAX(B509,($B$4*2/10))^2)-($B$4*2/10)*(C509-MAX(B509,($B$4*2/10)))),0))*1000,0)</f>
        <v>0</v>
      </c>
      <c r="AD509" s="120">
        <f>IF(AND(J509="OK",ISNUMBER($B$5),$B$5&gt;0,ISNUMBER($B$3),$B$3&gt;0),F509/(6*$B$3*1000000*$B$5)*(IF(B509&lt;($B$4*3/10),($B$4*3/10)*(MIN(C509,($B$4*3/10))^3-B509^3)-(MIN(C509,($B$4*3/10))^4-B509^4)/4,0)+IF(C509&gt;($B$4*3/10),($B$4*3/10)^2*(1.5*(C509^2-MAX(B509,($B$4*3/10))^2)-($B$4*3/10)*(C509-MAX(B509,($B$4*3/10)))),0))*1000,0)</f>
        <v>0</v>
      </c>
      <c r="AE509" s="120">
        <f>IF(AND(J509="OK",ISNUMBER($B$5),$B$5&gt;0,ISNUMBER($B$3),$B$3&gt;0),F509/(6*$B$3*1000000*$B$5)*(IF(B509&lt;($B$4*4/10),($B$4*4/10)*(MIN(C509,($B$4*4/10))^3-B509^3)-(MIN(C509,($B$4*4/10))^4-B509^4)/4,0)+IF(C509&gt;($B$4*4/10),($B$4*4/10)^2*(1.5*(C509^2-MAX(B509,($B$4*4/10))^2)-($B$4*4/10)*(C509-MAX(B509,($B$4*4/10)))),0))*1000,0)</f>
        <v>0</v>
      </c>
      <c r="AF509" s="120">
        <f>IF(AND(J509="OK",ISNUMBER($B$5),$B$5&gt;0,ISNUMBER($B$3),$B$3&gt;0),F509/(6*$B$3*1000000*$B$5)*(IF(B509&lt;($B$4*5/10),($B$4*5/10)*(MIN(C509,($B$4*5/10))^3-B509^3)-(MIN(C509,($B$4*5/10))^4-B509^4)/4,0)+IF(C509&gt;($B$4*5/10),($B$4*5/10)^2*(1.5*(C509^2-MAX(B509,($B$4*5/10))^2)-($B$4*5/10)*(C509-MAX(B509,($B$4*5/10)))),0))*1000,0)</f>
        <v>0</v>
      </c>
      <c r="AG509" s="120">
        <f>IF(AND(J509="OK",ISNUMBER($B$5),$B$5&gt;0,ISNUMBER($B$3),$B$3&gt;0),F509/(6*$B$3*1000000*$B$5)*(IF(B509&lt;($B$4*6/10),($B$4*6/10)*(MIN(C509,($B$4*6/10))^3-B509^3)-(MIN(C509,($B$4*6/10))^4-B509^4)/4,0)+IF(C509&gt;($B$4*6/10),($B$4*6/10)^2*(1.5*(C509^2-MAX(B509,($B$4*6/10))^2)-($B$4*6/10)*(C509-MAX(B509,($B$4*6/10)))),0))*1000,0)</f>
        <v>0</v>
      </c>
      <c r="AH509" s="120">
        <f>IF(AND(J509="OK",ISNUMBER($B$5),$B$5&gt;0,ISNUMBER($B$3),$B$3&gt;0),F509/(6*$B$3*1000000*$B$5)*(IF(B509&lt;($B$4*7/10),($B$4*7/10)*(MIN(C509,($B$4*7/10))^3-B509^3)-(MIN(C509,($B$4*7/10))^4-B509^4)/4,0)+IF(C509&gt;($B$4*7/10),($B$4*7/10)^2*(1.5*(C509^2-MAX(B509,($B$4*7/10))^2)-($B$4*7/10)*(C509-MAX(B509,($B$4*7/10)))),0))*1000,0)</f>
        <v>0</v>
      </c>
      <c r="AI509" s="120">
        <f>IF(AND(J509="OK",ISNUMBER($B$5),$B$5&gt;0,ISNUMBER($B$3),$B$3&gt;0),F509/(6*$B$3*1000000*$B$5)*(IF(B509&lt;($B$4*8/10),($B$4*8/10)*(MIN(C509,($B$4*8/10))^3-B509^3)-(MIN(C509,($B$4*8/10))^4-B509^4)/4,0)+IF(C509&gt;($B$4*8/10),($B$4*8/10)^2*(1.5*(C509^2-MAX(B509,($B$4*8/10))^2)-($B$4*8/10)*(C509-MAX(B509,($B$4*8/10)))),0))*1000,0)</f>
        <v>0</v>
      </c>
      <c r="AJ509" s="120">
        <f>IF(AND(J509="OK",ISNUMBER($B$5),$B$5&gt;0,ISNUMBER($B$3),$B$3&gt;0),F509/(6*$B$3*1000000*$B$5)*(IF(B509&lt;($B$4*9/10),($B$4*9/10)*(MIN(C509,($B$4*9/10))^3-B509^3)-(MIN(C509,($B$4*9/10))^4-B509^4)/4,0)+IF(C509&gt;($B$4*9/10),($B$4*9/10)^2*(1.5*(C509^2-MAX(B509,($B$4*9/10))^2)-($B$4*9/10)*(C509-MAX(B509,($B$4*9/10)))),0))*1000,0)</f>
        <v>0</v>
      </c>
      <c r="AK509" s="120">
        <f>IF(AND(J509="OK",ISNUMBER($B$5),$B$5&gt;0,ISNUMBER($B$3),$B$3&gt;0),F509/(6*$B$3*1000000*$B$5)*(IF(B509&lt;($B$4*10/10),($B$4*10/10)*(MIN(C509,($B$4*10/10))^3-B509^3)-(MIN(C509,($B$4*10/10))^4-B509^4)/4,0)+IF(C509&gt;($B$4*10/10),($B$4*10/10)^2*(1.5*(C509^2-MAX(B509,($B$4*10/10))^2)-($B$4*10/10)*(C509-MAX(B509,($B$4*10/10)))),0))*1000,0)</f>
        <v>0</v>
      </c>
      <c r="AM509" s="120">
        <f>IF(AND(V509="OK",ISNUMBER($N$5),$N$5&gt;0,ISNUMBER($N$3),$N$3&gt;0),R509/(6*$N$3*1000000*$N$5)*(IF(N509&lt;($N$4*0/10),($N$4*0/10)*(MIN(O509,($N$4*0/10))^3-N509^3)-(MIN(O509,($N$4*0/10))^4-N509^4)/4,0)+IF(O509&gt;($N$4*0/10),($N$4*0/10)^2*(1.5*(O509^2-MAX(N509,($N$4*0/10))^2)-($N$4*0/10)*(O509-MAX(N509,($N$4*0/10)))),0))*1000,0)</f>
        <v>0</v>
      </c>
      <c r="AN509" s="120">
        <f>IF(AND(V509="OK",ISNUMBER($N$5),$N$5&gt;0,ISNUMBER($N$3),$N$3&gt;0),R509/(6*$N$3*1000000*$N$5)*(IF(N509&lt;($N$4*1/10),($N$4*1/10)*(MIN(O509,($N$4*1/10))^3-N509^3)-(MIN(O509,($N$4*1/10))^4-N509^4)/4,0)+IF(O509&gt;($N$4*1/10),($N$4*1/10)^2*(1.5*(O509^2-MAX(N509,($N$4*1/10))^2)-($N$4*1/10)*(O509-MAX(N509,($N$4*1/10)))),0))*1000,0)</f>
        <v>0</v>
      </c>
      <c r="AO509" s="120">
        <f>IF(AND(V509="OK",ISNUMBER($N$5),$N$5&gt;0,ISNUMBER($N$3),$N$3&gt;0),R509/(6*$N$3*1000000*$N$5)*(IF(N509&lt;($N$4*2/10),($N$4*2/10)*(MIN(O509,($N$4*2/10))^3-N509^3)-(MIN(O509,($N$4*2/10))^4-N509^4)/4,0)+IF(O509&gt;($N$4*2/10),($N$4*2/10)^2*(1.5*(O509^2-MAX(N509,($N$4*2/10))^2)-($N$4*2/10)*(O509-MAX(N509,($N$4*2/10)))),0))*1000,0)</f>
        <v>0</v>
      </c>
      <c r="AP509" s="120">
        <f>IF(AND(V509="OK",ISNUMBER($N$5),$N$5&gt;0,ISNUMBER($N$3),$N$3&gt;0),R509/(6*$N$3*1000000*$N$5)*(IF(N509&lt;($N$4*3/10),($N$4*3/10)*(MIN(O509,($N$4*3/10))^3-N509^3)-(MIN(O509,($N$4*3/10))^4-N509^4)/4,0)+IF(O509&gt;($N$4*3/10),($N$4*3/10)^2*(1.5*(O509^2-MAX(N509,($N$4*3/10))^2)-($N$4*3/10)*(O509-MAX(N509,($N$4*3/10)))),0))*1000,0)</f>
        <v>0</v>
      </c>
      <c r="AQ509" s="120">
        <f>IF(AND(V509="OK",ISNUMBER($N$5),$N$5&gt;0,ISNUMBER($N$3),$N$3&gt;0),R509/(6*$N$3*1000000*$N$5)*(IF(N509&lt;($N$4*4/10),($N$4*4/10)*(MIN(O509,($N$4*4/10))^3-N509^3)-(MIN(O509,($N$4*4/10))^4-N509^4)/4,0)+IF(O509&gt;($N$4*4/10),($N$4*4/10)^2*(1.5*(O509^2-MAX(N509,($N$4*4/10))^2)-($N$4*4/10)*(O509-MAX(N509,($N$4*4/10)))),0))*1000,0)</f>
        <v>0</v>
      </c>
      <c r="AR509" s="120">
        <f>IF(AND(V509="OK",ISNUMBER($N$5),$N$5&gt;0,ISNUMBER($N$3),$N$3&gt;0),R509/(6*$N$3*1000000*$N$5)*(IF(N509&lt;($N$4*5/10),($N$4*5/10)*(MIN(O509,($N$4*5/10))^3-N509^3)-(MIN(O509,($N$4*5/10))^4-N509^4)/4,0)+IF(O509&gt;($N$4*5/10),($N$4*5/10)^2*(1.5*(O509^2-MAX(N509,($N$4*5/10))^2)-($N$4*5/10)*(O509-MAX(N509,($N$4*5/10)))),0))*1000,0)</f>
        <v>0</v>
      </c>
      <c r="AS509" s="120">
        <f>IF(AND(V509="OK",ISNUMBER($N$5),$N$5&gt;0,ISNUMBER($N$3),$N$3&gt;0),R509/(6*$N$3*1000000*$N$5)*(IF(N509&lt;($N$4*6/10),($N$4*6/10)*(MIN(O509,($N$4*6/10))^3-N509^3)-(MIN(O509,($N$4*6/10))^4-N509^4)/4,0)+IF(O509&gt;($N$4*6/10),($N$4*6/10)^2*(1.5*(O509^2-MAX(N509,($N$4*6/10))^2)-($N$4*6/10)*(O509-MAX(N509,($N$4*6/10)))),0))*1000,0)</f>
        <v>0</v>
      </c>
      <c r="AT509" s="120">
        <f>IF(AND(V509="OK",ISNUMBER($N$5),$N$5&gt;0,ISNUMBER($N$3),$N$3&gt;0),R509/(6*$N$3*1000000*$N$5)*(IF(N509&lt;($N$4*7/10),($N$4*7/10)*(MIN(O509,($N$4*7/10))^3-N509^3)-(MIN(O509,($N$4*7/10))^4-N509^4)/4,0)+IF(O509&gt;($N$4*7/10),($N$4*7/10)^2*(1.5*(O509^2-MAX(N509,($N$4*7/10))^2)-($N$4*7/10)*(O509-MAX(N509,($N$4*7/10)))),0))*1000,0)</f>
        <v>0</v>
      </c>
      <c r="AU509" s="120">
        <f>IF(AND(V509="OK",ISNUMBER($N$5),$N$5&gt;0,ISNUMBER($N$3),$N$3&gt;0),R509/(6*$N$3*1000000*$N$5)*(IF(N509&lt;($N$4*8/10),($N$4*8/10)*(MIN(O509,($N$4*8/10))^3-N509^3)-(MIN(O509,($N$4*8/10))^4-N509^4)/4,0)+IF(O509&gt;($N$4*8/10),($N$4*8/10)^2*(1.5*(O509^2-MAX(N509,($N$4*8/10))^2)-($N$4*8/10)*(O509-MAX(N509,($N$4*8/10)))),0))*1000,0)</f>
        <v>0</v>
      </c>
      <c r="AV509" s="120">
        <f>IF(AND(V509="OK",ISNUMBER($N$5),$N$5&gt;0,ISNUMBER($N$3),$N$3&gt;0),R509/(6*$N$3*1000000*$N$5)*(IF(N509&lt;($N$4*9/10),($N$4*9/10)*(MIN(O509,($N$4*9/10))^3-N509^3)-(MIN(O509,($N$4*9/10))^4-N509^4)/4,0)+IF(O509&gt;($N$4*9/10),($N$4*9/10)^2*(1.5*(O509^2-MAX(N509,($N$4*9/10))^2)-($N$4*9/10)*(O509-MAX(N509,($N$4*9/10)))),0))*1000,0)</f>
        <v>0</v>
      </c>
      <c r="AW509" s="120">
        <f>IF(AND(V509="OK",ISNUMBER($N$5),$N$5&gt;0,ISNUMBER($N$3),$N$3&gt;0),R509/(6*$N$3*1000000*$N$5)*(IF(N509&lt;($N$4*10/10),($N$4*10/10)*(MIN(O509,($N$4*10/10))^3-N509^3)-(MIN(O509,($N$4*10/10))^4-N509^4)/4,0)+IF(O509&gt;($N$4*10/10),($N$4*10/10)^2*(1.5*(O509^2-MAX(N509,($N$4*10/10))^2)-($N$4*10/10)*(O509-MAX(N509,($N$4*10/10)))),0))*1000,0)</f>
        <v>0</v>
      </c>
    </row>
    <row r="510" spans="1:49">
      <c r="A510" s="124"/>
      <c r="B510" s="125"/>
      <c r="C510" s="125"/>
      <c r="D510" s="125"/>
      <c r="E510" s="125"/>
      <c r="F510" s="126" t="str">
        <f>IF(J510="OK",D510*E510,"")</f>
        <v/>
      </c>
      <c r="G510" s="126" t="str">
        <f>IF(J510="OK",F510*(C510-B510),"")</f>
        <v/>
      </c>
      <c r="H510" s="126" t="str">
        <f>IF(J510="OK",G510*(C510+B510)/2,"")</f>
        <v/>
      </c>
      <c r="I510" s="126" t="str">
        <f>IF(AND(J510="OK",ISNUMBER($B$5),$B$5&gt;0,ISNUMBER($B$3),$B$3&gt;0),F510*(4*$B$4*(C510^3-B510^3)-(C510^4-B510^4))/(24*$B$3*1000000*$B$5)*1000,"")</f>
        <v/>
      </c>
      <c r="J510" s="120" t="str">
        <f>IF(COUNTA(A510:E510)=0,"",IF(AND(COUNT(B510:E510)=4,B510&gt;=0,C510&gt;B510,C510&lt;=$B$4,D510&gt;=0,E510&gt;0),IF(COUNTIFS($B$13:$B$509,"&lt;"&amp;C510,$C$13:$C$509,"&gt;"&amp;B510)&gt;0,"OVERLAP","OK"),"CHECK INPUTS"))</f>
        <v/>
      </c>
      <c r="M510" s="124"/>
      <c r="N510" s="125"/>
      <c r="O510" s="125"/>
      <c r="P510" s="125"/>
      <c r="Q510" s="125"/>
      <c r="R510" s="126" t="str">
        <f>IF(V510="OK",P510*Q510,"")</f>
        <v/>
      </c>
      <c r="S510" s="126" t="str">
        <f>IF(V510="OK",R510*(O510-N510),"")</f>
        <v/>
      </c>
      <c r="T510" s="126" t="str">
        <f>IF(V510="OK",S510*(O510+N510)/2,"")</f>
        <v/>
      </c>
      <c r="U510" s="126" t="str">
        <f>IF(AND(V510="OK",ISNUMBER($N$5),$N$5&gt;0,ISNUMBER($N$3),$N$3&gt;0),R510*(4*$N$4*(O510^3-N510^3)-(O510^4-N510^4))/(24*$N$3*1000000*$N$5)*1000,"")</f>
        <v/>
      </c>
      <c r="V510" s="120" t="str">
        <f>IF(COUNTA(M510:Q510)=0,"",IF(AND(COUNT(N510:Q510)=4,N510&gt;=0,O510&gt;N510,O510&lt;=$N$4,P510&gt;=0,Q510&gt;0),IF(COUNTIFS($N$13:$N$509,"&lt;"&amp;O510,$O$13:$O$509,"&gt;"&amp;N510)&gt;0,"OVERLAP","OK"),"CHECK INPUTS"))</f>
        <v/>
      </c>
      <c r="AA510" s="120">
        <f>IF(AND(J510="OK",ISNUMBER($B$5),$B$5&gt;0,ISNUMBER($B$3),$B$3&gt;0),F510/(6*$B$3*1000000*$B$5)*(IF(B510&lt;($B$4*0/10),($B$4*0/10)*(MIN(C510,($B$4*0/10))^3-B510^3)-(MIN(C510,($B$4*0/10))^4-B510^4)/4,0)+IF(C510&gt;($B$4*0/10),($B$4*0/10)^2*(1.5*(C510^2-MAX(B510,($B$4*0/10))^2)-($B$4*0/10)*(C510-MAX(B510,($B$4*0/10)))),0))*1000,0)</f>
        <v>0</v>
      </c>
      <c r="AB510" s="120">
        <f>IF(AND(J510="OK",ISNUMBER($B$5),$B$5&gt;0,ISNUMBER($B$3),$B$3&gt;0),F510/(6*$B$3*1000000*$B$5)*(IF(B510&lt;($B$4*1/10),($B$4*1/10)*(MIN(C510,($B$4*1/10))^3-B510^3)-(MIN(C510,($B$4*1/10))^4-B510^4)/4,0)+IF(C510&gt;($B$4*1/10),($B$4*1/10)^2*(1.5*(C510^2-MAX(B510,($B$4*1/10))^2)-($B$4*1/10)*(C510-MAX(B510,($B$4*1/10)))),0))*1000,0)</f>
        <v>0</v>
      </c>
      <c r="AC510" s="120">
        <f>IF(AND(J510="OK",ISNUMBER($B$5),$B$5&gt;0,ISNUMBER($B$3),$B$3&gt;0),F510/(6*$B$3*1000000*$B$5)*(IF(B510&lt;($B$4*2/10),($B$4*2/10)*(MIN(C510,($B$4*2/10))^3-B510^3)-(MIN(C510,($B$4*2/10))^4-B510^4)/4,0)+IF(C510&gt;($B$4*2/10),($B$4*2/10)^2*(1.5*(C510^2-MAX(B510,($B$4*2/10))^2)-($B$4*2/10)*(C510-MAX(B510,($B$4*2/10)))),0))*1000,0)</f>
        <v>0</v>
      </c>
      <c r="AD510" s="120">
        <f>IF(AND(J510="OK",ISNUMBER($B$5),$B$5&gt;0,ISNUMBER($B$3),$B$3&gt;0),F510/(6*$B$3*1000000*$B$5)*(IF(B510&lt;($B$4*3/10),($B$4*3/10)*(MIN(C510,($B$4*3/10))^3-B510^3)-(MIN(C510,($B$4*3/10))^4-B510^4)/4,0)+IF(C510&gt;($B$4*3/10),($B$4*3/10)^2*(1.5*(C510^2-MAX(B510,($B$4*3/10))^2)-($B$4*3/10)*(C510-MAX(B510,($B$4*3/10)))),0))*1000,0)</f>
        <v>0</v>
      </c>
      <c r="AE510" s="120">
        <f>IF(AND(J510="OK",ISNUMBER($B$5),$B$5&gt;0,ISNUMBER($B$3),$B$3&gt;0),F510/(6*$B$3*1000000*$B$5)*(IF(B510&lt;($B$4*4/10),($B$4*4/10)*(MIN(C510,($B$4*4/10))^3-B510^3)-(MIN(C510,($B$4*4/10))^4-B510^4)/4,0)+IF(C510&gt;($B$4*4/10),($B$4*4/10)^2*(1.5*(C510^2-MAX(B510,($B$4*4/10))^2)-($B$4*4/10)*(C510-MAX(B510,($B$4*4/10)))),0))*1000,0)</f>
        <v>0</v>
      </c>
      <c r="AF510" s="120">
        <f>IF(AND(J510="OK",ISNUMBER($B$5),$B$5&gt;0,ISNUMBER($B$3),$B$3&gt;0),F510/(6*$B$3*1000000*$B$5)*(IF(B510&lt;($B$4*5/10),($B$4*5/10)*(MIN(C510,($B$4*5/10))^3-B510^3)-(MIN(C510,($B$4*5/10))^4-B510^4)/4,0)+IF(C510&gt;($B$4*5/10),($B$4*5/10)^2*(1.5*(C510^2-MAX(B510,($B$4*5/10))^2)-($B$4*5/10)*(C510-MAX(B510,($B$4*5/10)))),0))*1000,0)</f>
        <v>0</v>
      </c>
      <c r="AG510" s="120">
        <f>IF(AND(J510="OK",ISNUMBER($B$5),$B$5&gt;0,ISNUMBER($B$3),$B$3&gt;0),F510/(6*$B$3*1000000*$B$5)*(IF(B510&lt;($B$4*6/10),($B$4*6/10)*(MIN(C510,($B$4*6/10))^3-B510^3)-(MIN(C510,($B$4*6/10))^4-B510^4)/4,0)+IF(C510&gt;($B$4*6/10),($B$4*6/10)^2*(1.5*(C510^2-MAX(B510,($B$4*6/10))^2)-($B$4*6/10)*(C510-MAX(B510,($B$4*6/10)))),0))*1000,0)</f>
        <v>0</v>
      </c>
      <c r="AH510" s="120">
        <f>IF(AND(J510="OK",ISNUMBER($B$5),$B$5&gt;0,ISNUMBER($B$3),$B$3&gt;0),F510/(6*$B$3*1000000*$B$5)*(IF(B510&lt;($B$4*7/10),($B$4*7/10)*(MIN(C510,($B$4*7/10))^3-B510^3)-(MIN(C510,($B$4*7/10))^4-B510^4)/4,0)+IF(C510&gt;($B$4*7/10),($B$4*7/10)^2*(1.5*(C510^2-MAX(B510,($B$4*7/10))^2)-($B$4*7/10)*(C510-MAX(B510,($B$4*7/10)))),0))*1000,0)</f>
        <v>0</v>
      </c>
      <c r="AI510" s="120">
        <f>IF(AND(J510="OK",ISNUMBER($B$5),$B$5&gt;0,ISNUMBER($B$3),$B$3&gt;0),F510/(6*$B$3*1000000*$B$5)*(IF(B510&lt;($B$4*8/10),($B$4*8/10)*(MIN(C510,($B$4*8/10))^3-B510^3)-(MIN(C510,($B$4*8/10))^4-B510^4)/4,0)+IF(C510&gt;($B$4*8/10),($B$4*8/10)^2*(1.5*(C510^2-MAX(B510,($B$4*8/10))^2)-($B$4*8/10)*(C510-MAX(B510,($B$4*8/10)))),0))*1000,0)</f>
        <v>0</v>
      </c>
      <c r="AJ510" s="120">
        <f>IF(AND(J510="OK",ISNUMBER($B$5),$B$5&gt;0,ISNUMBER($B$3),$B$3&gt;0),F510/(6*$B$3*1000000*$B$5)*(IF(B510&lt;($B$4*9/10),($B$4*9/10)*(MIN(C510,($B$4*9/10))^3-B510^3)-(MIN(C510,($B$4*9/10))^4-B510^4)/4,0)+IF(C510&gt;($B$4*9/10),($B$4*9/10)^2*(1.5*(C510^2-MAX(B510,($B$4*9/10))^2)-($B$4*9/10)*(C510-MAX(B510,($B$4*9/10)))),0))*1000,0)</f>
        <v>0</v>
      </c>
      <c r="AK510" s="120">
        <f>IF(AND(J510="OK",ISNUMBER($B$5),$B$5&gt;0,ISNUMBER($B$3),$B$3&gt;0),F510/(6*$B$3*1000000*$B$5)*(IF(B510&lt;($B$4*10/10),($B$4*10/10)*(MIN(C510,($B$4*10/10))^3-B510^3)-(MIN(C510,($B$4*10/10))^4-B510^4)/4,0)+IF(C510&gt;($B$4*10/10),($B$4*10/10)^2*(1.5*(C510^2-MAX(B510,($B$4*10/10))^2)-($B$4*10/10)*(C510-MAX(B510,($B$4*10/10)))),0))*1000,0)</f>
        <v>0</v>
      </c>
      <c r="AM510" s="120">
        <f>IF(AND(V510="OK",ISNUMBER($N$5),$N$5&gt;0,ISNUMBER($N$3),$N$3&gt;0),R510/(6*$N$3*1000000*$N$5)*(IF(N510&lt;($N$4*0/10),($N$4*0/10)*(MIN(O510,($N$4*0/10))^3-N510^3)-(MIN(O510,($N$4*0/10))^4-N510^4)/4,0)+IF(O510&gt;($N$4*0/10),($N$4*0/10)^2*(1.5*(O510^2-MAX(N510,($N$4*0/10))^2)-($N$4*0/10)*(O510-MAX(N510,($N$4*0/10)))),0))*1000,0)</f>
        <v>0</v>
      </c>
      <c r="AN510" s="120">
        <f>IF(AND(V510="OK",ISNUMBER($N$5),$N$5&gt;0,ISNUMBER($N$3),$N$3&gt;0),R510/(6*$N$3*1000000*$N$5)*(IF(N510&lt;($N$4*1/10),($N$4*1/10)*(MIN(O510,($N$4*1/10))^3-N510^3)-(MIN(O510,($N$4*1/10))^4-N510^4)/4,0)+IF(O510&gt;($N$4*1/10),($N$4*1/10)^2*(1.5*(O510^2-MAX(N510,($N$4*1/10))^2)-($N$4*1/10)*(O510-MAX(N510,($N$4*1/10)))),0))*1000,0)</f>
        <v>0</v>
      </c>
      <c r="AO510" s="120">
        <f>IF(AND(V510="OK",ISNUMBER($N$5),$N$5&gt;0,ISNUMBER($N$3),$N$3&gt;0),R510/(6*$N$3*1000000*$N$5)*(IF(N510&lt;($N$4*2/10),($N$4*2/10)*(MIN(O510,($N$4*2/10))^3-N510^3)-(MIN(O510,($N$4*2/10))^4-N510^4)/4,0)+IF(O510&gt;($N$4*2/10),($N$4*2/10)^2*(1.5*(O510^2-MAX(N510,($N$4*2/10))^2)-($N$4*2/10)*(O510-MAX(N510,($N$4*2/10)))),0))*1000,0)</f>
        <v>0</v>
      </c>
      <c r="AP510" s="120">
        <f>IF(AND(V510="OK",ISNUMBER($N$5),$N$5&gt;0,ISNUMBER($N$3),$N$3&gt;0),R510/(6*$N$3*1000000*$N$5)*(IF(N510&lt;($N$4*3/10),($N$4*3/10)*(MIN(O510,($N$4*3/10))^3-N510^3)-(MIN(O510,($N$4*3/10))^4-N510^4)/4,0)+IF(O510&gt;($N$4*3/10),($N$4*3/10)^2*(1.5*(O510^2-MAX(N510,($N$4*3/10))^2)-($N$4*3/10)*(O510-MAX(N510,($N$4*3/10)))),0))*1000,0)</f>
        <v>0</v>
      </c>
      <c r="AQ510" s="120">
        <f>IF(AND(V510="OK",ISNUMBER($N$5),$N$5&gt;0,ISNUMBER($N$3),$N$3&gt;0),R510/(6*$N$3*1000000*$N$5)*(IF(N510&lt;($N$4*4/10),($N$4*4/10)*(MIN(O510,($N$4*4/10))^3-N510^3)-(MIN(O510,($N$4*4/10))^4-N510^4)/4,0)+IF(O510&gt;($N$4*4/10),($N$4*4/10)^2*(1.5*(O510^2-MAX(N510,($N$4*4/10))^2)-($N$4*4/10)*(O510-MAX(N510,($N$4*4/10)))),0))*1000,0)</f>
        <v>0</v>
      </c>
      <c r="AR510" s="120">
        <f>IF(AND(V510="OK",ISNUMBER($N$5),$N$5&gt;0,ISNUMBER($N$3),$N$3&gt;0),R510/(6*$N$3*1000000*$N$5)*(IF(N510&lt;($N$4*5/10),($N$4*5/10)*(MIN(O510,($N$4*5/10))^3-N510^3)-(MIN(O510,($N$4*5/10))^4-N510^4)/4,0)+IF(O510&gt;($N$4*5/10),($N$4*5/10)^2*(1.5*(O510^2-MAX(N510,($N$4*5/10))^2)-($N$4*5/10)*(O510-MAX(N510,($N$4*5/10)))),0))*1000,0)</f>
        <v>0</v>
      </c>
      <c r="AS510" s="120">
        <f>IF(AND(V510="OK",ISNUMBER($N$5),$N$5&gt;0,ISNUMBER($N$3),$N$3&gt;0),R510/(6*$N$3*1000000*$N$5)*(IF(N510&lt;($N$4*6/10),($N$4*6/10)*(MIN(O510,($N$4*6/10))^3-N510^3)-(MIN(O510,($N$4*6/10))^4-N510^4)/4,0)+IF(O510&gt;($N$4*6/10),($N$4*6/10)^2*(1.5*(O510^2-MAX(N510,($N$4*6/10))^2)-($N$4*6/10)*(O510-MAX(N510,($N$4*6/10)))),0))*1000,0)</f>
        <v>0</v>
      </c>
      <c r="AT510" s="120">
        <f>IF(AND(V510="OK",ISNUMBER($N$5),$N$5&gt;0,ISNUMBER($N$3),$N$3&gt;0),R510/(6*$N$3*1000000*$N$5)*(IF(N510&lt;($N$4*7/10),($N$4*7/10)*(MIN(O510,($N$4*7/10))^3-N510^3)-(MIN(O510,($N$4*7/10))^4-N510^4)/4,0)+IF(O510&gt;($N$4*7/10),($N$4*7/10)^2*(1.5*(O510^2-MAX(N510,($N$4*7/10))^2)-($N$4*7/10)*(O510-MAX(N510,($N$4*7/10)))),0))*1000,0)</f>
        <v>0</v>
      </c>
      <c r="AU510" s="120">
        <f>IF(AND(V510="OK",ISNUMBER($N$5),$N$5&gt;0,ISNUMBER($N$3),$N$3&gt;0),R510/(6*$N$3*1000000*$N$5)*(IF(N510&lt;($N$4*8/10),($N$4*8/10)*(MIN(O510,($N$4*8/10))^3-N510^3)-(MIN(O510,($N$4*8/10))^4-N510^4)/4,0)+IF(O510&gt;($N$4*8/10),($N$4*8/10)^2*(1.5*(O510^2-MAX(N510,($N$4*8/10))^2)-($N$4*8/10)*(O510-MAX(N510,($N$4*8/10)))),0))*1000,0)</f>
        <v>0</v>
      </c>
      <c r="AV510" s="120">
        <f>IF(AND(V510="OK",ISNUMBER($N$5),$N$5&gt;0,ISNUMBER($N$3),$N$3&gt;0),R510/(6*$N$3*1000000*$N$5)*(IF(N510&lt;($N$4*9/10),($N$4*9/10)*(MIN(O510,($N$4*9/10))^3-N510^3)-(MIN(O510,($N$4*9/10))^4-N510^4)/4,0)+IF(O510&gt;($N$4*9/10),($N$4*9/10)^2*(1.5*(O510^2-MAX(N510,($N$4*9/10))^2)-($N$4*9/10)*(O510-MAX(N510,($N$4*9/10)))),0))*1000,0)</f>
        <v>0</v>
      </c>
      <c r="AW510" s="120">
        <f>IF(AND(V510="OK",ISNUMBER($N$5),$N$5&gt;0,ISNUMBER($N$3),$N$3&gt;0),R510/(6*$N$3*1000000*$N$5)*(IF(N510&lt;($N$4*10/10),($N$4*10/10)*(MIN(O510,($N$4*10/10))^3-N510^3)-(MIN(O510,($N$4*10/10))^4-N510^4)/4,0)+IF(O510&gt;($N$4*10/10),($N$4*10/10)^2*(1.5*(O510^2-MAX(N510,($N$4*10/10))^2)-($N$4*10/10)*(O510-MAX(N510,($N$4*10/10)))),0))*1000,0)</f>
        <v>0</v>
      </c>
    </row>
    <row r="511" spans="1:49">
      <c r="A511" s="124"/>
      <c r="B511" s="125"/>
      <c r="C511" s="125"/>
      <c r="D511" s="125"/>
      <c r="E511" s="125"/>
      <c r="F511" s="126" t="str">
        <f>IF(J511="OK",D511*E511,"")</f>
        <v/>
      </c>
      <c r="G511" s="126" t="str">
        <f>IF(J511="OK",F511*(C511-B511),"")</f>
        <v/>
      </c>
      <c r="H511" s="126" t="str">
        <f>IF(J511="OK",G511*(C511+B511)/2,"")</f>
        <v/>
      </c>
      <c r="I511" s="126" t="str">
        <f>IF(AND(J511="OK",ISNUMBER($B$5),$B$5&gt;0,ISNUMBER($B$3),$B$3&gt;0),F511*(4*$B$4*(C511^3-B511^3)-(C511^4-B511^4))/(24*$B$3*1000000*$B$5)*1000,"")</f>
        <v/>
      </c>
      <c r="J511" s="120" t="str">
        <f>IF(COUNTA(A511:E511)=0,"",IF(AND(COUNT(B511:E511)=4,B511&gt;=0,C511&gt;B511,C511&lt;=$B$4,D511&gt;=0,E511&gt;0),IF(COUNTIFS($B$13:$B$510,"&lt;"&amp;C511,$C$13:$C$510,"&gt;"&amp;B511)&gt;0,"OVERLAP","OK"),"CHECK INPUTS"))</f>
        <v/>
      </c>
      <c r="M511" s="124"/>
      <c r="N511" s="125"/>
      <c r="O511" s="125"/>
      <c r="P511" s="125"/>
      <c r="Q511" s="125"/>
      <c r="R511" s="126" t="str">
        <f>IF(V511="OK",P511*Q511,"")</f>
        <v/>
      </c>
      <c r="S511" s="126" t="str">
        <f>IF(V511="OK",R511*(O511-N511),"")</f>
        <v/>
      </c>
      <c r="T511" s="126" t="str">
        <f>IF(V511="OK",S511*(O511+N511)/2,"")</f>
        <v/>
      </c>
      <c r="U511" s="126" t="str">
        <f>IF(AND(V511="OK",ISNUMBER($N$5),$N$5&gt;0,ISNUMBER($N$3),$N$3&gt;0),R511*(4*$N$4*(O511^3-N511^3)-(O511^4-N511^4))/(24*$N$3*1000000*$N$5)*1000,"")</f>
        <v/>
      </c>
      <c r="V511" s="120" t="str">
        <f>IF(COUNTA(M511:Q511)=0,"",IF(AND(COUNT(N511:Q511)=4,N511&gt;=0,O511&gt;N511,O511&lt;=$N$4,P511&gt;=0,Q511&gt;0),IF(COUNTIFS($N$13:$N$510,"&lt;"&amp;O511,$O$13:$O$510,"&gt;"&amp;N511)&gt;0,"OVERLAP","OK"),"CHECK INPUTS"))</f>
        <v/>
      </c>
      <c r="AA511" s="120">
        <f>IF(AND(J511="OK",ISNUMBER($B$5),$B$5&gt;0,ISNUMBER($B$3),$B$3&gt;0),F511/(6*$B$3*1000000*$B$5)*(IF(B511&lt;($B$4*0/10),($B$4*0/10)*(MIN(C511,($B$4*0/10))^3-B511^3)-(MIN(C511,($B$4*0/10))^4-B511^4)/4,0)+IF(C511&gt;($B$4*0/10),($B$4*0/10)^2*(1.5*(C511^2-MAX(B511,($B$4*0/10))^2)-($B$4*0/10)*(C511-MAX(B511,($B$4*0/10)))),0))*1000,0)</f>
        <v>0</v>
      </c>
      <c r="AB511" s="120">
        <f>IF(AND(J511="OK",ISNUMBER($B$5),$B$5&gt;0,ISNUMBER($B$3),$B$3&gt;0),F511/(6*$B$3*1000000*$B$5)*(IF(B511&lt;($B$4*1/10),($B$4*1/10)*(MIN(C511,($B$4*1/10))^3-B511^3)-(MIN(C511,($B$4*1/10))^4-B511^4)/4,0)+IF(C511&gt;($B$4*1/10),($B$4*1/10)^2*(1.5*(C511^2-MAX(B511,($B$4*1/10))^2)-($B$4*1/10)*(C511-MAX(B511,($B$4*1/10)))),0))*1000,0)</f>
        <v>0</v>
      </c>
      <c r="AC511" s="120">
        <f>IF(AND(J511="OK",ISNUMBER($B$5),$B$5&gt;0,ISNUMBER($B$3),$B$3&gt;0),F511/(6*$B$3*1000000*$B$5)*(IF(B511&lt;($B$4*2/10),($B$4*2/10)*(MIN(C511,($B$4*2/10))^3-B511^3)-(MIN(C511,($B$4*2/10))^4-B511^4)/4,0)+IF(C511&gt;($B$4*2/10),($B$4*2/10)^2*(1.5*(C511^2-MAX(B511,($B$4*2/10))^2)-($B$4*2/10)*(C511-MAX(B511,($B$4*2/10)))),0))*1000,0)</f>
        <v>0</v>
      </c>
      <c r="AD511" s="120">
        <f>IF(AND(J511="OK",ISNUMBER($B$5),$B$5&gt;0,ISNUMBER($B$3),$B$3&gt;0),F511/(6*$B$3*1000000*$B$5)*(IF(B511&lt;($B$4*3/10),($B$4*3/10)*(MIN(C511,($B$4*3/10))^3-B511^3)-(MIN(C511,($B$4*3/10))^4-B511^4)/4,0)+IF(C511&gt;($B$4*3/10),($B$4*3/10)^2*(1.5*(C511^2-MAX(B511,($B$4*3/10))^2)-($B$4*3/10)*(C511-MAX(B511,($B$4*3/10)))),0))*1000,0)</f>
        <v>0</v>
      </c>
      <c r="AE511" s="120">
        <f>IF(AND(J511="OK",ISNUMBER($B$5),$B$5&gt;0,ISNUMBER($B$3),$B$3&gt;0),F511/(6*$B$3*1000000*$B$5)*(IF(B511&lt;($B$4*4/10),($B$4*4/10)*(MIN(C511,($B$4*4/10))^3-B511^3)-(MIN(C511,($B$4*4/10))^4-B511^4)/4,0)+IF(C511&gt;($B$4*4/10),($B$4*4/10)^2*(1.5*(C511^2-MAX(B511,($B$4*4/10))^2)-($B$4*4/10)*(C511-MAX(B511,($B$4*4/10)))),0))*1000,0)</f>
        <v>0</v>
      </c>
      <c r="AF511" s="120">
        <f>IF(AND(J511="OK",ISNUMBER($B$5),$B$5&gt;0,ISNUMBER($B$3),$B$3&gt;0),F511/(6*$B$3*1000000*$B$5)*(IF(B511&lt;($B$4*5/10),($B$4*5/10)*(MIN(C511,($B$4*5/10))^3-B511^3)-(MIN(C511,($B$4*5/10))^4-B511^4)/4,0)+IF(C511&gt;($B$4*5/10),($B$4*5/10)^2*(1.5*(C511^2-MAX(B511,($B$4*5/10))^2)-($B$4*5/10)*(C511-MAX(B511,($B$4*5/10)))),0))*1000,0)</f>
        <v>0</v>
      </c>
      <c r="AG511" s="120">
        <f>IF(AND(J511="OK",ISNUMBER($B$5),$B$5&gt;0,ISNUMBER($B$3),$B$3&gt;0),F511/(6*$B$3*1000000*$B$5)*(IF(B511&lt;($B$4*6/10),($B$4*6/10)*(MIN(C511,($B$4*6/10))^3-B511^3)-(MIN(C511,($B$4*6/10))^4-B511^4)/4,0)+IF(C511&gt;($B$4*6/10),($B$4*6/10)^2*(1.5*(C511^2-MAX(B511,($B$4*6/10))^2)-($B$4*6/10)*(C511-MAX(B511,($B$4*6/10)))),0))*1000,0)</f>
        <v>0</v>
      </c>
      <c r="AH511" s="120">
        <f>IF(AND(J511="OK",ISNUMBER($B$5),$B$5&gt;0,ISNUMBER($B$3),$B$3&gt;0),F511/(6*$B$3*1000000*$B$5)*(IF(B511&lt;($B$4*7/10),($B$4*7/10)*(MIN(C511,($B$4*7/10))^3-B511^3)-(MIN(C511,($B$4*7/10))^4-B511^4)/4,0)+IF(C511&gt;($B$4*7/10),($B$4*7/10)^2*(1.5*(C511^2-MAX(B511,($B$4*7/10))^2)-($B$4*7/10)*(C511-MAX(B511,($B$4*7/10)))),0))*1000,0)</f>
        <v>0</v>
      </c>
      <c r="AI511" s="120">
        <f>IF(AND(J511="OK",ISNUMBER($B$5),$B$5&gt;0,ISNUMBER($B$3),$B$3&gt;0),F511/(6*$B$3*1000000*$B$5)*(IF(B511&lt;($B$4*8/10),($B$4*8/10)*(MIN(C511,($B$4*8/10))^3-B511^3)-(MIN(C511,($B$4*8/10))^4-B511^4)/4,0)+IF(C511&gt;($B$4*8/10),($B$4*8/10)^2*(1.5*(C511^2-MAX(B511,($B$4*8/10))^2)-($B$4*8/10)*(C511-MAX(B511,($B$4*8/10)))),0))*1000,0)</f>
        <v>0</v>
      </c>
      <c r="AJ511" s="120">
        <f>IF(AND(J511="OK",ISNUMBER($B$5),$B$5&gt;0,ISNUMBER($B$3),$B$3&gt;0),F511/(6*$B$3*1000000*$B$5)*(IF(B511&lt;($B$4*9/10),($B$4*9/10)*(MIN(C511,($B$4*9/10))^3-B511^3)-(MIN(C511,($B$4*9/10))^4-B511^4)/4,0)+IF(C511&gt;($B$4*9/10),($B$4*9/10)^2*(1.5*(C511^2-MAX(B511,($B$4*9/10))^2)-($B$4*9/10)*(C511-MAX(B511,($B$4*9/10)))),0))*1000,0)</f>
        <v>0</v>
      </c>
      <c r="AK511" s="120">
        <f>IF(AND(J511="OK",ISNUMBER($B$5),$B$5&gt;0,ISNUMBER($B$3),$B$3&gt;0),F511/(6*$B$3*1000000*$B$5)*(IF(B511&lt;($B$4*10/10),($B$4*10/10)*(MIN(C511,($B$4*10/10))^3-B511^3)-(MIN(C511,($B$4*10/10))^4-B511^4)/4,0)+IF(C511&gt;($B$4*10/10),($B$4*10/10)^2*(1.5*(C511^2-MAX(B511,($B$4*10/10))^2)-($B$4*10/10)*(C511-MAX(B511,($B$4*10/10)))),0))*1000,0)</f>
        <v>0</v>
      </c>
      <c r="AM511" s="120">
        <f>IF(AND(V511="OK",ISNUMBER($N$5),$N$5&gt;0,ISNUMBER($N$3),$N$3&gt;0),R511/(6*$N$3*1000000*$N$5)*(IF(N511&lt;($N$4*0/10),($N$4*0/10)*(MIN(O511,($N$4*0/10))^3-N511^3)-(MIN(O511,($N$4*0/10))^4-N511^4)/4,0)+IF(O511&gt;($N$4*0/10),($N$4*0/10)^2*(1.5*(O511^2-MAX(N511,($N$4*0/10))^2)-($N$4*0/10)*(O511-MAX(N511,($N$4*0/10)))),0))*1000,0)</f>
        <v>0</v>
      </c>
      <c r="AN511" s="120">
        <f>IF(AND(V511="OK",ISNUMBER($N$5),$N$5&gt;0,ISNUMBER($N$3),$N$3&gt;0),R511/(6*$N$3*1000000*$N$5)*(IF(N511&lt;($N$4*1/10),($N$4*1/10)*(MIN(O511,($N$4*1/10))^3-N511^3)-(MIN(O511,($N$4*1/10))^4-N511^4)/4,0)+IF(O511&gt;($N$4*1/10),($N$4*1/10)^2*(1.5*(O511^2-MAX(N511,($N$4*1/10))^2)-($N$4*1/10)*(O511-MAX(N511,($N$4*1/10)))),0))*1000,0)</f>
        <v>0</v>
      </c>
      <c r="AO511" s="120">
        <f>IF(AND(V511="OK",ISNUMBER($N$5),$N$5&gt;0,ISNUMBER($N$3),$N$3&gt;0),R511/(6*$N$3*1000000*$N$5)*(IF(N511&lt;($N$4*2/10),($N$4*2/10)*(MIN(O511,($N$4*2/10))^3-N511^3)-(MIN(O511,($N$4*2/10))^4-N511^4)/4,0)+IF(O511&gt;($N$4*2/10),($N$4*2/10)^2*(1.5*(O511^2-MAX(N511,($N$4*2/10))^2)-($N$4*2/10)*(O511-MAX(N511,($N$4*2/10)))),0))*1000,0)</f>
        <v>0</v>
      </c>
      <c r="AP511" s="120">
        <f>IF(AND(V511="OK",ISNUMBER($N$5),$N$5&gt;0,ISNUMBER($N$3),$N$3&gt;0),R511/(6*$N$3*1000000*$N$5)*(IF(N511&lt;($N$4*3/10),($N$4*3/10)*(MIN(O511,($N$4*3/10))^3-N511^3)-(MIN(O511,($N$4*3/10))^4-N511^4)/4,0)+IF(O511&gt;($N$4*3/10),($N$4*3/10)^2*(1.5*(O511^2-MAX(N511,($N$4*3/10))^2)-($N$4*3/10)*(O511-MAX(N511,($N$4*3/10)))),0))*1000,0)</f>
        <v>0</v>
      </c>
      <c r="AQ511" s="120">
        <f>IF(AND(V511="OK",ISNUMBER($N$5),$N$5&gt;0,ISNUMBER($N$3),$N$3&gt;0),R511/(6*$N$3*1000000*$N$5)*(IF(N511&lt;($N$4*4/10),($N$4*4/10)*(MIN(O511,($N$4*4/10))^3-N511^3)-(MIN(O511,($N$4*4/10))^4-N511^4)/4,0)+IF(O511&gt;($N$4*4/10),($N$4*4/10)^2*(1.5*(O511^2-MAX(N511,($N$4*4/10))^2)-($N$4*4/10)*(O511-MAX(N511,($N$4*4/10)))),0))*1000,0)</f>
        <v>0</v>
      </c>
      <c r="AR511" s="120">
        <f>IF(AND(V511="OK",ISNUMBER($N$5),$N$5&gt;0,ISNUMBER($N$3),$N$3&gt;0),R511/(6*$N$3*1000000*$N$5)*(IF(N511&lt;($N$4*5/10),($N$4*5/10)*(MIN(O511,($N$4*5/10))^3-N511^3)-(MIN(O511,($N$4*5/10))^4-N511^4)/4,0)+IF(O511&gt;($N$4*5/10),($N$4*5/10)^2*(1.5*(O511^2-MAX(N511,($N$4*5/10))^2)-($N$4*5/10)*(O511-MAX(N511,($N$4*5/10)))),0))*1000,0)</f>
        <v>0</v>
      </c>
      <c r="AS511" s="120">
        <f>IF(AND(V511="OK",ISNUMBER($N$5),$N$5&gt;0,ISNUMBER($N$3),$N$3&gt;0),R511/(6*$N$3*1000000*$N$5)*(IF(N511&lt;($N$4*6/10),($N$4*6/10)*(MIN(O511,($N$4*6/10))^3-N511^3)-(MIN(O511,($N$4*6/10))^4-N511^4)/4,0)+IF(O511&gt;($N$4*6/10),($N$4*6/10)^2*(1.5*(O511^2-MAX(N511,($N$4*6/10))^2)-($N$4*6/10)*(O511-MAX(N511,($N$4*6/10)))),0))*1000,0)</f>
        <v>0</v>
      </c>
      <c r="AT511" s="120">
        <f>IF(AND(V511="OK",ISNUMBER($N$5),$N$5&gt;0,ISNUMBER($N$3),$N$3&gt;0),R511/(6*$N$3*1000000*$N$5)*(IF(N511&lt;($N$4*7/10),($N$4*7/10)*(MIN(O511,($N$4*7/10))^3-N511^3)-(MIN(O511,($N$4*7/10))^4-N511^4)/4,0)+IF(O511&gt;($N$4*7/10),($N$4*7/10)^2*(1.5*(O511^2-MAX(N511,($N$4*7/10))^2)-($N$4*7/10)*(O511-MAX(N511,($N$4*7/10)))),0))*1000,0)</f>
        <v>0</v>
      </c>
      <c r="AU511" s="120">
        <f>IF(AND(V511="OK",ISNUMBER($N$5),$N$5&gt;0,ISNUMBER($N$3),$N$3&gt;0),R511/(6*$N$3*1000000*$N$5)*(IF(N511&lt;($N$4*8/10),($N$4*8/10)*(MIN(O511,($N$4*8/10))^3-N511^3)-(MIN(O511,($N$4*8/10))^4-N511^4)/4,0)+IF(O511&gt;($N$4*8/10),($N$4*8/10)^2*(1.5*(O511^2-MAX(N511,($N$4*8/10))^2)-($N$4*8/10)*(O511-MAX(N511,($N$4*8/10)))),0))*1000,0)</f>
        <v>0</v>
      </c>
      <c r="AV511" s="120">
        <f>IF(AND(V511="OK",ISNUMBER($N$5),$N$5&gt;0,ISNUMBER($N$3),$N$3&gt;0),R511/(6*$N$3*1000000*$N$5)*(IF(N511&lt;($N$4*9/10),($N$4*9/10)*(MIN(O511,($N$4*9/10))^3-N511^3)-(MIN(O511,($N$4*9/10))^4-N511^4)/4,0)+IF(O511&gt;($N$4*9/10),($N$4*9/10)^2*(1.5*(O511^2-MAX(N511,($N$4*9/10))^2)-($N$4*9/10)*(O511-MAX(N511,($N$4*9/10)))),0))*1000,0)</f>
        <v>0</v>
      </c>
      <c r="AW511" s="120">
        <f>IF(AND(V511="OK",ISNUMBER($N$5),$N$5&gt;0,ISNUMBER($N$3),$N$3&gt;0),R511/(6*$N$3*1000000*$N$5)*(IF(N511&lt;($N$4*10/10),($N$4*10/10)*(MIN(O511,($N$4*10/10))^3-N511^3)-(MIN(O511,($N$4*10/10))^4-N511^4)/4,0)+IF(O511&gt;($N$4*10/10),($N$4*10/10)^2*(1.5*(O511^2-MAX(N511,($N$4*10/10))^2)-($N$4*10/10)*(O511-MAX(N511,($N$4*10/10)))),0))*1000,0)</f>
        <v>0</v>
      </c>
    </row>
    <row r="512" spans="1:49">
      <c r="A512" s="124"/>
      <c r="B512" s="125"/>
      <c r="C512" s="125"/>
      <c r="D512" s="125"/>
      <c r="E512" s="125"/>
      <c r="F512" s="126" t="str">
        <f>IF(J512="OK",D512*E512,"")</f>
        <v/>
      </c>
      <c r="G512" s="126" t="str">
        <f>IF(J512="OK",F512*(C512-B512),"")</f>
        <v/>
      </c>
      <c r="H512" s="126" t="str">
        <f>IF(J512="OK",G512*(C512+B512)/2,"")</f>
        <v/>
      </c>
      <c r="I512" s="126" t="str">
        <f>IF(AND(J512="OK",ISNUMBER($B$5),$B$5&gt;0,ISNUMBER($B$3),$B$3&gt;0),F512*(4*$B$4*(C512^3-B512^3)-(C512^4-B512^4))/(24*$B$3*1000000*$B$5)*1000,"")</f>
        <v/>
      </c>
      <c r="J512" s="120" t="str">
        <f>IF(COUNTA(A512:E512)=0,"",IF(AND(COUNT(B512:E512)=4,B512&gt;=0,C512&gt;B512,C512&lt;=$B$4,D512&gt;=0,E512&gt;0),IF(COUNTIFS($B$13:$B$511,"&lt;"&amp;C512,$C$13:$C$511,"&gt;"&amp;B512)&gt;0,"OVERLAP","OK"),"CHECK INPUTS"))</f>
        <v/>
      </c>
      <c r="M512" s="124"/>
      <c r="N512" s="125"/>
      <c r="O512" s="125"/>
      <c r="P512" s="125"/>
      <c r="Q512" s="125"/>
      <c r="R512" s="126" t="str">
        <f>IF(V512="OK",P512*Q512,"")</f>
        <v/>
      </c>
      <c r="S512" s="126" t="str">
        <f>IF(V512="OK",R512*(O512-N512),"")</f>
        <v/>
      </c>
      <c r="T512" s="126" t="str">
        <f>IF(V512="OK",S512*(O512+N512)/2,"")</f>
        <v/>
      </c>
      <c r="U512" s="126" t="str">
        <f>IF(AND(V512="OK",ISNUMBER($N$5),$N$5&gt;0,ISNUMBER($N$3),$N$3&gt;0),R512*(4*$N$4*(O512^3-N512^3)-(O512^4-N512^4))/(24*$N$3*1000000*$N$5)*1000,"")</f>
        <v/>
      </c>
      <c r="V512" s="120" t="str">
        <f>IF(COUNTA(M512:Q512)=0,"",IF(AND(COUNT(N512:Q512)=4,N512&gt;=0,O512&gt;N512,O512&lt;=$N$4,P512&gt;=0,Q512&gt;0),IF(COUNTIFS($N$13:$N$511,"&lt;"&amp;O512,$O$13:$O$511,"&gt;"&amp;N512)&gt;0,"OVERLAP","OK"),"CHECK INPUTS"))</f>
        <v/>
      </c>
      <c r="AA512" s="120">
        <f>IF(AND(J512="OK",ISNUMBER($B$5),$B$5&gt;0,ISNUMBER($B$3),$B$3&gt;0),F512/(6*$B$3*1000000*$B$5)*(IF(B512&lt;($B$4*0/10),($B$4*0/10)*(MIN(C512,($B$4*0/10))^3-B512^3)-(MIN(C512,($B$4*0/10))^4-B512^4)/4,0)+IF(C512&gt;($B$4*0/10),($B$4*0/10)^2*(1.5*(C512^2-MAX(B512,($B$4*0/10))^2)-($B$4*0/10)*(C512-MAX(B512,($B$4*0/10)))),0))*1000,0)</f>
        <v>0</v>
      </c>
      <c r="AB512" s="120">
        <f>IF(AND(J512="OK",ISNUMBER($B$5),$B$5&gt;0,ISNUMBER($B$3),$B$3&gt;0),F512/(6*$B$3*1000000*$B$5)*(IF(B512&lt;($B$4*1/10),($B$4*1/10)*(MIN(C512,($B$4*1/10))^3-B512^3)-(MIN(C512,($B$4*1/10))^4-B512^4)/4,0)+IF(C512&gt;($B$4*1/10),($B$4*1/10)^2*(1.5*(C512^2-MAX(B512,($B$4*1/10))^2)-($B$4*1/10)*(C512-MAX(B512,($B$4*1/10)))),0))*1000,0)</f>
        <v>0</v>
      </c>
      <c r="AC512" s="120">
        <f>IF(AND(J512="OK",ISNUMBER($B$5),$B$5&gt;0,ISNUMBER($B$3),$B$3&gt;0),F512/(6*$B$3*1000000*$B$5)*(IF(B512&lt;($B$4*2/10),($B$4*2/10)*(MIN(C512,($B$4*2/10))^3-B512^3)-(MIN(C512,($B$4*2/10))^4-B512^4)/4,0)+IF(C512&gt;($B$4*2/10),($B$4*2/10)^2*(1.5*(C512^2-MAX(B512,($B$4*2/10))^2)-($B$4*2/10)*(C512-MAX(B512,($B$4*2/10)))),0))*1000,0)</f>
        <v>0</v>
      </c>
      <c r="AD512" s="120">
        <f>IF(AND(J512="OK",ISNUMBER($B$5),$B$5&gt;0,ISNUMBER($B$3),$B$3&gt;0),F512/(6*$B$3*1000000*$B$5)*(IF(B512&lt;($B$4*3/10),($B$4*3/10)*(MIN(C512,($B$4*3/10))^3-B512^3)-(MIN(C512,($B$4*3/10))^4-B512^4)/4,0)+IF(C512&gt;($B$4*3/10),($B$4*3/10)^2*(1.5*(C512^2-MAX(B512,($B$4*3/10))^2)-($B$4*3/10)*(C512-MAX(B512,($B$4*3/10)))),0))*1000,0)</f>
        <v>0</v>
      </c>
      <c r="AE512" s="120">
        <f>IF(AND(J512="OK",ISNUMBER($B$5),$B$5&gt;0,ISNUMBER($B$3),$B$3&gt;0),F512/(6*$B$3*1000000*$B$5)*(IF(B512&lt;($B$4*4/10),($B$4*4/10)*(MIN(C512,($B$4*4/10))^3-B512^3)-(MIN(C512,($B$4*4/10))^4-B512^4)/4,0)+IF(C512&gt;($B$4*4/10),($B$4*4/10)^2*(1.5*(C512^2-MAX(B512,($B$4*4/10))^2)-($B$4*4/10)*(C512-MAX(B512,($B$4*4/10)))),0))*1000,0)</f>
        <v>0</v>
      </c>
      <c r="AF512" s="120">
        <f>IF(AND(J512="OK",ISNUMBER($B$5),$B$5&gt;0,ISNUMBER($B$3),$B$3&gt;0),F512/(6*$B$3*1000000*$B$5)*(IF(B512&lt;($B$4*5/10),($B$4*5/10)*(MIN(C512,($B$4*5/10))^3-B512^3)-(MIN(C512,($B$4*5/10))^4-B512^4)/4,0)+IF(C512&gt;($B$4*5/10),($B$4*5/10)^2*(1.5*(C512^2-MAX(B512,($B$4*5/10))^2)-($B$4*5/10)*(C512-MAX(B512,($B$4*5/10)))),0))*1000,0)</f>
        <v>0</v>
      </c>
      <c r="AG512" s="120">
        <f>IF(AND(J512="OK",ISNUMBER($B$5),$B$5&gt;0,ISNUMBER($B$3),$B$3&gt;0),F512/(6*$B$3*1000000*$B$5)*(IF(B512&lt;($B$4*6/10),($B$4*6/10)*(MIN(C512,($B$4*6/10))^3-B512^3)-(MIN(C512,($B$4*6/10))^4-B512^4)/4,0)+IF(C512&gt;($B$4*6/10),($B$4*6/10)^2*(1.5*(C512^2-MAX(B512,($B$4*6/10))^2)-($B$4*6/10)*(C512-MAX(B512,($B$4*6/10)))),0))*1000,0)</f>
        <v>0</v>
      </c>
      <c r="AH512" s="120">
        <f>IF(AND(J512="OK",ISNUMBER($B$5),$B$5&gt;0,ISNUMBER($B$3),$B$3&gt;0),F512/(6*$B$3*1000000*$B$5)*(IF(B512&lt;($B$4*7/10),($B$4*7/10)*(MIN(C512,($B$4*7/10))^3-B512^3)-(MIN(C512,($B$4*7/10))^4-B512^4)/4,0)+IF(C512&gt;($B$4*7/10),($B$4*7/10)^2*(1.5*(C512^2-MAX(B512,($B$4*7/10))^2)-($B$4*7/10)*(C512-MAX(B512,($B$4*7/10)))),0))*1000,0)</f>
        <v>0</v>
      </c>
      <c r="AI512" s="120">
        <f>IF(AND(J512="OK",ISNUMBER($B$5),$B$5&gt;0,ISNUMBER($B$3),$B$3&gt;0),F512/(6*$B$3*1000000*$B$5)*(IF(B512&lt;($B$4*8/10),($B$4*8/10)*(MIN(C512,($B$4*8/10))^3-B512^3)-(MIN(C512,($B$4*8/10))^4-B512^4)/4,0)+IF(C512&gt;($B$4*8/10),($B$4*8/10)^2*(1.5*(C512^2-MAX(B512,($B$4*8/10))^2)-($B$4*8/10)*(C512-MAX(B512,($B$4*8/10)))),0))*1000,0)</f>
        <v>0</v>
      </c>
      <c r="AJ512" s="120">
        <f>IF(AND(J512="OK",ISNUMBER($B$5),$B$5&gt;0,ISNUMBER($B$3),$B$3&gt;0),F512/(6*$B$3*1000000*$B$5)*(IF(B512&lt;($B$4*9/10),($B$4*9/10)*(MIN(C512,($B$4*9/10))^3-B512^3)-(MIN(C512,($B$4*9/10))^4-B512^4)/4,0)+IF(C512&gt;($B$4*9/10),($B$4*9/10)^2*(1.5*(C512^2-MAX(B512,($B$4*9/10))^2)-($B$4*9/10)*(C512-MAX(B512,($B$4*9/10)))),0))*1000,0)</f>
        <v>0</v>
      </c>
      <c r="AK512" s="120">
        <f>IF(AND(J512="OK",ISNUMBER($B$5),$B$5&gt;0,ISNUMBER($B$3),$B$3&gt;0),F512/(6*$B$3*1000000*$B$5)*(IF(B512&lt;($B$4*10/10),($B$4*10/10)*(MIN(C512,($B$4*10/10))^3-B512^3)-(MIN(C512,($B$4*10/10))^4-B512^4)/4,0)+IF(C512&gt;($B$4*10/10),($B$4*10/10)^2*(1.5*(C512^2-MAX(B512,($B$4*10/10))^2)-($B$4*10/10)*(C512-MAX(B512,($B$4*10/10)))),0))*1000,0)</f>
        <v>0</v>
      </c>
      <c r="AM512" s="120">
        <f>IF(AND(V512="OK",ISNUMBER($N$5),$N$5&gt;0,ISNUMBER($N$3),$N$3&gt;0),R512/(6*$N$3*1000000*$N$5)*(IF(N512&lt;($N$4*0/10),($N$4*0/10)*(MIN(O512,($N$4*0/10))^3-N512^3)-(MIN(O512,($N$4*0/10))^4-N512^4)/4,0)+IF(O512&gt;($N$4*0/10),($N$4*0/10)^2*(1.5*(O512^2-MAX(N512,($N$4*0/10))^2)-($N$4*0/10)*(O512-MAX(N512,($N$4*0/10)))),0))*1000,0)</f>
        <v>0</v>
      </c>
      <c r="AN512" s="120">
        <f>IF(AND(V512="OK",ISNUMBER($N$5),$N$5&gt;0,ISNUMBER($N$3),$N$3&gt;0),R512/(6*$N$3*1000000*$N$5)*(IF(N512&lt;($N$4*1/10),($N$4*1/10)*(MIN(O512,($N$4*1/10))^3-N512^3)-(MIN(O512,($N$4*1/10))^4-N512^4)/4,0)+IF(O512&gt;($N$4*1/10),($N$4*1/10)^2*(1.5*(O512^2-MAX(N512,($N$4*1/10))^2)-($N$4*1/10)*(O512-MAX(N512,($N$4*1/10)))),0))*1000,0)</f>
        <v>0</v>
      </c>
      <c r="AO512" s="120">
        <f>IF(AND(V512="OK",ISNUMBER($N$5),$N$5&gt;0,ISNUMBER($N$3),$N$3&gt;0),R512/(6*$N$3*1000000*$N$5)*(IF(N512&lt;($N$4*2/10),($N$4*2/10)*(MIN(O512,($N$4*2/10))^3-N512^3)-(MIN(O512,($N$4*2/10))^4-N512^4)/4,0)+IF(O512&gt;($N$4*2/10),($N$4*2/10)^2*(1.5*(O512^2-MAX(N512,($N$4*2/10))^2)-($N$4*2/10)*(O512-MAX(N512,($N$4*2/10)))),0))*1000,0)</f>
        <v>0</v>
      </c>
      <c r="AP512" s="120">
        <f>IF(AND(V512="OK",ISNUMBER($N$5),$N$5&gt;0,ISNUMBER($N$3),$N$3&gt;0),R512/(6*$N$3*1000000*$N$5)*(IF(N512&lt;($N$4*3/10),($N$4*3/10)*(MIN(O512,($N$4*3/10))^3-N512^3)-(MIN(O512,($N$4*3/10))^4-N512^4)/4,0)+IF(O512&gt;($N$4*3/10),($N$4*3/10)^2*(1.5*(O512^2-MAX(N512,($N$4*3/10))^2)-($N$4*3/10)*(O512-MAX(N512,($N$4*3/10)))),0))*1000,0)</f>
        <v>0</v>
      </c>
      <c r="AQ512" s="120">
        <f>IF(AND(V512="OK",ISNUMBER($N$5),$N$5&gt;0,ISNUMBER($N$3),$N$3&gt;0),R512/(6*$N$3*1000000*$N$5)*(IF(N512&lt;($N$4*4/10),($N$4*4/10)*(MIN(O512,($N$4*4/10))^3-N512^3)-(MIN(O512,($N$4*4/10))^4-N512^4)/4,0)+IF(O512&gt;($N$4*4/10),($N$4*4/10)^2*(1.5*(O512^2-MAX(N512,($N$4*4/10))^2)-($N$4*4/10)*(O512-MAX(N512,($N$4*4/10)))),0))*1000,0)</f>
        <v>0</v>
      </c>
      <c r="AR512" s="120">
        <f>IF(AND(V512="OK",ISNUMBER($N$5),$N$5&gt;0,ISNUMBER($N$3),$N$3&gt;0),R512/(6*$N$3*1000000*$N$5)*(IF(N512&lt;($N$4*5/10),($N$4*5/10)*(MIN(O512,($N$4*5/10))^3-N512^3)-(MIN(O512,($N$4*5/10))^4-N512^4)/4,0)+IF(O512&gt;($N$4*5/10),($N$4*5/10)^2*(1.5*(O512^2-MAX(N512,($N$4*5/10))^2)-($N$4*5/10)*(O512-MAX(N512,($N$4*5/10)))),0))*1000,0)</f>
        <v>0</v>
      </c>
      <c r="AS512" s="120">
        <f>IF(AND(V512="OK",ISNUMBER($N$5),$N$5&gt;0,ISNUMBER($N$3),$N$3&gt;0),R512/(6*$N$3*1000000*$N$5)*(IF(N512&lt;($N$4*6/10),($N$4*6/10)*(MIN(O512,($N$4*6/10))^3-N512^3)-(MIN(O512,($N$4*6/10))^4-N512^4)/4,0)+IF(O512&gt;($N$4*6/10),($N$4*6/10)^2*(1.5*(O512^2-MAX(N512,($N$4*6/10))^2)-($N$4*6/10)*(O512-MAX(N512,($N$4*6/10)))),0))*1000,0)</f>
        <v>0</v>
      </c>
      <c r="AT512" s="120">
        <f>IF(AND(V512="OK",ISNUMBER($N$5),$N$5&gt;0,ISNUMBER($N$3),$N$3&gt;0),R512/(6*$N$3*1000000*$N$5)*(IF(N512&lt;($N$4*7/10),($N$4*7/10)*(MIN(O512,($N$4*7/10))^3-N512^3)-(MIN(O512,($N$4*7/10))^4-N512^4)/4,0)+IF(O512&gt;($N$4*7/10),($N$4*7/10)^2*(1.5*(O512^2-MAX(N512,($N$4*7/10))^2)-($N$4*7/10)*(O512-MAX(N512,($N$4*7/10)))),0))*1000,0)</f>
        <v>0</v>
      </c>
      <c r="AU512" s="120">
        <f>IF(AND(V512="OK",ISNUMBER($N$5),$N$5&gt;0,ISNUMBER($N$3),$N$3&gt;0),R512/(6*$N$3*1000000*$N$5)*(IF(N512&lt;($N$4*8/10),($N$4*8/10)*(MIN(O512,($N$4*8/10))^3-N512^3)-(MIN(O512,($N$4*8/10))^4-N512^4)/4,0)+IF(O512&gt;($N$4*8/10),($N$4*8/10)^2*(1.5*(O512^2-MAX(N512,($N$4*8/10))^2)-($N$4*8/10)*(O512-MAX(N512,($N$4*8/10)))),0))*1000,0)</f>
        <v>0</v>
      </c>
      <c r="AV512" s="120">
        <f>IF(AND(V512="OK",ISNUMBER($N$5),$N$5&gt;0,ISNUMBER($N$3),$N$3&gt;0),R512/(6*$N$3*1000000*$N$5)*(IF(N512&lt;($N$4*9/10),($N$4*9/10)*(MIN(O512,($N$4*9/10))^3-N512^3)-(MIN(O512,($N$4*9/10))^4-N512^4)/4,0)+IF(O512&gt;($N$4*9/10),($N$4*9/10)^2*(1.5*(O512^2-MAX(N512,($N$4*9/10))^2)-($N$4*9/10)*(O512-MAX(N512,($N$4*9/10)))),0))*1000,0)</f>
        <v>0</v>
      </c>
      <c r="AW512" s="120">
        <f>IF(AND(V512="OK",ISNUMBER($N$5),$N$5&gt;0,ISNUMBER($N$3),$N$3&gt;0),R512/(6*$N$3*1000000*$N$5)*(IF(N512&lt;($N$4*10/10),($N$4*10/10)*(MIN(O512,($N$4*10/10))^3-N512^3)-(MIN(O512,($N$4*10/10))^4-N512^4)/4,0)+IF(O512&gt;($N$4*10/10),($N$4*10/10)^2*(1.5*(O512^2-MAX(N512,($N$4*10/10))^2)-($N$4*10/10)*(O512-MAX(N512,($N$4*10/10)))),0))*1000,0)</f>
        <v>0</v>
      </c>
    </row>
  </sheetData>
  <mergeCells count="2">
    <mergeCell ref="A1:W1"/>
    <mergeCell ref="A2:W2"/>
  </mergeCells>
  <phoneticPr fontId="5" type="noConversion"/>
  <pageMargins left="0.7" right="0.7" top="0.75" bottom="0.75" header="0.3" footer="0.3"/>
  <pageSetup paperSize="8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4</vt:i4>
      </vt:variant>
    </vt:vector>
  </HeadingPairs>
  <TitlesOfParts>
    <vt:vector size="8" baseType="lpstr">
      <vt:lpstr>Deflection Check</vt:lpstr>
      <vt:lpstr>Core Wall</vt:lpstr>
      <vt:lpstr>Deflection 抄</vt:lpstr>
      <vt:lpstr>Layered Wind</vt:lpstr>
      <vt:lpstr>'Core Wall'!Print_Area</vt:lpstr>
      <vt:lpstr>'Deflection Check'!Print_Area</vt:lpstr>
      <vt:lpstr>'Deflection 抄'!Print_Area</vt:lpstr>
      <vt:lpstr>'Layered Wind'!Print_Area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huangshengxiang6608@gmail.com</cp:lastModifiedBy>
  <dcterms:created xsi:type="dcterms:W3CDTF">2026-09-07T15:32:28Z</dcterms:created>
  <dcterms:modified xsi:type="dcterms:W3CDTF">2026-09-23T01:18:45Z</dcterms:modified>
</cp:coreProperties>
</file>